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&amp;AH&amp;RF" sheetId="1" r:id="rId4"/>
    <sheet state="visible" name="2020" sheetId="2" r:id="rId5"/>
    <sheet state="visible" name="2021" sheetId="3" r:id="rId6"/>
  </sheets>
  <definedNames/>
  <calcPr/>
</workbook>
</file>

<file path=xl/sharedStrings.xml><?xml version="1.0" encoding="utf-8"?>
<sst xmlns="http://schemas.openxmlformats.org/spreadsheetml/2006/main" count="106" uniqueCount="66">
  <si>
    <t>ESTADO DE RESULTADOS</t>
  </si>
  <si>
    <t>AV</t>
  </si>
  <si>
    <t>Ventas</t>
  </si>
  <si>
    <t>Razon circulante</t>
  </si>
  <si>
    <t>Costo de ventas</t>
  </si>
  <si>
    <t>Prueba acido</t>
  </si>
  <si>
    <t>Utilidad bruta</t>
  </si>
  <si>
    <t>Rotación de activos fijos</t>
  </si>
  <si>
    <t>Gastos de ventas y administrativos</t>
  </si>
  <si>
    <t>Rotción de activos totales</t>
  </si>
  <si>
    <t>Gastos de depreciacion</t>
  </si>
  <si>
    <t>Rotación de inventarios</t>
  </si>
  <si>
    <t>Utilidad operativa</t>
  </si>
  <si>
    <t>Dias pendientes de cobro</t>
  </si>
  <si>
    <t>Gastos de intereses</t>
  </si>
  <si>
    <t xml:space="preserve">Rotación de cuentas por pagar </t>
  </si>
  <si>
    <t>EBT</t>
  </si>
  <si>
    <t>Dias de rotación de cuentas por pagar</t>
  </si>
  <si>
    <t>Impuestos (35%)</t>
  </si>
  <si>
    <t>Razón de deuda</t>
  </si>
  <si>
    <t>Utilidad Neta</t>
  </si>
  <si>
    <t>Margen de utilidad</t>
  </si>
  <si>
    <t>ROA</t>
  </si>
  <si>
    <t>Dividendos preferentes</t>
  </si>
  <si>
    <t>ROE</t>
  </si>
  <si>
    <t>Dividendos comunes</t>
  </si>
  <si>
    <t>Adición a las utilidad retenidas</t>
  </si>
  <si>
    <t>// Como podemos observar la razon circulante encaja relativamente bien con el promedio de la industria con una desviación no significativa de aprox 0.4; lo mismo se puede decir para la prueba de ácido; sin embargo la rotación de activos fijos está baja, aproximadamente la mitad de lo que está la industria, y esto baja al hacer el fan; El margen de utilidad aumentó significativamente sin embargo está demaciado bajo a comparación de la industria, tener también utilidad neta de aprx 5% sobre ventas es demaciado bajo y con respecto la industria está bajo. La empresa le combiene hacer el fan sin embargo está muy bajo respecto la industria.</t>
  </si>
  <si>
    <t>Utilidades por acción comun</t>
  </si>
  <si>
    <t>Dividendos por acción</t>
  </si>
  <si>
    <t>Número de acciones comunes</t>
  </si>
  <si>
    <t>BALANCE GENERAL</t>
  </si>
  <si>
    <t>Efectivo</t>
  </si>
  <si>
    <t>Valores negociables</t>
  </si>
  <si>
    <t>Cuentas por cobrar</t>
  </si>
  <si>
    <t>Inventarios</t>
  </si>
  <si>
    <t>Gastos pagados por anticipado</t>
  </si>
  <si>
    <t>Total activo circulante</t>
  </si>
  <si>
    <t>Inversiones a LP</t>
  </si>
  <si>
    <t>Propiedad, planta y equipo</t>
  </si>
  <si>
    <t>Depreciación acumulada</t>
  </si>
  <si>
    <t>Propiedad, planta y equipo neto</t>
  </si>
  <si>
    <t>Total Activos</t>
  </si>
  <si>
    <t>Cuentas por pagar</t>
  </si>
  <si>
    <t>Documentos por pagar</t>
  </si>
  <si>
    <t>Gastos devengados</t>
  </si>
  <si>
    <t>Total pasivo circulante</t>
  </si>
  <si>
    <t>Bonos por pagar</t>
  </si>
  <si>
    <t>Total Pasivos</t>
  </si>
  <si>
    <t>Acciones preferentes</t>
  </si>
  <si>
    <t>Acciones comunes</t>
  </si>
  <si>
    <t>Capital adicional sobre valor par de acción común</t>
  </si>
  <si>
    <t>Utilidades retenidas</t>
  </si>
  <si>
    <t>Total capital</t>
  </si>
  <si>
    <t>Pasivo + Capital</t>
  </si>
  <si>
    <t>Pronóstico</t>
  </si>
  <si>
    <t>Ajuste</t>
  </si>
  <si>
    <t xml:space="preserve">Ajuste </t>
  </si>
  <si>
    <t>AV-2019</t>
  </si>
  <si>
    <t>AV-2020</t>
  </si>
  <si>
    <t>AH</t>
  </si>
  <si>
    <t>FAN</t>
  </si>
  <si>
    <t>Ajuste-1</t>
  </si>
  <si>
    <t>Bonos</t>
  </si>
  <si>
    <t>Intereses</t>
  </si>
  <si>
    <t>Ajuste-2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</si>
</sst>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sz val="14.0"/>
      <color rgb="FF00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4" xfId="0" applyAlignment="1" applyFont="1" applyNumberFormat="1">
      <alignment readingOrder="0" shrinkToFit="0" vertical="bottom" wrapText="0"/>
    </xf>
    <xf borderId="0" fillId="0" fontId="3" numFmtId="0" xfId="0" applyFont="1"/>
    <xf borderId="0" fillId="2" fontId="6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4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3" numFmtId="4" xfId="0" applyFont="1" applyNumberFormat="1"/>
    <xf borderId="0" fillId="0" fontId="4" numFmtId="4" xfId="0" applyFont="1" applyNumberFormat="1"/>
    <xf borderId="0" fillId="0" fontId="3" numFmtId="3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533400</xdr:colOff>
      <xdr:row>16</xdr:row>
      <xdr:rowOff>104775</xdr:rowOff>
    </xdr:from>
    <xdr:ext cx="6438900" cy="2886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714375</xdr:colOff>
      <xdr:row>19</xdr:row>
      <xdr:rowOff>123825</xdr:rowOff>
    </xdr:from>
    <xdr:ext cx="6438900" cy="2886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12.29"/>
  </cols>
  <sheetData>
    <row r="1">
      <c r="A1" s="1" t="s">
        <v>0</v>
      </c>
      <c r="B1" s="2">
        <v>2019.0</v>
      </c>
      <c r="C1" s="3" t="s">
        <v>1</v>
      </c>
      <c r="F1" s="4">
        <v>2019.0</v>
      </c>
      <c r="G1" s="4">
        <v>2021.0</v>
      </c>
    </row>
    <row r="2">
      <c r="A2" s="5" t="s">
        <v>2</v>
      </c>
      <c r="B2" s="6">
        <v>2489709.66</v>
      </c>
      <c r="C2" s="7">
        <f t="shared" ref="C2:C11" si="1">B2/$B$2</f>
        <v>1</v>
      </c>
      <c r="E2" s="4" t="s">
        <v>3</v>
      </c>
      <c r="F2" s="7">
        <f>B28/B38</f>
        <v>2.221367715</v>
      </c>
      <c r="G2" s="7">
        <v>2.1843818906817662</v>
      </c>
      <c r="M2" s="4" t="s">
        <v>3</v>
      </c>
      <c r="N2" s="7">
        <f>B28/B38</f>
        <v>2.221367715</v>
      </c>
    </row>
    <row r="3">
      <c r="A3" s="5" t="s">
        <v>4</v>
      </c>
      <c r="B3" s="6">
        <v>1867282.24</v>
      </c>
      <c r="C3" s="7">
        <f t="shared" si="1"/>
        <v>0.749999998</v>
      </c>
      <c r="E3" s="4" t="s">
        <v>5</v>
      </c>
      <c r="F3" s="7">
        <f>(B28-B26)/B38</f>
        <v>1.331021952</v>
      </c>
      <c r="G3" s="7">
        <v>1.3140541842028342</v>
      </c>
    </row>
    <row r="4">
      <c r="A4" s="5" t="s">
        <v>6</v>
      </c>
      <c r="B4" s="6">
        <v>622427.41</v>
      </c>
      <c r="C4" s="7">
        <f t="shared" si="1"/>
        <v>0.249999998</v>
      </c>
      <c r="E4" s="4" t="s">
        <v>7</v>
      </c>
      <c r="F4" s="7">
        <f>B2/B30</f>
        <v>2</v>
      </c>
      <c r="G4" s="7">
        <v>1.5376168004766544</v>
      </c>
    </row>
    <row r="5">
      <c r="A5" s="5" t="s">
        <v>8</v>
      </c>
      <c r="B5" s="6">
        <v>336110.8</v>
      </c>
      <c r="C5" s="7">
        <f t="shared" si="1"/>
        <v>0.1349999984</v>
      </c>
      <c r="E5" s="4" t="s">
        <v>9</v>
      </c>
      <c r="F5" s="7">
        <f>B2/B33</f>
        <v>2.107279698</v>
      </c>
      <c r="G5" s="7">
        <v>0.7465463216868821</v>
      </c>
    </row>
    <row r="6">
      <c r="A6" s="5" t="s">
        <v>10</v>
      </c>
      <c r="B6" s="6">
        <v>56584.31</v>
      </c>
      <c r="C6" s="7">
        <f t="shared" si="1"/>
        <v>0.02272727254</v>
      </c>
      <c r="E6" s="4" t="s">
        <v>11</v>
      </c>
      <c r="F6" s="7">
        <f>B3/B26</f>
        <v>8.333333289</v>
      </c>
      <c r="G6" s="7">
        <v>8.333333288705195</v>
      </c>
    </row>
    <row r="7">
      <c r="A7" s="5" t="s">
        <v>12</v>
      </c>
      <c r="B7" s="6">
        <v>229732.3</v>
      </c>
      <c r="C7" s="7">
        <f t="shared" si="1"/>
        <v>0.09227272709</v>
      </c>
      <c r="E7" s="4" t="s">
        <v>13</v>
      </c>
      <c r="F7" s="7">
        <f>B25/(B2/365)</f>
        <v>36.50000059</v>
      </c>
      <c r="G7" s="7">
        <v>29.626623852608567</v>
      </c>
    </row>
    <row r="8">
      <c r="A8" s="5" t="s">
        <v>14</v>
      </c>
      <c r="B8" s="6">
        <v>23307.95</v>
      </c>
      <c r="C8" s="7">
        <f t="shared" si="1"/>
        <v>0.009361714088</v>
      </c>
      <c r="E8" s="4" t="s">
        <v>15</v>
      </c>
      <c r="F8" s="7">
        <f>B3/B35</f>
        <v>18.74999927</v>
      </c>
      <c r="G8" s="7">
        <v>18.749999272003492</v>
      </c>
    </row>
    <row r="9">
      <c r="A9" s="5" t="s">
        <v>16</v>
      </c>
      <c r="B9" s="6">
        <v>206424.35</v>
      </c>
      <c r="C9" s="7">
        <f t="shared" si="1"/>
        <v>0.08291101301</v>
      </c>
      <c r="E9" s="4" t="s">
        <v>17</v>
      </c>
      <c r="F9" s="7">
        <f>B35/(B3/365)</f>
        <v>19.46666742</v>
      </c>
      <c r="G9" s="7">
        <v>19.466667422488847</v>
      </c>
    </row>
    <row r="10">
      <c r="A10" s="8" t="s">
        <v>18</v>
      </c>
      <c r="B10" s="6">
        <v>72248.52</v>
      </c>
      <c r="C10" s="7">
        <f t="shared" si="1"/>
        <v>0.02901885355</v>
      </c>
      <c r="E10" s="4" t="s">
        <v>19</v>
      </c>
      <c r="F10" s="7">
        <f>B40/B33</f>
        <v>0.3058554674</v>
      </c>
      <c r="G10" s="7">
        <v>0.6716596936723236</v>
      </c>
    </row>
    <row r="11">
      <c r="A11" s="9" t="s">
        <v>20</v>
      </c>
      <c r="B11" s="10">
        <v>134175.83</v>
      </c>
      <c r="C11" s="7">
        <f t="shared" si="1"/>
        <v>0.05389215946</v>
      </c>
      <c r="E11" s="4" t="s">
        <v>21</v>
      </c>
      <c r="F11" s="7">
        <f>B11/B2</f>
        <v>0.05389215946</v>
      </c>
      <c r="G11" s="7">
        <v>0.14006155894904973</v>
      </c>
    </row>
    <row r="12">
      <c r="A12" s="11"/>
      <c r="B12" s="11"/>
      <c r="E12" s="4" t="s">
        <v>22</v>
      </c>
      <c r="F12" s="7">
        <f>(B11-B13)/B33</f>
        <v>0.1035083781</v>
      </c>
      <c r="G12" s="7">
        <v>0.10167034470278191</v>
      </c>
    </row>
    <row r="13">
      <c r="A13" s="5" t="s">
        <v>23</v>
      </c>
      <c r="B13" s="6">
        <v>11882.71</v>
      </c>
      <c r="E13" s="4" t="s">
        <v>24</v>
      </c>
      <c r="F13" s="7">
        <f>(B11-B13)/B45</f>
        <v>0.1491164639</v>
      </c>
      <c r="G13" s="7">
        <v>0.30964914978403923</v>
      </c>
    </row>
    <row r="14">
      <c r="A14" s="5" t="s">
        <v>25</v>
      </c>
      <c r="B14" s="6">
        <v>50313.59</v>
      </c>
    </row>
    <row r="15">
      <c r="A15" s="5" t="s">
        <v>26</v>
      </c>
      <c r="B15" s="6">
        <v>71979.53</v>
      </c>
    </row>
    <row r="16">
      <c r="A16" s="11"/>
      <c r="B16" s="11"/>
      <c r="D16" s="12" t="s">
        <v>27</v>
      </c>
    </row>
    <row r="17">
      <c r="A17" s="11"/>
      <c r="B17" s="11"/>
    </row>
    <row r="18">
      <c r="A18" s="5" t="s">
        <v>28</v>
      </c>
      <c r="B18" s="5">
        <v>1.22</v>
      </c>
    </row>
    <row r="19">
      <c r="A19" s="5" t="s">
        <v>29</v>
      </c>
      <c r="B19" s="5">
        <v>0.5</v>
      </c>
    </row>
    <row r="20">
      <c r="A20" s="5" t="s">
        <v>30</v>
      </c>
      <c r="B20" s="6">
        <v>100627.19</v>
      </c>
    </row>
    <row r="21">
      <c r="A21" s="11"/>
      <c r="B21" s="11"/>
    </row>
    <row r="22">
      <c r="A22" s="1" t="s">
        <v>31</v>
      </c>
      <c r="B22" s="13">
        <v>2019.0</v>
      </c>
    </row>
    <row r="23">
      <c r="A23" s="5" t="s">
        <v>32</v>
      </c>
      <c r="B23" s="6">
        <v>49794.19</v>
      </c>
      <c r="C23" s="7">
        <f t="shared" ref="C23:C33" si="2">B23/$B$33</f>
        <v>0.04214559124</v>
      </c>
    </row>
    <row r="24">
      <c r="A24" s="5" t="s">
        <v>33</v>
      </c>
      <c r="B24" s="6">
        <v>11316.86</v>
      </c>
      <c r="C24" s="7">
        <f t="shared" si="2"/>
        <v>0.00957854231</v>
      </c>
    </row>
    <row r="25">
      <c r="A25" s="5" t="s">
        <v>34</v>
      </c>
      <c r="B25" s="6">
        <v>248970.97</v>
      </c>
      <c r="C25" s="7">
        <f t="shared" si="2"/>
        <v>0.2107279731</v>
      </c>
    </row>
    <row r="26">
      <c r="A26" s="5" t="s">
        <v>35</v>
      </c>
      <c r="B26" s="6">
        <v>224073.87</v>
      </c>
      <c r="C26" s="7">
        <f t="shared" si="2"/>
        <v>0.1896551733</v>
      </c>
    </row>
    <row r="27">
      <c r="A27" s="5" t="s">
        <v>36</v>
      </c>
      <c r="B27" s="6">
        <v>24897.1</v>
      </c>
      <c r="C27" s="7">
        <f t="shared" si="2"/>
        <v>0.02107279985</v>
      </c>
    </row>
    <row r="28">
      <c r="A28" s="5" t="s">
        <v>37</v>
      </c>
      <c r="B28" s="6">
        <v>559052.99</v>
      </c>
      <c r="C28" s="7">
        <f t="shared" si="2"/>
        <v>0.4731800798</v>
      </c>
    </row>
    <row r="29">
      <c r="A29" s="5" t="s">
        <v>38</v>
      </c>
      <c r="B29" s="6">
        <v>56584.31</v>
      </c>
      <c r="C29" s="7">
        <f t="shared" si="2"/>
        <v>0.04789272001</v>
      </c>
    </row>
    <row r="30">
      <c r="A30" s="5" t="s">
        <v>39</v>
      </c>
      <c r="B30" s="6">
        <v>1244854.83</v>
      </c>
      <c r="C30" s="7">
        <f t="shared" si="2"/>
        <v>1.053639849</v>
      </c>
    </row>
    <row r="31">
      <c r="A31" s="5" t="s">
        <v>40</v>
      </c>
      <c r="B31" s="6">
        <v>679011.72</v>
      </c>
      <c r="C31" s="7">
        <f t="shared" si="2"/>
        <v>0.5747126402</v>
      </c>
    </row>
    <row r="32">
      <c r="A32" s="5" t="s">
        <v>41</v>
      </c>
      <c r="B32" s="6">
        <v>565843.1</v>
      </c>
      <c r="C32" s="7">
        <f t="shared" si="2"/>
        <v>0.4789272001</v>
      </c>
    </row>
    <row r="33">
      <c r="A33" s="9" t="s">
        <v>42</v>
      </c>
      <c r="B33" s="10">
        <v>1181480.4</v>
      </c>
      <c r="C33" s="7">
        <f t="shared" si="2"/>
        <v>1</v>
      </c>
    </row>
    <row r="34">
      <c r="A34" s="11"/>
      <c r="B34" s="11"/>
    </row>
    <row r="35">
      <c r="A35" s="5" t="s">
        <v>43</v>
      </c>
      <c r="B35" s="6">
        <v>99588.39</v>
      </c>
      <c r="C35" s="7">
        <f t="shared" ref="C35:C46" si="3">B35/$B$46</f>
        <v>0.08429119095</v>
      </c>
    </row>
    <row r="36">
      <c r="A36" s="5" t="s">
        <v>44</v>
      </c>
      <c r="B36" s="6">
        <v>114736.59</v>
      </c>
      <c r="C36" s="7">
        <f t="shared" si="3"/>
        <v>0.09711256319</v>
      </c>
    </row>
    <row r="37">
      <c r="A37" s="5" t="s">
        <v>45</v>
      </c>
      <c r="B37" s="6">
        <v>37345.64</v>
      </c>
      <c r="C37" s="7">
        <f t="shared" si="3"/>
        <v>0.03160919132</v>
      </c>
    </row>
    <row r="38">
      <c r="A38" s="5" t="s">
        <v>46</v>
      </c>
      <c r="B38" s="6">
        <v>251670.62</v>
      </c>
      <c r="C38" s="7">
        <f t="shared" si="3"/>
        <v>0.2130129455</v>
      </c>
    </row>
    <row r="39">
      <c r="A39" s="5" t="s">
        <v>47</v>
      </c>
      <c r="B39" s="6">
        <v>109691.61</v>
      </c>
      <c r="C39" s="7">
        <f t="shared" si="3"/>
        <v>0.09284251351</v>
      </c>
    </row>
    <row r="40">
      <c r="A40" s="1" t="s">
        <v>48</v>
      </c>
      <c r="B40" s="14">
        <v>361362.24</v>
      </c>
      <c r="C40" s="7">
        <f t="shared" si="3"/>
        <v>0.3058554674</v>
      </c>
    </row>
    <row r="41">
      <c r="A41" s="5" t="s">
        <v>49</v>
      </c>
      <c r="B41" s="6">
        <v>56584.31</v>
      </c>
      <c r="C41" s="7">
        <f t="shared" si="3"/>
        <v>0.04789272001</v>
      </c>
    </row>
    <row r="42">
      <c r="A42" s="5" t="s">
        <v>50</v>
      </c>
      <c r="B42" s="6">
        <v>119440.5</v>
      </c>
      <c r="C42" s="7">
        <f t="shared" si="3"/>
        <v>0.1010939327</v>
      </c>
    </row>
    <row r="43">
      <c r="A43" s="5" t="s">
        <v>51</v>
      </c>
      <c r="B43" s="6">
        <v>282921.55</v>
      </c>
      <c r="C43" s="7">
        <f t="shared" si="3"/>
        <v>0.2394636001</v>
      </c>
    </row>
    <row r="44">
      <c r="A44" s="5" t="s">
        <v>52</v>
      </c>
      <c r="B44" s="6">
        <v>361171.79</v>
      </c>
      <c r="C44" s="7">
        <f t="shared" si="3"/>
        <v>0.3056942714</v>
      </c>
    </row>
    <row r="45">
      <c r="A45" s="5" t="s">
        <v>53</v>
      </c>
      <c r="B45" s="6">
        <v>820118.16</v>
      </c>
      <c r="C45" s="7">
        <f t="shared" si="3"/>
        <v>0.6941445326</v>
      </c>
    </row>
    <row r="46">
      <c r="A46" s="9" t="s">
        <v>54</v>
      </c>
      <c r="B46" s="10">
        <v>1181480.4</v>
      </c>
      <c r="C46" s="7">
        <f t="shared" si="3"/>
        <v>1</v>
      </c>
    </row>
  </sheetData>
  <mergeCells count="1">
    <mergeCell ref="D16:G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13" max="13" width="24.29"/>
  </cols>
  <sheetData>
    <row r="1">
      <c r="A1" s="15" t="str">
        <f>'AV&amp;AH&amp;RF'!A1</f>
        <v>ESTADO DE RESULTADOS</v>
      </c>
      <c r="B1" s="15">
        <f>'AV&amp;AH&amp;RF'!B1</f>
        <v>2019</v>
      </c>
      <c r="C1" s="4" t="s">
        <v>55</v>
      </c>
      <c r="D1" s="16">
        <v>43831.0</v>
      </c>
      <c r="E1" s="4" t="s">
        <v>56</v>
      </c>
      <c r="F1" s="16">
        <v>43862.0</v>
      </c>
      <c r="G1" s="4" t="s">
        <v>57</v>
      </c>
      <c r="H1" s="16">
        <v>43891.0</v>
      </c>
      <c r="I1" s="4" t="s">
        <v>58</v>
      </c>
      <c r="J1" s="4" t="s">
        <v>59</v>
      </c>
      <c r="K1" s="4" t="s">
        <v>60</v>
      </c>
      <c r="N1" s="4">
        <v>2019.0</v>
      </c>
      <c r="O1" s="4">
        <v>2020.0</v>
      </c>
    </row>
    <row r="2">
      <c r="A2" s="7" t="str">
        <f>'AV&amp;AH&amp;RF'!A2</f>
        <v>Ventas</v>
      </c>
      <c r="B2" s="17">
        <f>'AV&amp;AH&amp;RF'!B2</f>
        <v>2489709.66</v>
      </c>
      <c r="C2" s="3">
        <v>1.1</v>
      </c>
      <c r="D2" s="7">
        <f t="shared" ref="D2:D3" si="1">IF(C2=0,B2,B2*C2)</f>
        <v>2738680.626</v>
      </c>
      <c r="F2" s="7">
        <f t="shared" ref="F2:F6" si="2">D2</f>
        <v>2738680.626</v>
      </c>
      <c r="H2" s="7">
        <f t="shared" ref="H2:H6" si="3">F2</f>
        <v>2738680.626</v>
      </c>
      <c r="I2" s="7">
        <f t="shared" ref="I2:I11" si="4">B2/$B$2</f>
        <v>1</v>
      </c>
      <c r="J2" s="7">
        <f t="shared" ref="J2:J11" si="5">H2/$H$2</f>
        <v>1</v>
      </c>
      <c r="K2" s="7">
        <f t="shared" ref="K2:K11" si="6">(H2-B2)/H2</f>
        <v>0.09090909091</v>
      </c>
      <c r="M2" s="4" t="s">
        <v>3</v>
      </c>
      <c r="N2" s="7">
        <f>B28/B38</f>
        <v>2.221367715</v>
      </c>
      <c r="O2" s="7">
        <f>H28/H38</f>
        <v>2.196685084</v>
      </c>
    </row>
    <row r="3">
      <c r="A3" s="7" t="str">
        <f>'AV&amp;AH&amp;RF'!A3</f>
        <v>Costo de ventas</v>
      </c>
      <c r="B3" s="17">
        <f>'AV&amp;AH&amp;RF'!B3</f>
        <v>1867282.24</v>
      </c>
      <c r="D3" s="17">
        <f t="shared" si="1"/>
        <v>1867282.24</v>
      </c>
      <c r="F3" s="17">
        <f t="shared" si="2"/>
        <v>1867282.24</v>
      </c>
      <c r="H3" s="17">
        <f t="shared" si="3"/>
        <v>1867282.24</v>
      </c>
      <c r="I3" s="7">
        <f t="shared" si="4"/>
        <v>0.749999998</v>
      </c>
      <c r="J3" s="7">
        <f t="shared" si="5"/>
        <v>0.68181818</v>
      </c>
      <c r="K3" s="7">
        <f t="shared" si="6"/>
        <v>0</v>
      </c>
      <c r="M3" s="4" t="s">
        <v>5</v>
      </c>
      <c r="N3" s="7">
        <f>(B28-B26)/B38</f>
        <v>1.331021952</v>
      </c>
      <c r="O3" s="7">
        <f>(H28-H26)/H38</f>
        <v>1.31935806</v>
      </c>
    </row>
    <row r="4">
      <c r="A4" s="15" t="str">
        <f>'AV&amp;AH&amp;RF'!A4</f>
        <v>Utilidad bruta</v>
      </c>
      <c r="B4" s="18">
        <f>'AV&amp;AH&amp;RF'!B4</f>
        <v>622427.41</v>
      </c>
      <c r="C4" s="15"/>
      <c r="D4" s="18">
        <f>D2-D3</f>
        <v>871398.386</v>
      </c>
      <c r="E4" s="15"/>
      <c r="F4" s="18">
        <f t="shared" si="2"/>
        <v>871398.386</v>
      </c>
      <c r="G4" s="15"/>
      <c r="H4" s="18">
        <f t="shared" si="3"/>
        <v>871398.386</v>
      </c>
      <c r="I4" s="7">
        <f t="shared" si="4"/>
        <v>0.249999998</v>
      </c>
      <c r="J4" s="7">
        <f t="shared" si="5"/>
        <v>0.31818182</v>
      </c>
      <c r="K4" s="7">
        <f t="shared" si="6"/>
        <v>0.2857142956</v>
      </c>
      <c r="M4" s="4" t="s">
        <v>7</v>
      </c>
      <c r="N4" s="7">
        <f>B2/B30</f>
        <v>2</v>
      </c>
      <c r="O4" s="7">
        <f>H2/H30</f>
        <v>1.569575061</v>
      </c>
    </row>
    <row r="5">
      <c r="A5" s="7" t="str">
        <f>'AV&amp;AH&amp;RF'!A5</f>
        <v>Gastos de ventas y administrativos</v>
      </c>
      <c r="B5" s="17">
        <f>'AV&amp;AH&amp;RF'!B5</f>
        <v>336110.8</v>
      </c>
      <c r="C5" s="3">
        <v>1.05</v>
      </c>
      <c r="D5" s="7">
        <f t="shared" ref="D5:D6" si="7">IF(C5=0,B5,B5*C5)</f>
        <v>352916.34</v>
      </c>
      <c r="F5" s="7">
        <f t="shared" si="2"/>
        <v>352916.34</v>
      </c>
      <c r="H5" s="7">
        <f t="shared" si="3"/>
        <v>352916.34</v>
      </c>
      <c r="I5" s="7">
        <f t="shared" si="4"/>
        <v>0.1349999984</v>
      </c>
      <c r="J5" s="7">
        <f t="shared" si="5"/>
        <v>0.1288636348</v>
      </c>
      <c r="K5" s="7">
        <f t="shared" si="6"/>
        <v>0.04761904762</v>
      </c>
      <c r="M5" s="4" t="s">
        <v>9</v>
      </c>
      <c r="N5" s="7">
        <f>B2/B33</f>
        <v>2.107279698</v>
      </c>
      <c r="O5" s="7">
        <f>H2/H33</f>
        <v>0.7387187507</v>
      </c>
    </row>
    <row r="6">
      <c r="A6" s="7" t="str">
        <f>'AV&amp;AH&amp;RF'!A6</f>
        <v>Gastos de depreciacion</v>
      </c>
      <c r="B6" s="17">
        <f>'AV&amp;AH&amp;RF'!B6</f>
        <v>56584.31</v>
      </c>
      <c r="D6" s="17">
        <f t="shared" si="7"/>
        <v>56584.31</v>
      </c>
      <c r="F6" s="17">
        <f t="shared" si="2"/>
        <v>56584.31</v>
      </c>
      <c r="H6" s="17">
        <f t="shared" si="3"/>
        <v>56584.31</v>
      </c>
      <c r="I6" s="7">
        <f t="shared" si="4"/>
        <v>0.02272727254</v>
      </c>
      <c r="J6" s="7">
        <f t="shared" si="5"/>
        <v>0.02066115686</v>
      </c>
      <c r="K6" s="7">
        <f t="shared" si="6"/>
        <v>0</v>
      </c>
      <c r="M6" s="4" t="s">
        <v>11</v>
      </c>
      <c r="N6" s="7">
        <f>B3/B26</f>
        <v>8.333333289</v>
      </c>
      <c r="O6" s="7">
        <f>H3/H26</f>
        <v>8.333333289</v>
      </c>
    </row>
    <row r="7">
      <c r="A7" s="15" t="str">
        <f>'AV&amp;AH&amp;RF'!A7</f>
        <v>Utilidad operativa</v>
      </c>
      <c r="B7" s="18">
        <f>'AV&amp;AH&amp;RF'!B7</f>
        <v>229732.3</v>
      </c>
      <c r="C7" s="15"/>
      <c r="D7" s="18">
        <f>D4-SUM(D5:D6)</f>
        <v>461897.736</v>
      </c>
      <c r="E7" s="15"/>
      <c r="F7" s="18">
        <f>F4-SUM(F5:F6)</f>
        <v>461897.736</v>
      </c>
      <c r="G7" s="15"/>
      <c r="H7" s="18">
        <f>H4-SUM(H5:H6)</f>
        <v>461897.736</v>
      </c>
      <c r="I7" s="7">
        <f t="shared" si="4"/>
        <v>0.09227272709</v>
      </c>
      <c r="J7" s="7">
        <f t="shared" si="5"/>
        <v>0.1686570284</v>
      </c>
      <c r="K7" s="7">
        <f t="shared" si="6"/>
        <v>0.5026338471</v>
      </c>
      <c r="M7" s="4" t="s">
        <v>13</v>
      </c>
      <c r="N7" s="7">
        <f>B25/(B2/365)</f>
        <v>36.50000059</v>
      </c>
      <c r="O7" s="7">
        <f>H25/(H2/365)</f>
        <v>33.18181871</v>
      </c>
    </row>
    <row r="8">
      <c r="A8" s="7" t="str">
        <f>'AV&amp;AH&amp;RF'!A8</f>
        <v>Gastos de intereses</v>
      </c>
      <c r="B8" s="17">
        <f>'AV&amp;AH&amp;RF'!B8</f>
        <v>23307.95</v>
      </c>
      <c r="D8" s="17">
        <f>IF(C8=0,B8,B8*C8)</f>
        <v>23307.95</v>
      </c>
      <c r="E8" s="7">
        <f>D52</f>
        <v>91969.46852</v>
      </c>
      <c r="F8" s="17">
        <f>IF(E8=0,D8,D8+E8)</f>
        <v>115277.4185</v>
      </c>
      <c r="G8" s="7">
        <f>D56</f>
        <v>94424.50671</v>
      </c>
      <c r="H8" s="17">
        <f>IF(G8=0,D8,D8+G8)</f>
        <v>117732.4567</v>
      </c>
      <c r="I8" s="7">
        <f t="shared" si="4"/>
        <v>0.009361714088</v>
      </c>
      <c r="J8" s="7">
        <f t="shared" si="5"/>
        <v>0.04298874998</v>
      </c>
      <c r="K8" s="7">
        <f t="shared" si="6"/>
        <v>0.8020261307</v>
      </c>
      <c r="M8" s="4" t="s">
        <v>15</v>
      </c>
      <c r="N8" s="7">
        <f>B3/B35</f>
        <v>18.74999927</v>
      </c>
      <c r="O8" s="7">
        <f>H3/H35</f>
        <v>18.74999927</v>
      </c>
    </row>
    <row r="9">
      <c r="A9" s="15" t="str">
        <f>'AV&amp;AH&amp;RF'!A9</f>
        <v>EBT</v>
      </c>
      <c r="B9" s="18">
        <f>'AV&amp;AH&amp;RF'!B9</f>
        <v>206424.35</v>
      </c>
      <c r="C9" s="15"/>
      <c r="D9" s="18">
        <f>D7-D8</f>
        <v>438589.786</v>
      </c>
      <c r="E9" s="15"/>
      <c r="F9" s="18">
        <f>F7-F8</f>
        <v>346620.3175</v>
      </c>
      <c r="G9" s="15"/>
      <c r="H9" s="18">
        <f>H7-H8</f>
        <v>344165.2793</v>
      </c>
      <c r="I9" s="7">
        <f t="shared" si="4"/>
        <v>0.08291101301</v>
      </c>
      <c r="J9" s="7">
        <f t="shared" si="5"/>
        <v>0.1256682784</v>
      </c>
      <c r="K9" s="7">
        <f t="shared" si="6"/>
        <v>0.4002173885</v>
      </c>
      <c r="M9" s="4" t="s">
        <v>17</v>
      </c>
      <c r="N9" s="7">
        <f>B35/(B3/365)</f>
        <v>19.46666742</v>
      </c>
      <c r="O9" s="7">
        <f>H35/(H3/365)</f>
        <v>19.46666742</v>
      </c>
    </row>
    <row r="10">
      <c r="A10" s="7" t="str">
        <f>'AV&amp;AH&amp;RF'!A10</f>
        <v>Impuestos (35%)</v>
      </c>
      <c r="B10" s="17">
        <f>'AV&amp;AH&amp;RF'!B10</f>
        <v>72248.52</v>
      </c>
      <c r="D10" s="7">
        <f>D9*0.35</f>
        <v>153506.4251</v>
      </c>
      <c r="F10" s="7">
        <f>F9*0.35</f>
        <v>121317.1111</v>
      </c>
      <c r="H10" s="7">
        <f>H9*0.35</f>
        <v>120457.8478</v>
      </c>
      <c r="I10" s="7">
        <f t="shared" si="4"/>
        <v>0.02901885355</v>
      </c>
      <c r="J10" s="7">
        <f t="shared" si="5"/>
        <v>0.04398389743</v>
      </c>
      <c r="K10" s="7">
        <f t="shared" si="6"/>
        <v>0.4002174093</v>
      </c>
      <c r="M10" s="4" t="s">
        <v>19</v>
      </c>
      <c r="N10" s="7">
        <f>B40/B33</f>
        <v>0.3058554674</v>
      </c>
      <c r="O10" s="7">
        <f>H40/H33</f>
        <v>0.7352199702</v>
      </c>
    </row>
    <row r="11">
      <c r="A11" s="15" t="str">
        <f>'AV&amp;AH&amp;RF'!A11</f>
        <v>Utilidad Neta</v>
      </c>
      <c r="B11" s="18">
        <f>'AV&amp;AH&amp;RF'!B11</f>
        <v>134175.83</v>
      </c>
      <c r="C11" s="15"/>
      <c r="D11" s="18">
        <f>D9-D10</f>
        <v>285083.3609</v>
      </c>
      <c r="E11" s="15"/>
      <c r="F11" s="18">
        <f>F9-F10</f>
        <v>225303.2064</v>
      </c>
      <c r="G11" s="15"/>
      <c r="H11" s="18">
        <f>H9-H10</f>
        <v>223707.4315</v>
      </c>
      <c r="I11" s="7">
        <f t="shared" si="4"/>
        <v>0.05389215946</v>
      </c>
      <c r="J11" s="7">
        <f t="shared" si="5"/>
        <v>0.08168438095</v>
      </c>
      <c r="K11" s="7">
        <f t="shared" si="6"/>
        <v>0.4002173773</v>
      </c>
      <c r="M11" s="4" t="s">
        <v>21</v>
      </c>
      <c r="N11" s="7">
        <f>B11/B2</f>
        <v>0.05389215946</v>
      </c>
      <c r="O11" s="7">
        <f>H11/H2</f>
        <v>0.08168438095</v>
      </c>
    </row>
    <row r="12">
      <c r="A12" s="7" t="str">
        <f>'AV&amp;AH&amp;RF'!A12</f>
        <v/>
      </c>
      <c r="B12" s="7" t="str">
        <f>'AV&amp;AH&amp;RF'!B12</f>
        <v/>
      </c>
      <c r="M12" s="4" t="s">
        <v>22</v>
      </c>
      <c r="N12" s="7">
        <f>(B11-B13)/B33</f>
        <v>0.1035083781</v>
      </c>
      <c r="O12" s="7">
        <f>(H11-H13)/H33</f>
        <v>0.05713659788</v>
      </c>
    </row>
    <row r="13">
      <c r="A13" s="7" t="str">
        <f>'AV&amp;AH&amp;RF'!A13</f>
        <v>Dividendos preferentes</v>
      </c>
      <c r="B13" s="17">
        <f>'AV&amp;AH&amp;RF'!B13</f>
        <v>11882.71</v>
      </c>
      <c r="D13" s="17">
        <f t="shared" ref="D13:D14" si="8">B13</f>
        <v>11882.71</v>
      </c>
      <c r="F13" s="17">
        <f t="shared" ref="F13:F14" si="9">D13</f>
        <v>11882.71</v>
      </c>
      <c r="H13" s="17">
        <f t="shared" ref="H13:H14" si="10">F13</f>
        <v>11882.71</v>
      </c>
      <c r="K13" s="7">
        <f t="shared" ref="K13:K15" si="11">(H13-B13)/H13</f>
        <v>0</v>
      </c>
      <c r="M13" s="4" t="s">
        <v>24</v>
      </c>
      <c r="N13" s="7">
        <f>(B11-B13)/B45</f>
        <v>0.1491164639</v>
      </c>
      <c r="O13" s="7">
        <f>(H11-H13)/H45</f>
        <v>0.215788919</v>
      </c>
    </row>
    <row r="14">
      <c r="A14" s="7" t="str">
        <f>'AV&amp;AH&amp;RF'!A14</f>
        <v>Dividendos comunes</v>
      </c>
      <c r="B14" s="17">
        <f>'AV&amp;AH&amp;RF'!B14</f>
        <v>50313.59</v>
      </c>
      <c r="D14" s="17">
        <f t="shared" si="8"/>
        <v>50313.59</v>
      </c>
      <c r="F14" s="17">
        <f t="shared" si="9"/>
        <v>50313.59</v>
      </c>
      <c r="H14" s="17">
        <f t="shared" si="10"/>
        <v>50313.59</v>
      </c>
      <c r="K14" s="7">
        <f t="shared" si="11"/>
        <v>0</v>
      </c>
    </row>
    <row r="15">
      <c r="A15" s="7" t="str">
        <f>'AV&amp;AH&amp;RF'!A15</f>
        <v>Adición a las utilidad retenidas</v>
      </c>
      <c r="B15" s="17">
        <f>'AV&amp;AH&amp;RF'!B15</f>
        <v>71979.53</v>
      </c>
      <c r="D15" s="17">
        <f>D11-D13-D14</f>
        <v>222887.0609</v>
      </c>
      <c r="F15" s="17">
        <f>F11-F13-F14</f>
        <v>163106.9064</v>
      </c>
      <c r="H15" s="17">
        <f>H11-H13-H14</f>
        <v>161511.1315</v>
      </c>
      <c r="K15" s="7">
        <f t="shared" si="11"/>
        <v>0.5543370335</v>
      </c>
    </row>
    <row r="16">
      <c r="A16" s="7" t="str">
        <f>'AV&amp;AH&amp;RF'!A16</f>
        <v/>
      </c>
      <c r="B16" s="7" t="str">
        <f>'AV&amp;AH&amp;RF'!B16</f>
        <v/>
      </c>
    </row>
    <row r="17">
      <c r="A17" s="7" t="str">
        <f>'AV&amp;AH&amp;RF'!A17</f>
        <v/>
      </c>
      <c r="B17" s="7" t="str">
        <f>'AV&amp;AH&amp;RF'!B17</f>
        <v/>
      </c>
    </row>
    <row r="18">
      <c r="A18" s="7" t="str">
        <f>'AV&amp;AH&amp;RF'!A18</f>
        <v>Utilidades por acción comun</v>
      </c>
      <c r="B18" s="7">
        <f>'AV&amp;AH&amp;RF'!B18</f>
        <v>1.22</v>
      </c>
      <c r="D18" s="7">
        <f>D11/D20</f>
        <v>2.833064909</v>
      </c>
      <c r="F18" s="7">
        <f>F11/F20</f>
        <v>2.238989346</v>
      </c>
      <c r="H18" s="7">
        <f>H11/H20</f>
        <v>2.22313106</v>
      </c>
      <c r="K18" s="7">
        <f t="shared" ref="K18:K20" si="12">(H18-B18)/H18</f>
        <v>0.4512244365</v>
      </c>
    </row>
    <row r="19">
      <c r="A19" s="7" t="str">
        <f>'AV&amp;AH&amp;RF'!A19</f>
        <v>Dividendos por acción</v>
      </c>
      <c r="B19" s="7">
        <f>'AV&amp;AH&amp;RF'!B19</f>
        <v>0.5</v>
      </c>
      <c r="D19" s="7">
        <f>B19</f>
        <v>0.5</v>
      </c>
      <c r="F19" s="7">
        <f>D19</f>
        <v>0.5</v>
      </c>
      <c r="H19" s="7">
        <f>F19</f>
        <v>0.5</v>
      </c>
      <c r="K19" s="7">
        <f t="shared" si="12"/>
        <v>0</v>
      </c>
    </row>
    <row r="20">
      <c r="A20" s="7" t="str">
        <f>'AV&amp;AH&amp;RF'!A20</f>
        <v>Número de acciones comunes</v>
      </c>
      <c r="B20" s="17">
        <f>'AV&amp;AH&amp;RF'!B20</f>
        <v>100627.19</v>
      </c>
      <c r="D20" s="17">
        <f>IF(C20=0,B20,B20+C20)</f>
        <v>100627.19</v>
      </c>
      <c r="F20" s="17">
        <f>IF(E20=0,D20,D20+E20)</f>
        <v>100627.19</v>
      </c>
      <c r="H20" s="17">
        <f>IF(G20=0,F20,F20+G20)</f>
        <v>100627.19</v>
      </c>
      <c r="K20" s="7">
        <f t="shared" si="12"/>
        <v>0</v>
      </c>
    </row>
    <row r="21">
      <c r="A21" s="7" t="str">
        <f>'AV&amp;AH&amp;RF'!A21</f>
        <v/>
      </c>
      <c r="B21" s="7" t="str">
        <f>'AV&amp;AH&amp;RF'!B21</f>
        <v/>
      </c>
    </row>
    <row r="22">
      <c r="A22" s="15" t="str">
        <f>'AV&amp;AH&amp;RF'!A22</f>
        <v>BALANCE GENERAL</v>
      </c>
      <c r="B22" s="15">
        <f>'AV&amp;AH&amp;RF'!B22</f>
        <v>2019</v>
      </c>
    </row>
    <row r="23">
      <c r="A23" s="7" t="str">
        <f>'AV&amp;AH&amp;RF'!A23</f>
        <v>Efectivo</v>
      </c>
      <c r="B23" s="17">
        <f>'AV&amp;AH&amp;RF'!B23</f>
        <v>49794.19</v>
      </c>
      <c r="D23" s="17">
        <f t="shared" ref="D23:D27" si="13">IF(C23=0,B23,B23*C23)</f>
        <v>49794.19</v>
      </c>
      <c r="F23" s="17">
        <f t="shared" ref="F23:F27" si="14">D23</f>
        <v>49794.19</v>
      </c>
      <c r="H23" s="17">
        <f t="shared" ref="H23:H27" si="15">F23</f>
        <v>49794.19</v>
      </c>
      <c r="I23" s="7">
        <f t="shared" ref="I23:I33" si="16">B23/$B$33</f>
        <v>0.04214559124</v>
      </c>
      <c r="J23" s="7">
        <f t="shared" ref="J23:J33" si="17">H23/$H$33</f>
        <v>0.01343124915</v>
      </c>
      <c r="K23" s="7">
        <f t="shared" ref="K23:K33" si="18">(H23-B23)/H23</f>
        <v>0</v>
      </c>
    </row>
    <row r="24">
      <c r="A24" s="7" t="str">
        <f>'AV&amp;AH&amp;RF'!A24</f>
        <v>Valores negociables</v>
      </c>
      <c r="B24" s="17">
        <f>'AV&amp;AH&amp;RF'!B24</f>
        <v>11316.86</v>
      </c>
      <c r="D24" s="17">
        <f t="shared" si="13"/>
        <v>11316.86</v>
      </c>
      <c r="F24" s="17">
        <f t="shared" si="14"/>
        <v>11316.86</v>
      </c>
      <c r="H24" s="17">
        <f t="shared" si="15"/>
        <v>11316.86</v>
      </c>
      <c r="I24" s="7">
        <f t="shared" si="16"/>
        <v>0.00957854231</v>
      </c>
      <c r="J24" s="7">
        <f t="shared" si="17"/>
        <v>0.003052556257</v>
      </c>
      <c r="K24" s="7">
        <f t="shared" si="18"/>
        <v>0</v>
      </c>
    </row>
    <row r="25">
      <c r="A25" s="7" t="str">
        <f>'AV&amp;AH&amp;RF'!A25</f>
        <v>Cuentas por cobrar</v>
      </c>
      <c r="B25" s="17">
        <f>'AV&amp;AH&amp;RF'!B25</f>
        <v>248970.97</v>
      </c>
      <c r="D25" s="17">
        <f t="shared" si="13"/>
        <v>248970.97</v>
      </c>
      <c r="F25" s="17">
        <f t="shared" si="14"/>
        <v>248970.97</v>
      </c>
      <c r="H25" s="17">
        <f t="shared" si="15"/>
        <v>248970.97</v>
      </c>
      <c r="I25" s="7">
        <f t="shared" si="16"/>
        <v>0.2107279731</v>
      </c>
      <c r="J25" s="7">
        <f t="shared" si="17"/>
        <v>0.06715625114</v>
      </c>
      <c r="K25" s="7">
        <f t="shared" si="18"/>
        <v>0</v>
      </c>
    </row>
    <row r="26">
      <c r="A26" s="7" t="str">
        <f>'AV&amp;AH&amp;RF'!A26</f>
        <v>Inventarios</v>
      </c>
      <c r="B26" s="17">
        <f>'AV&amp;AH&amp;RF'!B26</f>
        <v>224073.87</v>
      </c>
      <c r="D26" s="17">
        <f t="shared" si="13"/>
        <v>224073.87</v>
      </c>
      <c r="F26" s="17">
        <f t="shared" si="14"/>
        <v>224073.87</v>
      </c>
      <c r="H26" s="17">
        <f t="shared" si="15"/>
        <v>224073.87</v>
      </c>
      <c r="I26" s="7">
        <f t="shared" si="16"/>
        <v>0.1896551733</v>
      </c>
      <c r="J26" s="7">
        <f t="shared" si="17"/>
        <v>0.06044062522</v>
      </c>
      <c r="K26" s="7">
        <f t="shared" si="18"/>
        <v>0</v>
      </c>
    </row>
    <row r="27">
      <c r="A27" s="7" t="str">
        <f>'AV&amp;AH&amp;RF'!A27</f>
        <v>Gastos pagados por anticipado</v>
      </c>
      <c r="B27" s="17">
        <f>'AV&amp;AH&amp;RF'!B27</f>
        <v>24897.1</v>
      </c>
      <c r="C27" s="3">
        <v>1.08</v>
      </c>
      <c r="D27" s="7">
        <f t="shared" si="13"/>
        <v>26888.868</v>
      </c>
      <c r="F27" s="7">
        <f t="shared" si="14"/>
        <v>26888.868</v>
      </c>
      <c r="H27" s="7">
        <f t="shared" si="15"/>
        <v>26888.868</v>
      </c>
      <c r="I27" s="7">
        <f t="shared" si="16"/>
        <v>0.02107279985</v>
      </c>
      <c r="J27" s="7">
        <f t="shared" si="17"/>
        <v>0.007252875997</v>
      </c>
      <c r="K27" s="7">
        <f t="shared" si="18"/>
        <v>0.07407407407</v>
      </c>
    </row>
    <row r="28">
      <c r="A28" s="15" t="str">
        <f>'AV&amp;AH&amp;RF'!A28</f>
        <v>Total activo circulante</v>
      </c>
      <c r="B28" s="18">
        <f>'AV&amp;AH&amp;RF'!B28</f>
        <v>559052.99</v>
      </c>
      <c r="C28" s="15"/>
      <c r="D28" s="18">
        <f>SUM(D23:D27)</f>
        <v>561044.758</v>
      </c>
      <c r="E28" s="15"/>
      <c r="F28" s="18">
        <f>SUM(F23:F27)</f>
        <v>561044.758</v>
      </c>
      <c r="G28" s="15"/>
      <c r="H28" s="18">
        <f>SUM(H23:H27)</f>
        <v>561044.758</v>
      </c>
      <c r="I28" s="7">
        <f t="shared" si="16"/>
        <v>0.4731800798</v>
      </c>
      <c r="J28" s="7">
        <f t="shared" si="17"/>
        <v>0.1513335578</v>
      </c>
      <c r="K28" s="7">
        <f t="shared" si="18"/>
        <v>0.003550105355</v>
      </c>
    </row>
    <row r="29">
      <c r="A29" s="7" t="str">
        <f>'AV&amp;AH&amp;RF'!A29</f>
        <v>Inversiones a LP</v>
      </c>
      <c r="B29" s="17">
        <f>'AV&amp;AH&amp;RF'!B29</f>
        <v>56584.31</v>
      </c>
      <c r="D29" s="17">
        <f>IF(C29=0,B29,B29*C29)</f>
        <v>56584.31</v>
      </c>
      <c r="F29" s="17">
        <f t="shared" ref="F29:F32" si="19">D29</f>
        <v>56584.31</v>
      </c>
      <c r="H29" s="17">
        <f t="shared" ref="H29:H32" si="20">F29</f>
        <v>56584.31</v>
      </c>
      <c r="I29" s="7">
        <f t="shared" si="16"/>
        <v>0.04789272001</v>
      </c>
      <c r="J29" s="7">
        <f t="shared" si="17"/>
        <v>0.01526278398</v>
      </c>
      <c r="K29" s="7">
        <f t="shared" si="18"/>
        <v>0</v>
      </c>
    </row>
    <row r="30">
      <c r="A30" s="7" t="str">
        <f>'AV&amp;AH&amp;RF'!A30</f>
        <v>Propiedad, planta y equipo</v>
      </c>
      <c r="B30" s="17">
        <f>'AV&amp;AH&amp;RF'!B30</f>
        <v>1244854.83</v>
      </c>
      <c r="C30" s="19">
        <v>500000.0</v>
      </c>
      <c r="D30" s="17">
        <f>B30+C30</f>
        <v>1744854.83</v>
      </c>
      <c r="F30" s="17">
        <f t="shared" si="19"/>
        <v>1744854.83</v>
      </c>
      <c r="H30" s="17">
        <f t="shared" si="20"/>
        <v>1744854.83</v>
      </c>
      <c r="I30" s="7">
        <f t="shared" si="16"/>
        <v>1.053639849</v>
      </c>
      <c r="J30" s="7">
        <f t="shared" si="17"/>
        <v>0.4706488839</v>
      </c>
      <c r="K30" s="7">
        <f t="shared" si="18"/>
        <v>0.2865567905</v>
      </c>
    </row>
    <row r="31">
      <c r="A31" s="7" t="str">
        <f>'AV&amp;AH&amp;RF'!A31</f>
        <v>Depreciación acumulada</v>
      </c>
      <c r="B31" s="17">
        <f>'AV&amp;AH&amp;RF'!B31</f>
        <v>679011.72</v>
      </c>
      <c r="C31" s="7">
        <f>(C30/5)</f>
        <v>100000</v>
      </c>
      <c r="D31" s="17">
        <f>IF(C31=0,B31,B31+C31)</f>
        <v>779011.72</v>
      </c>
      <c r="F31" s="17">
        <f t="shared" si="19"/>
        <v>779011.72</v>
      </c>
      <c r="H31" s="17">
        <f t="shared" si="20"/>
        <v>779011.72</v>
      </c>
      <c r="I31" s="7">
        <f t="shared" si="16"/>
        <v>0.5747126402</v>
      </c>
      <c r="J31" s="7">
        <f t="shared" si="17"/>
        <v>0.2101269345</v>
      </c>
      <c r="K31" s="7">
        <f t="shared" si="18"/>
        <v>0.1283677735</v>
      </c>
    </row>
    <row r="32">
      <c r="A32" s="7" t="str">
        <f>'AV&amp;AH&amp;RF'!A32</f>
        <v>Propiedad, planta y equipo neto</v>
      </c>
      <c r="B32" s="17">
        <f>'AV&amp;AH&amp;RF'!B32</f>
        <v>565843.1</v>
      </c>
      <c r="D32" s="17">
        <f>IF(C32=0,B32,B32*C32)</f>
        <v>565843.1</v>
      </c>
      <c r="F32" s="17">
        <f t="shared" si="19"/>
        <v>565843.1</v>
      </c>
      <c r="H32" s="17">
        <f t="shared" si="20"/>
        <v>565843.1</v>
      </c>
      <c r="I32" s="7">
        <f t="shared" si="16"/>
        <v>0.4789272001</v>
      </c>
      <c r="J32" s="7">
        <f t="shared" si="17"/>
        <v>0.1526278398</v>
      </c>
      <c r="K32" s="7">
        <f t="shared" si="18"/>
        <v>0</v>
      </c>
    </row>
    <row r="33">
      <c r="A33" s="15" t="str">
        <f>'AV&amp;AH&amp;RF'!A33</f>
        <v>Total Activos</v>
      </c>
      <c r="B33" s="18">
        <f>'AV&amp;AH&amp;RF'!B33</f>
        <v>1181480.4</v>
      </c>
      <c r="C33" s="15"/>
      <c r="D33" s="18">
        <f>D28+SUM(D29:D32)</f>
        <v>3707338.718</v>
      </c>
      <c r="E33" s="15"/>
      <c r="F33" s="18">
        <f>F28+SUM(F29:F32)</f>
        <v>3707338.718</v>
      </c>
      <c r="G33" s="15"/>
      <c r="H33" s="18">
        <f>H28+SUM(H29:H32)</f>
        <v>3707338.718</v>
      </c>
      <c r="I33" s="7">
        <f t="shared" si="16"/>
        <v>1</v>
      </c>
      <c r="J33" s="7">
        <f t="shared" si="17"/>
        <v>1</v>
      </c>
      <c r="K33" s="7">
        <f t="shared" si="18"/>
        <v>0.6813130685</v>
      </c>
    </row>
    <row r="34">
      <c r="A34" s="7" t="str">
        <f>'AV&amp;AH&amp;RF'!A34</f>
        <v/>
      </c>
      <c r="B34" s="7" t="str">
        <f>'AV&amp;AH&amp;RF'!B34</f>
        <v/>
      </c>
    </row>
    <row r="35">
      <c r="A35" s="7" t="str">
        <f>'AV&amp;AH&amp;RF'!A35</f>
        <v>Cuentas por pagar</v>
      </c>
      <c r="B35" s="17">
        <f>'AV&amp;AH&amp;RF'!B35</f>
        <v>99588.39</v>
      </c>
      <c r="D35" s="17">
        <f t="shared" ref="D35:D37" si="21">IF(C35=0,B35,B35*C35)</f>
        <v>99588.39</v>
      </c>
      <c r="F35" s="17">
        <f t="shared" ref="F35:F37" si="22">D35</f>
        <v>99588.39</v>
      </c>
      <c r="H35" s="17">
        <f t="shared" ref="H35:H37" si="23">F35</f>
        <v>99588.39</v>
      </c>
      <c r="I35" s="7">
        <f t="shared" ref="I35:I46" si="24">B35/$B$46</f>
        <v>0.08429119095</v>
      </c>
      <c r="J35" s="7">
        <f t="shared" ref="J35:J46" si="25">H35/$H$46</f>
        <v>0.02686250081</v>
      </c>
      <c r="K35" s="7">
        <f t="shared" ref="K35:K46" si="26">(H35-B35)/H35</f>
        <v>0</v>
      </c>
    </row>
    <row r="36">
      <c r="A36" s="7" t="str">
        <f>'AV&amp;AH&amp;RF'!A36</f>
        <v>Documentos por pagar</v>
      </c>
      <c r="B36" s="17">
        <f>'AV&amp;AH&amp;RF'!B36</f>
        <v>114736.59</v>
      </c>
      <c r="D36" s="17">
        <f t="shared" si="21"/>
        <v>114736.59</v>
      </c>
      <c r="F36" s="17">
        <f t="shared" si="22"/>
        <v>114736.59</v>
      </c>
      <c r="H36" s="17">
        <f t="shared" si="23"/>
        <v>114736.59</v>
      </c>
      <c r="I36" s="7">
        <f t="shared" si="24"/>
        <v>0.09711256319</v>
      </c>
      <c r="J36" s="7">
        <f t="shared" si="25"/>
        <v>0.03094850456</v>
      </c>
      <c r="K36" s="7">
        <f t="shared" si="26"/>
        <v>0</v>
      </c>
    </row>
    <row r="37">
      <c r="A37" s="7" t="str">
        <f>'AV&amp;AH&amp;RF'!A37</f>
        <v>Gastos devengados</v>
      </c>
      <c r="B37" s="17">
        <f>'AV&amp;AH&amp;RF'!B37</f>
        <v>37345.64</v>
      </c>
      <c r="C37" s="3">
        <v>1.1</v>
      </c>
      <c r="D37" s="7">
        <f t="shared" si="21"/>
        <v>41080.204</v>
      </c>
      <c r="F37" s="7">
        <f t="shared" si="22"/>
        <v>41080.204</v>
      </c>
      <c r="H37" s="7">
        <f t="shared" si="23"/>
        <v>41080.204</v>
      </c>
      <c r="I37" s="7">
        <f t="shared" si="24"/>
        <v>0.03160919132</v>
      </c>
      <c r="J37" s="7">
        <f t="shared" si="25"/>
        <v>0.01108077973</v>
      </c>
      <c r="K37" s="7">
        <f t="shared" si="26"/>
        <v>0.09090909091</v>
      </c>
    </row>
    <row r="38">
      <c r="A38" s="15" t="str">
        <f>'AV&amp;AH&amp;RF'!A38</f>
        <v>Total pasivo circulante</v>
      </c>
      <c r="B38" s="18">
        <f>'AV&amp;AH&amp;RF'!B38</f>
        <v>251670.62</v>
      </c>
      <c r="C38" s="15"/>
      <c r="D38" s="18">
        <f>SUM(D35:D37)</f>
        <v>255405.184</v>
      </c>
      <c r="E38" s="15"/>
      <c r="F38" s="18">
        <f>SUM(F35:F37)</f>
        <v>255405.184</v>
      </c>
      <c r="G38" s="15"/>
      <c r="H38" s="18">
        <f>SUM(H35:H37)</f>
        <v>255405.184</v>
      </c>
      <c r="I38" s="7">
        <f t="shared" si="24"/>
        <v>0.2130129455</v>
      </c>
      <c r="J38" s="7">
        <f t="shared" si="25"/>
        <v>0.0688917851</v>
      </c>
      <c r="K38" s="7">
        <f t="shared" si="26"/>
        <v>0.01462211511</v>
      </c>
    </row>
    <row r="39">
      <c r="A39" s="7" t="str">
        <f>'AV&amp;AH&amp;RF'!A39</f>
        <v>Bonos por pagar</v>
      </c>
      <c r="B39" s="17">
        <f>'AV&amp;AH&amp;RF'!B39</f>
        <v>109691.61</v>
      </c>
      <c r="D39" s="17">
        <f>IF(C39=0,B39,B39+C39)</f>
        <v>109691.61</v>
      </c>
      <c r="E39" s="7">
        <f>D51</f>
        <v>2299236.713</v>
      </c>
      <c r="F39" s="17">
        <f>IF(E39=0,B39,B39+E39)</f>
        <v>2408928.323</v>
      </c>
      <c r="G39" s="7">
        <f>D55</f>
        <v>2360612.668</v>
      </c>
      <c r="H39" s="17">
        <f>IF(G39=0,B39,B39+G39)</f>
        <v>2470304.278</v>
      </c>
      <c r="I39" s="7">
        <f t="shared" si="24"/>
        <v>0.09284251351</v>
      </c>
      <c r="J39" s="7">
        <f t="shared" si="25"/>
        <v>0.6663281801</v>
      </c>
      <c r="K39" s="7">
        <f t="shared" si="26"/>
        <v>0.9555959114</v>
      </c>
    </row>
    <row r="40">
      <c r="A40" s="15" t="str">
        <f>'AV&amp;AH&amp;RF'!A40</f>
        <v>Total Pasivos</v>
      </c>
      <c r="B40" s="18">
        <f>'AV&amp;AH&amp;RF'!B40</f>
        <v>361362.24</v>
      </c>
      <c r="C40" s="15"/>
      <c r="D40" s="18">
        <f>D38+D39</f>
        <v>365096.794</v>
      </c>
      <c r="E40" s="15"/>
      <c r="F40" s="18">
        <f>F38+F39</f>
        <v>2664333.507</v>
      </c>
      <c r="G40" s="15"/>
      <c r="H40" s="18">
        <f>H38+H39</f>
        <v>2725709.462</v>
      </c>
      <c r="I40" s="7">
        <f t="shared" si="24"/>
        <v>0.3058554674</v>
      </c>
      <c r="J40" s="7">
        <f t="shared" si="25"/>
        <v>0.7352199652</v>
      </c>
      <c r="K40" s="7">
        <f t="shared" si="26"/>
        <v>0.8674245201</v>
      </c>
    </row>
    <row r="41">
      <c r="A41" s="7" t="str">
        <f>'AV&amp;AH&amp;RF'!A41</f>
        <v>Acciones preferentes</v>
      </c>
      <c r="B41" s="17">
        <f>'AV&amp;AH&amp;RF'!B41</f>
        <v>56584.31</v>
      </c>
      <c r="D41" s="17">
        <f t="shared" ref="D41:D44" si="27">IF(C41=0,B41,B41+C41)</f>
        <v>56584.31</v>
      </c>
      <c r="F41" s="17">
        <f t="shared" ref="F41:F44" si="28">IF(E41=0,B41,B41+E41)</f>
        <v>56584.31</v>
      </c>
      <c r="H41" s="17">
        <f t="shared" ref="H41:H44" si="29">IF(G41=0,B41,B41+G41)</f>
        <v>56584.31</v>
      </c>
      <c r="I41" s="7">
        <f t="shared" si="24"/>
        <v>0.04789272001</v>
      </c>
      <c r="J41" s="7">
        <f t="shared" si="25"/>
        <v>0.01526278388</v>
      </c>
      <c r="K41" s="7">
        <f t="shared" si="26"/>
        <v>0</v>
      </c>
    </row>
    <row r="42">
      <c r="A42" s="7" t="str">
        <f>'AV&amp;AH&amp;RF'!A42</f>
        <v>Acciones comunes</v>
      </c>
      <c r="B42" s="17">
        <f>'AV&amp;AH&amp;RF'!B42</f>
        <v>119440.5</v>
      </c>
      <c r="D42" s="17">
        <f t="shared" si="27"/>
        <v>119440.5</v>
      </c>
      <c r="F42" s="17">
        <f t="shared" si="28"/>
        <v>119440.5</v>
      </c>
      <c r="H42" s="17">
        <f t="shared" si="29"/>
        <v>119440.5</v>
      </c>
      <c r="I42" s="7">
        <f t="shared" si="24"/>
        <v>0.1010939327</v>
      </c>
      <c r="J42" s="7">
        <f t="shared" si="25"/>
        <v>0.03221731497</v>
      </c>
      <c r="K42" s="7">
        <f t="shared" si="26"/>
        <v>0</v>
      </c>
    </row>
    <row r="43">
      <c r="A43" s="7" t="str">
        <f>'AV&amp;AH&amp;RF'!A43</f>
        <v>Capital adicional sobre valor par de acción común</v>
      </c>
      <c r="B43" s="17">
        <f>'AV&amp;AH&amp;RF'!B43</f>
        <v>282921.55</v>
      </c>
      <c r="D43" s="17">
        <f t="shared" si="27"/>
        <v>282921.55</v>
      </c>
      <c r="F43" s="17">
        <f t="shared" si="28"/>
        <v>282921.55</v>
      </c>
      <c r="H43" s="17">
        <f t="shared" si="29"/>
        <v>282921.55</v>
      </c>
      <c r="I43" s="7">
        <f t="shared" si="24"/>
        <v>0.2394636001</v>
      </c>
      <c r="J43" s="7">
        <f t="shared" si="25"/>
        <v>0.07631391939</v>
      </c>
      <c r="K43" s="7">
        <f t="shared" si="26"/>
        <v>0</v>
      </c>
    </row>
    <row r="44">
      <c r="A44" s="7" t="str">
        <f>'AV&amp;AH&amp;RF'!A44</f>
        <v>Utilidades retenidas</v>
      </c>
      <c r="B44" s="17">
        <f>'AV&amp;AH&amp;RF'!B44</f>
        <v>361171.79</v>
      </c>
      <c r="C44" s="17">
        <f>D15</f>
        <v>222887.0609</v>
      </c>
      <c r="D44" s="17">
        <f t="shared" si="27"/>
        <v>584058.8509</v>
      </c>
      <c r="E44" s="17">
        <f>F15</f>
        <v>163106.9064</v>
      </c>
      <c r="F44" s="17">
        <f t="shared" si="28"/>
        <v>524278.6964</v>
      </c>
      <c r="G44" s="17">
        <f>H15</f>
        <v>161511.1315</v>
      </c>
      <c r="H44" s="17">
        <f t="shared" si="29"/>
        <v>522682.9215</v>
      </c>
      <c r="I44" s="7">
        <f t="shared" si="24"/>
        <v>0.3056942714</v>
      </c>
      <c r="J44" s="7">
        <f t="shared" si="25"/>
        <v>0.1409860166</v>
      </c>
      <c r="K44" s="7">
        <f t="shared" si="26"/>
        <v>0.3090040345</v>
      </c>
    </row>
    <row r="45">
      <c r="A45" s="15" t="str">
        <f>'AV&amp;AH&amp;RF'!A45</f>
        <v>Total capital</v>
      </c>
      <c r="B45" s="18">
        <f>'AV&amp;AH&amp;RF'!B45</f>
        <v>820118.16</v>
      </c>
      <c r="C45" s="15"/>
      <c r="D45" s="18">
        <f>SUM(D41:D44)</f>
        <v>1043005.211</v>
      </c>
      <c r="E45" s="15"/>
      <c r="F45" s="18">
        <f>SUM(F41:F44)</f>
        <v>983225.0564</v>
      </c>
      <c r="G45" s="15"/>
      <c r="H45" s="18">
        <f>SUM(H41:H44)</f>
        <v>981629.2815</v>
      </c>
      <c r="I45" s="7">
        <f t="shared" si="24"/>
        <v>0.6941445326</v>
      </c>
      <c r="J45" s="7">
        <f t="shared" si="25"/>
        <v>0.2647800348</v>
      </c>
      <c r="K45" s="7">
        <f t="shared" si="26"/>
        <v>0.1645337243</v>
      </c>
    </row>
    <row r="46">
      <c r="A46" s="15" t="str">
        <f>'AV&amp;AH&amp;RF'!A46</f>
        <v>Pasivo + Capital</v>
      </c>
      <c r="B46" s="18">
        <f>'AV&amp;AH&amp;RF'!B46</f>
        <v>1181480.4</v>
      </c>
      <c r="C46" s="15"/>
      <c r="D46" s="18">
        <f>D40+D45</f>
        <v>1408102.005</v>
      </c>
      <c r="E46" s="15"/>
      <c r="F46" s="18">
        <f>F40+F45</f>
        <v>3647558.563</v>
      </c>
      <c r="G46" s="15"/>
      <c r="H46" s="18">
        <f>H40+H45</f>
        <v>3707338.743</v>
      </c>
      <c r="I46" s="7">
        <f t="shared" si="24"/>
        <v>1</v>
      </c>
      <c r="J46" s="7">
        <f t="shared" si="25"/>
        <v>1</v>
      </c>
      <c r="K46" s="7">
        <f t="shared" si="26"/>
        <v>0.6813130707</v>
      </c>
    </row>
    <row r="47">
      <c r="A47" s="7" t="str">
        <f>'AV&amp;AH&amp;RF'!A47</f>
        <v/>
      </c>
    </row>
    <row r="48">
      <c r="A48" s="4" t="s">
        <v>61</v>
      </c>
      <c r="B48" s="17">
        <f>B33-B46</f>
        <v>0</v>
      </c>
      <c r="D48" s="17">
        <f>D33-D46</f>
        <v>2299236.713</v>
      </c>
      <c r="F48" s="17">
        <f>F33-F46</f>
        <v>59780.15454</v>
      </c>
      <c r="H48" s="17">
        <f>H33-H46</f>
        <v>-0.02518194448</v>
      </c>
    </row>
    <row r="50">
      <c r="B50" s="4" t="s">
        <v>62</v>
      </c>
      <c r="C50" s="17">
        <f>D48</f>
        <v>2299236.713</v>
      </c>
    </row>
    <row r="51">
      <c r="B51" s="3" t="s">
        <v>63</v>
      </c>
      <c r="C51" s="20">
        <v>1.0</v>
      </c>
      <c r="D51" s="7">
        <f>C50*C51</f>
        <v>2299236.713</v>
      </c>
    </row>
    <row r="52">
      <c r="B52" s="3" t="s">
        <v>64</v>
      </c>
      <c r="C52" s="20">
        <v>0.04</v>
      </c>
      <c r="D52" s="7">
        <f>C50*C52</f>
        <v>91969.46852</v>
      </c>
    </row>
    <row r="54">
      <c r="B54" s="4" t="s">
        <v>65</v>
      </c>
      <c r="C54" s="17">
        <f>D48+F48+D54</f>
        <v>2360612.668</v>
      </c>
      <c r="D54" s="3">
        <v>1595.8</v>
      </c>
    </row>
    <row r="55">
      <c r="B55" s="3" t="s">
        <v>63</v>
      </c>
      <c r="C55" s="20">
        <v>1.0</v>
      </c>
      <c r="D55" s="7">
        <f>C54*C55</f>
        <v>2360612.668</v>
      </c>
    </row>
    <row r="56">
      <c r="B56" s="3" t="s">
        <v>64</v>
      </c>
      <c r="C56" s="20">
        <v>0.04</v>
      </c>
      <c r="D56" s="7">
        <f>C54*C56</f>
        <v>94424.50671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5" t="str">
        <f>'2020'!A1</f>
        <v>ESTADO DE RESULTADOS</v>
      </c>
      <c r="B1" s="4">
        <v>2020.0</v>
      </c>
      <c r="C1" s="4" t="s">
        <v>55</v>
      </c>
      <c r="D1" s="16">
        <v>44228.0</v>
      </c>
      <c r="E1" s="4" t="s">
        <v>56</v>
      </c>
      <c r="F1" s="16">
        <v>44228.0</v>
      </c>
      <c r="G1" s="4" t="s">
        <v>57</v>
      </c>
      <c r="H1" s="16">
        <v>44256.0</v>
      </c>
      <c r="I1" s="4" t="s">
        <v>58</v>
      </c>
      <c r="J1" s="4" t="s">
        <v>59</v>
      </c>
      <c r="K1" s="4" t="s">
        <v>60</v>
      </c>
      <c r="N1" s="4">
        <v>2020.0</v>
      </c>
      <c r="O1" s="4">
        <v>2021.0</v>
      </c>
    </row>
    <row r="2">
      <c r="A2" s="7" t="str">
        <f>'2020'!A2</f>
        <v>Ventas</v>
      </c>
      <c r="B2" s="7">
        <f>'2020'!H2</f>
        <v>2738680.626</v>
      </c>
      <c r="C2" s="3">
        <v>1.12</v>
      </c>
      <c r="D2" s="7">
        <f t="shared" ref="D2:D3" si="1">IF(C2=0,B2,B2*C2)</f>
        <v>3067322.301</v>
      </c>
      <c r="F2" s="7">
        <f t="shared" ref="F2:F6" si="2">D2</f>
        <v>3067322.301</v>
      </c>
      <c r="H2" s="7">
        <f t="shared" ref="H2:H6" si="3">F2</f>
        <v>3067322.301</v>
      </c>
      <c r="I2" s="7">
        <f t="shared" ref="I2:I11" si="4">B2/$B$2</f>
        <v>1</v>
      </c>
      <c r="J2" s="7">
        <f t="shared" ref="J2:J11" si="5">H2/$H$2</f>
        <v>1</v>
      </c>
      <c r="K2" s="7">
        <f t="shared" ref="K2:K11" si="6">(H2-B2)/H2</f>
        <v>0.1071428571</v>
      </c>
      <c r="M2" s="4" t="s">
        <v>3</v>
      </c>
      <c r="N2" s="7">
        <f>B28/B38</f>
        <v>2.196685084</v>
      </c>
      <c r="O2" s="7">
        <f>H28/H38</f>
        <v>2.184381891</v>
      </c>
    </row>
    <row r="3">
      <c r="A3" s="7" t="str">
        <f>'2020'!A3</f>
        <v>Costo de ventas</v>
      </c>
      <c r="B3" s="17">
        <f>'2020'!H3</f>
        <v>1867282.24</v>
      </c>
      <c r="D3" s="17">
        <f t="shared" si="1"/>
        <v>1867282.24</v>
      </c>
      <c r="F3" s="17">
        <f t="shared" si="2"/>
        <v>1867282.24</v>
      </c>
      <c r="H3" s="17">
        <f t="shared" si="3"/>
        <v>1867282.24</v>
      </c>
      <c r="I3" s="7">
        <f t="shared" si="4"/>
        <v>0.68181818</v>
      </c>
      <c r="J3" s="7">
        <f t="shared" si="5"/>
        <v>0.6087662321</v>
      </c>
      <c r="K3" s="7">
        <f t="shared" si="6"/>
        <v>0</v>
      </c>
      <c r="M3" s="4" t="s">
        <v>5</v>
      </c>
      <c r="N3" s="7">
        <f>(B28-B26)/B38</f>
        <v>1.31935806</v>
      </c>
      <c r="O3" s="7">
        <f>(H28-H26)/H38</f>
        <v>1.314054184</v>
      </c>
    </row>
    <row r="4">
      <c r="A4" s="15" t="str">
        <f>'2020'!A4</f>
        <v>Utilidad bruta</v>
      </c>
      <c r="B4" s="18">
        <f>'2020'!H4</f>
        <v>871398.386</v>
      </c>
      <c r="C4" s="15"/>
      <c r="D4" s="18">
        <f>D2-D3</f>
        <v>1200040.061</v>
      </c>
      <c r="E4" s="15"/>
      <c r="F4" s="18">
        <f t="shared" si="2"/>
        <v>1200040.061</v>
      </c>
      <c r="G4" s="15"/>
      <c r="H4" s="18">
        <f t="shared" si="3"/>
        <v>1200040.061</v>
      </c>
      <c r="I4" s="7">
        <f t="shared" si="4"/>
        <v>0.31818182</v>
      </c>
      <c r="J4" s="7">
        <f t="shared" si="5"/>
        <v>0.3912337679</v>
      </c>
      <c r="K4" s="7">
        <f t="shared" si="6"/>
        <v>0.27385892</v>
      </c>
      <c r="M4" s="4" t="s">
        <v>7</v>
      </c>
      <c r="N4" s="7">
        <f>B2/B30</f>
        <v>1.569575061</v>
      </c>
      <c r="O4" s="7">
        <f>H2/H30</f>
        <v>1.5376168</v>
      </c>
    </row>
    <row r="5">
      <c r="A5" s="7" t="str">
        <f>'2020'!A5</f>
        <v>Gastos de ventas y administrativos</v>
      </c>
      <c r="B5" s="7">
        <f>'2020'!H5</f>
        <v>352916.34</v>
      </c>
      <c r="C5" s="3">
        <v>1.03</v>
      </c>
      <c r="D5" s="7">
        <f t="shared" ref="D5:D6" si="7">IF(C5=0,B5,B5*C5)</f>
        <v>363503.8302</v>
      </c>
      <c r="F5" s="7">
        <f t="shared" si="2"/>
        <v>363503.8302</v>
      </c>
      <c r="H5" s="7">
        <f t="shared" si="3"/>
        <v>363503.8302</v>
      </c>
      <c r="I5" s="7">
        <f t="shared" si="4"/>
        <v>0.1288636348</v>
      </c>
      <c r="J5" s="7">
        <f t="shared" si="5"/>
        <v>0.1185085213</v>
      </c>
      <c r="K5" s="7">
        <f t="shared" si="6"/>
        <v>0.02912621359</v>
      </c>
      <c r="M5" s="4" t="s">
        <v>9</v>
      </c>
      <c r="N5" s="7">
        <f>B2/B33</f>
        <v>0.7387187507</v>
      </c>
      <c r="O5" s="7">
        <f>H2/H33</f>
        <v>0.7465463217</v>
      </c>
    </row>
    <row r="6">
      <c r="A6" s="7" t="str">
        <f>'2020'!A6</f>
        <v>Gastos de depreciacion</v>
      </c>
      <c r="B6" s="17">
        <f>'2020'!H6</f>
        <v>56584.31</v>
      </c>
      <c r="D6" s="17">
        <f t="shared" si="7"/>
        <v>56584.31</v>
      </c>
      <c r="F6" s="17">
        <f t="shared" si="2"/>
        <v>56584.31</v>
      </c>
      <c r="H6" s="17">
        <f t="shared" si="3"/>
        <v>56584.31</v>
      </c>
      <c r="I6" s="7">
        <f t="shared" si="4"/>
        <v>0.02066115686</v>
      </c>
      <c r="J6" s="7">
        <f t="shared" si="5"/>
        <v>0.01844746148</v>
      </c>
      <c r="K6" s="7">
        <f t="shared" si="6"/>
        <v>0</v>
      </c>
      <c r="M6" s="4" t="s">
        <v>11</v>
      </c>
      <c r="N6" s="7">
        <f>B3/B26</f>
        <v>8.333333289</v>
      </c>
      <c r="O6" s="7">
        <f>H3/H26</f>
        <v>8.333333289</v>
      </c>
    </row>
    <row r="7">
      <c r="A7" s="15" t="str">
        <f>'2020'!A7</f>
        <v>Utilidad operativa</v>
      </c>
      <c r="B7" s="18">
        <f>'2020'!H7</f>
        <v>461897.736</v>
      </c>
      <c r="C7" s="15"/>
      <c r="D7" s="18">
        <f>D4-SUM(D5:D6)</f>
        <v>779951.9209</v>
      </c>
      <c r="E7" s="15"/>
      <c r="F7" s="18">
        <f>F4-SUM(F5:F6)</f>
        <v>779951.9209</v>
      </c>
      <c r="G7" s="15"/>
      <c r="H7" s="18">
        <f>H4-SUM(H5:H6)</f>
        <v>779951.9209</v>
      </c>
      <c r="I7" s="7">
        <f t="shared" si="4"/>
        <v>0.1686570284</v>
      </c>
      <c r="J7" s="7">
        <f t="shared" si="5"/>
        <v>0.2542777851</v>
      </c>
      <c r="K7" s="7">
        <f t="shared" si="6"/>
        <v>0.4077869115</v>
      </c>
      <c r="M7" s="4" t="s">
        <v>13</v>
      </c>
      <c r="N7" s="7">
        <f>B25/(B2/365)</f>
        <v>33.18181871</v>
      </c>
      <c r="O7" s="7">
        <f>H25/(H2/365)</f>
        <v>29.62662385</v>
      </c>
    </row>
    <row r="8">
      <c r="A8" s="7" t="str">
        <f>'2020'!A8</f>
        <v>Gastos de intereses</v>
      </c>
      <c r="B8" s="17">
        <f>'2020'!H8</f>
        <v>117732.4567</v>
      </c>
      <c r="D8" s="17">
        <f>IF(C8=0,B8,B8*C8)</f>
        <v>117732.4567</v>
      </c>
      <c r="E8" s="7">
        <f>D52</f>
        <v>1241.762251</v>
      </c>
      <c r="F8" s="17">
        <f>IF(E8=0,D8,D8+E8)</f>
        <v>118974.219</v>
      </c>
      <c r="G8" s="7">
        <f>D56</f>
        <v>1274.93607</v>
      </c>
      <c r="H8" s="17">
        <f>IF(G8=0,D8,D8+G8)</f>
        <v>119007.3928</v>
      </c>
      <c r="I8" s="7">
        <f t="shared" si="4"/>
        <v>0.04298874998</v>
      </c>
      <c r="J8" s="7">
        <f t="shared" si="5"/>
        <v>0.03879846364</v>
      </c>
      <c r="K8" s="7">
        <f t="shared" si="6"/>
        <v>0.01071308294</v>
      </c>
      <c r="M8" s="4" t="s">
        <v>15</v>
      </c>
      <c r="N8" s="7">
        <f>B3/B35</f>
        <v>18.74999927</v>
      </c>
      <c r="O8" s="7">
        <f>H3/H35</f>
        <v>18.74999927</v>
      </c>
    </row>
    <row r="9">
      <c r="A9" s="15" t="str">
        <f>'2020'!A9</f>
        <v>EBT</v>
      </c>
      <c r="B9" s="18">
        <f>'2020'!H9</f>
        <v>344165.2793</v>
      </c>
      <c r="C9" s="15"/>
      <c r="D9" s="18">
        <f>D7-D8</f>
        <v>662219.4642</v>
      </c>
      <c r="E9" s="15"/>
      <c r="F9" s="18">
        <f>F7-F8</f>
        <v>660977.702</v>
      </c>
      <c r="G9" s="15"/>
      <c r="H9" s="18">
        <f>H7-H8</f>
        <v>660944.5281</v>
      </c>
      <c r="I9" s="7">
        <f t="shared" si="4"/>
        <v>0.1256682784</v>
      </c>
      <c r="J9" s="7">
        <f t="shared" si="5"/>
        <v>0.2154793215</v>
      </c>
      <c r="K9" s="7">
        <f t="shared" si="6"/>
        <v>0.4792826559</v>
      </c>
      <c r="M9" s="4" t="s">
        <v>17</v>
      </c>
      <c r="N9" s="7">
        <f>B35/(B3/365)</f>
        <v>19.46666742</v>
      </c>
      <c r="O9" s="7">
        <f>H35/(H3/365)</f>
        <v>19.46666742</v>
      </c>
    </row>
    <row r="10">
      <c r="A10" s="7" t="str">
        <f>'2020'!A10</f>
        <v>Impuestos (35%)</v>
      </c>
      <c r="B10" s="7">
        <f>'2020'!H10</f>
        <v>120457.8478</v>
      </c>
      <c r="D10" s="7">
        <f>D9*0.35</f>
        <v>231776.8125</v>
      </c>
      <c r="F10" s="7">
        <f>F9*0.35</f>
        <v>231342.1957</v>
      </c>
      <c r="H10" s="7">
        <f>H9*0.35</f>
        <v>231330.5849</v>
      </c>
      <c r="I10" s="7">
        <f t="shared" si="4"/>
        <v>0.04398389743</v>
      </c>
      <c r="J10" s="7">
        <f t="shared" si="5"/>
        <v>0.07541776251</v>
      </c>
      <c r="K10" s="7">
        <f t="shared" si="6"/>
        <v>0.4792826559</v>
      </c>
      <c r="M10" s="4" t="s">
        <v>19</v>
      </c>
      <c r="N10" s="7">
        <f>B40/B33</f>
        <v>0.7352199702</v>
      </c>
      <c r="O10" s="7">
        <f>H40/H33</f>
        <v>0.6716596937</v>
      </c>
    </row>
    <row r="11">
      <c r="A11" s="15" t="str">
        <f>'2020'!A11</f>
        <v>Utilidad Neta</v>
      </c>
      <c r="B11" s="18">
        <f>'2020'!H11</f>
        <v>223707.4315</v>
      </c>
      <c r="C11" s="15"/>
      <c r="D11" s="18">
        <f>D9-D10</f>
        <v>430442.6517</v>
      </c>
      <c r="E11" s="15"/>
      <c r="F11" s="18">
        <f>F9-F10</f>
        <v>429635.5063</v>
      </c>
      <c r="G11" s="15"/>
      <c r="H11" s="18">
        <f>H9-H10</f>
        <v>429613.9433</v>
      </c>
      <c r="I11" s="7">
        <f t="shared" si="4"/>
        <v>0.08168438095</v>
      </c>
      <c r="J11" s="7">
        <f t="shared" si="5"/>
        <v>0.1400615589</v>
      </c>
      <c r="K11" s="7">
        <f t="shared" si="6"/>
        <v>0.4792826559</v>
      </c>
      <c r="M11" s="4" t="s">
        <v>21</v>
      </c>
      <c r="N11" s="7">
        <f>B11/B2</f>
        <v>0.08168438095</v>
      </c>
      <c r="O11" s="7">
        <f>H11/H2</f>
        <v>0.1400615589</v>
      </c>
    </row>
    <row r="12">
      <c r="A12" s="7" t="str">
        <f>'2020'!A12</f>
        <v/>
      </c>
      <c r="B12" s="7" t="str">
        <f>'2020'!H12</f>
        <v/>
      </c>
      <c r="M12" s="4" t="s">
        <v>22</v>
      </c>
      <c r="N12" s="7">
        <f>(B11-B13)/B33</f>
        <v>0.05713659788</v>
      </c>
      <c r="O12" s="7">
        <f>(H11-H13)/H33</f>
        <v>0.1016703447</v>
      </c>
    </row>
    <row r="13">
      <c r="A13" s="7" t="str">
        <f>'2020'!A13</f>
        <v>Dividendos preferentes</v>
      </c>
      <c r="B13" s="17">
        <f>'2020'!H13</f>
        <v>11882.71</v>
      </c>
      <c r="D13" s="17">
        <f t="shared" ref="D13:D14" si="8">B13</f>
        <v>11882.71</v>
      </c>
      <c r="F13" s="17">
        <f t="shared" ref="F13:F14" si="9">D13</f>
        <v>11882.71</v>
      </c>
      <c r="H13" s="17">
        <f t="shared" ref="H13:H14" si="10">F13</f>
        <v>11882.71</v>
      </c>
      <c r="K13" s="7">
        <f t="shared" ref="K13:K15" si="11">(H13-B13)/H13</f>
        <v>0</v>
      </c>
      <c r="M13" s="4" t="s">
        <v>24</v>
      </c>
      <c r="N13" s="7">
        <f>(B11-B13)/B45</f>
        <v>0.215788919</v>
      </c>
      <c r="O13" s="7">
        <f>(H11-H13)/H45</f>
        <v>0.3096491498</v>
      </c>
    </row>
    <row r="14">
      <c r="A14" s="7" t="str">
        <f>'2020'!A14</f>
        <v>Dividendos comunes</v>
      </c>
      <c r="B14" s="17">
        <f>'2020'!H14</f>
        <v>50313.59</v>
      </c>
      <c r="D14" s="17">
        <f t="shared" si="8"/>
        <v>50313.59</v>
      </c>
      <c r="F14" s="17">
        <f t="shared" si="9"/>
        <v>50313.59</v>
      </c>
      <c r="H14" s="17">
        <f t="shared" si="10"/>
        <v>50313.59</v>
      </c>
      <c r="K14" s="7">
        <f t="shared" si="11"/>
        <v>0</v>
      </c>
    </row>
    <row r="15">
      <c r="A15" s="7" t="str">
        <f>'2020'!A15</f>
        <v>Adición a las utilidad retenidas</v>
      </c>
      <c r="B15" s="17">
        <f>'2020'!H15</f>
        <v>161511.1315</v>
      </c>
      <c r="D15" s="17">
        <f>D11-D13-D14</f>
        <v>368246.3517</v>
      </c>
      <c r="F15" s="17">
        <f>F11-F13-F14</f>
        <v>367439.2063</v>
      </c>
      <c r="H15" s="17">
        <f>H11-H13-H14</f>
        <v>367417.6433</v>
      </c>
      <c r="K15" s="7">
        <f t="shared" si="11"/>
        <v>0.5604154169</v>
      </c>
    </row>
    <row r="16">
      <c r="A16" s="7" t="str">
        <f>'2020'!A16</f>
        <v/>
      </c>
      <c r="B16" s="7" t="str">
        <f>'2020'!H16</f>
        <v/>
      </c>
    </row>
    <row r="17">
      <c r="A17" s="7" t="str">
        <f>'2020'!A17</f>
        <v/>
      </c>
      <c r="B17" s="7" t="str">
        <f>'2020'!H17</f>
        <v/>
      </c>
    </row>
    <row r="18">
      <c r="A18" s="7" t="str">
        <f>'2020'!A18</f>
        <v>Utilidades por acción comun</v>
      </c>
      <c r="B18" s="7">
        <f>'2020'!H18</f>
        <v>2.22313106</v>
      </c>
      <c r="D18" s="7">
        <f>D11/D20</f>
        <v>4.277597851</v>
      </c>
      <c r="F18" s="7">
        <f>F11/F20</f>
        <v>4.269576705</v>
      </c>
      <c r="H18" s="7">
        <f>H11/H20</f>
        <v>4.269362419</v>
      </c>
      <c r="K18" s="7">
        <f t="shared" ref="K18:K20" si="12">(H18-B18)/H18</f>
        <v>0.4792826559</v>
      </c>
    </row>
    <row r="19">
      <c r="A19" s="7" t="str">
        <f>'2020'!A19</f>
        <v>Dividendos por acción</v>
      </c>
      <c r="B19" s="7">
        <f>'2020'!H19</f>
        <v>0.5</v>
      </c>
      <c r="D19" s="7">
        <f>B19</f>
        <v>0.5</v>
      </c>
      <c r="F19" s="7">
        <f>D19</f>
        <v>0.5</v>
      </c>
      <c r="H19" s="7">
        <f>F19</f>
        <v>0.5</v>
      </c>
      <c r="K19" s="7">
        <f t="shared" si="12"/>
        <v>0</v>
      </c>
    </row>
    <row r="20">
      <c r="A20" s="7" t="str">
        <f>'2020'!A20</f>
        <v>Número de acciones comunes</v>
      </c>
      <c r="B20" s="17">
        <f>'2020'!H20</f>
        <v>100627.19</v>
      </c>
      <c r="D20" s="17">
        <f>IF(C20=0,B20,B20+C20)</f>
        <v>100627.19</v>
      </c>
      <c r="F20" s="17">
        <f>IF(E20=0,D20,D20+E20)</f>
        <v>100627.19</v>
      </c>
      <c r="H20" s="17">
        <f>IF(G20=0,F20,F20+G20)</f>
        <v>100627.19</v>
      </c>
      <c r="K20" s="7">
        <f t="shared" si="12"/>
        <v>0</v>
      </c>
    </row>
    <row r="21">
      <c r="A21" s="7" t="str">
        <f>'2020'!A21</f>
        <v/>
      </c>
      <c r="B21" s="7" t="str">
        <f>'2020'!H21</f>
        <v/>
      </c>
    </row>
    <row r="22">
      <c r="A22" s="15" t="str">
        <f>'2020'!A22</f>
        <v>BALANCE GENERAL</v>
      </c>
      <c r="B22" s="7" t="str">
        <f>'2020'!H22</f>
        <v/>
      </c>
    </row>
    <row r="23">
      <c r="A23" s="7" t="str">
        <f>'2020'!A23</f>
        <v>Efectivo</v>
      </c>
      <c r="B23" s="17">
        <f>'2020'!H23</f>
        <v>49794.19</v>
      </c>
      <c r="D23" s="17">
        <f t="shared" ref="D23:D27" si="13">IF(C23=0,B23,B23*C23)</f>
        <v>49794.19</v>
      </c>
      <c r="F23" s="17">
        <f t="shared" ref="F23:F27" si="14">D23</f>
        <v>49794.19</v>
      </c>
      <c r="H23" s="17">
        <f t="shared" ref="H23:H27" si="15">F23</f>
        <v>49794.19</v>
      </c>
      <c r="I23" s="7">
        <f t="shared" ref="I23:I33" si="16">B23/$B$33</f>
        <v>0.01343124915</v>
      </c>
      <c r="J23" s="7">
        <f t="shared" ref="J23:J33" si="17">H23/$H$33</f>
        <v>0.01211925769</v>
      </c>
      <c r="K23" s="7">
        <f t="shared" ref="K23:K33" si="18">(H23-B23)/H23</f>
        <v>0</v>
      </c>
    </row>
    <row r="24">
      <c r="A24" s="7" t="str">
        <f>'2020'!A24</f>
        <v>Valores negociables</v>
      </c>
      <c r="B24" s="17">
        <f>'2020'!H24</f>
        <v>11316.86</v>
      </c>
      <c r="D24" s="17">
        <f t="shared" si="13"/>
        <v>11316.86</v>
      </c>
      <c r="F24" s="17">
        <f t="shared" si="14"/>
        <v>11316.86</v>
      </c>
      <c r="H24" s="17">
        <f t="shared" si="15"/>
        <v>11316.86</v>
      </c>
      <c r="I24" s="7">
        <f t="shared" si="16"/>
        <v>0.003052556257</v>
      </c>
      <c r="J24" s="7">
        <f t="shared" si="17"/>
        <v>0.002754376416</v>
      </c>
      <c r="K24" s="7">
        <f t="shared" si="18"/>
        <v>0</v>
      </c>
    </row>
    <row r="25">
      <c r="A25" s="7" t="str">
        <f>'2020'!A25</f>
        <v>Cuentas por cobrar</v>
      </c>
      <c r="B25" s="17">
        <f>'2020'!H25</f>
        <v>248970.97</v>
      </c>
      <c r="D25" s="17">
        <f t="shared" si="13"/>
        <v>248970.97</v>
      </c>
      <c r="F25" s="17">
        <f t="shared" si="14"/>
        <v>248970.97</v>
      </c>
      <c r="H25" s="17">
        <f t="shared" si="15"/>
        <v>248970.97</v>
      </c>
      <c r="I25" s="7">
        <f t="shared" si="16"/>
        <v>0.06715625114</v>
      </c>
      <c r="J25" s="7">
        <f t="shared" si="17"/>
        <v>0.06059629332</v>
      </c>
      <c r="K25" s="7">
        <f t="shared" si="18"/>
        <v>0</v>
      </c>
    </row>
    <row r="26">
      <c r="A26" s="7" t="str">
        <f>'2020'!A26</f>
        <v>Inventarios</v>
      </c>
      <c r="B26" s="17">
        <f>'2020'!H26</f>
        <v>224073.87</v>
      </c>
      <c r="D26" s="17">
        <f t="shared" si="13"/>
        <v>224073.87</v>
      </c>
      <c r="F26" s="17">
        <f t="shared" si="14"/>
        <v>224073.87</v>
      </c>
      <c r="H26" s="17">
        <f t="shared" si="15"/>
        <v>224073.87</v>
      </c>
      <c r="I26" s="7">
        <f t="shared" si="16"/>
        <v>0.06044062522</v>
      </c>
      <c r="J26" s="7">
        <f t="shared" si="17"/>
        <v>0.05453666326</v>
      </c>
      <c r="K26" s="7">
        <f t="shared" si="18"/>
        <v>0</v>
      </c>
    </row>
    <row r="27">
      <c r="A27" s="7" t="str">
        <f>'2020'!A27</f>
        <v>Gastos pagados por anticipado</v>
      </c>
      <c r="B27" s="7">
        <f>'2020'!H27</f>
        <v>26888.868</v>
      </c>
      <c r="C27" s="3">
        <v>1.05</v>
      </c>
      <c r="D27" s="7">
        <f t="shared" si="13"/>
        <v>28233.3114</v>
      </c>
      <c r="F27" s="7">
        <f t="shared" si="14"/>
        <v>28233.3114</v>
      </c>
      <c r="H27" s="7">
        <f t="shared" si="15"/>
        <v>28233.3114</v>
      </c>
      <c r="I27" s="7">
        <f t="shared" si="16"/>
        <v>0.007252875997</v>
      </c>
      <c r="J27" s="7">
        <f t="shared" si="17"/>
        <v>0.00687162049</v>
      </c>
      <c r="K27" s="7">
        <f t="shared" si="18"/>
        <v>0.04761904762</v>
      </c>
    </row>
    <row r="28">
      <c r="A28" s="7" t="str">
        <f>'2020'!A28</f>
        <v>Total activo circulante</v>
      </c>
      <c r="B28" s="17">
        <f>'2020'!H28</f>
        <v>561044.758</v>
      </c>
      <c r="C28" s="15"/>
      <c r="D28" s="18">
        <f>SUM(D23:D27)</f>
        <v>562389.2014</v>
      </c>
      <c r="E28" s="15"/>
      <c r="F28" s="18">
        <f>SUM(F23:F27)</f>
        <v>562389.2014</v>
      </c>
      <c r="G28" s="15"/>
      <c r="H28" s="18">
        <f>SUM(H23:H27)</f>
        <v>562389.2014</v>
      </c>
      <c r="I28" s="7">
        <f t="shared" si="16"/>
        <v>0.1513335578</v>
      </c>
      <c r="J28" s="7">
        <f t="shared" si="17"/>
        <v>0.1368782112</v>
      </c>
      <c r="K28" s="7">
        <f t="shared" si="18"/>
        <v>0.002390592488</v>
      </c>
    </row>
    <row r="29">
      <c r="A29" s="7" t="str">
        <f>'2020'!A29</f>
        <v>Inversiones a LP</v>
      </c>
      <c r="B29" s="17">
        <f>'2020'!H29</f>
        <v>56584.31</v>
      </c>
      <c r="D29" s="17">
        <f>IF(C29=0,B29,B29*C29)</f>
        <v>56584.31</v>
      </c>
      <c r="F29" s="17">
        <f t="shared" ref="F29:F32" si="19">D29</f>
        <v>56584.31</v>
      </c>
      <c r="H29" s="17">
        <f t="shared" ref="H29:H32" si="20">F29</f>
        <v>56584.31</v>
      </c>
      <c r="I29" s="7">
        <f t="shared" si="16"/>
        <v>0.01526278398</v>
      </c>
      <c r="J29" s="7">
        <f t="shared" si="17"/>
        <v>0.01377188451</v>
      </c>
      <c r="K29" s="7">
        <f t="shared" si="18"/>
        <v>0</v>
      </c>
    </row>
    <row r="30">
      <c r="A30" s="7" t="str">
        <f>'2020'!A30</f>
        <v>Propiedad, planta y equipo</v>
      </c>
      <c r="B30" s="17">
        <f>'2020'!H30</f>
        <v>1744854.83</v>
      </c>
      <c r="C30" s="19">
        <v>250000.0</v>
      </c>
      <c r="D30" s="17">
        <f>B30+C30</f>
        <v>1994854.83</v>
      </c>
      <c r="F30" s="17">
        <f t="shared" si="19"/>
        <v>1994854.83</v>
      </c>
      <c r="H30" s="17">
        <f t="shared" si="20"/>
        <v>1994854.83</v>
      </c>
      <c r="I30" s="7">
        <f t="shared" si="16"/>
        <v>0.4706488839</v>
      </c>
      <c r="J30" s="7">
        <f t="shared" si="17"/>
        <v>0.4855216992</v>
      </c>
      <c r="K30" s="7">
        <f t="shared" si="18"/>
        <v>0.1253224025</v>
      </c>
    </row>
    <row r="31">
      <c r="A31" s="7" t="str">
        <f>'2020'!A31</f>
        <v>Depreciación acumulada</v>
      </c>
      <c r="B31" s="17">
        <f>'2020'!H31</f>
        <v>779011.72</v>
      </c>
      <c r="C31" s="7">
        <f>(500000/5)+(250000/5)</f>
        <v>150000</v>
      </c>
      <c r="D31" s="17">
        <f>IF(C31=0,B31,B31+C31)</f>
        <v>929011.72</v>
      </c>
      <c r="F31" s="17">
        <f t="shared" si="19"/>
        <v>929011.72</v>
      </c>
      <c r="H31" s="17">
        <f t="shared" si="20"/>
        <v>929011.72</v>
      </c>
      <c r="I31" s="7">
        <f t="shared" si="16"/>
        <v>0.2101269345</v>
      </c>
      <c r="J31" s="7">
        <f t="shared" si="17"/>
        <v>0.22610936</v>
      </c>
      <c r="K31" s="7">
        <f t="shared" si="18"/>
        <v>0.1614619028</v>
      </c>
    </row>
    <row r="32">
      <c r="A32" s="7" t="str">
        <f>'2020'!A32</f>
        <v>Propiedad, planta y equipo neto</v>
      </c>
      <c r="B32" s="17">
        <f>'2020'!H32</f>
        <v>565843.1</v>
      </c>
      <c r="D32" s="17">
        <f>IF(C32=0,B32,B32*C32)</f>
        <v>565843.1</v>
      </c>
      <c r="F32" s="17">
        <f t="shared" si="19"/>
        <v>565843.1</v>
      </c>
      <c r="H32" s="17">
        <f t="shared" si="20"/>
        <v>565843.1</v>
      </c>
      <c r="I32" s="7">
        <f t="shared" si="16"/>
        <v>0.1526278398</v>
      </c>
      <c r="J32" s="7">
        <f t="shared" si="17"/>
        <v>0.1377188451</v>
      </c>
      <c r="K32" s="7">
        <f t="shared" si="18"/>
        <v>0</v>
      </c>
    </row>
    <row r="33">
      <c r="A33" s="15" t="str">
        <f>'2020'!A33</f>
        <v>Total Activos</v>
      </c>
      <c r="B33" s="18">
        <f>'2020'!H33</f>
        <v>3707338.718</v>
      </c>
      <c r="C33" s="15"/>
      <c r="D33" s="18">
        <f>D28+SUM(D29:D32)</f>
        <v>4108683.161</v>
      </c>
      <c r="E33" s="15"/>
      <c r="F33" s="18">
        <f>F28+SUM(F29:F32)</f>
        <v>4108683.161</v>
      </c>
      <c r="G33" s="15"/>
      <c r="H33" s="18">
        <f>H28+SUM(H29:H32)</f>
        <v>4108683.161</v>
      </c>
      <c r="I33" s="7">
        <f t="shared" si="16"/>
        <v>1</v>
      </c>
      <c r="J33" s="7">
        <f t="shared" si="17"/>
        <v>1</v>
      </c>
      <c r="K33" s="7">
        <f t="shared" si="18"/>
        <v>0.09768201334</v>
      </c>
    </row>
    <row r="34">
      <c r="A34" s="7" t="str">
        <f>'2020'!A34</f>
        <v/>
      </c>
      <c r="B34" s="7" t="str">
        <f>'2020'!H34</f>
        <v/>
      </c>
    </row>
    <row r="35">
      <c r="A35" s="7" t="str">
        <f>'2020'!A35</f>
        <v>Cuentas por pagar</v>
      </c>
      <c r="B35" s="17">
        <f>'2020'!H35</f>
        <v>99588.39</v>
      </c>
      <c r="D35" s="17">
        <f t="shared" ref="D35:D37" si="21">IF(C35=0,B35,B35*C35)</f>
        <v>99588.39</v>
      </c>
      <c r="F35" s="17">
        <f t="shared" ref="F35:F37" si="22">D35</f>
        <v>99588.39</v>
      </c>
      <c r="H35" s="17">
        <f t="shared" ref="H35:H37" si="23">F35</f>
        <v>99588.39</v>
      </c>
      <c r="I35" s="7">
        <f t="shared" ref="I35:I46" si="24">B35/$B$46</f>
        <v>0.02686250081</v>
      </c>
      <c r="J35" s="7">
        <f t="shared" ref="J35:J46" si="25">H35/$H$46</f>
        <v>0.02423851406</v>
      </c>
      <c r="K35" s="7">
        <f t="shared" ref="K35:K46" si="26">(H35-B35)/H35</f>
        <v>0</v>
      </c>
    </row>
    <row r="36">
      <c r="A36" s="7" t="str">
        <f>'2020'!A36</f>
        <v>Documentos por pagar</v>
      </c>
      <c r="B36" s="17">
        <f>'2020'!H36</f>
        <v>114736.59</v>
      </c>
      <c r="D36" s="17">
        <f t="shared" si="21"/>
        <v>114736.59</v>
      </c>
      <c r="F36" s="17">
        <f t="shared" si="22"/>
        <v>114736.59</v>
      </c>
      <c r="H36" s="17">
        <f t="shared" si="23"/>
        <v>114736.59</v>
      </c>
      <c r="I36" s="7">
        <f t="shared" si="24"/>
        <v>0.03094850456</v>
      </c>
      <c r="J36" s="7">
        <f t="shared" si="25"/>
        <v>0.02792538818</v>
      </c>
      <c r="K36" s="7">
        <f t="shared" si="26"/>
        <v>0</v>
      </c>
    </row>
    <row r="37">
      <c r="A37" s="7" t="str">
        <f>'2020'!A37</f>
        <v>Gastos devengados</v>
      </c>
      <c r="B37" s="7">
        <f>'2020'!H37</f>
        <v>41080.204</v>
      </c>
      <c r="C37" s="3">
        <v>1.05</v>
      </c>
      <c r="D37" s="7">
        <f t="shared" si="21"/>
        <v>43134.2142</v>
      </c>
      <c r="F37" s="7">
        <f t="shared" si="22"/>
        <v>43134.2142</v>
      </c>
      <c r="H37" s="7">
        <f t="shared" si="23"/>
        <v>43134.2142</v>
      </c>
      <c r="I37" s="7">
        <f t="shared" si="24"/>
        <v>0.01108077973</v>
      </c>
      <c r="J37" s="7">
        <f t="shared" si="25"/>
        <v>0.01049830464</v>
      </c>
      <c r="K37" s="7">
        <f t="shared" si="26"/>
        <v>0.04761904762</v>
      </c>
    </row>
    <row r="38">
      <c r="A38" s="7" t="str">
        <f>'2020'!A38</f>
        <v>Total pasivo circulante</v>
      </c>
      <c r="B38" s="17">
        <f>'2020'!H38</f>
        <v>255405.184</v>
      </c>
      <c r="C38" s="15"/>
      <c r="D38" s="18">
        <f>SUM(D35:D37)</f>
        <v>257459.1942</v>
      </c>
      <c r="E38" s="15"/>
      <c r="F38" s="18">
        <f>SUM(F35:F37)</f>
        <v>257459.1942</v>
      </c>
      <c r="G38" s="15"/>
      <c r="H38" s="18">
        <f>SUM(H35:H37)</f>
        <v>257459.1942</v>
      </c>
      <c r="I38" s="7">
        <f t="shared" si="24"/>
        <v>0.0688917851</v>
      </c>
      <c r="J38" s="7">
        <f t="shared" si="25"/>
        <v>0.06266220688</v>
      </c>
      <c r="K38" s="7">
        <f t="shared" si="26"/>
        <v>0.007978002908</v>
      </c>
    </row>
    <row r="39">
      <c r="A39" s="7" t="str">
        <f>'2020'!A39</f>
        <v>Bonos por pagar</v>
      </c>
      <c r="B39" s="17">
        <f>'2020'!H39</f>
        <v>2470304.278</v>
      </c>
      <c r="D39" s="17">
        <f>IF(C39=0,B39,B39+C39)</f>
        <v>2470304.278</v>
      </c>
      <c r="E39" s="7">
        <f>D51</f>
        <v>31044.05628</v>
      </c>
      <c r="F39" s="17">
        <f>IF(E39=0,B39,B39+E39)</f>
        <v>2501348.334</v>
      </c>
      <c r="G39" s="7">
        <f>D55</f>
        <v>31873.40174</v>
      </c>
      <c r="H39" s="17">
        <f>IF(G39=0,B39,B39+G39)</f>
        <v>2502177.679</v>
      </c>
      <c r="I39" s="7">
        <f t="shared" si="24"/>
        <v>0.6663281801</v>
      </c>
      <c r="J39" s="7">
        <f t="shared" si="25"/>
        <v>0.6089973827</v>
      </c>
      <c r="K39" s="7">
        <f t="shared" si="26"/>
        <v>0.01273826475</v>
      </c>
    </row>
    <row r="40">
      <c r="A40" s="15" t="str">
        <f>'2020'!A40</f>
        <v>Total Pasivos</v>
      </c>
      <c r="B40" s="18">
        <f>'2020'!H40</f>
        <v>2725709.462</v>
      </c>
      <c r="C40" s="15"/>
      <c r="D40" s="18">
        <f>D38+D39</f>
        <v>2727763.472</v>
      </c>
      <c r="E40" s="15"/>
      <c r="F40" s="18">
        <f>F38+F39</f>
        <v>2758807.528</v>
      </c>
      <c r="G40" s="15"/>
      <c r="H40" s="18">
        <f>H38+H39</f>
        <v>2759636.874</v>
      </c>
      <c r="I40" s="7">
        <f t="shared" si="24"/>
        <v>0.7352199652</v>
      </c>
      <c r="J40" s="7">
        <f t="shared" si="25"/>
        <v>0.6716595895</v>
      </c>
      <c r="K40" s="7">
        <f t="shared" si="26"/>
        <v>0.01229415807</v>
      </c>
    </row>
    <row r="41">
      <c r="A41" s="7" t="str">
        <f>'2020'!A41</f>
        <v>Acciones preferentes</v>
      </c>
      <c r="B41" s="17">
        <f>'2020'!H41</f>
        <v>56584.31</v>
      </c>
      <c r="D41" s="17">
        <f t="shared" ref="D41:D44" si="27">IF(C41=0,B41,B41+C41)</f>
        <v>56584.31</v>
      </c>
      <c r="F41" s="17">
        <f t="shared" ref="F41:F44" si="28">IF(E41=0,B41,B41+E41)</f>
        <v>56584.31</v>
      </c>
      <c r="H41" s="17">
        <f t="shared" ref="H41:H44" si="29">IF(G41=0,B41,B41+G41)</f>
        <v>56584.31</v>
      </c>
      <c r="I41" s="7">
        <f t="shared" si="24"/>
        <v>0.01526278388</v>
      </c>
      <c r="J41" s="7">
        <f t="shared" si="25"/>
        <v>0.01377188238</v>
      </c>
      <c r="K41" s="7">
        <f t="shared" si="26"/>
        <v>0</v>
      </c>
    </row>
    <row r="42">
      <c r="A42" s="7" t="str">
        <f>'2020'!A42</f>
        <v>Acciones comunes</v>
      </c>
      <c r="B42" s="17">
        <f>'2020'!H42</f>
        <v>119440.5</v>
      </c>
      <c r="D42" s="17">
        <f t="shared" si="27"/>
        <v>119440.5</v>
      </c>
      <c r="F42" s="17">
        <f t="shared" si="28"/>
        <v>119440.5</v>
      </c>
      <c r="H42" s="17">
        <f t="shared" si="29"/>
        <v>119440.5</v>
      </c>
      <c r="I42" s="7">
        <f t="shared" si="24"/>
        <v>0.03221731497</v>
      </c>
      <c r="J42" s="7">
        <f t="shared" si="25"/>
        <v>0.02907025847</v>
      </c>
      <c r="K42" s="7">
        <f t="shared" si="26"/>
        <v>0</v>
      </c>
    </row>
    <row r="43">
      <c r="A43" s="7" t="str">
        <f>'2020'!A43</f>
        <v>Capital adicional sobre valor par de acción común</v>
      </c>
      <c r="B43" s="17">
        <f>'2020'!H43</f>
        <v>282921.55</v>
      </c>
      <c r="D43" s="17">
        <f t="shared" si="27"/>
        <v>282921.55</v>
      </c>
      <c r="F43" s="17">
        <f t="shared" si="28"/>
        <v>282921.55</v>
      </c>
      <c r="H43" s="17">
        <f t="shared" si="29"/>
        <v>282921.55</v>
      </c>
      <c r="I43" s="7">
        <f t="shared" si="24"/>
        <v>0.07631391939</v>
      </c>
      <c r="J43" s="7">
        <f t="shared" si="25"/>
        <v>0.06885941189</v>
      </c>
      <c r="K43" s="7">
        <f t="shared" si="26"/>
        <v>0</v>
      </c>
    </row>
    <row r="44">
      <c r="A44" s="7" t="str">
        <f>'2020'!A44</f>
        <v>Utilidades retenidas</v>
      </c>
      <c r="B44" s="17">
        <f>'2020'!H44</f>
        <v>522682.9215</v>
      </c>
      <c r="C44" s="17">
        <f>D15</f>
        <v>368246.3517</v>
      </c>
      <c r="D44" s="17">
        <f t="shared" si="27"/>
        <v>890929.2733</v>
      </c>
      <c r="E44" s="17">
        <f>F15</f>
        <v>367439.2063</v>
      </c>
      <c r="F44" s="17">
        <f t="shared" si="28"/>
        <v>890122.1278</v>
      </c>
      <c r="G44" s="17">
        <f>H15</f>
        <v>367417.6433</v>
      </c>
      <c r="H44" s="17">
        <f t="shared" si="29"/>
        <v>890100.5648</v>
      </c>
      <c r="I44" s="7">
        <f t="shared" si="24"/>
        <v>0.1409860166</v>
      </c>
      <c r="J44" s="7">
        <f t="shared" si="25"/>
        <v>0.2166388577</v>
      </c>
      <c r="K44" s="7">
        <f t="shared" si="26"/>
        <v>0.4127821707</v>
      </c>
    </row>
    <row r="45">
      <c r="A45" s="15" t="str">
        <f>'2020'!A45</f>
        <v>Total capital</v>
      </c>
      <c r="B45" s="18">
        <f>'2020'!H45</f>
        <v>981629.2815</v>
      </c>
      <c r="C45" s="15"/>
      <c r="D45" s="18">
        <f>SUM(D41:D44)</f>
        <v>1349875.633</v>
      </c>
      <c r="E45" s="15"/>
      <c r="F45" s="18">
        <f>SUM(F41:F44)</f>
        <v>1349068.488</v>
      </c>
      <c r="G45" s="15"/>
      <c r="H45" s="18">
        <f>SUM(H41:H44)</f>
        <v>1349046.925</v>
      </c>
      <c r="I45" s="7">
        <f t="shared" si="24"/>
        <v>0.2647800348</v>
      </c>
      <c r="J45" s="7">
        <f t="shared" si="25"/>
        <v>0.3283404105</v>
      </c>
      <c r="K45" s="7">
        <f t="shared" si="26"/>
        <v>0.2723534938</v>
      </c>
    </row>
    <row r="46">
      <c r="A46" s="15" t="str">
        <f>'2020'!A46</f>
        <v>Pasivo + Capital</v>
      </c>
      <c r="B46" s="18">
        <f>'2020'!H46</f>
        <v>3707338.743</v>
      </c>
      <c r="C46" s="15"/>
      <c r="D46" s="18">
        <f>D40+D45</f>
        <v>4077639.105</v>
      </c>
      <c r="E46" s="15"/>
      <c r="F46" s="18">
        <f>F40+F45</f>
        <v>4107876.016</v>
      </c>
      <c r="G46" s="15"/>
      <c r="H46" s="18">
        <f>H40+H45</f>
        <v>4108683.798</v>
      </c>
      <c r="I46" s="7">
        <f t="shared" si="24"/>
        <v>1</v>
      </c>
      <c r="J46" s="7">
        <f t="shared" si="25"/>
        <v>1</v>
      </c>
      <c r="K46" s="7">
        <f t="shared" si="26"/>
        <v>0.09768214711</v>
      </c>
    </row>
    <row r="48">
      <c r="A48" s="4" t="s">
        <v>61</v>
      </c>
      <c r="B48" s="18">
        <f>B33-B46</f>
        <v>-0.02518194448</v>
      </c>
      <c r="C48" s="15"/>
      <c r="D48" s="18">
        <f>D33-D46</f>
        <v>31044.05628</v>
      </c>
      <c r="E48" s="15"/>
      <c r="F48" s="18">
        <f>F33-F46</f>
        <v>807.1454632</v>
      </c>
      <c r="G48" s="15"/>
      <c r="H48" s="18">
        <f>H33-H46</f>
        <v>-0.637017956</v>
      </c>
    </row>
    <row r="50">
      <c r="B50" s="4" t="s">
        <v>62</v>
      </c>
      <c r="C50" s="17">
        <f>D48</f>
        <v>31044.05628</v>
      </c>
    </row>
    <row r="51">
      <c r="B51" s="3" t="s">
        <v>63</v>
      </c>
      <c r="C51" s="20">
        <v>1.0</v>
      </c>
      <c r="D51" s="7">
        <f>C50*C51</f>
        <v>31044.05628</v>
      </c>
    </row>
    <row r="52">
      <c r="B52" s="3" t="s">
        <v>64</v>
      </c>
      <c r="C52" s="20">
        <v>0.04</v>
      </c>
      <c r="D52" s="7">
        <f>C50*C52</f>
        <v>1241.762251</v>
      </c>
    </row>
    <row r="54">
      <c r="B54" s="4" t="s">
        <v>65</v>
      </c>
      <c r="C54" s="17">
        <f>D48+F48+D54</f>
        <v>31873.40174</v>
      </c>
      <c r="D54" s="3">
        <v>22.2</v>
      </c>
    </row>
    <row r="55">
      <c r="B55" s="3" t="s">
        <v>63</v>
      </c>
      <c r="C55" s="20">
        <v>1.0</v>
      </c>
      <c r="D55" s="7">
        <f>C54*C55</f>
        <v>31873.40174</v>
      </c>
    </row>
    <row r="56">
      <c r="B56" s="3" t="s">
        <v>64</v>
      </c>
      <c r="C56" s="20">
        <v>0.04</v>
      </c>
      <c r="D56" s="7">
        <f>C54*C56</f>
        <v>1274.93607</v>
      </c>
    </row>
  </sheetData>
  <drawing r:id="rId1"/>
</worksheet>
</file>