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corto3\"/>
    </mc:Choice>
  </mc:AlternateContent>
  <xr:revisionPtr revIDLastSave="0" documentId="13_ncr:1_{9315F5F8-1ADD-4225-AD5E-EDC30A49D9B1}" xr6:coauthVersionLast="45" xr6:coauthVersionMax="45" xr10:uidLastSave="{00000000-0000-0000-0000-000000000000}"/>
  <bookViews>
    <workbookView xWindow="2730" yWindow="1560" windowWidth="14100" windowHeight="14640" xr2:uid="{00000000-000D-0000-FFFF-FFFF00000000}"/>
  </bookViews>
  <sheets>
    <sheet name="Problema 1" sheetId="1" r:id="rId1"/>
    <sheet name="Problema 2" sheetId="2" r:id="rId2"/>
    <sheet name="Problema 3" sheetId="3" r:id="rId3"/>
    <sheet name="Problema 4" sheetId="5" r:id="rId4"/>
    <sheet name="Problema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G14" i="6"/>
  <c r="G2" i="6"/>
  <c r="F2" i="6"/>
  <c r="E2" i="6"/>
  <c r="D2" i="6"/>
  <c r="G2" i="2"/>
  <c r="G10" i="2"/>
  <c r="G11" i="2" s="1"/>
  <c r="G12" i="2" s="1"/>
  <c r="G13" i="2" s="1"/>
  <c r="G8" i="2"/>
  <c r="G7" i="2"/>
  <c r="G5" i="2"/>
  <c r="G4" i="2"/>
  <c r="G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13" i="2"/>
  <c r="C14" i="2"/>
  <c r="C15" i="2"/>
  <c r="C16" i="2"/>
  <c r="C17" i="2"/>
  <c r="C18" i="2"/>
  <c r="C19" i="2"/>
  <c r="C20" i="2"/>
  <c r="C21" i="2"/>
  <c r="C12" i="2"/>
  <c r="C3" i="2"/>
  <c r="C4" i="2"/>
  <c r="C5" i="2"/>
  <c r="C6" i="2"/>
  <c r="C7" i="2"/>
  <c r="C8" i="2"/>
  <c r="C9" i="2"/>
  <c r="C10" i="2"/>
  <c r="C11" i="2"/>
  <c r="C2" i="2"/>
  <c r="C14" i="1"/>
  <c r="C13" i="1"/>
  <c r="F15" i="1"/>
  <c r="F14" i="1"/>
  <c r="F13" i="1"/>
  <c r="F12" i="1"/>
  <c r="F11" i="1"/>
  <c r="F10" i="1"/>
  <c r="E2" i="1"/>
  <c r="F2" i="1"/>
  <c r="E3" i="1"/>
  <c r="F3" i="1"/>
  <c r="E4" i="1"/>
  <c r="F4" i="1" s="1"/>
  <c r="E5" i="1"/>
  <c r="F5" i="1" s="1"/>
  <c r="E6" i="1"/>
  <c r="F6" i="1" s="1"/>
  <c r="D13" i="6" l="1"/>
  <c r="D12" i="6"/>
  <c r="D11" i="6"/>
  <c r="D10" i="6"/>
  <c r="D9" i="6"/>
  <c r="D8" i="6"/>
  <c r="D7" i="6"/>
  <c r="D6" i="6"/>
  <c r="D5" i="6"/>
  <c r="D4" i="6"/>
  <c r="D3" i="6"/>
  <c r="E13" i="6"/>
  <c r="E12" i="6"/>
  <c r="E11" i="6"/>
  <c r="E10" i="6"/>
  <c r="E9" i="6"/>
  <c r="E8" i="6"/>
  <c r="E7" i="6"/>
  <c r="E6" i="6"/>
  <c r="E5" i="6"/>
  <c r="E4" i="6"/>
  <c r="E3" i="6"/>
  <c r="J8" i="6"/>
  <c r="J9" i="6"/>
  <c r="J5" i="6"/>
  <c r="F13" i="6" l="1"/>
  <c r="G13" i="6" s="1"/>
  <c r="F12" i="6"/>
  <c r="G12" i="6" s="1"/>
  <c r="F11" i="6"/>
  <c r="G11" i="6" s="1"/>
  <c r="F10" i="6"/>
  <c r="G10" i="6" s="1"/>
  <c r="F8" i="6"/>
  <c r="G8" i="6" s="1"/>
  <c r="F6" i="6"/>
  <c r="G6" i="6" s="1"/>
  <c r="F5" i="6"/>
  <c r="G5" i="6" s="1"/>
  <c r="F4" i="6"/>
  <c r="G4" i="6" s="1"/>
  <c r="F3" i="6"/>
  <c r="G3" i="6" s="1"/>
  <c r="F7" i="6"/>
  <c r="G7" i="6" s="1"/>
  <c r="F9" i="6"/>
  <c r="G9" i="6" s="1"/>
  <c r="J7" i="6" l="1"/>
  <c r="J11" i="6" s="1"/>
  <c r="I21" i="5"/>
  <c r="J22" i="5"/>
  <c r="I20" i="5"/>
  <c r="I22" i="5"/>
  <c r="I11" i="5"/>
  <c r="I10" i="5"/>
  <c r="I9" i="5"/>
  <c r="I13" i="5"/>
  <c r="I15" i="5"/>
  <c r="E20" i="5"/>
  <c r="E19" i="5"/>
  <c r="E18" i="5"/>
  <c r="E17" i="5"/>
  <c r="E16" i="5"/>
  <c r="F16" i="5" s="1"/>
  <c r="E15" i="5"/>
  <c r="E14" i="5"/>
  <c r="F14" i="5" s="1"/>
  <c r="E13" i="5"/>
  <c r="E12" i="5"/>
  <c r="F12" i="5" s="1"/>
  <c r="E11" i="5"/>
  <c r="F11" i="5" s="1"/>
  <c r="E10" i="5"/>
  <c r="F10" i="5" s="1"/>
  <c r="E9" i="5"/>
  <c r="E8" i="5"/>
  <c r="E7" i="5"/>
  <c r="E6" i="5"/>
  <c r="E5" i="5"/>
  <c r="E4" i="5"/>
  <c r="F4" i="5" s="1"/>
  <c r="E3" i="5"/>
  <c r="I5" i="5"/>
  <c r="I4" i="5"/>
  <c r="I3" i="5"/>
  <c r="I7" i="5" s="1"/>
  <c r="J13" i="6" l="1"/>
  <c r="J15" i="6" s="1"/>
  <c r="I14" i="5"/>
  <c r="I16" i="5" s="1"/>
  <c r="F18" i="5"/>
  <c r="F19" i="5"/>
  <c r="F20" i="5"/>
  <c r="F9" i="5"/>
  <c r="F17" i="5"/>
  <c r="F8" i="5"/>
  <c r="F3" i="5"/>
  <c r="F15" i="5"/>
  <c r="F7" i="5"/>
  <c r="F13" i="5"/>
  <c r="F6" i="5"/>
  <c r="F5" i="5"/>
  <c r="C22" i="3" l="1"/>
  <c r="C21" i="3"/>
  <c r="C20" i="3"/>
  <c r="C19" i="3"/>
  <c r="C17" i="3"/>
  <c r="C16" i="3"/>
  <c r="C15" i="3"/>
  <c r="H3" i="3"/>
  <c r="H4" i="3"/>
  <c r="H5" i="3"/>
  <c r="H6" i="3"/>
  <c r="H12" i="3"/>
  <c r="G5" i="3"/>
  <c r="G6" i="3"/>
  <c r="G7" i="3"/>
  <c r="G8" i="3"/>
  <c r="G12" i="3"/>
  <c r="D3" i="3"/>
  <c r="E3" i="3" s="1"/>
  <c r="D4" i="3"/>
  <c r="E4" i="3" s="1"/>
  <c r="D5" i="3"/>
  <c r="E5" i="3" s="1"/>
  <c r="D6" i="3"/>
  <c r="E6" i="3" s="1"/>
  <c r="D7" i="3"/>
  <c r="H7" i="3" s="1"/>
  <c r="D8" i="3"/>
  <c r="H8" i="3" s="1"/>
  <c r="D9" i="3"/>
  <c r="E9" i="3" s="1"/>
  <c r="D10" i="3"/>
  <c r="E10" i="3" s="1"/>
  <c r="D11" i="3"/>
  <c r="E11" i="3" s="1"/>
  <c r="D12" i="3"/>
  <c r="E12" i="3" s="1"/>
  <c r="F6" i="3" l="1"/>
  <c r="H13" i="3"/>
  <c r="F12" i="3"/>
  <c r="G4" i="3"/>
  <c r="G3" i="3"/>
  <c r="H11" i="3"/>
  <c r="E8" i="3"/>
  <c r="H10" i="3"/>
  <c r="E7" i="3"/>
  <c r="F7" i="3" s="1"/>
  <c r="G11" i="3"/>
  <c r="H9" i="3"/>
  <c r="G10" i="3"/>
  <c r="G9" i="3"/>
  <c r="H5" i="1"/>
  <c r="D2" i="1"/>
  <c r="D3" i="1"/>
  <c r="G3" i="1" s="1"/>
  <c r="D4" i="1"/>
  <c r="D5" i="1"/>
  <c r="D6" i="1"/>
  <c r="F8" i="3" l="1"/>
  <c r="F10" i="3"/>
  <c r="F9" i="3"/>
  <c r="F4" i="3"/>
  <c r="F5" i="3"/>
  <c r="F11" i="3"/>
  <c r="F3" i="3"/>
  <c r="C10" i="1"/>
  <c r="H3" i="1"/>
  <c r="H4" i="1"/>
  <c r="H2" i="1"/>
  <c r="G6" i="1"/>
  <c r="G5" i="1"/>
  <c r="G4" i="1"/>
  <c r="G2" i="1"/>
  <c r="G7" i="1" s="1"/>
  <c r="H6" i="1"/>
  <c r="H7" i="1" l="1"/>
  <c r="C9" i="1" s="1"/>
  <c r="C16" i="1" l="1"/>
</calcChain>
</file>

<file path=xl/sharedStrings.xml><?xml version="1.0" encoding="utf-8"?>
<sst xmlns="http://schemas.openxmlformats.org/spreadsheetml/2006/main" count="256" uniqueCount="78">
  <si>
    <t>Individuo</t>
  </si>
  <si>
    <t>Antes</t>
  </si>
  <si>
    <t>Después</t>
  </si>
  <si>
    <t>20s</t>
  </si>
  <si>
    <t>65-70s</t>
  </si>
  <si>
    <t>Día</t>
  </si>
  <si>
    <t>Línea A</t>
  </si>
  <si>
    <t>Línea B</t>
  </si>
  <si>
    <t>A</t>
  </si>
  <si>
    <t>B</t>
  </si>
  <si>
    <t>C</t>
  </si>
  <si>
    <t>Votante</t>
  </si>
  <si>
    <t>Distancia</t>
  </si>
  <si>
    <t>Calificación</t>
  </si>
  <si>
    <t>"+"</t>
  </si>
  <si>
    <t>"-"</t>
  </si>
  <si>
    <t>T+</t>
  </si>
  <si>
    <t>n</t>
  </si>
  <si>
    <t>Diferencias</t>
  </si>
  <si>
    <t>D. Absolutas.</t>
  </si>
  <si>
    <t>Ranking</t>
  </si>
  <si>
    <t>p</t>
  </si>
  <si>
    <t>Probabilities</t>
  </si>
  <si>
    <t>p-value:</t>
  </si>
  <si>
    <t>Signficance:</t>
  </si>
  <si>
    <t>Reject the null?</t>
  </si>
  <si>
    <t>two-tails:</t>
  </si>
  <si>
    <t>mean:</t>
  </si>
  <si>
    <t>z:</t>
  </si>
  <si>
    <t>n:</t>
  </si>
  <si>
    <t>two-tail:</t>
  </si>
  <si>
    <t>Reject?</t>
  </si>
  <si>
    <t>D. Absolutas</t>
  </si>
  <si>
    <t>Rank</t>
  </si>
  <si>
    <t>Stack</t>
  </si>
  <si>
    <t>k:</t>
  </si>
  <si>
    <t>Column1</t>
  </si>
  <si>
    <t>n1</t>
  </si>
  <si>
    <t>n2</t>
  </si>
  <si>
    <t>n3</t>
  </si>
  <si>
    <t>nT</t>
  </si>
  <si>
    <t xml:space="preserve">Part 1: </t>
  </si>
  <si>
    <t>Part 2:</t>
  </si>
  <si>
    <t>R_A</t>
  </si>
  <si>
    <t>R_B</t>
  </si>
  <si>
    <t>R_C</t>
  </si>
  <si>
    <t>Part 3:</t>
  </si>
  <si>
    <t>H:</t>
  </si>
  <si>
    <t>significancia</t>
  </si>
  <si>
    <t>chi-squared:</t>
  </si>
  <si>
    <t xml:space="preserve">Rank Calificación </t>
  </si>
  <si>
    <t>Rank Distancia</t>
  </si>
  <si>
    <t>d sub i</t>
  </si>
  <si>
    <t>d sub i ^2</t>
  </si>
  <si>
    <t>Part 1:</t>
  </si>
  <si>
    <t>r(s)</t>
  </si>
  <si>
    <t>Mean:</t>
  </si>
  <si>
    <t>stdev:</t>
  </si>
  <si>
    <t>z</t>
  </si>
  <si>
    <t>alpha</t>
  </si>
  <si>
    <t>R_20:</t>
  </si>
  <si>
    <t>R_65-70:</t>
  </si>
  <si>
    <t>n_20:</t>
  </si>
  <si>
    <t>n_65-70:</t>
  </si>
  <si>
    <t>desvest: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</si>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</sst>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Alignment="1">
      <alignment horizontal="left"/>
    </xf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6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1'!$B$1</c:f>
              <c:strCache>
                <c:ptCount val="1"/>
                <c:pt idx="0">
                  <c:v>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1'!$B$2:$B$6</c:f>
              <c:numCache>
                <c:formatCode>General</c:formatCode>
                <c:ptCount val="5"/>
                <c:pt idx="0">
                  <c:v>66</c:v>
                </c:pt>
                <c:pt idx="1">
                  <c:v>80</c:v>
                </c:pt>
                <c:pt idx="2">
                  <c:v>69</c:v>
                </c:pt>
                <c:pt idx="3">
                  <c:v>52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C-4AFF-B4E1-251BEF4C7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33466392"/>
        <c:axId val="533467048"/>
      </c:barChart>
      <c:catAx>
        <c:axId val="53346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467048"/>
        <c:crosses val="autoZero"/>
        <c:auto val="1"/>
        <c:lblAlgn val="ctr"/>
        <c:lblOffset val="100"/>
        <c:noMultiLvlLbl val="0"/>
      </c:catAx>
      <c:valAx>
        <c:axId val="53346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46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1'!$C$1</c:f>
              <c:strCache>
                <c:ptCount val="1"/>
                <c:pt idx="0">
                  <c:v>Después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1'!$C$2:$C$6</c:f>
              <c:numCache>
                <c:formatCode>General</c:formatCode>
                <c:ptCount val="5"/>
                <c:pt idx="0">
                  <c:v>71</c:v>
                </c:pt>
                <c:pt idx="1">
                  <c:v>82</c:v>
                </c:pt>
                <c:pt idx="2">
                  <c:v>68</c:v>
                </c:pt>
                <c:pt idx="3">
                  <c:v>56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3-4915-BF3D-E45C2F91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46532136"/>
        <c:axId val="346533120"/>
      </c:barChart>
      <c:catAx>
        <c:axId val="34653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533120"/>
        <c:crosses val="autoZero"/>
        <c:auto val="1"/>
        <c:lblAlgn val="ctr"/>
        <c:lblOffset val="100"/>
        <c:noMultiLvlLbl val="0"/>
      </c:catAx>
      <c:valAx>
        <c:axId val="3465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653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2'!$A$1</c:f>
              <c:strCache>
                <c:ptCount val="1"/>
                <c:pt idx="0">
                  <c:v>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2'!$A$2:$A$11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3-405D-8A8A-592446CA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28040336"/>
        <c:axId val="428041320"/>
      </c:barChart>
      <c:catAx>
        <c:axId val="4280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8041320"/>
        <c:crosses val="autoZero"/>
        <c:auto val="1"/>
        <c:lblAlgn val="ctr"/>
        <c:lblOffset val="100"/>
        <c:noMultiLvlLbl val="0"/>
      </c:catAx>
      <c:valAx>
        <c:axId val="4280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804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2'!$B$1</c:f>
              <c:strCache>
                <c:ptCount val="1"/>
                <c:pt idx="0">
                  <c:v>65-70s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2'!$B$2:$B$11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7-4182-8BB0-0F507F93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47003168"/>
        <c:axId val="635750608"/>
      </c:barChart>
      <c:catAx>
        <c:axId val="3470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750608"/>
        <c:crosses val="autoZero"/>
        <c:auto val="1"/>
        <c:lblAlgn val="ctr"/>
        <c:lblOffset val="100"/>
        <c:noMultiLvlLbl val="0"/>
      </c:catAx>
      <c:valAx>
        <c:axId val="635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470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3'!$B$2</c:f>
              <c:strCache>
                <c:ptCount val="1"/>
                <c:pt idx="0">
                  <c:v>Línea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3'!$B$3:$B$12</c:f>
              <c:numCache>
                <c:formatCode>General</c:formatCode>
                <c:ptCount val="10"/>
                <c:pt idx="0">
                  <c:v>170</c:v>
                </c:pt>
                <c:pt idx="1">
                  <c:v>164</c:v>
                </c:pt>
                <c:pt idx="2">
                  <c:v>140</c:v>
                </c:pt>
                <c:pt idx="3">
                  <c:v>184</c:v>
                </c:pt>
                <c:pt idx="4">
                  <c:v>174</c:v>
                </c:pt>
                <c:pt idx="5">
                  <c:v>142</c:v>
                </c:pt>
                <c:pt idx="6">
                  <c:v>191</c:v>
                </c:pt>
                <c:pt idx="7">
                  <c:v>169</c:v>
                </c:pt>
                <c:pt idx="8">
                  <c:v>161</c:v>
                </c:pt>
                <c:pt idx="9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2-42E2-9BE6-C2AE1E7B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34505848"/>
        <c:axId val="534508472"/>
      </c:barChart>
      <c:catAx>
        <c:axId val="53450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508472"/>
        <c:crosses val="autoZero"/>
        <c:auto val="1"/>
        <c:lblAlgn val="ctr"/>
        <c:lblOffset val="100"/>
        <c:noMultiLvlLbl val="0"/>
      </c:catAx>
      <c:valAx>
        <c:axId val="53450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50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3'!$C$2</c:f>
              <c:strCache>
                <c:ptCount val="1"/>
                <c:pt idx="0">
                  <c:v>Línea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3'!$C$3:$C$12</c:f>
              <c:numCache>
                <c:formatCode>General</c:formatCode>
                <c:ptCount val="10"/>
                <c:pt idx="0">
                  <c:v>201</c:v>
                </c:pt>
                <c:pt idx="1">
                  <c:v>179</c:v>
                </c:pt>
                <c:pt idx="2">
                  <c:v>159</c:v>
                </c:pt>
                <c:pt idx="3">
                  <c:v>195</c:v>
                </c:pt>
                <c:pt idx="4">
                  <c:v>177</c:v>
                </c:pt>
                <c:pt idx="5">
                  <c:v>170</c:v>
                </c:pt>
                <c:pt idx="6">
                  <c:v>183</c:v>
                </c:pt>
                <c:pt idx="7">
                  <c:v>179</c:v>
                </c:pt>
                <c:pt idx="8">
                  <c:v>170</c:v>
                </c:pt>
                <c:pt idx="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A-48CC-9BFB-BB4BFE2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34530776"/>
        <c:axId val="534526184"/>
      </c:barChart>
      <c:catAx>
        <c:axId val="53453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526184"/>
        <c:crosses val="autoZero"/>
        <c:auto val="1"/>
        <c:lblAlgn val="ctr"/>
        <c:lblOffset val="100"/>
        <c:noMultiLvlLbl val="0"/>
      </c:catAx>
      <c:valAx>
        <c:axId val="5345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53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4'!$A$2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4'!$A$3:$A$7</c:f>
              <c:numCache>
                <c:formatCode>General</c:formatCode>
                <c:ptCount val="5"/>
                <c:pt idx="0">
                  <c:v>4.9000000000000004</c:v>
                </c:pt>
                <c:pt idx="1">
                  <c:v>4.5999999999999996</c:v>
                </c:pt>
                <c:pt idx="2">
                  <c:v>6.1</c:v>
                </c:pt>
                <c:pt idx="3">
                  <c:v>5.2</c:v>
                </c:pt>
                <c:pt idx="4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7-4BF6-8A4D-80009DBE9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5763400"/>
        <c:axId val="635763728"/>
      </c:barChart>
      <c:catAx>
        <c:axId val="63576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763728"/>
        <c:crosses val="autoZero"/>
        <c:auto val="1"/>
        <c:lblAlgn val="ctr"/>
        <c:lblOffset val="100"/>
        <c:noMultiLvlLbl val="0"/>
      </c:catAx>
      <c:valAx>
        <c:axId val="6357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76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4'!$B$2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4'!$B$3:$B$9</c:f>
              <c:numCache>
                <c:formatCode>General</c:formatCode>
                <c:ptCount val="7"/>
                <c:pt idx="0">
                  <c:v>5.5</c:v>
                </c:pt>
                <c:pt idx="1">
                  <c:v>5.8</c:v>
                </c:pt>
                <c:pt idx="2">
                  <c:v>5.4</c:v>
                </c:pt>
                <c:pt idx="3">
                  <c:v>5.5</c:v>
                </c:pt>
                <c:pt idx="4">
                  <c:v>4.8</c:v>
                </c:pt>
                <c:pt idx="5">
                  <c:v>6.2</c:v>
                </c:pt>
                <c:pt idx="6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86F-A548-DDF1FF64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35762088"/>
        <c:axId val="635764384"/>
      </c:barChart>
      <c:catAx>
        <c:axId val="63576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764384"/>
        <c:crosses val="autoZero"/>
        <c:auto val="1"/>
        <c:lblAlgn val="ctr"/>
        <c:lblOffset val="100"/>
        <c:noMultiLvlLbl val="0"/>
      </c:catAx>
      <c:valAx>
        <c:axId val="6357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357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'Problema 4'!$C$2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'Problema 4'!$C$3:$C$8</c:f>
              <c:numCache>
                <c:formatCode>General</c:formatCode>
                <c:ptCount val="6"/>
                <c:pt idx="0">
                  <c:v>6.4</c:v>
                </c:pt>
                <c:pt idx="1">
                  <c:v>6.5</c:v>
                </c:pt>
                <c:pt idx="2">
                  <c:v>6.8</c:v>
                </c:pt>
                <c:pt idx="3">
                  <c:v>6.3</c:v>
                </c:pt>
                <c:pt idx="4">
                  <c:v>5.6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F-4D6B-8EB5-0BA90D12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78882736"/>
        <c:axId val="678883064"/>
      </c:barChart>
      <c:catAx>
        <c:axId val="67888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8883064"/>
        <c:crosses val="autoZero"/>
        <c:auto val="1"/>
        <c:lblAlgn val="ctr"/>
        <c:lblOffset val="100"/>
        <c:noMultiLvlLbl val="0"/>
      </c:catAx>
      <c:valAx>
        <c:axId val="67888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88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0</xdr:row>
      <xdr:rowOff>90487</xdr:rowOff>
    </xdr:from>
    <xdr:to>
      <xdr:col>15</xdr:col>
      <xdr:colOff>714375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AF832-2771-419F-A8BC-87351180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657225</xdr:colOff>
      <xdr:row>16</xdr:row>
      <xdr:rowOff>100012</xdr:rowOff>
    </xdr:from>
    <xdr:to>
      <xdr:col>15</xdr:col>
      <xdr:colOff>647700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063EA-5990-4BCD-AD93-981E7F0FC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52387</xdr:rowOff>
    </xdr:from>
    <xdr:to>
      <xdr:col>14</xdr:col>
      <xdr:colOff>57150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0B1FA-3EDF-4672-84D2-9D9C6330E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15</xdr:row>
      <xdr:rowOff>119062</xdr:rowOff>
    </xdr:from>
    <xdr:to>
      <xdr:col>14</xdr:col>
      <xdr:colOff>85725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FF7DE-0AF9-4979-A77C-06F1D6FB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434347</xdr:colOff>
      <xdr:row>16</xdr:row>
      <xdr:rowOff>142875</xdr:rowOff>
    </xdr:from>
    <xdr:to>
      <xdr:col>10</xdr:col>
      <xdr:colOff>229420</xdr:colOff>
      <xdr:row>33</xdr:row>
      <xdr:rowOff>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EC0C78-5FE0-4549-AECE-A190F25B0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7" y="3190875"/>
          <a:ext cx="3643173" cy="3105849"/>
        </a:xfrm>
        <a:prstGeom prst="rect">
          <a:avLst/>
        </a:prstGeom>
      </xdr:spPr>
    </xdr:pic>
    <xdr:clientData/>
  </xdr:twoCellAnchor>
  <xdr:twoCellAnchor>
    <xdr:from>
      <xdr:col>10</xdr:col>
      <xdr:colOff>390525</xdr:colOff>
      <xdr:row>1</xdr:row>
      <xdr:rowOff>128587</xdr:rowOff>
    </xdr:from>
    <xdr:to>
      <xdr:col>16</xdr:col>
      <xdr:colOff>390525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8CA35-90F5-47EE-BD1A-14EF5892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485775</xdr:colOff>
      <xdr:row>17</xdr:row>
      <xdr:rowOff>61912</xdr:rowOff>
    </xdr:from>
    <xdr:to>
      <xdr:col>16</xdr:col>
      <xdr:colOff>485775</xdr:colOff>
      <xdr:row>31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8EDA3-3607-4136-BDC8-A8FA6B82F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61912</xdr:rowOff>
    </xdr:from>
    <xdr:to>
      <xdr:col>15</xdr:col>
      <xdr:colOff>600075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645F-0987-45C7-A65A-AF4F31E0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733425</xdr:colOff>
      <xdr:row>16</xdr:row>
      <xdr:rowOff>4762</xdr:rowOff>
    </xdr:from>
    <xdr:to>
      <xdr:col>15</xdr:col>
      <xdr:colOff>733425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0C30E-A18B-4141-B6DF-E26B3906E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34</xdr:row>
      <xdr:rowOff>157162</xdr:rowOff>
    </xdr:from>
    <xdr:to>
      <xdr:col>15</xdr:col>
      <xdr:colOff>200025</xdr:colOff>
      <xdr:row>49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CEBCC-55AA-40C9-BC00-43B810DA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FF01B2-6CBB-4C26-8DCB-9CB075E70708}" name="Table1" displayName="Table1" ref="A1:H7" totalsRowCount="1" headerRowDxfId="59" dataDxfId="58">
  <autoFilter ref="A1:H6" xr:uid="{8DC8312E-154D-4758-8AD7-1CEB1973E235}"/>
  <tableColumns count="8">
    <tableColumn id="1" xr3:uid="{5B7A14DD-ACCB-46BA-BE05-AB22AB8FB8E4}" name="Individuo" dataDxfId="57" totalsRowDxfId="56"/>
    <tableColumn id="2" xr3:uid="{D5CAC701-EE08-41D5-9652-40F301DD8243}" name="Antes" dataDxfId="55" totalsRowDxfId="54"/>
    <tableColumn id="3" xr3:uid="{ED9A0334-A956-4A05-AFE5-68B572647B98}" name="Después" dataDxfId="53" totalsRowDxfId="52"/>
    <tableColumn id="4" xr3:uid="{9A589326-768D-44AC-A436-76CB8D62E29E}" name="Diferencias" dataDxfId="51" totalsRowDxfId="50">
      <calculatedColumnFormula>Table1[[#This Row],[Antes]]-Table1[[#This Row],[Después]]</calculatedColumnFormula>
    </tableColumn>
    <tableColumn id="5" xr3:uid="{DA44199F-4CE2-4090-9453-435ED4BD4CDA}" name="D. Absolutas." dataDxfId="49" totalsRowDxfId="48">
      <calculatedColumnFormula>ABS(Table1[[#This Row],[Diferencias]])</calculatedColumnFormula>
    </tableColumn>
    <tableColumn id="6" xr3:uid="{B48850E2-B04C-4408-952E-9CC201678742}" name="Ranking" dataDxfId="47" totalsRowDxfId="46">
      <calculatedColumnFormula>_xlfn.RANK.AVG(Table1[[#This Row],[D. Absolutas.]],Table1[D. Absolutas.],1)</calculatedColumnFormula>
    </tableColumn>
    <tableColumn id="7" xr3:uid="{1448491F-CC20-4919-8730-3BC82801F544}" name="&quot;-&quot;" totalsRowFunction="sum" dataDxfId="45" totalsRowDxfId="44">
      <calculatedColumnFormula>IF(Table1[[#This Row],[Diferencias]]&lt;0,1,0)</calculatedColumnFormula>
    </tableColumn>
    <tableColumn id="8" xr3:uid="{000DDE2B-7D31-4A3F-BC61-50E7E40512C0}" name="&quot;+&quot;" totalsRowFunction="sum" dataDxfId="43" totalsRowDxfId="42">
      <calculatedColumnFormula>IF(0&lt;Table1[[#This Row],[Diferencias]],1,0)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BF861B-B532-4075-97A3-85EB1DCE679E}" name="Table3" displayName="Table3" ref="A2:H13" totalsRowCount="1" headerRowDxfId="41" dataDxfId="40">
  <autoFilter ref="A2:H12" xr:uid="{A9B6DE65-ECE8-4124-8FF5-653582872546}"/>
  <tableColumns count="8">
    <tableColumn id="1" xr3:uid="{58A89CCE-7418-42D3-A210-4F51B49A5435}" name="Día" dataDxfId="39" totalsRowDxfId="38"/>
    <tableColumn id="2" xr3:uid="{07FA223F-EF02-4AB4-A58E-D9AF2886846D}" name="Línea A" dataDxfId="37" totalsRowDxfId="36"/>
    <tableColumn id="3" xr3:uid="{75242881-82A7-43DB-87A6-9FCE5B93FDA5}" name="Línea B" dataDxfId="35" totalsRowDxfId="34"/>
    <tableColumn id="4" xr3:uid="{8205DE51-9AC4-4041-9318-DA7602413672}" name="Diferencias" dataDxfId="33" totalsRowDxfId="32">
      <calculatedColumnFormula>Table3[[#This Row],[Línea A]]-Table3[[#This Row],[Línea B]]</calculatedColumnFormula>
    </tableColumn>
    <tableColumn id="5" xr3:uid="{059C79FF-7207-447D-8F8A-01071ED33D22}" name="D. Absolutas" dataDxfId="31" totalsRowDxfId="30">
      <calculatedColumnFormula>ABS(Table3[[#This Row],[Diferencias]])</calculatedColumnFormula>
    </tableColumn>
    <tableColumn id="6" xr3:uid="{2E5F356A-3543-4F95-B07A-3129C5BB19D4}" name="Rank" dataDxfId="29" totalsRowDxfId="28">
      <calculatedColumnFormula>_xlfn.RANK.AVG(Table3[[#This Row],[D. Absolutas]],Table3[D. Absolutas])</calculatedColumnFormula>
    </tableColumn>
    <tableColumn id="7" xr3:uid="{14FE352A-CC78-48BC-BD7E-CC236075D8BF}" name="&quot;-&quot;" dataDxfId="27" totalsRowDxfId="26">
      <calculatedColumnFormula>IF(Table3[[#This Row],[Diferencias]]&lt;0,1,"")</calculatedColumnFormula>
    </tableColumn>
    <tableColumn id="8" xr3:uid="{7690C625-A098-4D36-927C-FC86F165D52F}" name="&quot;+&quot;" totalsRowFunction="sum" dataDxfId="25" totalsRowDxfId="24">
      <calculatedColumnFormula>IF(Table3[[#This Row],[Diferencias]]&gt;0,1,"")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E84948-8D2D-40B9-BECC-A766E58FBA73}" name="Table4" displayName="Table4" ref="A2:F20" totalsRowShown="0" headerRowDxfId="23" dataDxfId="22">
  <autoFilter ref="A2:F20" xr:uid="{6F16A58C-2A3D-401A-8BC3-D3C1D4163179}"/>
  <tableColumns count="6">
    <tableColumn id="1" xr3:uid="{041BDBA5-059F-4647-AC49-2F879AFE8D6A}" name="A" dataDxfId="21"/>
    <tableColumn id="2" xr3:uid="{FFB9F69B-7EE6-451D-8907-03576C37BE52}" name="B" dataDxfId="20"/>
    <tableColumn id="3" xr3:uid="{57C7868E-5915-4C6D-B0B8-A13C307298FA}" name="C" dataDxfId="19"/>
    <tableColumn id="6" xr3:uid="{F5CA0EC5-6571-4C38-A953-36457764FBB8}" name="Column1" dataDxfId="18"/>
    <tableColumn id="4" xr3:uid="{D267C921-6709-4217-968F-81EB88A06F43}" name="Stack" dataDxfId="17"/>
    <tableColumn id="5" xr3:uid="{BDCDC3AF-9AFB-42E6-88C5-E8E8FDBDE9D1}" name="Ranking" dataDxfId="16">
      <calculatedColumnFormula>_xlfn.RANK.AVG(Table4[[#This Row],[Stack]],$E$3:$E$20,1)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D74B11-2799-4244-BBE8-3A574762DD0D}" name="Table5" displayName="Table5" ref="A1:G14" totalsRowCount="1" headerRowDxfId="15" dataDxfId="14">
  <autoFilter ref="A1:G13" xr:uid="{4B4B3D2A-A2AC-4AF3-ADEB-288AFC077AEF}"/>
  <tableColumns count="7">
    <tableColumn id="1" xr3:uid="{4B398225-F189-4F89-8204-55953BC5C6D1}" name="Votante" dataDxfId="13" totalsRowDxfId="12"/>
    <tableColumn id="2" xr3:uid="{952DF51B-8176-4CB9-B0F5-A0785DF9AC30}" name="Calificación" dataDxfId="11" totalsRowDxfId="10"/>
    <tableColumn id="3" xr3:uid="{E650532A-4064-420E-B622-0D8BC83BE243}" name="Distancia" dataDxfId="9" totalsRowDxfId="8"/>
    <tableColumn id="4" xr3:uid="{E11B6D84-C130-4631-9B6F-9DE26B5F8A1F}" name="Rank Calificación " dataDxfId="7" totalsRowDxfId="6">
      <calculatedColumnFormula>_xlfn.RANK.AVG(Table5[[#This Row],[Calificación]],Table5[Calificación],1)</calculatedColumnFormula>
    </tableColumn>
    <tableColumn id="5" xr3:uid="{BF585ABD-75E1-45CA-A41B-1B97A8BF96F1}" name="Rank Distancia" dataDxfId="5" totalsRowDxfId="4">
      <calculatedColumnFormula>_xlfn.RANK.AVG(Table5[[#This Row],[Distancia]],Table5[Distancia],1)</calculatedColumnFormula>
    </tableColumn>
    <tableColumn id="6" xr3:uid="{717BEEF0-C98D-49DA-9F35-CEB696BD9277}" name="d sub i" dataDxfId="3" totalsRowDxfId="2">
      <calculatedColumnFormula>Table5[[#This Row],[Rank Calificación ]]-Table5[[#This Row],[Rank Distancia]]</calculatedColumnFormula>
    </tableColumn>
    <tableColumn id="7" xr3:uid="{9EF5DCA9-0712-4B3D-854A-AB134BC72269}" name="d sub i ^2" totalsRowFunction="sum" dataDxfId="1" totalsRowDxfId="0">
      <calculatedColumnFormula>Table5[[#This Row],[d sub i]]^2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H28" sqref="H28"/>
    </sheetView>
  </sheetViews>
  <sheetFormatPr defaultColWidth="11.42578125" defaultRowHeight="15" x14ac:dyDescent="0.25"/>
  <cols>
    <col min="1" max="1" width="14" bestFit="1" customWidth="1"/>
    <col min="2" max="2" width="10.7109375" style="1" bestFit="1" customWidth="1"/>
    <col min="3" max="3" width="13.140625" style="1" bestFit="1" customWidth="1"/>
    <col min="4" max="4" width="15.5703125" style="1" bestFit="1" customWidth="1"/>
    <col min="5" max="5" width="10.85546875" bestFit="1" customWidth="1"/>
    <col min="6" max="6" width="12.5703125" bestFit="1" customWidth="1"/>
    <col min="7" max="7" width="8.28515625" style="3" bestFit="1" customWidth="1"/>
    <col min="8" max="8" width="8.5703125" style="3" bestFit="1" customWidth="1"/>
    <col min="9" max="9" width="4" style="3" bestFit="1" customWidth="1"/>
    <col min="10" max="10" width="11.5703125" style="3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  <c r="F1" s="1" t="s">
        <v>20</v>
      </c>
      <c r="G1" s="4" t="s">
        <v>15</v>
      </c>
      <c r="H1" s="4" t="s">
        <v>14</v>
      </c>
    </row>
    <row r="2" spans="1:9" x14ac:dyDescent="0.25">
      <c r="A2" s="1">
        <v>1</v>
      </c>
      <c r="B2" s="1">
        <v>66</v>
      </c>
      <c r="C2" s="1">
        <v>71</v>
      </c>
      <c r="D2" s="1">
        <f>Table1[[#This Row],[Antes]]-Table1[[#This Row],[Después]]</f>
        <v>-5</v>
      </c>
      <c r="E2" s="1">
        <f>ABS(Table1[[#This Row],[Diferencias]])</f>
        <v>5</v>
      </c>
      <c r="F2" s="1">
        <f>_xlfn.RANK.AVG(Table1[[#This Row],[D. Absolutas.]],Table1[D. Absolutas.],1)</f>
        <v>5</v>
      </c>
      <c r="G2" s="8">
        <f>IF(Table1[[#This Row],[Diferencias]]&lt;0,1,0)</f>
        <v>1</v>
      </c>
      <c r="H2" s="8">
        <f>IF(0&lt;Table1[[#This Row],[Diferencias]],1,0)</f>
        <v>0</v>
      </c>
    </row>
    <row r="3" spans="1:9" x14ac:dyDescent="0.25">
      <c r="A3" s="1">
        <v>2</v>
      </c>
      <c r="B3" s="1">
        <v>80</v>
      </c>
      <c r="C3" s="1">
        <v>82</v>
      </c>
      <c r="D3" s="1">
        <f>Table1[[#This Row],[Antes]]-Table1[[#This Row],[Después]]</f>
        <v>-2</v>
      </c>
      <c r="E3" s="1">
        <f>ABS(Table1[[#This Row],[Diferencias]])</f>
        <v>2</v>
      </c>
      <c r="F3" s="1">
        <f>_xlfn.RANK.AVG(Table1[[#This Row],[D. Absolutas.]],Table1[D. Absolutas.],1)</f>
        <v>2.5</v>
      </c>
      <c r="G3" s="8">
        <f>IF(Table1[[#This Row],[Diferencias]]&lt;0,1,0)</f>
        <v>1</v>
      </c>
      <c r="H3" s="9">
        <f>IF(0&lt;Table1[[#This Row],[Diferencias]],1,0)</f>
        <v>0</v>
      </c>
      <c r="I3" s="5"/>
    </row>
    <row r="4" spans="1:9" x14ac:dyDescent="0.25">
      <c r="A4" s="1">
        <v>3</v>
      </c>
      <c r="B4" s="1">
        <v>69</v>
      </c>
      <c r="C4" s="1">
        <v>68</v>
      </c>
      <c r="D4" s="1">
        <f>Table1[[#This Row],[Antes]]-Table1[[#This Row],[Después]]</f>
        <v>1</v>
      </c>
      <c r="E4" s="1">
        <f>ABS(Table1[[#This Row],[Diferencias]])</f>
        <v>1</v>
      </c>
      <c r="F4" s="1">
        <f>_xlfn.RANK.AVG(Table1[[#This Row],[D. Absolutas.]],Table1[D. Absolutas.],1)</f>
        <v>1</v>
      </c>
      <c r="G4" s="8">
        <f>IF(Table1[[#This Row],[Diferencias]]&lt;0,1,0)</f>
        <v>0</v>
      </c>
      <c r="H4" s="8">
        <f>IF(0&lt;Table1[[#This Row],[Diferencias]],1,0)</f>
        <v>1</v>
      </c>
    </row>
    <row r="5" spans="1:9" x14ac:dyDescent="0.25">
      <c r="A5" s="1">
        <v>4</v>
      </c>
      <c r="B5" s="1">
        <v>52</v>
      </c>
      <c r="C5" s="1">
        <v>56</v>
      </c>
      <c r="D5" s="1">
        <f>Table1[[#This Row],[Antes]]-Table1[[#This Row],[Después]]</f>
        <v>-4</v>
      </c>
      <c r="E5" s="1">
        <f>ABS(Table1[[#This Row],[Diferencias]])</f>
        <v>4</v>
      </c>
      <c r="F5" s="1">
        <f>_xlfn.RANK.AVG(Table1[[#This Row],[D. Absolutas.]],Table1[D. Absolutas.],1)</f>
        <v>4</v>
      </c>
      <c r="G5" s="8">
        <f>IF(Table1[[#This Row],[Diferencias]]&lt;0,1,0)</f>
        <v>1</v>
      </c>
      <c r="H5" s="8">
        <f>IF(0&lt;Table1[[#This Row],[Diferencias]],1,0)</f>
        <v>0</v>
      </c>
    </row>
    <row r="6" spans="1:9" x14ac:dyDescent="0.25">
      <c r="A6" s="1">
        <v>5</v>
      </c>
      <c r="B6" s="1">
        <v>75</v>
      </c>
      <c r="C6" s="1">
        <v>73</v>
      </c>
      <c r="D6" s="1">
        <f>Table1[[#This Row],[Antes]]-Table1[[#This Row],[Después]]</f>
        <v>2</v>
      </c>
      <c r="E6" s="1">
        <f>ABS(Table1[[#This Row],[Diferencias]])</f>
        <v>2</v>
      </c>
      <c r="F6" s="1">
        <f>_xlfn.RANK.AVG(Table1[[#This Row],[D. Absolutas.]],Table1[D. Absolutas.],1)</f>
        <v>2.5</v>
      </c>
      <c r="G6" s="8">
        <f>IF(Table1[[#This Row],[Diferencias]]&lt;0,1,0)</f>
        <v>0</v>
      </c>
      <c r="H6" s="8">
        <f>IF(0&lt;Table1[[#This Row],[Diferencias]],1,0)</f>
        <v>1</v>
      </c>
    </row>
    <row r="7" spans="1:9" x14ac:dyDescent="0.25">
      <c r="A7" s="1"/>
      <c r="D7" s="10"/>
      <c r="E7" s="10"/>
      <c r="F7" s="10"/>
      <c r="G7" s="8">
        <f>SUBTOTAL(109,Table1["-"])</f>
        <v>3</v>
      </c>
      <c r="H7" s="8">
        <f>SUBTOTAL(109,Table1["+"])</f>
        <v>2</v>
      </c>
    </row>
    <row r="9" spans="1:9" x14ac:dyDescent="0.25">
      <c r="B9" s="3" t="s">
        <v>14</v>
      </c>
      <c r="C9" s="7">
        <f>Table1[[#Totals],["+"]]</f>
        <v>2</v>
      </c>
      <c r="E9" t="s">
        <v>22</v>
      </c>
      <c r="I9" s="6"/>
    </row>
    <row r="10" spans="1:9" x14ac:dyDescent="0.25">
      <c r="B10" t="s">
        <v>17</v>
      </c>
      <c r="C10" s="2">
        <f>COUNT(Table1[D. Absolutas.])</f>
        <v>5</v>
      </c>
      <c r="D10" s="2"/>
      <c r="E10" s="11">
        <v>0</v>
      </c>
      <c r="F10" s="12">
        <f t="shared" ref="F10:F15" si="0">_xlfn.BINOM.DIST(E10,$C$10,$C$11,0)</f>
        <v>3.125E-2</v>
      </c>
      <c r="I10" s="2"/>
    </row>
    <row r="11" spans="1:9" x14ac:dyDescent="0.25">
      <c r="B11" t="s">
        <v>21</v>
      </c>
      <c r="C11" s="2">
        <v>0.5</v>
      </c>
      <c r="D11" s="2"/>
      <c r="E11" s="11">
        <v>1</v>
      </c>
      <c r="F11" s="12">
        <f t="shared" si="0"/>
        <v>0.15624999999999992</v>
      </c>
    </row>
    <row r="12" spans="1:9" x14ac:dyDescent="0.25">
      <c r="B12" s="2"/>
      <c r="C12" s="2"/>
      <c r="D12" s="2"/>
      <c r="E12" s="11">
        <v>2</v>
      </c>
      <c r="F12" s="12">
        <f t="shared" si="0"/>
        <v>0.3125</v>
      </c>
      <c r="G12"/>
      <c r="I12" s="2"/>
    </row>
    <row r="13" spans="1:9" x14ac:dyDescent="0.25">
      <c r="B13" s="2" t="s">
        <v>23</v>
      </c>
      <c r="C13" s="2">
        <f>SUM(F10:F12)</f>
        <v>0.49999999999999989</v>
      </c>
      <c r="D13" s="2"/>
      <c r="E13" s="2">
        <v>3</v>
      </c>
      <c r="F13">
        <f t="shared" si="0"/>
        <v>0.3125</v>
      </c>
      <c r="G13"/>
      <c r="I13" s="2"/>
    </row>
    <row r="14" spans="1:9" x14ac:dyDescent="0.25">
      <c r="B14" s="2" t="s">
        <v>26</v>
      </c>
      <c r="C14" s="2">
        <f>2*C13</f>
        <v>0.99999999999999978</v>
      </c>
      <c r="D14" s="2"/>
      <c r="E14" s="2">
        <v>4</v>
      </c>
      <c r="F14">
        <f t="shared" si="0"/>
        <v>0.15624999999999992</v>
      </c>
      <c r="G14"/>
      <c r="I14" s="2"/>
    </row>
    <row r="15" spans="1:9" x14ac:dyDescent="0.25">
      <c r="B15" s="2" t="s">
        <v>24</v>
      </c>
      <c r="C15" s="2">
        <v>0.05</v>
      </c>
      <c r="D15" s="2"/>
      <c r="E15" s="2">
        <v>5</v>
      </c>
      <c r="F15">
        <f t="shared" si="0"/>
        <v>3.125E-2</v>
      </c>
      <c r="G15"/>
    </row>
    <row r="16" spans="1:9" x14ac:dyDescent="0.25">
      <c r="B16" s="2" t="s">
        <v>25</v>
      </c>
      <c r="C16" s="16" t="str">
        <f>IF(C13&lt;=C15,"Reject","Fail to reject")</f>
        <v>Fail to reject</v>
      </c>
      <c r="D16" s="2"/>
      <c r="G16"/>
    </row>
    <row r="17" spans="2:5" ht="15.75" thickBot="1" x14ac:dyDescent="0.3">
      <c r="B17" s="2"/>
      <c r="C17" s="2"/>
      <c r="D17" s="2"/>
      <c r="E17" s="2"/>
    </row>
    <row r="18" spans="2:5" x14ac:dyDescent="0.25">
      <c r="B18" s="19" t="s">
        <v>1</v>
      </c>
      <c r="C18" s="19"/>
      <c r="D18" s="19" t="s">
        <v>2</v>
      </c>
      <c r="E18" s="19"/>
    </row>
    <row r="19" spans="2:5" x14ac:dyDescent="0.25">
      <c r="B19" s="2"/>
      <c r="C19" s="2"/>
      <c r="D19" s="2"/>
      <c r="E19" s="2"/>
    </row>
    <row r="20" spans="2:5" x14ac:dyDescent="0.25">
      <c r="B20" s="2" t="s">
        <v>65</v>
      </c>
      <c r="C20" s="2">
        <v>68.400000000000006</v>
      </c>
      <c r="D20" s="2" t="s">
        <v>65</v>
      </c>
      <c r="E20" s="2">
        <v>70</v>
      </c>
    </row>
    <row r="21" spans="2:5" x14ac:dyDescent="0.25">
      <c r="B21" s="2" t="s">
        <v>66</v>
      </c>
      <c r="C21" s="2">
        <v>4.7602520941647652</v>
      </c>
      <c r="D21" s="2" t="s">
        <v>66</v>
      </c>
      <c r="E21" s="2">
        <v>4.2071367935925252</v>
      </c>
    </row>
    <row r="22" spans="2:5" x14ac:dyDescent="0.25">
      <c r="B22" s="2" t="s">
        <v>67</v>
      </c>
      <c r="C22" s="2">
        <v>69</v>
      </c>
      <c r="D22" s="2" t="s">
        <v>67</v>
      </c>
      <c r="E22" s="2">
        <v>71</v>
      </c>
    </row>
    <row r="23" spans="2:5" x14ac:dyDescent="0.25">
      <c r="B23" s="2" t="s">
        <v>68</v>
      </c>
      <c r="C23" s="2" t="e">
        <v>#N/A</v>
      </c>
      <c r="D23" s="2" t="s">
        <v>68</v>
      </c>
      <c r="E23" s="2" t="e">
        <v>#N/A</v>
      </c>
    </row>
    <row r="24" spans="2:5" x14ac:dyDescent="0.25">
      <c r="B24" s="2" t="s">
        <v>69</v>
      </c>
      <c r="C24" s="2">
        <v>10.644247272588146</v>
      </c>
      <c r="D24" s="2" t="s">
        <v>69</v>
      </c>
      <c r="E24" s="2">
        <v>9.4074438611133893</v>
      </c>
    </row>
    <row r="25" spans="2:5" x14ac:dyDescent="0.25">
      <c r="B25" s="2" t="s">
        <v>70</v>
      </c>
      <c r="C25" s="2">
        <v>113.30000000000018</v>
      </c>
      <c r="D25" s="2" t="s">
        <v>70</v>
      </c>
      <c r="E25" s="2">
        <v>88.5</v>
      </c>
    </row>
    <row r="26" spans="2:5" x14ac:dyDescent="0.25">
      <c r="B26" s="2" t="s">
        <v>71</v>
      </c>
      <c r="C26" s="2">
        <v>0.99523326911737264</v>
      </c>
      <c r="D26" s="2" t="s">
        <v>71</v>
      </c>
      <c r="E26" s="2">
        <v>1.4560949918605761</v>
      </c>
    </row>
    <row r="27" spans="2:5" x14ac:dyDescent="0.25">
      <c r="B27" s="2" t="s">
        <v>72</v>
      </c>
      <c r="C27" s="2">
        <v>-0.89005475799793754</v>
      </c>
      <c r="D27" s="2" t="s">
        <v>72</v>
      </c>
      <c r="E27" s="2">
        <v>-0.49846330267318534</v>
      </c>
    </row>
    <row r="28" spans="2:5" x14ac:dyDescent="0.25">
      <c r="B28" s="2" t="s">
        <v>73</v>
      </c>
      <c r="C28" s="2">
        <v>28</v>
      </c>
      <c r="D28" s="2" t="s">
        <v>73</v>
      </c>
      <c r="E28" s="2">
        <v>26</v>
      </c>
    </row>
    <row r="29" spans="2:5" x14ac:dyDescent="0.25">
      <c r="B29" s="2" t="s">
        <v>74</v>
      </c>
      <c r="C29" s="2">
        <v>52</v>
      </c>
      <c r="D29" s="2" t="s">
        <v>74</v>
      </c>
      <c r="E29" s="2">
        <v>56</v>
      </c>
    </row>
    <row r="30" spans="2:5" x14ac:dyDescent="0.25">
      <c r="B30" s="2" t="s">
        <v>75</v>
      </c>
      <c r="C30" s="2">
        <v>80</v>
      </c>
      <c r="D30" s="2" t="s">
        <v>75</v>
      </c>
      <c r="E30" s="2">
        <v>82</v>
      </c>
    </row>
    <row r="31" spans="2:5" x14ac:dyDescent="0.25">
      <c r="B31" s="2" t="s">
        <v>76</v>
      </c>
      <c r="C31" s="2">
        <v>342</v>
      </c>
      <c r="D31" s="2" t="s">
        <v>76</v>
      </c>
      <c r="E31" s="2">
        <v>350</v>
      </c>
    </row>
    <row r="32" spans="2:5" ht="15.75" thickBot="1" x14ac:dyDescent="0.3">
      <c r="B32" s="18" t="s">
        <v>77</v>
      </c>
      <c r="C32" s="18">
        <v>5</v>
      </c>
      <c r="D32" s="18" t="s">
        <v>77</v>
      </c>
      <c r="E32" s="18">
        <v>5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B28" sqref="B28:E42"/>
    </sheetView>
  </sheetViews>
  <sheetFormatPr defaultColWidth="11.42578125" defaultRowHeight="15" x14ac:dyDescent="0.25"/>
  <sheetData>
    <row r="1" spans="1:7" x14ac:dyDescent="0.25">
      <c r="A1" t="s">
        <v>3</v>
      </c>
      <c r="B1" t="s">
        <v>4</v>
      </c>
      <c r="C1" t="s">
        <v>34</v>
      </c>
      <c r="D1" t="s">
        <v>33</v>
      </c>
    </row>
    <row r="2" spans="1:7" x14ac:dyDescent="0.25">
      <c r="A2">
        <v>3</v>
      </c>
      <c r="B2">
        <v>1</v>
      </c>
      <c r="C2">
        <f>A2</f>
        <v>3</v>
      </c>
      <c r="D2">
        <f>_xlfn.RANK.AVG(C2,$C$2:$C$21,1)</f>
        <v>11.5</v>
      </c>
      <c r="F2" t="s">
        <v>60</v>
      </c>
      <c r="G2">
        <f>SUM(D2:D11)+0.5</f>
        <v>133</v>
      </c>
    </row>
    <row r="3" spans="1:7" x14ac:dyDescent="0.25">
      <c r="A3">
        <v>6</v>
      </c>
      <c r="B3">
        <v>0</v>
      </c>
      <c r="C3">
        <f t="shared" ref="C3:C11" si="0">A3</f>
        <v>6</v>
      </c>
      <c r="D3">
        <f t="shared" ref="D3:D21" si="1">_xlfn.RANK.AVG(C3,$C$2:$C$21,1)</f>
        <v>16</v>
      </c>
      <c r="F3" t="s">
        <v>61</v>
      </c>
      <c r="G3">
        <f>SUM(D12:D21)</f>
        <v>77.5</v>
      </c>
    </row>
    <row r="4" spans="1:7" x14ac:dyDescent="0.25">
      <c r="A4">
        <v>4</v>
      </c>
      <c r="B4">
        <v>4</v>
      </c>
      <c r="C4">
        <f t="shared" si="0"/>
        <v>4</v>
      </c>
      <c r="D4">
        <f t="shared" si="1"/>
        <v>13.5</v>
      </c>
      <c r="F4" t="s">
        <v>62</v>
      </c>
      <c r="G4">
        <f>COUNT(A2:A11)</f>
        <v>10</v>
      </c>
    </row>
    <row r="5" spans="1:7" x14ac:dyDescent="0.25">
      <c r="A5">
        <v>8</v>
      </c>
      <c r="B5">
        <v>1</v>
      </c>
      <c r="C5">
        <f t="shared" si="0"/>
        <v>8</v>
      </c>
      <c r="D5">
        <f t="shared" si="1"/>
        <v>19.5</v>
      </c>
      <c r="F5" t="s">
        <v>63</v>
      </c>
      <c r="G5">
        <f>COUNT(B2:B11)</f>
        <v>10</v>
      </c>
    </row>
    <row r="6" spans="1:7" x14ac:dyDescent="0.25">
      <c r="A6">
        <v>7</v>
      </c>
      <c r="B6">
        <v>2</v>
      </c>
      <c r="C6">
        <f t="shared" si="0"/>
        <v>7</v>
      </c>
      <c r="D6">
        <f t="shared" si="1"/>
        <v>17.5</v>
      </c>
    </row>
    <row r="7" spans="1:7" x14ac:dyDescent="0.25">
      <c r="A7">
        <v>1</v>
      </c>
      <c r="B7">
        <v>5</v>
      </c>
      <c r="C7">
        <f t="shared" si="0"/>
        <v>1</v>
      </c>
      <c r="D7">
        <f t="shared" si="1"/>
        <v>4.5</v>
      </c>
      <c r="F7" t="s">
        <v>27</v>
      </c>
      <c r="G7">
        <f>(G4*(G4+G5+1))/2</f>
        <v>105</v>
      </c>
    </row>
    <row r="8" spans="1:7" x14ac:dyDescent="0.25">
      <c r="A8">
        <v>1</v>
      </c>
      <c r="B8">
        <v>0</v>
      </c>
      <c r="C8">
        <f t="shared" si="0"/>
        <v>1</v>
      </c>
      <c r="D8">
        <f t="shared" si="1"/>
        <v>4.5</v>
      </c>
      <c r="F8" t="s">
        <v>64</v>
      </c>
      <c r="G8">
        <f>SQRT( (G4*G5*(G4+G5+1))/12)</f>
        <v>13.228756555322953</v>
      </c>
    </row>
    <row r="9" spans="1:7" x14ac:dyDescent="0.25">
      <c r="A9">
        <v>2</v>
      </c>
      <c r="B9">
        <v>2</v>
      </c>
      <c r="C9">
        <f t="shared" si="0"/>
        <v>2</v>
      </c>
      <c r="D9">
        <f t="shared" si="1"/>
        <v>8.5</v>
      </c>
    </row>
    <row r="10" spans="1:7" x14ac:dyDescent="0.25">
      <c r="A10">
        <v>7</v>
      </c>
      <c r="B10">
        <v>2</v>
      </c>
      <c r="C10">
        <f t="shared" si="0"/>
        <v>7</v>
      </c>
      <c r="D10">
        <f t="shared" si="1"/>
        <v>17.5</v>
      </c>
      <c r="F10" t="s">
        <v>28</v>
      </c>
      <c r="G10">
        <f>(G2-G7)/G8</f>
        <v>2.1166010488516727</v>
      </c>
    </row>
    <row r="11" spans="1:7" x14ac:dyDescent="0.25">
      <c r="A11">
        <v>8</v>
      </c>
      <c r="B11">
        <v>3</v>
      </c>
      <c r="C11">
        <f t="shared" si="0"/>
        <v>8</v>
      </c>
      <c r="D11">
        <f t="shared" si="1"/>
        <v>19.5</v>
      </c>
      <c r="F11" t="s">
        <v>23</v>
      </c>
      <c r="G11">
        <f>1-_xlfn.NORM.S.DIST(G10,1)</f>
        <v>1.7146860518246432E-2</v>
      </c>
    </row>
    <row r="12" spans="1:7" x14ac:dyDescent="0.25">
      <c r="C12">
        <f>B2</f>
        <v>1</v>
      </c>
      <c r="D12">
        <f t="shared" si="1"/>
        <v>4.5</v>
      </c>
      <c r="F12" t="s">
        <v>30</v>
      </c>
      <c r="G12">
        <f>2*G11</f>
        <v>3.4293721036492864E-2</v>
      </c>
    </row>
    <row r="13" spans="1:7" x14ac:dyDescent="0.25">
      <c r="C13">
        <f t="shared" ref="C13:C21" si="2">B3</f>
        <v>0</v>
      </c>
      <c r="D13">
        <f t="shared" si="1"/>
        <v>1.5</v>
      </c>
      <c r="F13" t="s">
        <v>31</v>
      </c>
      <c r="G13" t="str">
        <f>IF(G12&lt;=0.05,"reject","fail to reject")</f>
        <v>reject</v>
      </c>
    </row>
    <row r="14" spans="1:7" x14ac:dyDescent="0.25">
      <c r="C14">
        <f t="shared" si="2"/>
        <v>4</v>
      </c>
      <c r="D14">
        <f t="shared" si="1"/>
        <v>13.5</v>
      </c>
    </row>
    <row r="15" spans="1:7" x14ac:dyDescent="0.25">
      <c r="C15">
        <f t="shared" si="2"/>
        <v>1</v>
      </c>
      <c r="D15">
        <f t="shared" si="1"/>
        <v>4.5</v>
      </c>
    </row>
    <row r="16" spans="1:7" x14ac:dyDescent="0.25">
      <c r="C16">
        <f t="shared" si="2"/>
        <v>2</v>
      </c>
      <c r="D16">
        <f t="shared" si="1"/>
        <v>8.5</v>
      </c>
    </row>
    <row r="17" spans="2:5" x14ac:dyDescent="0.25">
      <c r="C17">
        <f t="shared" si="2"/>
        <v>5</v>
      </c>
      <c r="D17">
        <f t="shared" si="1"/>
        <v>15</v>
      </c>
    </row>
    <row r="18" spans="2:5" x14ac:dyDescent="0.25">
      <c r="C18">
        <f t="shared" si="2"/>
        <v>0</v>
      </c>
      <c r="D18">
        <f t="shared" si="1"/>
        <v>1.5</v>
      </c>
    </row>
    <row r="19" spans="2:5" x14ac:dyDescent="0.25">
      <c r="C19">
        <f t="shared" si="2"/>
        <v>2</v>
      </c>
      <c r="D19">
        <f t="shared" si="1"/>
        <v>8.5</v>
      </c>
    </row>
    <row r="20" spans="2:5" x14ac:dyDescent="0.25">
      <c r="C20">
        <f t="shared" si="2"/>
        <v>2</v>
      </c>
      <c r="D20">
        <f t="shared" si="1"/>
        <v>8.5</v>
      </c>
    </row>
    <row r="21" spans="2:5" x14ac:dyDescent="0.25">
      <c r="C21">
        <f t="shared" si="2"/>
        <v>3</v>
      </c>
      <c r="D21">
        <f t="shared" si="1"/>
        <v>11.5</v>
      </c>
    </row>
    <row r="27" spans="2:5" ht="15.75" thickBot="1" x14ac:dyDescent="0.3"/>
    <row r="28" spans="2:5" x14ac:dyDescent="0.25">
      <c r="B28" s="19" t="s">
        <v>3</v>
      </c>
      <c r="C28" s="19"/>
      <c r="D28" s="19" t="s">
        <v>4</v>
      </c>
      <c r="E28" s="19"/>
    </row>
    <row r="29" spans="2:5" x14ac:dyDescent="0.25">
      <c r="B29" s="2"/>
      <c r="C29" s="2"/>
      <c r="D29" s="2"/>
      <c r="E29" s="2"/>
    </row>
    <row r="30" spans="2:5" x14ac:dyDescent="0.25">
      <c r="B30" s="2" t="s">
        <v>65</v>
      </c>
      <c r="C30" s="2">
        <v>4.7</v>
      </c>
      <c r="D30" s="2" t="s">
        <v>65</v>
      </c>
      <c r="E30" s="2">
        <v>2</v>
      </c>
    </row>
    <row r="31" spans="2:5" x14ac:dyDescent="0.25">
      <c r="B31" s="2" t="s">
        <v>66</v>
      </c>
      <c r="C31" s="2">
        <v>0.89504810547317015</v>
      </c>
      <c r="D31" s="2" t="s">
        <v>66</v>
      </c>
      <c r="E31" s="2">
        <v>0.5163977794943222</v>
      </c>
    </row>
    <row r="32" spans="2:5" x14ac:dyDescent="0.25">
      <c r="B32" s="2" t="s">
        <v>67</v>
      </c>
      <c r="C32" s="2">
        <v>5</v>
      </c>
      <c r="D32" s="2" t="s">
        <v>67</v>
      </c>
      <c r="E32" s="2">
        <v>2</v>
      </c>
    </row>
    <row r="33" spans="2:5" x14ac:dyDescent="0.25">
      <c r="B33" s="2" t="s">
        <v>68</v>
      </c>
      <c r="C33" s="2">
        <v>8</v>
      </c>
      <c r="D33" s="2" t="s">
        <v>68</v>
      </c>
      <c r="E33" s="2">
        <v>2</v>
      </c>
    </row>
    <row r="34" spans="2:5" x14ac:dyDescent="0.25">
      <c r="B34" s="2" t="s">
        <v>69</v>
      </c>
      <c r="C34" s="2">
        <v>2.8303906287138374</v>
      </c>
      <c r="D34" s="2" t="s">
        <v>69</v>
      </c>
      <c r="E34" s="2">
        <v>1.6329931618554521</v>
      </c>
    </row>
    <row r="35" spans="2:5" x14ac:dyDescent="0.25">
      <c r="B35" s="2" t="s">
        <v>70</v>
      </c>
      <c r="C35" s="2">
        <v>8.0111111111111111</v>
      </c>
      <c r="D35" s="2" t="s">
        <v>70</v>
      </c>
      <c r="E35" s="2">
        <v>2.6666666666666665</v>
      </c>
    </row>
    <row r="36" spans="2:5" x14ac:dyDescent="0.25">
      <c r="B36" s="2" t="s">
        <v>71</v>
      </c>
      <c r="C36" s="2">
        <v>-1.8479634019962701</v>
      </c>
      <c r="D36" s="2" t="s">
        <v>71</v>
      </c>
      <c r="E36" s="2">
        <v>-0.28794642857142883</v>
      </c>
    </row>
    <row r="37" spans="2:5" x14ac:dyDescent="0.25">
      <c r="B37" s="2" t="s">
        <v>72</v>
      </c>
      <c r="C37" s="2">
        <v>-0.17052874723486133</v>
      </c>
      <c r="D37" s="2" t="s">
        <v>72</v>
      </c>
      <c r="E37" s="2">
        <v>0.57409915846480752</v>
      </c>
    </row>
    <row r="38" spans="2:5" x14ac:dyDescent="0.25">
      <c r="B38" s="2" t="s">
        <v>73</v>
      </c>
      <c r="C38" s="2">
        <v>7</v>
      </c>
      <c r="D38" s="2" t="s">
        <v>73</v>
      </c>
      <c r="E38" s="2">
        <v>5</v>
      </c>
    </row>
    <row r="39" spans="2:5" x14ac:dyDescent="0.25">
      <c r="B39" s="2" t="s">
        <v>74</v>
      </c>
      <c r="C39" s="2">
        <v>1</v>
      </c>
      <c r="D39" s="2" t="s">
        <v>74</v>
      </c>
      <c r="E39" s="2">
        <v>0</v>
      </c>
    </row>
    <row r="40" spans="2:5" x14ac:dyDescent="0.25">
      <c r="B40" s="2" t="s">
        <v>75</v>
      </c>
      <c r="C40" s="2">
        <v>8</v>
      </c>
      <c r="D40" s="2" t="s">
        <v>75</v>
      </c>
      <c r="E40" s="2">
        <v>5</v>
      </c>
    </row>
    <row r="41" spans="2:5" x14ac:dyDescent="0.25">
      <c r="B41" s="2" t="s">
        <v>76</v>
      </c>
      <c r="C41" s="2">
        <v>47</v>
      </c>
      <c r="D41" s="2" t="s">
        <v>76</v>
      </c>
      <c r="E41" s="2">
        <v>20</v>
      </c>
    </row>
    <row r="42" spans="2:5" ht="15.75" thickBot="1" x14ac:dyDescent="0.3">
      <c r="B42" s="18" t="s">
        <v>77</v>
      </c>
      <c r="C42" s="18">
        <v>10</v>
      </c>
      <c r="D42" s="18" t="s">
        <v>77</v>
      </c>
      <c r="E42" s="18">
        <v>10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9"/>
  <sheetViews>
    <sheetView topLeftCell="I4" workbookViewId="0">
      <selection activeCell="R29" sqref="R29"/>
    </sheetView>
  </sheetViews>
  <sheetFormatPr defaultColWidth="11.42578125" defaultRowHeight="15" x14ac:dyDescent="0.25"/>
  <cols>
    <col min="1" max="3" width="11.42578125" style="1"/>
    <col min="6" max="6" width="11.42578125" style="3"/>
    <col min="7" max="7" width="22.85546875" style="3" bestFit="1" customWidth="1"/>
    <col min="8" max="8" width="12" style="3" bestFit="1" customWidth="1"/>
    <col min="9" max="9" width="11.42578125" style="3"/>
  </cols>
  <sheetData>
    <row r="2" spans="1:8" x14ac:dyDescent="0.25">
      <c r="A2" s="1" t="s">
        <v>5</v>
      </c>
      <c r="B2" s="1" t="s">
        <v>6</v>
      </c>
      <c r="C2" s="1" t="s">
        <v>7</v>
      </c>
      <c r="D2" s="1" t="s">
        <v>18</v>
      </c>
      <c r="E2" s="1" t="s">
        <v>32</v>
      </c>
      <c r="F2" s="4" t="s">
        <v>33</v>
      </c>
      <c r="G2" s="4" t="s">
        <v>15</v>
      </c>
      <c r="H2" s="4" t="s">
        <v>14</v>
      </c>
    </row>
    <row r="3" spans="1:8" x14ac:dyDescent="0.25">
      <c r="A3" s="1">
        <v>1</v>
      </c>
      <c r="B3" s="1">
        <v>170</v>
      </c>
      <c r="C3" s="1">
        <v>201</v>
      </c>
      <c r="D3" s="1">
        <f>Table3[[#This Row],[Línea A]]-Table3[[#This Row],[Línea B]]</f>
        <v>-31</v>
      </c>
      <c r="E3" s="1">
        <f>ABS(Table3[[#This Row],[Diferencias]])</f>
        <v>31</v>
      </c>
      <c r="F3" s="4">
        <f>_xlfn.RANK.AVG(Table3[[#This Row],[D. Absolutas]],Table3[D. Absolutas])</f>
        <v>2</v>
      </c>
      <c r="G3" s="4">
        <f>IF(Table3[[#This Row],[Diferencias]]&lt;0,1,"")</f>
        <v>1</v>
      </c>
      <c r="H3" s="4" t="str">
        <f>IF(Table3[[#This Row],[Diferencias]]&gt;0,1,"")</f>
        <v/>
      </c>
    </row>
    <row r="4" spans="1:8" x14ac:dyDescent="0.25">
      <c r="A4" s="1">
        <v>2</v>
      </c>
      <c r="B4" s="1">
        <v>164</v>
      </c>
      <c r="C4" s="1">
        <v>179</v>
      </c>
      <c r="D4" s="1">
        <f>Table3[[#This Row],[Línea A]]-Table3[[#This Row],[Línea B]]</f>
        <v>-15</v>
      </c>
      <c r="E4" s="1">
        <f>ABS(Table3[[#This Row],[Diferencias]])</f>
        <v>15</v>
      </c>
      <c r="F4" s="4">
        <f>_xlfn.RANK.AVG(Table3[[#This Row],[D. Absolutas]],Table3[D. Absolutas])</f>
        <v>5</v>
      </c>
      <c r="G4" s="15">
        <f>IF(Table3[[#This Row],[Diferencias]]&lt;0,1,"")</f>
        <v>1</v>
      </c>
      <c r="H4" s="15" t="str">
        <f>IF(Table3[[#This Row],[Diferencias]]&gt;0,1,"")</f>
        <v/>
      </c>
    </row>
    <row r="5" spans="1:8" x14ac:dyDescent="0.25">
      <c r="A5" s="1">
        <v>3</v>
      </c>
      <c r="B5" s="1">
        <v>140</v>
      </c>
      <c r="C5" s="1">
        <v>159</v>
      </c>
      <c r="D5" s="1">
        <f>Table3[[#This Row],[Línea A]]-Table3[[#This Row],[Línea B]]</f>
        <v>-19</v>
      </c>
      <c r="E5" s="1">
        <f>ABS(Table3[[#This Row],[Diferencias]])</f>
        <v>19</v>
      </c>
      <c r="F5" s="4">
        <f>_xlfn.RANK.AVG(Table3[[#This Row],[D. Absolutas]],Table3[D. Absolutas])</f>
        <v>4</v>
      </c>
      <c r="G5" s="5">
        <f>IF(Table3[[#This Row],[Diferencias]]&lt;0,1,"")</f>
        <v>1</v>
      </c>
      <c r="H5" s="5" t="str">
        <f>IF(Table3[[#This Row],[Diferencias]]&gt;0,1,"")</f>
        <v/>
      </c>
    </row>
    <row r="6" spans="1:8" x14ac:dyDescent="0.25">
      <c r="A6" s="1">
        <v>4</v>
      </c>
      <c r="B6" s="1">
        <v>184</v>
      </c>
      <c r="C6" s="1">
        <v>195</v>
      </c>
      <c r="D6" s="1">
        <f>Table3[[#This Row],[Línea A]]-Table3[[#This Row],[Línea B]]</f>
        <v>-11</v>
      </c>
      <c r="E6" s="1">
        <f>ABS(Table3[[#This Row],[Diferencias]])</f>
        <v>11</v>
      </c>
      <c r="F6" s="4">
        <f>_xlfn.RANK.AVG(Table3[[#This Row],[D. Absolutas]],Table3[D. Absolutas])</f>
        <v>6</v>
      </c>
      <c r="G6" s="5">
        <f>IF(Table3[[#This Row],[Diferencias]]&lt;0,1,"")</f>
        <v>1</v>
      </c>
      <c r="H6" s="5" t="str">
        <f>IF(Table3[[#This Row],[Diferencias]]&gt;0,1,"")</f>
        <v/>
      </c>
    </row>
    <row r="7" spans="1:8" x14ac:dyDescent="0.25">
      <c r="A7" s="1">
        <v>5</v>
      </c>
      <c r="B7" s="1">
        <v>174</v>
      </c>
      <c r="C7" s="1">
        <v>177</v>
      </c>
      <c r="D7" s="1">
        <f>Table3[[#This Row],[Línea A]]-Table3[[#This Row],[Línea B]]</f>
        <v>-3</v>
      </c>
      <c r="E7" s="1">
        <f>ABS(Table3[[#This Row],[Diferencias]])</f>
        <v>3</v>
      </c>
      <c r="F7" s="4">
        <f>_xlfn.RANK.AVG(Table3[[#This Row],[D. Absolutas]],Table3[D. Absolutas])</f>
        <v>10</v>
      </c>
      <c r="G7" s="5">
        <f>IF(Table3[[#This Row],[Diferencias]]&lt;0,1,"")</f>
        <v>1</v>
      </c>
      <c r="H7" s="5" t="str">
        <f>IF(Table3[[#This Row],[Diferencias]]&gt;0,1,"")</f>
        <v/>
      </c>
    </row>
    <row r="8" spans="1:8" x14ac:dyDescent="0.25">
      <c r="A8" s="1">
        <v>6</v>
      </c>
      <c r="B8" s="1">
        <v>142</v>
      </c>
      <c r="C8" s="1">
        <v>170</v>
      </c>
      <c r="D8" s="1">
        <f>Table3[[#This Row],[Línea A]]-Table3[[#This Row],[Línea B]]</f>
        <v>-28</v>
      </c>
      <c r="E8" s="1">
        <f>ABS(Table3[[#This Row],[Diferencias]])</f>
        <v>28</v>
      </c>
      <c r="F8" s="4">
        <f>_xlfn.RANK.AVG(Table3[[#This Row],[D. Absolutas]],Table3[D. Absolutas])</f>
        <v>3</v>
      </c>
      <c r="G8" s="5">
        <f>IF(Table3[[#This Row],[Diferencias]]&lt;0,1,"")</f>
        <v>1</v>
      </c>
      <c r="H8" s="5" t="str">
        <f>IF(Table3[[#This Row],[Diferencias]]&gt;0,1,"")</f>
        <v/>
      </c>
    </row>
    <row r="9" spans="1:8" x14ac:dyDescent="0.25">
      <c r="A9" s="1">
        <v>7</v>
      </c>
      <c r="B9" s="1">
        <v>191</v>
      </c>
      <c r="C9" s="1">
        <v>183</v>
      </c>
      <c r="D9" s="1">
        <f>Table3[[#This Row],[Línea A]]-Table3[[#This Row],[Línea B]]</f>
        <v>8</v>
      </c>
      <c r="E9" s="1">
        <f>ABS(Table3[[#This Row],[Diferencias]])</f>
        <v>8</v>
      </c>
      <c r="F9" s="4">
        <f>_xlfn.RANK.AVG(Table3[[#This Row],[D. Absolutas]],Table3[D. Absolutas])</f>
        <v>9</v>
      </c>
      <c r="G9" s="5" t="str">
        <f>IF(Table3[[#This Row],[Diferencias]]&lt;0,1,"")</f>
        <v/>
      </c>
      <c r="H9" s="5">
        <f>IF(Table3[[#This Row],[Diferencias]]&gt;0,1,"")</f>
        <v>1</v>
      </c>
    </row>
    <row r="10" spans="1:8" x14ac:dyDescent="0.25">
      <c r="A10" s="1">
        <v>8</v>
      </c>
      <c r="B10" s="1">
        <v>169</v>
      </c>
      <c r="C10" s="1">
        <v>179</v>
      </c>
      <c r="D10" s="1">
        <f>Table3[[#This Row],[Línea A]]-Table3[[#This Row],[Línea B]]</f>
        <v>-10</v>
      </c>
      <c r="E10" s="1">
        <f>ABS(Table3[[#This Row],[Diferencias]])</f>
        <v>10</v>
      </c>
      <c r="F10" s="4">
        <f>_xlfn.RANK.AVG(Table3[[#This Row],[D. Absolutas]],Table3[D. Absolutas])</f>
        <v>7</v>
      </c>
      <c r="G10" s="5">
        <f>IF(Table3[[#This Row],[Diferencias]]&lt;0,1,"")</f>
        <v>1</v>
      </c>
      <c r="H10" s="5" t="str">
        <f>IF(Table3[[#This Row],[Diferencias]]&gt;0,1,"")</f>
        <v/>
      </c>
    </row>
    <row r="11" spans="1:8" x14ac:dyDescent="0.25">
      <c r="A11" s="1">
        <v>9</v>
      </c>
      <c r="B11" s="1">
        <v>161</v>
      </c>
      <c r="C11" s="1">
        <v>170</v>
      </c>
      <c r="D11" s="1">
        <f>Table3[[#This Row],[Línea A]]-Table3[[#This Row],[Línea B]]</f>
        <v>-9</v>
      </c>
      <c r="E11" s="1">
        <f>ABS(Table3[[#This Row],[Diferencias]])</f>
        <v>9</v>
      </c>
      <c r="F11" s="4">
        <f>_xlfn.RANK.AVG(Table3[[#This Row],[D. Absolutas]],Table3[D. Absolutas])</f>
        <v>8</v>
      </c>
      <c r="G11" s="5">
        <f>IF(Table3[[#This Row],[Diferencias]]&lt;0,1,"")</f>
        <v>1</v>
      </c>
      <c r="H11" s="5" t="str">
        <f>IF(Table3[[#This Row],[Diferencias]]&gt;0,1,"")</f>
        <v/>
      </c>
    </row>
    <row r="12" spans="1:8" x14ac:dyDescent="0.25">
      <c r="A12" s="1">
        <v>10</v>
      </c>
      <c r="B12" s="1">
        <v>170</v>
      </c>
      <c r="C12" s="1">
        <v>212</v>
      </c>
      <c r="D12" s="1">
        <f>Table3[[#This Row],[Línea A]]-Table3[[#This Row],[Línea B]]</f>
        <v>-42</v>
      </c>
      <c r="E12" s="1">
        <f>ABS(Table3[[#This Row],[Diferencias]])</f>
        <v>42</v>
      </c>
      <c r="F12" s="4">
        <f>_xlfn.RANK.AVG(Table3[[#This Row],[D. Absolutas]],Table3[D. Absolutas])</f>
        <v>1</v>
      </c>
      <c r="G12" s="5">
        <f>IF(Table3[[#This Row],[Diferencias]]&lt;0,1,"")</f>
        <v>1</v>
      </c>
      <c r="H12" s="5" t="str">
        <f>IF(Table3[[#This Row],[Diferencias]]&gt;0,1,"")</f>
        <v/>
      </c>
    </row>
    <row r="13" spans="1:8" x14ac:dyDescent="0.25">
      <c r="D13" s="10"/>
      <c r="E13" s="10"/>
      <c r="F13" s="8"/>
      <c r="G13" s="9"/>
      <c r="H13" s="9">
        <f>SUBTOTAL(109,Table3["+"])</f>
        <v>1</v>
      </c>
    </row>
    <row r="14" spans="1:8" x14ac:dyDescent="0.25">
      <c r="G14" s="2"/>
      <c r="H14" s="2"/>
    </row>
    <row r="15" spans="1:8" x14ac:dyDescent="0.25">
      <c r="B15" s="3" t="s">
        <v>16</v>
      </c>
      <c r="C15" s="1">
        <f>Table3[[#Totals],["+"]]</f>
        <v>1</v>
      </c>
      <c r="G15" s="2"/>
      <c r="H15" s="2"/>
    </row>
    <row r="16" spans="1:8" x14ac:dyDescent="0.25">
      <c r="B16" t="s">
        <v>17</v>
      </c>
      <c r="C16" s="1">
        <f>COUNT(Table3[Día])</f>
        <v>10</v>
      </c>
      <c r="G16" s="2"/>
      <c r="H16" s="2"/>
    </row>
    <row r="17" spans="2:8" x14ac:dyDescent="0.25">
      <c r="B17" t="s">
        <v>21</v>
      </c>
      <c r="C17" s="1">
        <f>0.5</f>
        <v>0.5</v>
      </c>
      <c r="G17" s="2"/>
      <c r="H17" s="2"/>
    </row>
    <row r="18" spans="2:8" x14ac:dyDescent="0.25">
      <c r="B18" s="2"/>
      <c r="G18" s="2"/>
      <c r="H18" s="2"/>
    </row>
    <row r="19" spans="2:8" x14ac:dyDescent="0.25">
      <c r="B19" s="2" t="s">
        <v>23</v>
      </c>
      <c r="C19" s="1">
        <f>0.0107</f>
        <v>1.0699999999999999E-2</v>
      </c>
    </row>
    <row r="20" spans="2:8" x14ac:dyDescent="0.25">
      <c r="B20" s="2" t="s">
        <v>26</v>
      </c>
      <c r="C20" s="1">
        <f>2*C19</f>
        <v>2.1399999999999999E-2</v>
      </c>
    </row>
    <row r="21" spans="2:8" x14ac:dyDescent="0.25">
      <c r="B21" s="2" t="s">
        <v>24</v>
      </c>
      <c r="C21" s="1">
        <f>0.05</f>
        <v>0.05</v>
      </c>
    </row>
    <row r="22" spans="2:8" x14ac:dyDescent="0.25">
      <c r="B22" s="2" t="s">
        <v>25</v>
      </c>
      <c r="C22" s="13" t="str">
        <f>IF(C20&lt;=C21,"Reject","Fail to reject")</f>
        <v>Reject</v>
      </c>
    </row>
    <row r="24" spans="2:8" ht="15.75" thickBot="1" x14ac:dyDescent="0.3"/>
    <row r="25" spans="2:8" x14ac:dyDescent="0.25">
      <c r="B25" s="19" t="s">
        <v>6</v>
      </c>
      <c r="C25" s="19"/>
      <c r="D25" s="19" t="s">
        <v>7</v>
      </c>
      <c r="E25" s="19"/>
    </row>
    <row r="26" spans="2:8" x14ac:dyDescent="0.25">
      <c r="B26" s="2"/>
      <c r="C26" s="2"/>
      <c r="D26" s="2"/>
      <c r="E26" s="2"/>
    </row>
    <row r="27" spans="2:8" x14ac:dyDescent="0.25">
      <c r="B27" s="2" t="s">
        <v>65</v>
      </c>
      <c r="C27" s="2">
        <v>166.5</v>
      </c>
      <c r="D27" s="2" t="s">
        <v>65</v>
      </c>
      <c r="E27" s="2">
        <v>182.5</v>
      </c>
    </row>
    <row r="28" spans="2:8" x14ac:dyDescent="0.25">
      <c r="B28" s="2" t="s">
        <v>66</v>
      </c>
      <c r="C28" s="2">
        <v>5.0908414497670886</v>
      </c>
      <c r="D28" s="2" t="s">
        <v>66</v>
      </c>
      <c r="E28" s="2">
        <v>5.0425963330191097</v>
      </c>
    </row>
    <row r="29" spans="2:8" x14ac:dyDescent="0.25">
      <c r="B29" s="2" t="s">
        <v>67</v>
      </c>
      <c r="C29" s="2">
        <v>169.5</v>
      </c>
      <c r="D29" s="2" t="s">
        <v>67</v>
      </c>
      <c r="E29" s="2">
        <v>179</v>
      </c>
    </row>
    <row r="30" spans="2:8" x14ac:dyDescent="0.25">
      <c r="B30" s="2" t="s">
        <v>68</v>
      </c>
      <c r="C30" s="2">
        <v>170</v>
      </c>
      <c r="D30" s="2" t="s">
        <v>68</v>
      </c>
      <c r="E30" s="2">
        <v>179</v>
      </c>
    </row>
    <row r="31" spans="2:8" x14ac:dyDescent="0.25">
      <c r="B31" s="2" t="s">
        <v>69</v>
      </c>
      <c r="C31" s="2">
        <v>16.098654188057669</v>
      </c>
      <c r="D31" s="2" t="s">
        <v>69</v>
      </c>
      <c r="E31" s="2">
        <v>15.946089733153322</v>
      </c>
    </row>
    <row r="32" spans="2:8" x14ac:dyDescent="0.25">
      <c r="B32" s="2" t="s">
        <v>70</v>
      </c>
      <c r="C32" s="2">
        <v>259.16666666666669</v>
      </c>
      <c r="D32" s="2" t="s">
        <v>70</v>
      </c>
      <c r="E32" s="2">
        <v>254.27777777777777</v>
      </c>
    </row>
    <row r="33" spans="2:5" x14ac:dyDescent="0.25">
      <c r="B33" s="2" t="s">
        <v>71</v>
      </c>
      <c r="C33" s="2">
        <v>-7.6060893852276656E-2</v>
      </c>
      <c r="D33" s="2" t="s">
        <v>71</v>
      </c>
      <c r="E33" s="2">
        <v>-0.10665014358081493</v>
      </c>
    </row>
    <row r="34" spans="2:5" x14ac:dyDescent="0.25">
      <c r="B34" s="2" t="s">
        <v>72</v>
      </c>
      <c r="C34" s="2">
        <v>-0.42972576154844622</v>
      </c>
      <c r="D34" s="2" t="s">
        <v>72</v>
      </c>
      <c r="E34" s="2">
        <v>0.57617804199258771</v>
      </c>
    </row>
    <row r="35" spans="2:5" x14ac:dyDescent="0.25">
      <c r="B35" s="2" t="s">
        <v>73</v>
      </c>
      <c r="C35" s="2">
        <v>51</v>
      </c>
      <c r="D35" s="2" t="s">
        <v>73</v>
      </c>
      <c r="E35" s="2">
        <v>53</v>
      </c>
    </row>
    <row r="36" spans="2:5" x14ac:dyDescent="0.25">
      <c r="B36" s="2" t="s">
        <v>74</v>
      </c>
      <c r="C36" s="2">
        <v>140</v>
      </c>
      <c r="D36" s="2" t="s">
        <v>74</v>
      </c>
      <c r="E36" s="2">
        <v>159</v>
      </c>
    </row>
    <row r="37" spans="2:5" x14ac:dyDescent="0.25">
      <c r="B37" s="2" t="s">
        <v>75</v>
      </c>
      <c r="C37" s="2">
        <v>191</v>
      </c>
      <c r="D37" s="2" t="s">
        <v>75</v>
      </c>
      <c r="E37" s="2">
        <v>212</v>
      </c>
    </row>
    <row r="38" spans="2:5" x14ac:dyDescent="0.25">
      <c r="B38" s="2" t="s">
        <v>76</v>
      </c>
      <c r="C38" s="2">
        <v>1665</v>
      </c>
      <c r="D38" s="2" t="s">
        <v>76</v>
      </c>
      <c r="E38" s="2">
        <v>1825</v>
      </c>
    </row>
    <row r="39" spans="2:5" ht="15.75" thickBot="1" x14ac:dyDescent="0.3">
      <c r="B39" s="18" t="s">
        <v>77</v>
      </c>
      <c r="C39" s="18">
        <v>10</v>
      </c>
      <c r="D39" s="18" t="s">
        <v>77</v>
      </c>
      <c r="E39" s="18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4EBA-9CB0-48C3-9442-E5B691207241}">
  <dimension ref="A2:J37"/>
  <sheetViews>
    <sheetView workbookViewId="0">
      <selection activeCell="I13" sqref="I13"/>
    </sheetView>
  </sheetViews>
  <sheetFormatPr defaultColWidth="11.42578125" defaultRowHeight="15" x14ac:dyDescent="0.25"/>
  <cols>
    <col min="1" max="5" width="11.42578125" style="1"/>
    <col min="8" max="8" width="13.140625" bestFit="1" customWidth="1"/>
    <col min="9" max="9" width="12.140625" bestFit="1" customWidth="1"/>
  </cols>
  <sheetData>
    <row r="2" spans="1:9" x14ac:dyDescent="0.25">
      <c r="A2" s="1" t="s">
        <v>8</v>
      </c>
      <c r="B2" s="1" t="s">
        <v>9</v>
      </c>
      <c r="C2" s="1" t="s">
        <v>10</v>
      </c>
      <c r="D2" s="1" t="s">
        <v>36</v>
      </c>
      <c r="E2" s="1" t="s">
        <v>34</v>
      </c>
      <c r="F2" s="1" t="s">
        <v>20</v>
      </c>
      <c r="H2" s="17" t="s">
        <v>35</v>
      </c>
      <c r="I2">
        <v>3</v>
      </c>
    </row>
    <row r="3" spans="1:9" x14ac:dyDescent="0.25">
      <c r="A3" s="1">
        <v>4.9000000000000004</v>
      </c>
      <c r="B3" s="1">
        <v>5.5</v>
      </c>
      <c r="C3" s="1">
        <v>6.4</v>
      </c>
      <c r="D3" s="1" t="s">
        <v>8</v>
      </c>
      <c r="E3" s="1">
        <f>Table4[[#This Row],[A]]</f>
        <v>4.9000000000000004</v>
      </c>
      <c r="F3" s="1">
        <f>_xlfn.RANK.AVG(Table4[[#This Row],[Stack]],$E$3:$E$20,1)</f>
        <v>4</v>
      </c>
      <c r="H3" s="17" t="s">
        <v>37</v>
      </c>
      <c r="I3">
        <f>COUNT(A3:A7)</f>
        <v>5</v>
      </c>
    </row>
    <row r="4" spans="1:9" x14ac:dyDescent="0.25">
      <c r="A4" s="1">
        <v>4.5999999999999996</v>
      </c>
      <c r="B4" s="1">
        <v>5.8</v>
      </c>
      <c r="C4" s="1">
        <v>6.5</v>
      </c>
      <c r="D4" s="1" t="s">
        <v>8</v>
      </c>
      <c r="E4" s="1">
        <f>Table4[[#This Row],[A]]</f>
        <v>4.5999999999999996</v>
      </c>
      <c r="F4" s="1">
        <f>_xlfn.RANK.AVG(Table4[[#This Row],[Stack]],$E$3:$E$20,1)</f>
        <v>2</v>
      </c>
      <c r="H4" s="17" t="s">
        <v>38</v>
      </c>
      <c r="I4">
        <f>COUNT(B3:B9)</f>
        <v>7</v>
      </c>
    </row>
    <row r="5" spans="1:9" x14ac:dyDescent="0.25">
      <c r="A5" s="1">
        <v>6.1</v>
      </c>
      <c r="B5" s="1">
        <v>5.4</v>
      </c>
      <c r="C5" s="1">
        <v>6.8</v>
      </c>
      <c r="D5" s="1" t="s">
        <v>8</v>
      </c>
      <c r="E5" s="1">
        <f>Table4[[#This Row],[A]]</f>
        <v>6.1</v>
      </c>
      <c r="F5" s="1">
        <f>_xlfn.RANK.AVG(Table4[[#This Row],[Stack]],$E$3:$E$20,1)</f>
        <v>12</v>
      </c>
      <c r="H5" s="17" t="s">
        <v>39</v>
      </c>
      <c r="I5">
        <f>COUNT(C3:C8)</f>
        <v>6</v>
      </c>
    </row>
    <row r="6" spans="1:9" x14ac:dyDescent="0.25">
      <c r="A6" s="1">
        <v>5.2</v>
      </c>
      <c r="B6" s="1">
        <v>5.5</v>
      </c>
      <c r="C6" s="1">
        <v>6.3</v>
      </c>
      <c r="D6" s="1" t="s">
        <v>8</v>
      </c>
      <c r="E6" s="1">
        <f>Table4[[#This Row],[A]]</f>
        <v>5.2</v>
      </c>
      <c r="F6" s="1">
        <f>_xlfn.RANK.AVG(Table4[[#This Row],[Stack]],$E$3:$E$20,1)</f>
        <v>5.5</v>
      </c>
    </row>
    <row r="7" spans="1:9" x14ac:dyDescent="0.25">
      <c r="A7" s="1">
        <v>4.3</v>
      </c>
      <c r="B7" s="1">
        <v>4.8</v>
      </c>
      <c r="C7" s="1">
        <v>5.6</v>
      </c>
      <c r="D7" s="1" t="s">
        <v>8</v>
      </c>
      <c r="E7" s="1">
        <f>Table4[[#This Row],[A]]</f>
        <v>4.3</v>
      </c>
      <c r="F7" s="1">
        <f>_xlfn.RANK.AVG(Table4[[#This Row],[Stack]],$E$3:$E$20,1)</f>
        <v>1</v>
      </c>
      <c r="H7" s="17" t="s">
        <v>40</v>
      </c>
      <c r="I7">
        <f>SUM(I3:I5)</f>
        <v>18</v>
      </c>
    </row>
    <row r="8" spans="1:9" x14ac:dyDescent="0.25">
      <c r="B8" s="1">
        <v>6.2</v>
      </c>
      <c r="C8" s="1">
        <v>6.6</v>
      </c>
      <c r="D8" s="1" t="s">
        <v>9</v>
      </c>
      <c r="E8" s="1">
        <f t="shared" ref="E8:E14" si="0">B3</f>
        <v>5.5</v>
      </c>
      <c r="F8" s="1">
        <f>_xlfn.RANK.AVG(Table4[[#This Row],[Stack]],$E$3:$E$20,1)</f>
        <v>8.5</v>
      </c>
    </row>
    <row r="9" spans="1:9" x14ac:dyDescent="0.25">
      <c r="B9" s="1">
        <v>5.2</v>
      </c>
      <c r="D9" s="1" t="s">
        <v>9</v>
      </c>
      <c r="E9" s="1">
        <f t="shared" si="0"/>
        <v>5.8</v>
      </c>
      <c r="F9" s="1">
        <f>_xlfn.RANK.AVG(Table4[[#This Row],[Stack]],$E$3:$E$20,1)</f>
        <v>11</v>
      </c>
      <c r="H9" s="17" t="s">
        <v>43</v>
      </c>
      <c r="I9">
        <f>SUM(F3:F7)</f>
        <v>24.5</v>
      </c>
    </row>
    <row r="10" spans="1:9" x14ac:dyDescent="0.25">
      <c r="D10" s="1" t="s">
        <v>9</v>
      </c>
      <c r="E10" s="1">
        <f t="shared" si="0"/>
        <v>5.4</v>
      </c>
      <c r="F10" s="1">
        <f>_xlfn.RANK.AVG(Table4[[#This Row],[Stack]],$E$3:$E$20,1)</f>
        <v>7</v>
      </c>
      <c r="H10" t="s">
        <v>44</v>
      </c>
      <c r="I10">
        <f>SUM(F8:F14)</f>
        <v>56.5</v>
      </c>
    </row>
    <row r="11" spans="1:9" x14ac:dyDescent="0.25">
      <c r="D11" s="1" t="s">
        <v>9</v>
      </c>
      <c r="E11" s="1">
        <f t="shared" si="0"/>
        <v>5.5</v>
      </c>
      <c r="F11" s="1">
        <f>_xlfn.RANK.AVG(Table4[[#This Row],[Stack]],$E$3:$E$20,1)</f>
        <v>8.5</v>
      </c>
      <c r="H11" s="17" t="s">
        <v>45</v>
      </c>
      <c r="I11">
        <f>SUM(F15:F20)</f>
        <v>90</v>
      </c>
    </row>
    <row r="12" spans="1:9" x14ac:dyDescent="0.25">
      <c r="D12" s="1" t="s">
        <v>9</v>
      </c>
      <c r="E12" s="1">
        <f t="shared" si="0"/>
        <v>4.8</v>
      </c>
      <c r="F12" s="1">
        <f>_xlfn.RANK.AVG(Table4[[#This Row],[Stack]],$E$3:$E$20,1)</f>
        <v>3</v>
      </c>
    </row>
    <row r="13" spans="1:9" x14ac:dyDescent="0.25">
      <c r="D13" s="1" t="s">
        <v>9</v>
      </c>
      <c r="E13" s="1">
        <f t="shared" si="0"/>
        <v>6.2</v>
      </c>
      <c r="F13" s="1">
        <f>_xlfn.RANK.AVG(Table4[[#This Row],[Stack]],$E$3:$E$20,1)</f>
        <v>13</v>
      </c>
      <c r="H13" s="17" t="s">
        <v>41</v>
      </c>
      <c r="I13">
        <f>12 / (I7*(I7+1))</f>
        <v>3.5087719298245612E-2</v>
      </c>
    </row>
    <row r="14" spans="1:9" x14ac:dyDescent="0.25">
      <c r="D14" s="1" t="s">
        <v>9</v>
      </c>
      <c r="E14" s="1">
        <f t="shared" si="0"/>
        <v>5.2</v>
      </c>
      <c r="F14" s="1">
        <f>_xlfn.RANK.AVG(Table4[[#This Row],[Stack]],$E$3:$E$20,1)</f>
        <v>5.5</v>
      </c>
      <c r="H14" t="s">
        <v>42</v>
      </c>
      <c r="I14">
        <f>(I9^2/I3)+(I10^2/I4)+(I11^2/I5)</f>
        <v>1926.0857142857144</v>
      </c>
    </row>
    <row r="15" spans="1:9" x14ac:dyDescent="0.25">
      <c r="D15" s="1" t="s">
        <v>10</v>
      </c>
      <c r="E15" s="1">
        <f t="shared" ref="E15:E20" si="1">C3</f>
        <v>6.4</v>
      </c>
      <c r="F15" s="1">
        <f>_xlfn.RANK.AVG(Table4[[#This Row],[Stack]],$E$3:$E$20,1)</f>
        <v>15</v>
      </c>
      <c r="H15" s="17" t="s">
        <v>46</v>
      </c>
      <c r="I15">
        <f>3*(I7+1)</f>
        <v>57</v>
      </c>
    </row>
    <row r="16" spans="1:9" x14ac:dyDescent="0.25">
      <c r="D16" s="1" t="s">
        <v>10</v>
      </c>
      <c r="E16" s="1">
        <f t="shared" si="1"/>
        <v>6.5</v>
      </c>
      <c r="F16" s="1">
        <f>_xlfn.RANK.AVG(Table4[[#This Row],[Stack]],$E$3:$E$20,1)</f>
        <v>16</v>
      </c>
      <c r="H16" t="s">
        <v>47</v>
      </c>
      <c r="I16">
        <f>I13*I14-I15</f>
        <v>10.581954887218046</v>
      </c>
    </row>
    <row r="17" spans="2:10" x14ac:dyDescent="0.25">
      <c r="D17" s="1" t="s">
        <v>10</v>
      </c>
      <c r="E17" s="1">
        <f t="shared" si="1"/>
        <v>6.8</v>
      </c>
      <c r="F17" s="1">
        <f>_xlfn.RANK.AVG(Table4[[#This Row],[Stack]],$E$3:$E$20,1)</f>
        <v>18</v>
      </c>
    </row>
    <row r="18" spans="2:10" x14ac:dyDescent="0.25">
      <c r="D18" s="1" t="s">
        <v>10</v>
      </c>
      <c r="E18" s="1">
        <f t="shared" si="1"/>
        <v>6.3</v>
      </c>
      <c r="F18" s="1">
        <f>_xlfn.RANK.AVG(Table4[[#This Row],[Stack]],$E$3:$E$20,1)</f>
        <v>14</v>
      </c>
    </row>
    <row r="19" spans="2:10" x14ac:dyDescent="0.25">
      <c r="D19" s="1" t="s">
        <v>10</v>
      </c>
      <c r="E19" s="1">
        <f t="shared" si="1"/>
        <v>5.6</v>
      </c>
      <c r="F19" s="1">
        <f>_xlfn.RANK.AVG(Table4[[#This Row],[Stack]],$E$3:$E$20,1)</f>
        <v>10</v>
      </c>
      <c r="H19" s="17" t="s">
        <v>48</v>
      </c>
      <c r="I19">
        <v>0.01</v>
      </c>
    </row>
    <row r="20" spans="2:10" x14ac:dyDescent="0.25">
      <c r="D20" s="1" t="s">
        <v>10</v>
      </c>
      <c r="E20" s="1">
        <f t="shared" si="1"/>
        <v>6.6</v>
      </c>
      <c r="F20" s="1">
        <f>_xlfn.RANK.AVG(Table4[[#This Row],[Stack]],$E$3:$E$20,1)</f>
        <v>17</v>
      </c>
      <c r="H20" t="s">
        <v>49</v>
      </c>
      <c r="I20">
        <f>_xlfn.CHISQ.INV(I19,I2-1)</f>
        <v>2.0100671707002884E-2</v>
      </c>
    </row>
    <row r="21" spans="2:10" x14ac:dyDescent="0.25">
      <c r="F21" s="1"/>
      <c r="H21" s="17" t="s">
        <v>23</v>
      </c>
      <c r="I21">
        <f>_xlfn.CHISQ.DIST.RT(I16,I2-1)</f>
        <v>5.0368346310012196E-3</v>
      </c>
    </row>
    <row r="22" spans="2:10" ht="15.75" thickBot="1" x14ac:dyDescent="0.3">
      <c r="F22" s="1"/>
      <c r="H22" t="s">
        <v>31</v>
      </c>
      <c r="I22" s="14" t="str">
        <f>IF(I21&lt;=I19,"Reject","Fail to reject")</f>
        <v>Reject</v>
      </c>
      <c r="J22" s="14" t="str">
        <f>IF(I20&lt;I16,"Reject","Fail to reject")</f>
        <v>Reject</v>
      </c>
    </row>
    <row r="23" spans="2:10" x14ac:dyDescent="0.25">
      <c r="B23" s="19" t="s">
        <v>8</v>
      </c>
      <c r="C23" s="19"/>
      <c r="D23" s="19" t="s">
        <v>9</v>
      </c>
      <c r="E23" s="19"/>
      <c r="F23" s="19" t="s">
        <v>10</v>
      </c>
      <c r="G23" s="19"/>
    </row>
    <row r="24" spans="2:10" x14ac:dyDescent="0.25">
      <c r="B24" s="2"/>
      <c r="C24" s="2"/>
      <c r="D24" s="2"/>
      <c r="E24" s="2"/>
      <c r="F24" s="2"/>
      <c r="G24" s="2"/>
    </row>
    <row r="25" spans="2:10" x14ac:dyDescent="0.25">
      <c r="B25" s="2" t="s">
        <v>65</v>
      </c>
      <c r="C25" s="2">
        <v>5.0200000000000005</v>
      </c>
      <c r="D25" s="2" t="s">
        <v>65</v>
      </c>
      <c r="E25" s="2">
        <v>5.4857142857142867</v>
      </c>
      <c r="F25" s="2" t="s">
        <v>65</v>
      </c>
      <c r="G25" s="2">
        <v>6.3666666666666671</v>
      </c>
    </row>
    <row r="26" spans="2:10" x14ac:dyDescent="0.25">
      <c r="B26" s="2" t="s">
        <v>66</v>
      </c>
      <c r="C26" s="2">
        <v>0.30886890422960778</v>
      </c>
      <c r="D26" s="2" t="s">
        <v>66</v>
      </c>
      <c r="E26" s="2">
        <v>0.16680266560130472</v>
      </c>
      <c r="F26" s="2" t="s">
        <v>66</v>
      </c>
      <c r="G26" s="2">
        <v>0.1686548085423136</v>
      </c>
    </row>
    <row r="27" spans="2:10" x14ac:dyDescent="0.25">
      <c r="B27" s="2" t="s">
        <v>67</v>
      </c>
      <c r="C27" s="2">
        <v>4.9000000000000004</v>
      </c>
      <c r="D27" s="2" t="s">
        <v>67</v>
      </c>
      <c r="E27" s="2">
        <v>5.5</v>
      </c>
      <c r="F27" s="2" t="s">
        <v>67</v>
      </c>
      <c r="G27" s="2">
        <v>6.45</v>
      </c>
    </row>
    <row r="28" spans="2:10" x14ac:dyDescent="0.25">
      <c r="B28" s="2" t="s">
        <v>68</v>
      </c>
      <c r="C28" s="2" t="e">
        <v>#N/A</v>
      </c>
      <c r="D28" s="2" t="s">
        <v>68</v>
      </c>
      <c r="E28" s="2">
        <v>5.5</v>
      </c>
      <c r="F28" s="2" t="s">
        <v>68</v>
      </c>
      <c r="G28" s="2" t="e">
        <v>#N/A</v>
      </c>
    </row>
    <row r="29" spans="2:10" x14ac:dyDescent="0.25">
      <c r="B29" s="2" t="s">
        <v>69</v>
      </c>
      <c r="C29" s="2">
        <v>0.69065186599327533</v>
      </c>
      <c r="D29" s="2" t="s">
        <v>69</v>
      </c>
      <c r="E29" s="2">
        <v>0.44131837120372047</v>
      </c>
      <c r="F29" s="2" t="s">
        <v>69</v>
      </c>
      <c r="G29" s="2">
        <v>0.41311822359545786</v>
      </c>
    </row>
    <row r="30" spans="2:10" x14ac:dyDescent="0.25">
      <c r="B30" s="2" t="s">
        <v>70</v>
      </c>
      <c r="C30" s="2">
        <v>0.47699999999999321</v>
      </c>
      <c r="D30" s="2" t="s">
        <v>70</v>
      </c>
      <c r="E30" s="2">
        <v>0.19476190476190483</v>
      </c>
      <c r="F30" s="2" t="s">
        <v>70</v>
      </c>
      <c r="G30" s="2">
        <v>0.17066666666666672</v>
      </c>
    </row>
    <row r="31" spans="2:10" x14ac:dyDescent="0.25">
      <c r="B31" s="2" t="s">
        <v>71</v>
      </c>
      <c r="C31" s="2">
        <v>1.1285154859380366</v>
      </c>
      <c r="D31" s="2" t="s">
        <v>71</v>
      </c>
      <c r="E31" s="2">
        <v>0.72517859171095456</v>
      </c>
      <c r="F31" s="2" t="s">
        <v>71</v>
      </c>
      <c r="G31" s="2">
        <v>2.9795837402344016</v>
      </c>
    </row>
    <row r="32" spans="2:10" x14ac:dyDescent="0.25">
      <c r="B32" s="2" t="s">
        <v>72</v>
      </c>
      <c r="C32" s="2">
        <v>1.0326585393989893</v>
      </c>
      <c r="D32" s="2" t="s">
        <v>72</v>
      </c>
      <c r="E32" s="2">
        <v>0.13329697947428357</v>
      </c>
      <c r="F32" s="2" t="s">
        <v>72</v>
      </c>
      <c r="G32" s="2">
        <v>-1.5081563567384919</v>
      </c>
    </row>
    <row r="33" spans="2:7" x14ac:dyDescent="0.25">
      <c r="B33" s="2" t="s">
        <v>73</v>
      </c>
      <c r="C33" s="2">
        <v>1.7999999999999998</v>
      </c>
      <c r="D33" s="2" t="s">
        <v>73</v>
      </c>
      <c r="E33" s="2">
        <v>1.4000000000000004</v>
      </c>
      <c r="F33" s="2" t="s">
        <v>73</v>
      </c>
      <c r="G33" s="2">
        <v>1.2000000000000002</v>
      </c>
    </row>
    <row r="34" spans="2:7" x14ac:dyDescent="0.25">
      <c r="B34" s="2" t="s">
        <v>74</v>
      </c>
      <c r="C34" s="2">
        <v>4.3</v>
      </c>
      <c r="D34" s="2" t="s">
        <v>74</v>
      </c>
      <c r="E34" s="2">
        <v>4.8</v>
      </c>
      <c r="F34" s="2" t="s">
        <v>74</v>
      </c>
      <c r="G34" s="2">
        <v>5.6</v>
      </c>
    </row>
    <row r="35" spans="2:7" x14ac:dyDescent="0.25">
      <c r="B35" s="2" t="s">
        <v>75</v>
      </c>
      <c r="C35" s="2">
        <v>6.1</v>
      </c>
      <c r="D35" s="2" t="s">
        <v>75</v>
      </c>
      <c r="E35" s="2">
        <v>6.2</v>
      </c>
      <c r="F35" s="2" t="s">
        <v>75</v>
      </c>
      <c r="G35" s="2">
        <v>6.8</v>
      </c>
    </row>
    <row r="36" spans="2:7" x14ac:dyDescent="0.25">
      <c r="B36" s="2" t="s">
        <v>76</v>
      </c>
      <c r="C36" s="2">
        <v>25.1</v>
      </c>
      <c r="D36" s="2" t="s">
        <v>76</v>
      </c>
      <c r="E36" s="2">
        <v>38.400000000000006</v>
      </c>
      <c r="F36" s="2" t="s">
        <v>76</v>
      </c>
      <c r="G36" s="2">
        <v>38.200000000000003</v>
      </c>
    </row>
    <row r="37" spans="2:7" ht="15.75" thickBot="1" x14ac:dyDescent="0.3">
      <c r="B37" s="18" t="s">
        <v>77</v>
      </c>
      <c r="C37" s="18">
        <v>5</v>
      </c>
      <c r="D37" s="18" t="s">
        <v>77</v>
      </c>
      <c r="E37" s="18">
        <v>7</v>
      </c>
      <c r="F37" s="18" t="s">
        <v>77</v>
      </c>
      <c r="G37" s="18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A466-98AD-4362-8BD0-874CB81CAC2F}">
  <dimension ref="A1:J34"/>
  <sheetViews>
    <sheetView workbookViewId="0">
      <selection activeCell="D16" sqref="D16"/>
    </sheetView>
  </sheetViews>
  <sheetFormatPr defaultColWidth="11.42578125" defaultRowHeight="15" x14ac:dyDescent="0.25"/>
  <cols>
    <col min="1" max="1" width="12.7109375" bestFit="1" customWidth="1"/>
    <col min="2" max="2" width="15.7109375" style="1" bestFit="1" customWidth="1"/>
    <col min="3" max="3" width="13.5703125" style="1" bestFit="1" customWidth="1"/>
    <col min="4" max="4" width="21" style="1" bestFit="1" customWidth="1"/>
    <col min="5" max="5" width="18.42578125" bestFit="1" customWidth="1"/>
  </cols>
  <sheetData>
    <row r="1" spans="1:10" x14ac:dyDescent="0.25">
      <c r="A1" s="1" t="s">
        <v>11</v>
      </c>
      <c r="B1" s="1" t="s">
        <v>13</v>
      </c>
      <c r="C1" s="1" t="s">
        <v>12</v>
      </c>
      <c r="D1" s="1" t="s">
        <v>50</v>
      </c>
      <c r="E1" s="1" t="s">
        <v>51</v>
      </c>
      <c r="F1" s="1" t="s">
        <v>52</v>
      </c>
      <c r="G1" s="1" t="s">
        <v>53</v>
      </c>
    </row>
    <row r="2" spans="1:10" x14ac:dyDescent="0.25">
      <c r="A2" s="1">
        <v>1</v>
      </c>
      <c r="B2" s="1">
        <v>12</v>
      </c>
      <c r="C2" s="1">
        <v>75</v>
      </c>
      <c r="D2" s="1">
        <f>_xlfn.RANK.AVG(Table5[[#This Row],[Calificación]],Table5[Calificación],1)</f>
        <v>7.5</v>
      </c>
      <c r="E2" s="1">
        <f>_xlfn.RANK.AVG(Table5[[#This Row],[Distancia]],Table5[Distancia],1)</f>
        <v>3</v>
      </c>
      <c r="F2" s="1">
        <f>Table5[[#This Row],[Rank Calificación ]]-Table5[[#This Row],[Rank Distancia]]</f>
        <v>4.5</v>
      </c>
      <c r="G2" s="10">
        <f>Table5[[#This Row],[d sub i]]^2</f>
        <v>20.25</v>
      </c>
      <c r="I2" t="s">
        <v>54</v>
      </c>
      <c r="J2">
        <f>6*Table5[[#Totals],[d sub i ^2]]</f>
        <v>2724</v>
      </c>
    </row>
    <row r="3" spans="1:10" x14ac:dyDescent="0.25">
      <c r="A3" s="1">
        <v>2</v>
      </c>
      <c r="B3" s="1">
        <v>7</v>
      </c>
      <c r="C3" s="1">
        <v>165</v>
      </c>
      <c r="D3" s="1">
        <f>_xlfn.RANK.AVG(Table5[[#This Row],[Calificación]],Table5[Calificación],1)</f>
        <v>4</v>
      </c>
      <c r="E3" s="1">
        <f>_xlfn.RANK.AVG(Table5[[#This Row],[Distancia]],Table5[Distancia],1)</f>
        <v>7</v>
      </c>
      <c r="F3" s="1">
        <f>Table5[[#This Row],[Rank Calificación ]]-Table5[[#This Row],[Rank Distancia]]</f>
        <v>-3</v>
      </c>
      <c r="G3" s="10">
        <f>Table5[[#This Row],[d sub i]]^2</f>
        <v>9</v>
      </c>
      <c r="I3" t="s">
        <v>42</v>
      </c>
      <c r="J3">
        <f>J5*(J5^2-1)</f>
        <v>1716</v>
      </c>
    </row>
    <row r="4" spans="1:10" x14ac:dyDescent="0.25">
      <c r="A4" s="1">
        <v>3</v>
      </c>
      <c r="B4" s="1">
        <v>5</v>
      </c>
      <c r="C4" s="1">
        <v>300</v>
      </c>
      <c r="D4" s="1">
        <f>_xlfn.RANK.AVG(Table5[[#This Row],[Calificación]],Table5[Calificación],1)</f>
        <v>3</v>
      </c>
      <c r="E4" s="1">
        <f>_xlfn.RANK.AVG(Table5[[#This Row],[Distancia]],Table5[Distancia],1)</f>
        <v>12</v>
      </c>
      <c r="F4" s="1">
        <f>Table5[[#This Row],[Rank Calificación ]]-Table5[[#This Row],[Rank Distancia]]</f>
        <v>-9</v>
      </c>
      <c r="G4" s="10">
        <f>Table5[[#This Row],[d sub i]]^2</f>
        <v>81</v>
      </c>
    </row>
    <row r="5" spans="1:10" x14ac:dyDescent="0.25">
      <c r="A5" s="1">
        <v>4</v>
      </c>
      <c r="B5" s="1">
        <v>19</v>
      </c>
      <c r="C5" s="1">
        <v>15</v>
      </c>
      <c r="D5" s="1">
        <f>_xlfn.RANK.AVG(Table5[[#This Row],[Calificación]],Table5[Calificación],1)</f>
        <v>12</v>
      </c>
      <c r="E5" s="1">
        <f>_xlfn.RANK.AVG(Table5[[#This Row],[Distancia]],Table5[Distancia],1)</f>
        <v>1</v>
      </c>
      <c r="F5" s="1">
        <f>Table5[[#This Row],[Rank Calificación ]]-Table5[[#This Row],[Rank Distancia]]</f>
        <v>11</v>
      </c>
      <c r="G5" s="10">
        <f>Table5[[#This Row],[d sub i]]^2</f>
        <v>121</v>
      </c>
      <c r="I5" t="s">
        <v>29</v>
      </c>
      <c r="J5">
        <f>COUNT(Table5[Votante])</f>
        <v>12</v>
      </c>
    </row>
    <row r="6" spans="1:10" x14ac:dyDescent="0.25">
      <c r="A6" s="1">
        <v>5</v>
      </c>
      <c r="B6" s="1">
        <v>17</v>
      </c>
      <c r="C6" s="1">
        <v>180</v>
      </c>
      <c r="D6" s="1">
        <f>_xlfn.RANK.AVG(Table5[[#This Row],[Calificación]],Table5[Calificación],1)</f>
        <v>10</v>
      </c>
      <c r="E6" s="1">
        <f>_xlfn.RANK.AVG(Table5[[#This Row],[Distancia]],Table5[Distancia],1)</f>
        <v>8</v>
      </c>
      <c r="F6" s="1">
        <f>Table5[[#This Row],[Rank Calificación ]]-Table5[[#This Row],[Rank Distancia]]</f>
        <v>2</v>
      </c>
      <c r="G6" s="10">
        <f>Table5[[#This Row],[d sub i]]^2</f>
        <v>4</v>
      </c>
    </row>
    <row r="7" spans="1:10" x14ac:dyDescent="0.25">
      <c r="A7" s="1">
        <v>6</v>
      </c>
      <c r="B7" s="1">
        <v>12</v>
      </c>
      <c r="C7" s="1">
        <v>240</v>
      </c>
      <c r="D7" s="1">
        <f>_xlfn.RANK.AVG(Table5[[#This Row],[Calificación]],Table5[Calificación],1)</f>
        <v>7.5</v>
      </c>
      <c r="E7" s="1">
        <f>_xlfn.RANK.AVG(Table5[[#This Row],[Distancia]],Table5[Distancia],1)</f>
        <v>11</v>
      </c>
      <c r="F7" s="1">
        <f>Table5[[#This Row],[Rank Calificación ]]-Table5[[#This Row],[Rank Distancia]]</f>
        <v>-3.5</v>
      </c>
      <c r="G7" s="10">
        <f>Table5[[#This Row],[d sub i]]^2</f>
        <v>12.25</v>
      </c>
      <c r="I7" t="s">
        <v>55</v>
      </c>
      <c r="J7">
        <f>1-(J2/J3)</f>
        <v>-0.58741258741258751</v>
      </c>
    </row>
    <row r="8" spans="1:10" x14ac:dyDescent="0.25">
      <c r="A8" s="1">
        <v>7</v>
      </c>
      <c r="B8" s="1">
        <v>9</v>
      </c>
      <c r="C8" s="1">
        <v>120</v>
      </c>
      <c r="D8" s="1">
        <f>_xlfn.RANK.AVG(Table5[[#This Row],[Calificación]],Table5[Calificación],1)</f>
        <v>6</v>
      </c>
      <c r="E8" s="1">
        <f>_xlfn.RANK.AVG(Table5[[#This Row],[Distancia]],Table5[Distancia],1)</f>
        <v>4</v>
      </c>
      <c r="F8" s="1">
        <f>Table5[[#This Row],[Rank Calificación ]]-Table5[[#This Row],[Rank Distancia]]</f>
        <v>2</v>
      </c>
      <c r="G8" s="10">
        <f>Table5[[#This Row],[d sub i]]^2</f>
        <v>4</v>
      </c>
      <c r="I8" t="s">
        <v>56</v>
      </c>
      <c r="J8">
        <f>0</f>
        <v>0</v>
      </c>
    </row>
    <row r="9" spans="1:10" x14ac:dyDescent="0.25">
      <c r="A9" s="1">
        <v>8</v>
      </c>
      <c r="B9" s="1">
        <v>18</v>
      </c>
      <c r="C9" s="1">
        <v>60</v>
      </c>
      <c r="D9" s="1">
        <f>_xlfn.RANK.AVG(Table5[[#This Row],[Calificación]],Table5[Calificación],1)</f>
        <v>11</v>
      </c>
      <c r="E9" s="1">
        <f>_xlfn.RANK.AVG(Table5[[#This Row],[Distancia]],Table5[Distancia],1)</f>
        <v>2</v>
      </c>
      <c r="F9" s="1">
        <f>Table5[[#This Row],[Rank Calificación ]]-Table5[[#This Row],[Rank Distancia]]</f>
        <v>9</v>
      </c>
      <c r="G9" s="10">
        <f>Table5[[#This Row],[d sub i]]^2</f>
        <v>81</v>
      </c>
      <c r="I9" t="s">
        <v>57</v>
      </c>
      <c r="J9">
        <f>SQRT( 1 / (J5-1))</f>
        <v>0.30151134457776363</v>
      </c>
    </row>
    <row r="10" spans="1:10" x14ac:dyDescent="0.25">
      <c r="A10" s="1">
        <v>9</v>
      </c>
      <c r="B10" s="1">
        <v>3</v>
      </c>
      <c r="C10" s="1">
        <v>230</v>
      </c>
      <c r="D10" s="1">
        <f>_xlfn.RANK.AVG(Table5[[#This Row],[Calificación]],Table5[Calificación],1)</f>
        <v>1</v>
      </c>
      <c r="E10" s="1">
        <f>_xlfn.RANK.AVG(Table5[[#This Row],[Distancia]],Table5[Distancia],1)</f>
        <v>10</v>
      </c>
      <c r="F10" s="1">
        <f>Table5[[#This Row],[Rank Calificación ]]-Table5[[#This Row],[Rank Distancia]]</f>
        <v>-9</v>
      </c>
      <c r="G10" s="10">
        <f>Table5[[#This Row],[d sub i]]^2</f>
        <v>81</v>
      </c>
    </row>
    <row r="11" spans="1:10" x14ac:dyDescent="0.25">
      <c r="A11" s="1">
        <v>10</v>
      </c>
      <c r="B11" s="1">
        <v>8</v>
      </c>
      <c r="C11" s="1">
        <v>200</v>
      </c>
      <c r="D11" s="1">
        <f>_xlfn.RANK.AVG(Table5[[#This Row],[Calificación]],Table5[Calificación],1)</f>
        <v>5</v>
      </c>
      <c r="E11" s="1">
        <f>_xlfn.RANK.AVG(Table5[[#This Row],[Distancia]],Table5[Distancia],1)</f>
        <v>9</v>
      </c>
      <c r="F11" s="1">
        <f>Table5[[#This Row],[Rank Calificación ]]-Table5[[#This Row],[Rank Distancia]]</f>
        <v>-4</v>
      </c>
      <c r="G11" s="10">
        <f>Table5[[#This Row],[d sub i]]^2</f>
        <v>16</v>
      </c>
      <c r="I11" t="s">
        <v>58</v>
      </c>
      <c r="J11">
        <f>(J7-J8)/J9</f>
        <v>-1.9482271495793959</v>
      </c>
    </row>
    <row r="12" spans="1:10" x14ac:dyDescent="0.25">
      <c r="A12" s="1">
        <v>11</v>
      </c>
      <c r="B12" s="1">
        <v>15</v>
      </c>
      <c r="C12" s="1">
        <v>130</v>
      </c>
      <c r="D12" s="1">
        <f>_xlfn.RANK.AVG(Table5[[#This Row],[Calificación]],Table5[Calificación],1)</f>
        <v>9</v>
      </c>
      <c r="E12" s="1">
        <f>_xlfn.RANK.AVG(Table5[[#This Row],[Distancia]],Table5[Distancia],1)</f>
        <v>5.5</v>
      </c>
      <c r="F12" s="1">
        <f>Table5[[#This Row],[Rank Calificación ]]-Table5[[#This Row],[Rank Distancia]]</f>
        <v>3.5</v>
      </c>
      <c r="G12" s="10">
        <f>Table5[[#This Row],[d sub i]]^2</f>
        <v>12.25</v>
      </c>
    </row>
    <row r="13" spans="1:10" x14ac:dyDescent="0.25">
      <c r="A13" s="1">
        <v>12</v>
      </c>
      <c r="B13" s="1">
        <v>4</v>
      </c>
      <c r="C13" s="1">
        <v>130</v>
      </c>
      <c r="D13" s="1">
        <f>_xlfn.RANK.AVG(Table5[[#This Row],[Calificación]],Table5[Calificación],1)</f>
        <v>2</v>
      </c>
      <c r="E13" s="1">
        <f>_xlfn.RANK.AVG(Table5[[#This Row],[Distancia]],Table5[Distancia],1)</f>
        <v>5.5</v>
      </c>
      <c r="F13" s="1">
        <f>Table5[[#This Row],[Rank Calificación ]]-Table5[[#This Row],[Rank Distancia]]</f>
        <v>-3.5</v>
      </c>
      <c r="G13" s="10">
        <f>Table5[[#This Row],[d sub i]]^2</f>
        <v>12.25</v>
      </c>
      <c r="I13" t="s">
        <v>23</v>
      </c>
      <c r="J13">
        <f>_xlfn.NORM.S.DIST(J11,1)</f>
        <v>2.5693894799925773E-2</v>
      </c>
    </row>
    <row r="14" spans="1:10" x14ac:dyDescent="0.25">
      <c r="A14" s="1"/>
      <c r="D14" s="10"/>
      <c r="E14" s="10"/>
      <c r="F14" s="10"/>
      <c r="G14" s="10">
        <f>SUBTOTAL(109,Table5[d sub i ^2])</f>
        <v>454</v>
      </c>
      <c r="I14" t="s">
        <v>59</v>
      </c>
      <c r="J14">
        <v>0.05</v>
      </c>
    </row>
    <row r="15" spans="1:10" x14ac:dyDescent="0.25">
      <c r="I15" t="s">
        <v>31</v>
      </c>
      <c r="J15" t="str">
        <f>IF(J13&lt;=J14,"Reject","Fail to reject")</f>
        <v>Reject</v>
      </c>
    </row>
    <row r="19" spans="2:5" ht="15.75" thickBot="1" x14ac:dyDescent="0.3"/>
    <row r="20" spans="2:5" x14ac:dyDescent="0.25">
      <c r="B20" s="19" t="s">
        <v>13</v>
      </c>
      <c r="C20" s="19"/>
      <c r="D20" s="19" t="s">
        <v>12</v>
      </c>
      <c r="E20" s="19"/>
    </row>
    <row r="21" spans="2:5" x14ac:dyDescent="0.25">
      <c r="B21" s="2"/>
      <c r="C21" s="2"/>
      <c r="D21" s="2"/>
      <c r="E21" s="2"/>
    </row>
    <row r="22" spans="2:5" x14ac:dyDescent="0.25">
      <c r="B22" s="2" t="s">
        <v>65</v>
      </c>
      <c r="C22" s="2">
        <v>10.75</v>
      </c>
      <c r="D22" s="2" t="s">
        <v>65</v>
      </c>
      <c r="E22" s="2">
        <v>153.75</v>
      </c>
    </row>
    <row r="23" spans="2:5" x14ac:dyDescent="0.25">
      <c r="B23" s="2" t="s">
        <v>66</v>
      </c>
      <c r="C23" s="2">
        <v>1.6149162657718652</v>
      </c>
      <c r="D23" s="2" t="s">
        <v>66</v>
      </c>
      <c r="E23" s="2">
        <v>23.694112873211456</v>
      </c>
    </row>
    <row r="24" spans="2:5" x14ac:dyDescent="0.25">
      <c r="B24" s="2" t="s">
        <v>67</v>
      </c>
      <c r="C24" s="2">
        <v>10.5</v>
      </c>
      <c r="D24" s="2" t="s">
        <v>67</v>
      </c>
      <c r="E24" s="2">
        <v>147.5</v>
      </c>
    </row>
    <row r="25" spans="2:5" x14ac:dyDescent="0.25">
      <c r="B25" s="2" t="s">
        <v>68</v>
      </c>
      <c r="C25" s="2">
        <v>12</v>
      </c>
      <c r="D25" s="2" t="s">
        <v>68</v>
      </c>
      <c r="E25" s="2">
        <v>130</v>
      </c>
    </row>
    <row r="26" spans="2:5" x14ac:dyDescent="0.25">
      <c r="B26" s="2" t="s">
        <v>69</v>
      </c>
      <c r="C26" s="2">
        <v>5.5942340445725494</v>
      </c>
      <c r="D26" s="2" t="s">
        <v>69</v>
      </c>
      <c r="E26" s="2">
        <v>82.078814673348063</v>
      </c>
    </row>
    <row r="27" spans="2:5" x14ac:dyDescent="0.25">
      <c r="B27" s="2" t="s">
        <v>70</v>
      </c>
      <c r="C27" s="2">
        <v>31.295454545454547</v>
      </c>
      <c r="D27" s="2" t="s">
        <v>70</v>
      </c>
      <c r="E27" s="2">
        <v>6736.931818181818</v>
      </c>
    </row>
    <row r="28" spans="2:5" x14ac:dyDescent="0.25">
      <c r="B28" s="2" t="s">
        <v>71</v>
      </c>
      <c r="C28" s="2">
        <v>-1.4119279859123508</v>
      </c>
      <c r="D28" s="2" t="s">
        <v>71</v>
      </c>
      <c r="E28" s="2">
        <v>-0.42269695333694468</v>
      </c>
    </row>
    <row r="29" spans="2:5" x14ac:dyDescent="0.25">
      <c r="B29" s="2" t="s">
        <v>72</v>
      </c>
      <c r="C29" s="2">
        <v>0.14043404490644781</v>
      </c>
      <c r="D29" s="2" t="s">
        <v>72</v>
      </c>
      <c r="E29" s="2">
        <v>5.5791744203402292E-2</v>
      </c>
    </row>
    <row r="30" spans="2:5" x14ac:dyDescent="0.25">
      <c r="B30" s="2" t="s">
        <v>73</v>
      </c>
      <c r="C30" s="2">
        <v>16</v>
      </c>
      <c r="D30" s="2" t="s">
        <v>73</v>
      </c>
      <c r="E30" s="2">
        <v>285</v>
      </c>
    </row>
    <row r="31" spans="2:5" x14ac:dyDescent="0.25">
      <c r="B31" s="2" t="s">
        <v>74</v>
      </c>
      <c r="C31" s="2">
        <v>3</v>
      </c>
      <c r="D31" s="2" t="s">
        <v>74</v>
      </c>
      <c r="E31" s="2">
        <v>15</v>
      </c>
    </row>
    <row r="32" spans="2:5" x14ac:dyDescent="0.25">
      <c r="B32" s="2" t="s">
        <v>75</v>
      </c>
      <c r="C32" s="2">
        <v>19</v>
      </c>
      <c r="D32" s="2" t="s">
        <v>75</v>
      </c>
      <c r="E32" s="2">
        <v>300</v>
      </c>
    </row>
    <row r="33" spans="2:5" x14ac:dyDescent="0.25">
      <c r="B33" s="2" t="s">
        <v>76</v>
      </c>
      <c r="C33" s="2">
        <v>129</v>
      </c>
      <c r="D33" s="2" t="s">
        <v>76</v>
      </c>
      <c r="E33" s="2">
        <v>1845</v>
      </c>
    </row>
    <row r="34" spans="2:5" ht="15.75" thickBot="1" x14ac:dyDescent="0.3">
      <c r="B34" s="18" t="s">
        <v>77</v>
      </c>
      <c r="C34" s="18">
        <v>12</v>
      </c>
      <c r="D34" s="18" t="s">
        <v>77</v>
      </c>
      <c r="E34" s="18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DAVID CORZO</cp:lastModifiedBy>
  <dcterms:created xsi:type="dcterms:W3CDTF">2019-10-23T00:50:28Z</dcterms:created>
  <dcterms:modified xsi:type="dcterms:W3CDTF">2020-11-04T17:39:26Z</dcterms:modified>
</cp:coreProperties>
</file>