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D:\___UFM-Cursos___\4_Semestre-[Julio-Noviembre-2020]\____SumaDeCursosUFM2.2____\___Statistical_Thinking_II_-Notas___\lab4\"/>
    </mc:Choice>
  </mc:AlternateContent>
  <xr:revisionPtr revIDLastSave="0" documentId="13_ncr:1_{EC5AA11B-3D77-4028-B661-B321F8ED93EC}" xr6:coauthVersionLast="45" xr6:coauthVersionMax="45" xr10:uidLastSave="{00000000-0000-0000-0000-000000000000}"/>
  <bookViews>
    <workbookView xWindow="390" yWindow="390" windowWidth="14100" windowHeight="14640" xr2:uid="{00000000-000D-0000-FFFF-FFFF00000000}"/>
  </bookViews>
  <sheets>
    <sheet name="1" sheetId="2" r:id="rId1"/>
    <sheet name="2" sheetId="1" r:id="rId2"/>
    <sheet name="3" sheetId="5" r:id="rId3"/>
    <sheet name="4" sheetId="6" r:id="rId4"/>
    <sheet name="5" sheetId="3" r:id="rId5"/>
    <sheet name="6" sheetId="4" r:id="rId6"/>
    <sheet name="7" sheetId="7" r:id="rId7"/>
    <sheet name="8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2" i="6" l="1"/>
  <c r="K5" i="8"/>
  <c r="F12" i="8"/>
  <c r="G12" i="8"/>
  <c r="J7" i="8"/>
  <c r="J6" i="8"/>
  <c r="J4" i="8"/>
  <c r="J2" i="8"/>
  <c r="G15" i="8"/>
  <c r="J3" i="8" s="1"/>
  <c r="J5" i="8" s="1"/>
  <c r="G4" i="8"/>
  <c r="G5" i="8"/>
  <c r="G6" i="8"/>
  <c r="G7" i="8"/>
  <c r="G8" i="8"/>
  <c r="G9" i="8"/>
  <c r="G10" i="8"/>
  <c r="G11" i="8"/>
  <c r="G13" i="8"/>
  <c r="G14" i="8"/>
  <c r="G3" i="8"/>
  <c r="D13" i="8"/>
  <c r="D12" i="8"/>
  <c r="D11" i="8"/>
  <c r="F11" i="8" s="1"/>
  <c r="D10" i="8"/>
  <c r="D9" i="8"/>
  <c r="D8" i="8"/>
  <c r="E13" i="8"/>
  <c r="E12" i="8"/>
  <c r="E11" i="8"/>
  <c r="E10" i="8"/>
  <c r="E9" i="8"/>
  <c r="E8" i="8"/>
  <c r="E7" i="8"/>
  <c r="F7" i="8" s="1"/>
  <c r="E6" i="8"/>
  <c r="E5" i="8"/>
  <c r="E4" i="8"/>
  <c r="E3" i="8"/>
  <c r="F4" i="8"/>
  <c r="F5" i="8"/>
  <c r="F6" i="8"/>
  <c r="F14" i="8"/>
  <c r="F3" i="8"/>
  <c r="E14" i="8"/>
  <c r="D4" i="8"/>
  <c r="D5" i="8"/>
  <c r="D6" i="8"/>
  <c r="D7" i="8"/>
  <c r="D14" i="8"/>
  <c r="D3" i="8"/>
  <c r="K6" i="7"/>
  <c r="J12" i="7"/>
  <c r="J10" i="7"/>
  <c r="J9" i="7"/>
  <c r="J8" i="7"/>
  <c r="J6" i="7"/>
  <c r="J5" i="7"/>
  <c r="J3" i="7"/>
  <c r="J4" i="7"/>
  <c r="G13" i="7"/>
  <c r="G4" i="7"/>
  <c r="G5" i="7"/>
  <c r="G6" i="7"/>
  <c r="G7" i="7"/>
  <c r="G8" i="7"/>
  <c r="G9" i="7"/>
  <c r="G10" i="7"/>
  <c r="G11" i="7"/>
  <c r="G12" i="7"/>
  <c r="G3" i="7"/>
  <c r="F4" i="7"/>
  <c r="F5" i="7"/>
  <c r="F6" i="7"/>
  <c r="F7" i="7"/>
  <c r="F8" i="7"/>
  <c r="F9" i="7"/>
  <c r="F10" i="7"/>
  <c r="F11" i="7"/>
  <c r="F12" i="7"/>
  <c r="F3" i="7"/>
  <c r="D12" i="7"/>
  <c r="D11" i="7"/>
  <c r="D10" i="7"/>
  <c r="D9" i="7"/>
  <c r="D8" i="7"/>
  <c r="D7" i="7"/>
  <c r="D6" i="7"/>
  <c r="D5" i="7"/>
  <c r="D4" i="7"/>
  <c r="E12" i="7"/>
  <c r="E11" i="7"/>
  <c r="E10" i="7"/>
  <c r="E9" i="7"/>
  <c r="E8" i="7"/>
  <c r="E7" i="7"/>
  <c r="E6" i="7"/>
  <c r="E5" i="7"/>
  <c r="E4" i="7"/>
  <c r="E3" i="7"/>
  <c r="D3" i="7"/>
  <c r="J8" i="8" l="1"/>
  <c r="J9" i="8" s="1"/>
  <c r="J11" i="8" s="1"/>
  <c r="F13" i="8"/>
  <c r="F10" i="8"/>
  <c r="F9" i="8"/>
  <c r="F8" i="8"/>
  <c r="L21" i="6" l="1"/>
  <c r="K21" i="6"/>
  <c r="K15" i="6"/>
  <c r="K16" i="6"/>
  <c r="K17" i="6"/>
  <c r="K18" i="6"/>
  <c r="G17" i="5"/>
  <c r="G18" i="5"/>
  <c r="F12" i="1"/>
  <c r="F8" i="1" l="1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14" i="5"/>
  <c r="I12" i="5"/>
  <c r="I8" i="5"/>
  <c r="I10" i="5"/>
  <c r="I6" i="5"/>
  <c r="H12" i="5"/>
  <c r="H10" i="5"/>
  <c r="H8" i="5"/>
  <c r="H6" i="5"/>
  <c r="G10" i="5"/>
  <c r="G8" i="5"/>
  <c r="G6" i="5"/>
  <c r="F7" i="5"/>
  <c r="F8" i="5"/>
  <c r="F9" i="5"/>
  <c r="F10" i="5"/>
  <c r="F11" i="5"/>
  <c r="F6" i="5"/>
  <c r="H28" i="6" l="1"/>
  <c r="I27" i="6"/>
  <c r="I22" i="6"/>
  <c r="I17" i="6"/>
  <c r="I12" i="6"/>
  <c r="I7" i="6"/>
  <c r="L24" i="6"/>
  <c r="K24" i="6"/>
  <c r="K14" i="6"/>
  <c r="K13" i="6"/>
  <c r="K10" i="6"/>
  <c r="K9" i="6"/>
  <c r="K8" i="6"/>
  <c r="K12" i="6"/>
  <c r="K11" i="6"/>
  <c r="K7" i="6"/>
  <c r="K6" i="6"/>
  <c r="K5" i="6"/>
  <c r="K3" i="6"/>
  <c r="K4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3" i="6"/>
  <c r="G24" i="6"/>
  <c r="G25" i="6"/>
  <c r="G26" i="6"/>
  <c r="G27" i="6"/>
  <c r="G23" i="6"/>
  <c r="G19" i="6"/>
  <c r="G20" i="6"/>
  <c r="G21" i="6"/>
  <c r="G22" i="6"/>
  <c r="G18" i="6"/>
  <c r="G14" i="6"/>
  <c r="G15" i="6"/>
  <c r="G16" i="6"/>
  <c r="G17" i="6"/>
  <c r="G13" i="6"/>
  <c r="G9" i="6"/>
  <c r="G10" i="6"/>
  <c r="G11" i="6"/>
  <c r="G12" i="6"/>
  <c r="G8" i="6"/>
  <c r="G4" i="6"/>
  <c r="G5" i="6"/>
  <c r="G6" i="6"/>
  <c r="G7" i="6"/>
  <c r="G3" i="6"/>
  <c r="I20" i="4"/>
  <c r="I19" i="4"/>
  <c r="I18" i="4"/>
  <c r="I6" i="4"/>
  <c r="I15" i="4"/>
  <c r="I14" i="4"/>
  <c r="I13" i="4"/>
  <c r="I12" i="4"/>
  <c r="I10" i="4"/>
  <c r="I9" i="4"/>
  <c r="I8" i="4"/>
  <c r="I7" i="4"/>
  <c r="I5" i="4"/>
  <c r="I4" i="4"/>
  <c r="I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3" i="4"/>
  <c r="F17" i="4"/>
  <c r="F18" i="4"/>
  <c r="F19" i="4"/>
  <c r="F20" i="4"/>
  <c r="F16" i="4"/>
  <c r="F11" i="4"/>
  <c r="F12" i="4"/>
  <c r="F13" i="4"/>
  <c r="F14" i="4"/>
  <c r="F15" i="4"/>
  <c r="F10" i="4"/>
  <c r="F4" i="4"/>
  <c r="F5" i="4"/>
  <c r="F6" i="4"/>
  <c r="F7" i="4"/>
  <c r="F8" i="4"/>
  <c r="F9" i="4"/>
  <c r="F3" i="4"/>
  <c r="G18" i="3"/>
  <c r="F18" i="3"/>
  <c r="F16" i="3"/>
  <c r="G14" i="3"/>
  <c r="F14" i="3"/>
  <c r="F11" i="3"/>
  <c r="F10" i="3"/>
  <c r="F9" i="3"/>
  <c r="F8" i="3"/>
  <c r="F5" i="3"/>
  <c r="F3" i="3"/>
  <c r="F4" i="3"/>
  <c r="F2" i="3"/>
  <c r="C8" i="3"/>
  <c r="B8" i="3"/>
  <c r="A8" i="3"/>
  <c r="F11" i="1" l="1"/>
  <c r="F16" i="1" s="1"/>
  <c r="F9" i="1"/>
  <c r="F6" i="1"/>
  <c r="F5" i="1"/>
  <c r="F3" i="1"/>
  <c r="F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" i="1"/>
  <c r="C12" i="1" l="1"/>
  <c r="C13" i="1"/>
  <c r="C14" i="1"/>
  <c r="C15" i="1"/>
  <c r="C16" i="1"/>
  <c r="C17" i="1"/>
  <c r="C18" i="1"/>
  <c r="C19" i="1"/>
  <c r="C20" i="1"/>
  <c r="C21" i="1"/>
  <c r="C22" i="1"/>
  <c r="C11" i="1"/>
  <c r="C3" i="1"/>
  <c r="C4" i="1"/>
  <c r="C5" i="1"/>
  <c r="C6" i="1"/>
  <c r="C7" i="1"/>
  <c r="C8" i="1"/>
  <c r="C9" i="1"/>
  <c r="C10" i="1"/>
  <c r="C2" i="1"/>
  <c r="G2" i="2"/>
  <c r="D2" i="2"/>
  <c r="G3" i="2"/>
  <c r="G6" i="2"/>
  <c r="G9" i="2" s="1"/>
  <c r="G5" i="2"/>
  <c r="G8" i="2" l="1"/>
  <c r="G11" i="2" s="1"/>
  <c r="G12" i="2" s="1"/>
  <c r="G14" i="2" s="1"/>
  <c r="D16" i="2"/>
  <c r="C19" i="2"/>
  <c r="C11" i="2"/>
  <c r="C12" i="2"/>
  <c r="C13" i="2"/>
  <c r="C14" i="2"/>
  <c r="C15" i="2"/>
  <c r="C16" i="2"/>
  <c r="C17" i="2"/>
  <c r="D17" i="2" s="1"/>
  <c r="C18" i="2"/>
  <c r="D12" i="2" s="1"/>
  <c r="C10" i="2"/>
  <c r="D10" i="2" s="1"/>
  <c r="C3" i="2"/>
  <c r="D11" i="2" s="1"/>
  <c r="C4" i="2"/>
  <c r="C5" i="2"/>
  <c r="C6" i="2"/>
  <c r="C7" i="2"/>
  <c r="C8" i="2"/>
  <c r="C9" i="2"/>
  <c r="C2" i="2"/>
  <c r="D9" i="2" l="1"/>
  <c r="D13" i="2"/>
  <c r="D7" i="2"/>
  <c r="D8" i="2"/>
  <c r="D14" i="2"/>
  <c r="D6" i="2"/>
  <c r="D19" i="2"/>
  <c r="D18" i="2"/>
  <c r="D3" i="2"/>
  <c r="D4" i="2"/>
  <c r="D5" i="2"/>
  <c r="D15" i="2"/>
</calcChain>
</file>

<file path=xl/sharedStrings.xml><?xml version="1.0" encoding="utf-8"?>
<sst xmlns="http://schemas.openxmlformats.org/spreadsheetml/2006/main" count="301" uniqueCount="105">
  <si>
    <t>Clase matinal</t>
  </si>
  <si>
    <t>Clase vexpertina</t>
  </si>
  <si>
    <t>z:</t>
  </si>
  <si>
    <t>n_1:</t>
  </si>
  <si>
    <t>n_2:</t>
  </si>
  <si>
    <t>significancia:</t>
  </si>
  <si>
    <t>Aleación 1</t>
  </si>
  <si>
    <t>Aleación 2</t>
  </si>
  <si>
    <t>Ranks</t>
  </si>
  <si>
    <t>Rank</t>
  </si>
  <si>
    <t>Rating</t>
  </si>
  <si>
    <t>Rank sum:</t>
  </si>
  <si>
    <t xml:space="preserve">Aleación 1: </t>
  </si>
  <si>
    <t>Aleación 2:</t>
  </si>
  <si>
    <t>mu_w:</t>
  </si>
  <si>
    <t xml:space="preserve">ST_w: </t>
  </si>
  <si>
    <t xml:space="preserve">z: </t>
  </si>
  <si>
    <t>p-value:</t>
  </si>
  <si>
    <t xml:space="preserve">Reject: 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</si>
  <si>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</si>
  <si>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</si>
  <si>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</si>
  <si>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</si>
  <si>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</si>
  <si>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</si>
  <si>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</si>
  <si>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</si>
  <si>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</si>
  <si>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</si>
  <si>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</si>
  <si>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</si>
  <si>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</si>
  <si>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Rank sum matinal</t>
  </si>
  <si>
    <t>Rank sum vespertina</t>
  </si>
  <si>
    <t>matinal</t>
  </si>
  <si>
    <t>vespertina</t>
  </si>
  <si>
    <t>mu_w</t>
  </si>
  <si>
    <t>ST_W:</t>
  </si>
  <si>
    <t>alpha:</t>
  </si>
  <si>
    <t>Reject:</t>
  </si>
  <si>
    <t>Muestra 1</t>
  </si>
  <si>
    <t>Muestra 3</t>
  </si>
  <si>
    <t>Muestra 2</t>
  </si>
  <si>
    <t>n_3:</t>
  </si>
  <si>
    <t>k:</t>
  </si>
  <si>
    <t>n_T:</t>
  </si>
  <si>
    <t>Part 1:</t>
  </si>
  <si>
    <t>Part 2:</t>
  </si>
  <si>
    <t>Part 3:</t>
  </si>
  <si>
    <t>H:</t>
  </si>
  <si>
    <t xml:space="preserve">significance: </t>
  </si>
  <si>
    <t>chi-square:</t>
  </si>
  <si>
    <t>reject:</t>
  </si>
  <si>
    <t>Compra</t>
  </si>
  <si>
    <t>Cliente 1</t>
  </si>
  <si>
    <t>Cliente 2</t>
  </si>
  <si>
    <t>Cliente 3</t>
  </si>
  <si>
    <t>Ratings</t>
  </si>
  <si>
    <t>Ranking</t>
  </si>
  <si>
    <t>Cliente 1:</t>
  </si>
  <si>
    <t>Cliente 2:</t>
  </si>
  <si>
    <t>Cliente 3:</t>
  </si>
  <si>
    <t xml:space="preserve">H: </t>
  </si>
  <si>
    <t>significance:</t>
  </si>
  <si>
    <t>chi-squared</t>
  </si>
  <si>
    <t>Reject?</t>
  </si>
  <si>
    <t>A</t>
  </si>
  <si>
    <t>B</t>
  </si>
  <si>
    <t>C</t>
  </si>
  <si>
    <t>D</t>
  </si>
  <si>
    <t>E</t>
  </si>
  <si>
    <t>Rank A</t>
  </si>
  <si>
    <t>Rank B</t>
  </si>
  <si>
    <t>Rank C</t>
  </si>
  <si>
    <t>Rank D</t>
  </si>
  <si>
    <t>Rank E</t>
  </si>
  <si>
    <t>A_n_1:</t>
  </si>
  <si>
    <t>B_n_2:</t>
  </si>
  <si>
    <t>C_n_3</t>
  </si>
  <si>
    <t>D_n_4:</t>
  </si>
  <si>
    <t>E_n_5:</t>
  </si>
  <si>
    <t xml:space="preserve">Part 2: </t>
  </si>
  <si>
    <t xml:space="preserve">Permutación: </t>
  </si>
  <si>
    <t>Dist de muestreo</t>
  </si>
  <si>
    <t>Promedio ponderado mu_w</t>
  </si>
  <si>
    <t>Desviación</t>
  </si>
  <si>
    <t>SD_w:</t>
  </si>
  <si>
    <t>Laboratorio</t>
  </si>
  <si>
    <t>Teoría</t>
  </si>
  <si>
    <t>R_L</t>
  </si>
  <si>
    <t>R_T</t>
  </si>
  <si>
    <t>d sub i</t>
  </si>
  <si>
    <t>d sub i ^2</t>
  </si>
  <si>
    <t>n:</t>
  </si>
  <si>
    <t>r(s):</t>
  </si>
  <si>
    <t>mean:</t>
  </si>
  <si>
    <t>desvest:</t>
  </si>
  <si>
    <t>alpha</t>
  </si>
  <si>
    <t>A. P.</t>
  </si>
  <si>
    <t>A. HM.</t>
  </si>
  <si>
    <t>R_1</t>
  </si>
  <si>
    <t>R_2</t>
  </si>
  <si>
    <t>part 1:</t>
  </si>
  <si>
    <t>part 2:</t>
  </si>
  <si>
    <t>reject?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</si>
</sst>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1" fillId="0" borderId="0" xfId="0" applyFont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1" xfId="0" applyBorder="1"/>
    <xf numFmtId="0" fontId="0" fillId="0" borderId="9" xfId="0" applyBorder="1"/>
    <xf numFmtId="0" fontId="2" fillId="0" borderId="2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'1'!$A$1</c:f>
              <c:strCache>
                <c:ptCount val="1"/>
                <c:pt idx="0">
                  <c:v>Aleación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'1'!$A$2:$A$9</c:f>
              <c:numCache>
                <c:formatCode>General</c:formatCode>
                <c:ptCount val="8"/>
                <c:pt idx="0">
                  <c:v>18.3</c:v>
                </c:pt>
                <c:pt idx="1">
                  <c:v>16.399999999999999</c:v>
                </c:pt>
                <c:pt idx="2">
                  <c:v>22.7</c:v>
                </c:pt>
                <c:pt idx="3">
                  <c:v>17.8</c:v>
                </c:pt>
                <c:pt idx="4">
                  <c:v>18.899999999999999</c:v>
                </c:pt>
                <c:pt idx="5">
                  <c:v>25.3</c:v>
                </c:pt>
                <c:pt idx="6">
                  <c:v>16.100000000000001</c:v>
                </c:pt>
                <c:pt idx="7">
                  <c:v>24.2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F4-483A-822B-4D0799EE50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537007440"/>
        <c:axId val="537008096"/>
      </c:barChart>
      <c:catAx>
        <c:axId val="537007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537008096"/>
        <c:crosses val="autoZero"/>
        <c:auto val="1"/>
        <c:lblAlgn val="ctr"/>
        <c:lblOffset val="100"/>
        <c:noMultiLvlLbl val="0"/>
      </c:catAx>
      <c:valAx>
        <c:axId val="53700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537007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'1'!$B$1</c:f>
              <c:strCache>
                <c:ptCount val="1"/>
                <c:pt idx="0">
                  <c:v>Aleación 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'1'!$B$2:$B$11</c:f>
              <c:numCache>
                <c:formatCode>General</c:formatCode>
                <c:ptCount val="10"/>
                <c:pt idx="0">
                  <c:v>12.6</c:v>
                </c:pt>
                <c:pt idx="1">
                  <c:v>14.1</c:v>
                </c:pt>
                <c:pt idx="2">
                  <c:v>20.5</c:v>
                </c:pt>
                <c:pt idx="3">
                  <c:v>10.7</c:v>
                </c:pt>
                <c:pt idx="4">
                  <c:v>15.9</c:v>
                </c:pt>
                <c:pt idx="5">
                  <c:v>19.600000000000001</c:v>
                </c:pt>
                <c:pt idx="6">
                  <c:v>12.9</c:v>
                </c:pt>
                <c:pt idx="7">
                  <c:v>15.2</c:v>
                </c:pt>
                <c:pt idx="8">
                  <c:v>11.8</c:v>
                </c:pt>
                <c:pt idx="9">
                  <c:v>14.7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17-426B-A4EF-161F1C9620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644561520"/>
        <c:axId val="536501056"/>
      </c:barChart>
      <c:catAx>
        <c:axId val="6445615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536501056"/>
        <c:crosses val="autoZero"/>
        <c:auto val="1"/>
        <c:lblAlgn val="ctr"/>
        <c:lblOffset val="100"/>
        <c:noMultiLvlLbl val="0"/>
      </c:catAx>
      <c:valAx>
        <c:axId val="53650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644561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'2'!$A$1</c:f>
              <c:strCache>
                <c:ptCount val="1"/>
                <c:pt idx="0">
                  <c:v>Clase matinal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'2'!$A$2:$A$10</c:f>
              <c:numCache>
                <c:formatCode>General</c:formatCode>
                <c:ptCount val="9"/>
                <c:pt idx="0">
                  <c:v>73</c:v>
                </c:pt>
                <c:pt idx="1">
                  <c:v>87</c:v>
                </c:pt>
                <c:pt idx="2">
                  <c:v>79</c:v>
                </c:pt>
                <c:pt idx="3">
                  <c:v>75</c:v>
                </c:pt>
                <c:pt idx="4">
                  <c:v>82</c:v>
                </c:pt>
                <c:pt idx="5">
                  <c:v>66</c:v>
                </c:pt>
                <c:pt idx="6">
                  <c:v>95</c:v>
                </c:pt>
                <c:pt idx="7">
                  <c:v>75</c:v>
                </c:pt>
                <c:pt idx="8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0B-40C8-B0CE-1BCB5757BD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447424752"/>
        <c:axId val="447425080"/>
      </c:barChart>
      <c:catAx>
        <c:axId val="4474247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447425080"/>
        <c:crosses val="autoZero"/>
        <c:auto val="1"/>
        <c:lblAlgn val="ctr"/>
        <c:lblOffset val="100"/>
        <c:noMultiLvlLbl val="0"/>
      </c:catAx>
      <c:valAx>
        <c:axId val="447425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447424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'2'!$B$1</c:f>
              <c:strCache>
                <c:ptCount val="1"/>
                <c:pt idx="0">
                  <c:v>Clase vexpertina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'2'!$B$2:$B$13</c:f>
              <c:numCache>
                <c:formatCode>General</c:formatCode>
                <c:ptCount val="12"/>
                <c:pt idx="0">
                  <c:v>86</c:v>
                </c:pt>
                <c:pt idx="1">
                  <c:v>81</c:v>
                </c:pt>
                <c:pt idx="2">
                  <c:v>84</c:v>
                </c:pt>
                <c:pt idx="3">
                  <c:v>88</c:v>
                </c:pt>
                <c:pt idx="4">
                  <c:v>90</c:v>
                </c:pt>
                <c:pt idx="5">
                  <c:v>85</c:v>
                </c:pt>
                <c:pt idx="6">
                  <c:v>84</c:v>
                </c:pt>
                <c:pt idx="7">
                  <c:v>92</c:v>
                </c:pt>
                <c:pt idx="8">
                  <c:v>83</c:v>
                </c:pt>
                <c:pt idx="9">
                  <c:v>91</c:v>
                </c:pt>
                <c:pt idx="10">
                  <c:v>53</c:v>
                </c:pt>
                <c:pt idx="11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06-41BD-A813-C89463DD70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643328632"/>
        <c:axId val="643337160"/>
      </c:barChart>
      <c:catAx>
        <c:axId val="6433286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643337160"/>
        <c:crosses val="autoZero"/>
        <c:auto val="1"/>
        <c:lblAlgn val="ctr"/>
        <c:lblOffset val="100"/>
        <c:noMultiLvlLbl val="0"/>
      </c:catAx>
      <c:valAx>
        <c:axId val="643337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643328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390525</xdr:colOff>
      <xdr:row>1</xdr:row>
      <xdr:rowOff>4762</xdr:rowOff>
    </xdr:from>
    <xdr:to>
      <xdr:col>16</xdr:col>
      <xdr:colOff>85725</xdr:colOff>
      <xdr:row>15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19FDE2-34CB-472C-A58A-B09412EEF4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381000</xdr:colOff>
      <xdr:row>16</xdr:row>
      <xdr:rowOff>14287</xdr:rowOff>
    </xdr:from>
    <xdr:to>
      <xdr:col>16</xdr:col>
      <xdr:colOff>76200</xdr:colOff>
      <xdr:row>30</xdr:row>
      <xdr:rowOff>90487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08702B6-18C7-439A-9A18-9D4DEF6584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104775</xdr:colOff>
      <xdr:row>17</xdr:row>
      <xdr:rowOff>90487</xdr:rowOff>
    </xdr:from>
    <xdr:to>
      <xdr:col>14</xdr:col>
      <xdr:colOff>409575</xdr:colOff>
      <xdr:row>31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952F83-143F-459A-983D-8F03F8FF33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161925</xdr:colOff>
      <xdr:row>32</xdr:row>
      <xdr:rowOff>80962</xdr:rowOff>
    </xdr:from>
    <xdr:to>
      <xdr:col>14</xdr:col>
      <xdr:colOff>466725</xdr:colOff>
      <xdr:row>46</xdr:row>
      <xdr:rowOff>157162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98DCB2B-D087-4504-962A-1970C67957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9524</xdr:colOff>
      <xdr:row>3</xdr:row>
      <xdr:rowOff>177715</xdr:rowOff>
    </xdr:from>
    <xdr:to>
      <xdr:col>18</xdr:col>
      <xdr:colOff>324987</xdr:colOff>
      <xdr:row>26</xdr:row>
      <xdr:rowOff>58220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79B5C1A-D9C2-4200-BCFF-F69F0CE97A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48474" y="749215"/>
          <a:ext cx="4582663" cy="430963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1CE11-7E79-4945-9C1E-E1D1DB6FEC3A}">
  <dimension ref="A1:G36"/>
  <sheetViews>
    <sheetView tabSelected="1" topLeftCell="A8" workbookViewId="0">
      <selection activeCell="G34" sqref="G34"/>
    </sheetView>
  </sheetViews>
  <sheetFormatPr defaultRowHeight="15" x14ac:dyDescent="0.25"/>
  <cols>
    <col min="6" max="6" width="11" bestFit="1" customWidth="1"/>
    <col min="7" max="7" width="12" bestFit="1" customWidth="1"/>
  </cols>
  <sheetData>
    <row r="1" spans="1:7" x14ac:dyDescent="0.25">
      <c r="A1" t="s">
        <v>6</v>
      </c>
      <c r="B1" t="s">
        <v>7</v>
      </c>
      <c r="C1" t="s">
        <v>10</v>
      </c>
      <c r="D1" t="s">
        <v>9</v>
      </c>
      <c r="F1" t="s">
        <v>11</v>
      </c>
    </row>
    <row r="2" spans="1:7" x14ac:dyDescent="0.25">
      <c r="A2">
        <v>18.3</v>
      </c>
      <c r="B2">
        <v>12.6</v>
      </c>
      <c r="C2" s="1">
        <f t="shared" ref="C2:C9" si="0">A2</f>
        <v>18.3</v>
      </c>
      <c r="D2">
        <f t="shared" ref="D2:D19" si="1">_xlfn.RANK.AVG(C2,$C$2:$C$19,1)</f>
        <v>12</v>
      </c>
      <c r="F2" t="s">
        <v>12</v>
      </c>
      <c r="G2">
        <f>SUM(D2:D9)+0.5</f>
        <v>106.5</v>
      </c>
    </row>
    <row r="3" spans="1:7" x14ac:dyDescent="0.25">
      <c r="A3">
        <v>16.399999999999999</v>
      </c>
      <c r="B3">
        <v>14.1</v>
      </c>
      <c r="C3" s="1">
        <f t="shared" si="0"/>
        <v>16.399999999999999</v>
      </c>
      <c r="D3">
        <f t="shared" si="1"/>
        <v>10</v>
      </c>
      <c r="F3" t="s">
        <v>13</v>
      </c>
      <c r="G3">
        <f>SUM(D10:D19)</f>
        <v>65</v>
      </c>
    </row>
    <row r="4" spans="1:7" x14ac:dyDescent="0.25">
      <c r="A4">
        <v>22.7</v>
      </c>
      <c r="B4">
        <v>20.5</v>
      </c>
      <c r="C4" s="1">
        <f t="shared" si="0"/>
        <v>22.7</v>
      </c>
      <c r="D4">
        <f t="shared" si="1"/>
        <v>16</v>
      </c>
    </row>
    <row r="5" spans="1:7" x14ac:dyDescent="0.25">
      <c r="A5">
        <v>17.8</v>
      </c>
      <c r="B5">
        <v>10.7</v>
      </c>
      <c r="C5" s="1">
        <f t="shared" si="0"/>
        <v>17.8</v>
      </c>
      <c r="D5">
        <f t="shared" si="1"/>
        <v>11</v>
      </c>
      <c r="F5" t="s">
        <v>3</v>
      </c>
      <c r="G5">
        <f>COUNT(A:A)</f>
        <v>8</v>
      </c>
    </row>
    <row r="6" spans="1:7" x14ac:dyDescent="0.25">
      <c r="A6">
        <v>18.899999999999999</v>
      </c>
      <c r="B6">
        <v>15.9</v>
      </c>
      <c r="C6" s="1">
        <f t="shared" si="0"/>
        <v>18.899999999999999</v>
      </c>
      <c r="D6">
        <f t="shared" si="1"/>
        <v>13</v>
      </c>
      <c r="F6" t="s">
        <v>4</v>
      </c>
      <c r="G6">
        <f>COUNT(B:B)</f>
        <v>10</v>
      </c>
    </row>
    <row r="7" spans="1:7" x14ac:dyDescent="0.25">
      <c r="A7">
        <v>25.3</v>
      </c>
      <c r="B7">
        <v>19.600000000000001</v>
      </c>
      <c r="C7" s="1">
        <f t="shared" si="0"/>
        <v>25.3</v>
      </c>
      <c r="D7">
        <f t="shared" si="1"/>
        <v>18</v>
      </c>
    </row>
    <row r="8" spans="1:7" x14ac:dyDescent="0.25">
      <c r="A8">
        <v>16.100000000000001</v>
      </c>
      <c r="B8">
        <v>12.9</v>
      </c>
      <c r="C8" s="1">
        <f t="shared" si="0"/>
        <v>16.100000000000001</v>
      </c>
      <c r="D8">
        <f t="shared" si="1"/>
        <v>9</v>
      </c>
      <c r="F8" t="s">
        <v>14</v>
      </c>
      <c r="G8">
        <f>(G5*(G5+G6+1))/(2)</f>
        <v>76</v>
      </c>
    </row>
    <row r="9" spans="1:7" x14ac:dyDescent="0.25">
      <c r="A9">
        <v>24.2</v>
      </c>
      <c r="B9">
        <v>15.2</v>
      </c>
      <c r="C9" s="1">
        <f t="shared" si="0"/>
        <v>24.2</v>
      </c>
      <c r="D9">
        <f t="shared" si="1"/>
        <v>17</v>
      </c>
      <c r="F9" t="s">
        <v>15</v>
      </c>
      <c r="G9">
        <f>SQRT( (G5*G6*(G5+G6+1))/12)</f>
        <v>11.254628677422755</v>
      </c>
    </row>
    <row r="10" spans="1:7" x14ac:dyDescent="0.25">
      <c r="B10">
        <v>11.8</v>
      </c>
      <c r="C10" s="2">
        <f t="shared" ref="C10:C19" si="2">B2</f>
        <v>12.6</v>
      </c>
      <c r="D10">
        <f t="shared" si="1"/>
        <v>3</v>
      </c>
    </row>
    <row r="11" spans="1:7" x14ac:dyDescent="0.25">
      <c r="B11">
        <v>14.7</v>
      </c>
      <c r="C11" s="2">
        <f t="shared" si="2"/>
        <v>14.1</v>
      </c>
      <c r="D11">
        <f t="shared" si="1"/>
        <v>5</v>
      </c>
      <c r="F11" t="s">
        <v>16</v>
      </c>
      <c r="G11">
        <f xml:space="preserve"> ( G2 -G8)/G9</f>
        <v>2.7099961157478476</v>
      </c>
    </row>
    <row r="12" spans="1:7" x14ac:dyDescent="0.25">
      <c r="C12" s="2">
        <f t="shared" si="2"/>
        <v>20.5</v>
      </c>
      <c r="D12">
        <f t="shared" si="1"/>
        <v>15</v>
      </c>
      <c r="F12" t="s">
        <v>17</v>
      </c>
      <c r="G12">
        <f>1-_xlfn.NORM.S.DIST(G11,1)</f>
        <v>3.3641998041737953E-3</v>
      </c>
    </row>
    <row r="13" spans="1:7" x14ac:dyDescent="0.25">
      <c r="C13" s="2">
        <f t="shared" si="2"/>
        <v>10.7</v>
      </c>
      <c r="D13">
        <f t="shared" si="1"/>
        <v>1</v>
      </c>
    </row>
    <row r="14" spans="1:7" x14ac:dyDescent="0.25">
      <c r="C14" s="2">
        <f t="shared" si="2"/>
        <v>15.9</v>
      </c>
      <c r="D14">
        <f t="shared" si="1"/>
        <v>8</v>
      </c>
      <c r="F14" t="s">
        <v>18</v>
      </c>
      <c r="G14" t="str">
        <f>IF(G12&lt;=0.05,"reject","fail to reject")</f>
        <v>reject</v>
      </c>
    </row>
    <row r="15" spans="1:7" x14ac:dyDescent="0.25">
      <c r="C15" s="2">
        <f t="shared" si="2"/>
        <v>19.600000000000001</v>
      </c>
      <c r="D15">
        <f t="shared" si="1"/>
        <v>14</v>
      </c>
    </row>
    <row r="16" spans="1:7" x14ac:dyDescent="0.25">
      <c r="C16" s="2">
        <f t="shared" si="2"/>
        <v>12.9</v>
      </c>
      <c r="D16">
        <f t="shared" si="1"/>
        <v>4</v>
      </c>
    </row>
    <row r="17" spans="2:5" x14ac:dyDescent="0.25">
      <c r="C17" s="2">
        <f t="shared" si="2"/>
        <v>15.2</v>
      </c>
      <c r="D17">
        <f t="shared" si="1"/>
        <v>7</v>
      </c>
    </row>
    <row r="18" spans="2:5" x14ac:dyDescent="0.25">
      <c r="C18" s="2">
        <f t="shared" si="2"/>
        <v>11.8</v>
      </c>
      <c r="D18">
        <f t="shared" si="1"/>
        <v>2</v>
      </c>
    </row>
    <row r="19" spans="2:5" x14ac:dyDescent="0.25">
      <c r="C19" s="2">
        <f t="shared" si="2"/>
        <v>14.7</v>
      </c>
      <c r="D19">
        <f t="shared" si="1"/>
        <v>6</v>
      </c>
    </row>
    <row r="21" spans="2:5" ht="15.75" thickBot="1" x14ac:dyDescent="0.3"/>
    <row r="22" spans="2:5" x14ac:dyDescent="0.25">
      <c r="B22" s="5" t="s">
        <v>6</v>
      </c>
      <c r="C22" s="5"/>
      <c r="D22" s="5" t="s">
        <v>7</v>
      </c>
      <c r="E22" s="5"/>
    </row>
    <row r="23" spans="2:5" x14ac:dyDescent="0.25">
      <c r="B23" s="3"/>
      <c r="C23" s="3"/>
      <c r="D23" s="3"/>
      <c r="E23" s="3"/>
    </row>
    <row r="24" spans="2:5" x14ac:dyDescent="0.25">
      <c r="B24" s="3" t="s">
        <v>19</v>
      </c>
      <c r="C24" s="3">
        <v>19.962499999999999</v>
      </c>
      <c r="D24" s="3" t="s">
        <v>19</v>
      </c>
      <c r="E24" s="3">
        <v>14.8</v>
      </c>
    </row>
    <row r="25" spans="2:5" x14ac:dyDescent="0.25">
      <c r="B25" s="3" t="s">
        <v>20</v>
      </c>
      <c r="C25" s="3">
        <v>1.2685674569596812</v>
      </c>
      <c r="D25" s="3" t="s">
        <v>20</v>
      </c>
      <c r="E25" s="3">
        <v>1.0091800852397197</v>
      </c>
    </row>
    <row r="26" spans="2:5" x14ac:dyDescent="0.25">
      <c r="B26" s="3" t="s">
        <v>21</v>
      </c>
      <c r="C26" s="3">
        <v>18.600000000000001</v>
      </c>
      <c r="D26" s="3" t="s">
        <v>21</v>
      </c>
      <c r="E26" s="3">
        <v>14.399999999999999</v>
      </c>
    </row>
    <row r="27" spans="2:5" x14ac:dyDescent="0.25">
      <c r="B27" s="3" t="s">
        <v>22</v>
      </c>
      <c r="C27" s="3" t="e">
        <v>#N/A</v>
      </c>
      <c r="D27" s="3" t="s">
        <v>22</v>
      </c>
      <c r="E27" s="3" t="e">
        <v>#N/A</v>
      </c>
    </row>
    <row r="28" spans="2:5" x14ac:dyDescent="0.25">
      <c r="B28" s="3" t="s">
        <v>23</v>
      </c>
      <c r="C28" s="3">
        <v>3.5880506048350576</v>
      </c>
      <c r="D28" s="3" t="s">
        <v>23</v>
      </c>
      <c r="E28" s="3">
        <v>3.1913076386403865</v>
      </c>
    </row>
    <row r="29" spans="2:5" x14ac:dyDescent="0.25">
      <c r="B29" s="3" t="s">
        <v>24</v>
      </c>
      <c r="C29" s="3">
        <v>12.874107142857222</v>
      </c>
      <c r="D29" s="3" t="s">
        <v>24</v>
      </c>
      <c r="E29" s="3">
        <v>10.184444444444479</v>
      </c>
    </row>
    <row r="30" spans="2:5" x14ac:dyDescent="0.25">
      <c r="B30" s="3" t="s">
        <v>25</v>
      </c>
      <c r="C30" s="3">
        <v>-1.5806294892372859</v>
      </c>
      <c r="D30" s="3" t="s">
        <v>25</v>
      </c>
      <c r="E30" s="3">
        <v>-0.15569961999486459</v>
      </c>
    </row>
    <row r="31" spans="2:5" x14ac:dyDescent="0.25">
      <c r="B31" s="3" t="s">
        <v>26</v>
      </c>
      <c r="C31" s="3">
        <v>0.53572300781745241</v>
      </c>
      <c r="D31" s="3" t="s">
        <v>26</v>
      </c>
      <c r="E31" s="3">
        <v>0.78375398754871506</v>
      </c>
    </row>
    <row r="32" spans="2:5" x14ac:dyDescent="0.25">
      <c r="B32" s="3" t="s">
        <v>27</v>
      </c>
      <c r="C32" s="3">
        <v>9.1999999999999993</v>
      </c>
      <c r="D32" s="3" t="s">
        <v>27</v>
      </c>
      <c r="E32" s="3">
        <v>9.8000000000000007</v>
      </c>
    </row>
    <row r="33" spans="2:5" x14ac:dyDescent="0.25">
      <c r="B33" s="3" t="s">
        <v>28</v>
      </c>
      <c r="C33" s="3">
        <v>16.100000000000001</v>
      </c>
      <c r="D33" s="3" t="s">
        <v>28</v>
      </c>
      <c r="E33" s="3">
        <v>10.7</v>
      </c>
    </row>
    <row r="34" spans="2:5" x14ac:dyDescent="0.25">
      <c r="B34" s="3" t="s">
        <v>29</v>
      </c>
      <c r="C34" s="3">
        <v>25.3</v>
      </c>
      <c r="D34" s="3" t="s">
        <v>29</v>
      </c>
      <c r="E34" s="3">
        <v>20.5</v>
      </c>
    </row>
    <row r="35" spans="2:5" x14ac:dyDescent="0.25">
      <c r="B35" s="3" t="s">
        <v>30</v>
      </c>
      <c r="C35" s="3">
        <v>159.69999999999999</v>
      </c>
      <c r="D35" s="3" t="s">
        <v>30</v>
      </c>
      <c r="E35" s="3">
        <v>148</v>
      </c>
    </row>
    <row r="36" spans="2:5" ht="15.75" thickBot="1" x14ac:dyDescent="0.3">
      <c r="B36" s="4" t="s">
        <v>31</v>
      </c>
      <c r="C36" s="4">
        <v>8</v>
      </c>
      <c r="D36" s="4" t="s">
        <v>31</v>
      </c>
      <c r="E36" s="4">
        <v>10</v>
      </c>
    </row>
  </sheetData>
  <sortState xmlns:xlrd2="http://schemas.microsoft.com/office/spreadsheetml/2017/richdata2" ref="F2:F19">
    <sortCondition ref="F2:F19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2"/>
  <sheetViews>
    <sheetView topLeftCell="C1" workbookViewId="0">
      <selection activeCell="F13" sqref="F13"/>
    </sheetView>
  </sheetViews>
  <sheetFormatPr defaultRowHeight="15" x14ac:dyDescent="0.25"/>
  <cols>
    <col min="1" max="1" width="12.85546875" bestFit="1" customWidth="1"/>
    <col min="2" max="2" width="15.85546875" bestFit="1" customWidth="1"/>
    <col min="6" max="6" width="12" bestFit="1" customWidth="1"/>
  </cols>
  <sheetData>
    <row r="1" spans="1:12" x14ac:dyDescent="0.25">
      <c r="A1" t="s">
        <v>0</v>
      </c>
      <c r="B1" t="s">
        <v>1</v>
      </c>
      <c r="C1" t="s">
        <v>10</v>
      </c>
      <c r="D1" t="s">
        <v>8</v>
      </c>
      <c r="I1" s="5" t="s">
        <v>0</v>
      </c>
      <c r="J1" s="5"/>
      <c r="K1" s="20" t="s">
        <v>1</v>
      </c>
      <c r="L1" s="5"/>
    </row>
    <row r="2" spans="1:12" x14ac:dyDescent="0.25">
      <c r="A2">
        <v>73</v>
      </c>
      <c r="B2">
        <v>86</v>
      </c>
      <c r="C2" s="2">
        <f>A2</f>
        <v>73</v>
      </c>
      <c r="D2">
        <f>_xlfn.RANK.AVG(C2,$C$2:$C$22,1)</f>
        <v>4</v>
      </c>
      <c r="E2" t="s">
        <v>32</v>
      </c>
      <c r="F2">
        <f>SUM(D2:D10)</f>
        <v>73</v>
      </c>
      <c r="I2" s="3"/>
      <c r="J2" s="3"/>
      <c r="K2" s="3"/>
      <c r="L2" s="3"/>
    </row>
    <row r="3" spans="1:12" x14ac:dyDescent="0.25">
      <c r="A3">
        <v>87</v>
      </c>
      <c r="B3">
        <v>81</v>
      </c>
      <c r="C3" s="2">
        <f t="shared" ref="C3:C10" si="0">A3</f>
        <v>87</v>
      </c>
      <c r="D3">
        <f t="shared" ref="D3:D22" si="1">_xlfn.RANK.AVG(C3,$C$2:$C$22,1)</f>
        <v>16</v>
      </c>
      <c r="E3" t="s">
        <v>33</v>
      </c>
      <c r="F3">
        <f>SUM(D11:D22)</f>
        <v>158</v>
      </c>
      <c r="I3" s="3" t="s">
        <v>19</v>
      </c>
      <c r="J3" s="3">
        <v>78</v>
      </c>
      <c r="K3" s="3" t="s">
        <v>19</v>
      </c>
      <c r="L3" s="3">
        <v>83.416666666666671</v>
      </c>
    </row>
    <row r="4" spans="1:12" x14ac:dyDescent="0.25">
      <c r="A4">
        <v>79</v>
      </c>
      <c r="B4">
        <v>84</v>
      </c>
      <c r="C4" s="2">
        <f t="shared" si="0"/>
        <v>79</v>
      </c>
      <c r="D4">
        <f t="shared" si="1"/>
        <v>7</v>
      </c>
      <c r="I4" s="3" t="s">
        <v>20</v>
      </c>
      <c r="J4" s="3">
        <v>2.9767618499152917</v>
      </c>
      <c r="K4" s="3" t="s">
        <v>20</v>
      </c>
      <c r="L4" s="3">
        <v>2.9347921647886905</v>
      </c>
    </row>
    <row r="5" spans="1:12" x14ac:dyDescent="0.25">
      <c r="A5">
        <v>75</v>
      </c>
      <c r="B5">
        <v>88</v>
      </c>
      <c r="C5" s="2">
        <f t="shared" si="0"/>
        <v>75</v>
      </c>
      <c r="D5">
        <f t="shared" si="1"/>
        <v>5.5</v>
      </c>
      <c r="E5" t="s">
        <v>34</v>
      </c>
      <c r="F5">
        <f>COUNT(A:A)</f>
        <v>9</v>
      </c>
      <c r="I5" s="3" t="s">
        <v>21</v>
      </c>
      <c r="J5" s="3">
        <v>75</v>
      </c>
      <c r="K5" s="3" t="s">
        <v>21</v>
      </c>
      <c r="L5" s="3">
        <v>84.5</v>
      </c>
    </row>
    <row r="6" spans="1:12" x14ac:dyDescent="0.25">
      <c r="A6">
        <v>82</v>
      </c>
      <c r="B6">
        <v>90</v>
      </c>
      <c r="C6" s="2">
        <f t="shared" si="0"/>
        <v>82</v>
      </c>
      <c r="D6">
        <f t="shared" si="1"/>
        <v>9</v>
      </c>
      <c r="E6" t="s">
        <v>35</v>
      </c>
      <c r="F6">
        <f>COUNT(B:B)</f>
        <v>12</v>
      </c>
      <c r="I6" s="3" t="s">
        <v>22</v>
      </c>
      <c r="J6" s="3">
        <v>75</v>
      </c>
      <c r="K6" s="3" t="s">
        <v>22</v>
      </c>
      <c r="L6" s="3">
        <v>84</v>
      </c>
    </row>
    <row r="7" spans="1:12" x14ac:dyDescent="0.25">
      <c r="A7">
        <v>66</v>
      </c>
      <c r="B7">
        <v>85</v>
      </c>
      <c r="C7" s="2">
        <f t="shared" si="0"/>
        <v>66</v>
      </c>
      <c r="D7">
        <f t="shared" si="1"/>
        <v>2</v>
      </c>
      <c r="I7" s="3" t="s">
        <v>23</v>
      </c>
      <c r="J7" s="3">
        <v>8.9302855497458751</v>
      </c>
      <c r="K7" s="3" t="s">
        <v>23</v>
      </c>
      <c r="L7" s="3">
        <v>10.16641827813813</v>
      </c>
    </row>
    <row r="8" spans="1:12" x14ac:dyDescent="0.25">
      <c r="A8">
        <v>95</v>
      </c>
      <c r="B8">
        <v>84</v>
      </c>
      <c r="C8" s="2">
        <f t="shared" si="0"/>
        <v>95</v>
      </c>
      <c r="D8">
        <f t="shared" si="1"/>
        <v>21</v>
      </c>
      <c r="E8" t="s">
        <v>36</v>
      </c>
      <c r="F8">
        <f xml:space="preserve"> (F5*(F5+F6+1))/2</f>
        <v>99</v>
      </c>
      <c r="I8" s="3" t="s">
        <v>24</v>
      </c>
      <c r="J8" s="3">
        <v>79.75</v>
      </c>
      <c r="K8" s="3" t="s">
        <v>24</v>
      </c>
      <c r="L8" s="3">
        <v>103.35606060606105</v>
      </c>
    </row>
    <row r="9" spans="1:12" x14ac:dyDescent="0.25">
      <c r="A9">
        <v>75</v>
      </c>
      <c r="B9">
        <v>92</v>
      </c>
      <c r="C9" s="2">
        <f t="shared" si="0"/>
        <v>75</v>
      </c>
      <c r="D9">
        <f t="shared" si="1"/>
        <v>5.5</v>
      </c>
      <c r="E9" t="s">
        <v>37</v>
      </c>
      <c r="F9">
        <f>SQRT((F5*F6*(F5+F6+1))/12)</f>
        <v>14.071247279470288</v>
      </c>
      <c r="I9" s="3" t="s">
        <v>25</v>
      </c>
      <c r="J9" s="3">
        <v>0.31219931295599235</v>
      </c>
      <c r="K9" s="3" t="s">
        <v>25</v>
      </c>
      <c r="L9" s="3">
        <v>8.7569363606039534</v>
      </c>
    </row>
    <row r="10" spans="1:12" x14ac:dyDescent="0.25">
      <c r="A10">
        <v>70</v>
      </c>
      <c r="B10">
        <v>83</v>
      </c>
      <c r="C10" s="2">
        <f t="shared" si="0"/>
        <v>70</v>
      </c>
      <c r="D10">
        <f t="shared" si="1"/>
        <v>3</v>
      </c>
      <c r="I10" s="3" t="s">
        <v>26</v>
      </c>
      <c r="J10" s="3">
        <v>0.74197667640867204</v>
      </c>
      <c r="K10" s="3" t="s">
        <v>26</v>
      </c>
      <c r="L10" s="3">
        <v>-2.7702535575497373</v>
      </c>
    </row>
    <row r="11" spans="1:12" x14ac:dyDescent="0.25">
      <c r="B11">
        <v>91</v>
      </c>
      <c r="C11">
        <f>B2</f>
        <v>86</v>
      </c>
      <c r="D11">
        <f t="shared" si="1"/>
        <v>15</v>
      </c>
      <c r="E11" t="s">
        <v>2</v>
      </c>
      <c r="F11">
        <f xml:space="preserve"> (F3-F8)/F9</f>
        <v>4.1929474216603388</v>
      </c>
      <c r="I11" s="3" t="s">
        <v>27</v>
      </c>
      <c r="J11" s="3">
        <v>29</v>
      </c>
      <c r="K11" s="3" t="s">
        <v>27</v>
      </c>
      <c r="L11" s="3">
        <v>39</v>
      </c>
    </row>
    <row r="12" spans="1:12" x14ac:dyDescent="0.25">
      <c r="B12">
        <v>53</v>
      </c>
      <c r="C12">
        <f t="shared" ref="C12:C22" si="2">B3</f>
        <v>81</v>
      </c>
      <c r="D12">
        <f t="shared" si="1"/>
        <v>8</v>
      </c>
      <c r="E12" t="s">
        <v>17</v>
      </c>
      <c r="F12">
        <f>1-_xlfn.NORM.S.DIST(F11,1)</f>
        <v>1.3767664035269078E-5</v>
      </c>
      <c r="I12" s="3" t="s">
        <v>28</v>
      </c>
      <c r="J12" s="3">
        <v>66</v>
      </c>
      <c r="K12" s="3" t="s">
        <v>28</v>
      </c>
      <c r="L12" s="3">
        <v>53</v>
      </c>
    </row>
    <row r="13" spans="1:12" x14ac:dyDescent="0.25">
      <c r="B13">
        <v>84</v>
      </c>
      <c r="C13">
        <f t="shared" si="2"/>
        <v>84</v>
      </c>
      <c r="D13">
        <f t="shared" si="1"/>
        <v>12</v>
      </c>
      <c r="I13" s="3" t="s">
        <v>29</v>
      </c>
      <c r="J13" s="3">
        <v>95</v>
      </c>
      <c r="K13" s="3" t="s">
        <v>29</v>
      </c>
      <c r="L13" s="3">
        <v>92</v>
      </c>
    </row>
    <row r="14" spans="1:12" x14ac:dyDescent="0.25">
      <c r="C14">
        <f t="shared" si="2"/>
        <v>88</v>
      </c>
      <c r="D14">
        <f t="shared" si="1"/>
        <v>17</v>
      </c>
      <c r="E14" t="s">
        <v>38</v>
      </c>
      <c r="F14">
        <v>0.05</v>
      </c>
      <c r="I14" s="3" t="s">
        <v>30</v>
      </c>
      <c r="J14" s="3">
        <v>702</v>
      </c>
      <c r="K14" s="3" t="s">
        <v>30</v>
      </c>
      <c r="L14" s="3">
        <v>1001</v>
      </c>
    </row>
    <row r="15" spans="1:12" ht="15.75" thickBot="1" x14ac:dyDescent="0.3">
      <c r="C15">
        <f t="shared" si="2"/>
        <v>90</v>
      </c>
      <c r="D15">
        <f t="shared" si="1"/>
        <v>18</v>
      </c>
      <c r="I15" s="4" t="s">
        <v>31</v>
      </c>
      <c r="J15" s="4">
        <v>9</v>
      </c>
      <c r="K15" s="4" t="s">
        <v>31</v>
      </c>
      <c r="L15" s="4">
        <v>12</v>
      </c>
    </row>
    <row r="16" spans="1:12" x14ac:dyDescent="0.25">
      <c r="C16">
        <f t="shared" si="2"/>
        <v>85</v>
      </c>
      <c r="D16">
        <f t="shared" si="1"/>
        <v>14</v>
      </c>
      <c r="E16" t="s">
        <v>39</v>
      </c>
      <c r="F16" s="6" t="str">
        <f>IF(F12&lt;=F14,"reject","fail to reject")</f>
        <v>reject</v>
      </c>
    </row>
    <row r="17" spans="3:4" x14ac:dyDescent="0.25">
      <c r="C17">
        <f t="shared" si="2"/>
        <v>84</v>
      </c>
      <c r="D17">
        <f t="shared" si="1"/>
        <v>12</v>
      </c>
    </row>
    <row r="18" spans="3:4" x14ac:dyDescent="0.25">
      <c r="C18">
        <f t="shared" si="2"/>
        <v>92</v>
      </c>
      <c r="D18">
        <f t="shared" si="1"/>
        <v>20</v>
      </c>
    </row>
    <row r="19" spans="3:4" x14ac:dyDescent="0.25">
      <c r="C19">
        <f t="shared" si="2"/>
        <v>83</v>
      </c>
      <c r="D19">
        <f t="shared" si="1"/>
        <v>10</v>
      </c>
    </row>
    <row r="20" spans="3:4" x14ac:dyDescent="0.25">
      <c r="C20">
        <f t="shared" si="2"/>
        <v>91</v>
      </c>
      <c r="D20">
        <f t="shared" si="1"/>
        <v>19</v>
      </c>
    </row>
    <row r="21" spans="3:4" x14ac:dyDescent="0.25">
      <c r="C21">
        <f t="shared" si="2"/>
        <v>53</v>
      </c>
      <c r="D21">
        <f t="shared" si="1"/>
        <v>1</v>
      </c>
    </row>
    <row r="22" spans="3:4" x14ac:dyDescent="0.25">
      <c r="C22">
        <f t="shared" si="2"/>
        <v>84</v>
      </c>
      <c r="D22">
        <f t="shared" si="1"/>
        <v>12</v>
      </c>
    </row>
  </sheetData>
  <sortState xmlns:xlrd2="http://schemas.microsoft.com/office/spreadsheetml/2017/richdata2" ref="I2:I22">
    <sortCondition ref="I2:I22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27DEA-667C-423E-B1BD-8FC47839DA08}">
  <dimension ref="B3:I31"/>
  <sheetViews>
    <sheetView workbookViewId="0">
      <selection activeCell="G18" sqref="G18"/>
    </sheetView>
  </sheetViews>
  <sheetFormatPr defaultRowHeight="15" x14ac:dyDescent="0.25"/>
  <cols>
    <col min="2" max="2" width="11.140625" customWidth="1"/>
  </cols>
  <sheetData>
    <row r="3" spans="2:9" x14ac:dyDescent="0.25">
      <c r="B3">
        <v>7</v>
      </c>
      <c r="C3">
        <v>12</v>
      </c>
      <c r="D3">
        <v>15</v>
      </c>
    </row>
    <row r="5" spans="2:9" ht="15.75" thickBot="1" x14ac:dyDescent="0.3">
      <c r="C5" t="s">
        <v>82</v>
      </c>
      <c r="D5">
        <v>6</v>
      </c>
      <c r="F5" t="s">
        <v>8</v>
      </c>
      <c r="G5" t="s">
        <v>83</v>
      </c>
      <c r="H5" t="s">
        <v>84</v>
      </c>
      <c r="I5" t="s">
        <v>85</v>
      </c>
    </row>
    <row r="6" spans="2:9" x14ac:dyDescent="0.25">
      <c r="C6" s="11">
        <v>7</v>
      </c>
      <c r="D6" s="12">
        <v>12</v>
      </c>
      <c r="E6" s="13">
        <v>15</v>
      </c>
      <c r="F6" s="11">
        <f>_xlfn.RANK.AVG(C6,C6:E6,1)</f>
        <v>1</v>
      </c>
      <c r="G6" s="12">
        <f>2/6</f>
        <v>0.33333333333333331</v>
      </c>
      <c r="H6" s="12">
        <f>F6*G6</f>
        <v>0.33333333333333331</v>
      </c>
      <c r="I6" s="13">
        <f>(F6-$H$12)^2*G6</f>
        <v>0.33333333333333331</v>
      </c>
    </row>
    <row r="7" spans="2:9" x14ac:dyDescent="0.25">
      <c r="C7" s="14">
        <v>7</v>
      </c>
      <c r="D7" s="15">
        <v>15</v>
      </c>
      <c r="E7" s="16">
        <v>12</v>
      </c>
      <c r="F7" s="14">
        <f>_xlfn.RANK.AVG(C7,C7:E7,1)</f>
        <v>1</v>
      </c>
      <c r="G7" s="15"/>
      <c r="H7" s="15"/>
      <c r="I7" s="16"/>
    </row>
    <row r="8" spans="2:9" x14ac:dyDescent="0.25">
      <c r="C8" s="14">
        <v>12</v>
      </c>
      <c r="D8" s="15">
        <v>7</v>
      </c>
      <c r="E8" s="16">
        <v>15</v>
      </c>
      <c r="F8" s="14">
        <f t="shared" ref="F8:F11" si="0">_xlfn.RANK.AVG(C8,C8:E8,1)</f>
        <v>2</v>
      </c>
      <c r="G8" s="15">
        <f>2/6</f>
        <v>0.33333333333333331</v>
      </c>
      <c r="H8" s="15">
        <f>F8*G8</f>
        <v>0.66666666666666663</v>
      </c>
      <c r="I8" s="16">
        <f>(F8-$H$12)^2*G8</f>
        <v>0</v>
      </c>
    </row>
    <row r="9" spans="2:9" x14ac:dyDescent="0.25">
      <c r="C9" s="14">
        <v>12</v>
      </c>
      <c r="D9" s="15">
        <v>15</v>
      </c>
      <c r="E9" s="16">
        <v>7</v>
      </c>
      <c r="F9" s="14">
        <f t="shared" si="0"/>
        <v>2</v>
      </c>
      <c r="G9" s="15"/>
      <c r="H9" s="15"/>
      <c r="I9" s="16"/>
    </row>
    <row r="10" spans="2:9" x14ac:dyDescent="0.25">
      <c r="C10" s="14">
        <v>15</v>
      </c>
      <c r="D10" s="15">
        <v>7</v>
      </c>
      <c r="E10" s="16">
        <v>12</v>
      </c>
      <c r="F10" s="14">
        <f t="shared" si="0"/>
        <v>3</v>
      </c>
      <c r="G10" s="15">
        <f>2/6</f>
        <v>0.33333333333333331</v>
      </c>
      <c r="H10" s="15">
        <f>F10*G10</f>
        <v>1</v>
      </c>
      <c r="I10" s="16">
        <f>(F10-$H$12)^2*G10</f>
        <v>0.33333333333333331</v>
      </c>
    </row>
    <row r="11" spans="2:9" ht="15.75" thickBot="1" x14ac:dyDescent="0.3">
      <c r="C11" s="17">
        <v>15</v>
      </c>
      <c r="D11" s="18">
        <v>12</v>
      </c>
      <c r="E11" s="19">
        <v>7</v>
      </c>
      <c r="F11" s="17">
        <f t="shared" si="0"/>
        <v>3</v>
      </c>
      <c r="G11" s="18"/>
      <c r="H11" s="18"/>
      <c r="I11" s="19"/>
    </row>
    <row r="12" spans="2:9" x14ac:dyDescent="0.25">
      <c r="H12">
        <f>SUM(H6:H11)</f>
        <v>2</v>
      </c>
      <c r="I12">
        <f>SQRT(SUM(I6:I11))</f>
        <v>0.81649658092772603</v>
      </c>
    </row>
    <row r="13" spans="2:9" ht="15.75" thickBot="1" x14ac:dyDescent="0.3"/>
    <row r="14" spans="2:9" x14ac:dyDescent="0.25">
      <c r="C14" s="11">
        <v>7</v>
      </c>
      <c r="D14">
        <f>_xlfn.RANK.AVG(C14,$C$14:$C$31,1)</f>
        <v>3.5</v>
      </c>
      <c r="F14" t="s">
        <v>3</v>
      </c>
      <c r="G14">
        <v>1</v>
      </c>
    </row>
    <row r="15" spans="2:9" x14ac:dyDescent="0.25">
      <c r="C15" s="14">
        <v>7</v>
      </c>
      <c r="D15">
        <f t="shared" ref="D15:D31" si="1">_xlfn.RANK.AVG(C15,$C$14:$C$31,1)</f>
        <v>3.5</v>
      </c>
      <c r="F15" t="s">
        <v>4</v>
      </c>
      <c r="G15">
        <v>2</v>
      </c>
    </row>
    <row r="16" spans="2:9" x14ac:dyDescent="0.25">
      <c r="C16" s="14">
        <v>7</v>
      </c>
      <c r="D16">
        <f t="shared" si="1"/>
        <v>3.5</v>
      </c>
    </row>
    <row r="17" spans="3:7" x14ac:dyDescent="0.25">
      <c r="C17" s="14">
        <v>7</v>
      </c>
      <c r="D17">
        <f t="shared" si="1"/>
        <v>3.5</v>
      </c>
      <c r="F17" t="s">
        <v>14</v>
      </c>
      <c r="G17">
        <f>(G14*(G14+G15+1))/2</f>
        <v>2</v>
      </c>
    </row>
    <row r="18" spans="3:7" x14ac:dyDescent="0.25">
      <c r="C18" s="14">
        <v>7</v>
      </c>
      <c r="D18">
        <f t="shared" si="1"/>
        <v>3.5</v>
      </c>
      <c r="F18" t="s">
        <v>86</v>
      </c>
      <c r="G18">
        <f>SQRT((G14*G15*(G14+G15+1))/12)</f>
        <v>0.81649658092772603</v>
      </c>
    </row>
    <row r="19" spans="3:7" ht="15.75" thickBot="1" x14ac:dyDescent="0.3">
      <c r="C19" s="17">
        <v>7</v>
      </c>
      <c r="D19">
        <f t="shared" si="1"/>
        <v>3.5</v>
      </c>
    </row>
    <row r="20" spans="3:7" x14ac:dyDescent="0.25">
      <c r="C20" s="12">
        <v>12</v>
      </c>
      <c r="D20">
        <f t="shared" si="1"/>
        <v>9.5</v>
      </c>
    </row>
    <row r="21" spans="3:7" x14ac:dyDescent="0.25">
      <c r="C21" s="15">
        <v>12</v>
      </c>
      <c r="D21">
        <f t="shared" si="1"/>
        <v>9.5</v>
      </c>
    </row>
    <row r="22" spans="3:7" x14ac:dyDescent="0.25">
      <c r="C22" s="15">
        <v>12</v>
      </c>
      <c r="D22">
        <f t="shared" si="1"/>
        <v>9.5</v>
      </c>
    </row>
    <row r="23" spans="3:7" x14ac:dyDescent="0.25">
      <c r="C23" s="15">
        <v>12</v>
      </c>
      <c r="D23">
        <f t="shared" si="1"/>
        <v>9.5</v>
      </c>
    </row>
    <row r="24" spans="3:7" x14ac:dyDescent="0.25">
      <c r="C24" s="15">
        <v>12</v>
      </c>
      <c r="D24">
        <f t="shared" si="1"/>
        <v>9.5</v>
      </c>
    </row>
    <row r="25" spans="3:7" ht="15.75" thickBot="1" x14ac:dyDescent="0.3">
      <c r="C25" s="18">
        <v>12</v>
      </c>
      <c r="D25">
        <f t="shared" si="1"/>
        <v>9.5</v>
      </c>
    </row>
    <row r="26" spans="3:7" x14ac:dyDescent="0.25">
      <c r="C26" s="13">
        <v>15</v>
      </c>
      <c r="D26">
        <f t="shared" si="1"/>
        <v>15.5</v>
      </c>
    </row>
    <row r="27" spans="3:7" x14ac:dyDescent="0.25">
      <c r="C27" s="16">
        <v>15</v>
      </c>
      <c r="D27">
        <f t="shared" si="1"/>
        <v>15.5</v>
      </c>
    </row>
    <row r="28" spans="3:7" x14ac:dyDescent="0.25">
      <c r="C28" s="16">
        <v>15</v>
      </c>
      <c r="D28">
        <f t="shared" si="1"/>
        <v>15.5</v>
      </c>
    </row>
    <row r="29" spans="3:7" x14ac:dyDescent="0.25">
      <c r="C29" s="16">
        <v>15</v>
      </c>
      <c r="D29">
        <f t="shared" si="1"/>
        <v>15.5</v>
      </c>
    </row>
    <row r="30" spans="3:7" x14ac:dyDescent="0.25">
      <c r="C30" s="16">
        <v>15</v>
      </c>
      <c r="D30">
        <f t="shared" si="1"/>
        <v>15.5</v>
      </c>
    </row>
    <row r="31" spans="3:7" ht="15.75" thickBot="1" x14ac:dyDescent="0.3">
      <c r="C31" s="19">
        <v>15</v>
      </c>
      <c r="D31">
        <f t="shared" si="1"/>
        <v>15.5</v>
      </c>
    </row>
  </sheetData>
  <sortState xmlns:xlrd2="http://schemas.microsoft.com/office/spreadsheetml/2017/richdata2" ref="C14:C31">
    <sortCondition ref="C31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02DD5C-04AE-4B2A-98C0-D9726A8618C8}">
  <dimension ref="B2:L45"/>
  <sheetViews>
    <sheetView workbookViewId="0">
      <selection activeCell="K22" sqref="K22"/>
    </sheetView>
  </sheetViews>
  <sheetFormatPr defaultRowHeight="15" x14ac:dyDescent="0.25"/>
  <sheetData>
    <row r="2" spans="2:11" x14ac:dyDescent="0.25">
      <c r="B2" t="s">
        <v>66</v>
      </c>
      <c r="C2" t="s">
        <v>67</v>
      </c>
      <c r="D2" t="s">
        <v>68</v>
      </c>
      <c r="E2" t="s">
        <v>69</v>
      </c>
      <c r="F2" t="s">
        <v>70</v>
      </c>
      <c r="G2" t="s">
        <v>57</v>
      </c>
    </row>
    <row r="3" spans="2:11" x14ac:dyDescent="0.25">
      <c r="B3">
        <v>68</v>
      </c>
      <c r="C3">
        <v>72</v>
      </c>
      <c r="D3">
        <v>60</v>
      </c>
      <c r="E3">
        <v>48</v>
      </c>
      <c r="F3">
        <v>64</v>
      </c>
      <c r="G3">
        <f>B3</f>
        <v>68</v>
      </c>
      <c r="H3">
        <f>_xlfn.RANK.AVG(G3,$G$3:$G$27,1)</f>
        <v>17.5</v>
      </c>
      <c r="J3" t="s">
        <v>71</v>
      </c>
      <c r="K3">
        <f>SUM(H3:H7)</f>
        <v>70</v>
      </c>
    </row>
    <row r="4" spans="2:11" x14ac:dyDescent="0.25">
      <c r="B4">
        <v>72</v>
      </c>
      <c r="C4">
        <v>53</v>
      </c>
      <c r="D4">
        <v>82</v>
      </c>
      <c r="E4">
        <v>61</v>
      </c>
      <c r="F4">
        <v>65</v>
      </c>
      <c r="G4">
        <f t="shared" ref="G4:G7" si="0">B4</f>
        <v>72</v>
      </c>
      <c r="H4">
        <f t="shared" ref="H4:H27" si="1">_xlfn.RANK.AVG(G4,$G$3:$G$27,1)</f>
        <v>21</v>
      </c>
      <c r="J4" t="s">
        <v>72</v>
      </c>
      <c r="K4">
        <f>SUM(H8:H12)</f>
        <v>48.5</v>
      </c>
    </row>
    <row r="5" spans="2:11" x14ac:dyDescent="0.25">
      <c r="B5">
        <v>77</v>
      </c>
      <c r="C5">
        <v>63</v>
      </c>
      <c r="D5">
        <v>64</v>
      </c>
      <c r="E5">
        <v>57</v>
      </c>
      <c r="F5">
        <v>70</v>
      </c>
      <c r="G5">
        <f t="shared" si="0"/>
        <v>77</v>
      </c>
      <c r="H5">
        <f t="shared" si="1"/>
        <v>24</v>
      </c>
      <c r="J5" t="s">
        <v>73</v>
      </c>
      <c r="K5">
        <f>SUM(H13:H17)</f>
        <v>93</v>
      </c>
    </row>
    <row r="6" spans="2:11" x14ac:dyDescent="0.25">
      <c r="B6">
        <v>42</v>
      </c>
      <c r="C6">
        <v>53</v>
      </c>
      <c r="D6">
        <v>75</v>
      </c>
      <c r="E6">
        <v>64</v>
      </c>
      <c r="F6">
        <v>68</v>
      </c>
      <c r="G6">
        <f t="shared" si="0"/>
        <v>42</v>
      </c>
      <c r="H6">
        <f t="shared" si="1"/>
        <v>1</v>
      </c>
      <c r="J6" t="s">
        <v>74</v>
      </c>
      <c r="K6">
        <f>SUM(H18:H22)</f>
        <v>40.5</v>
      </c>
    </row>
    <row r="7" spans="2:11" x14ac:dyDescent="0.25">
      <c r="B7">
        <v>53</v>
      </c>
      <c r="C7">
        <v>48</v>
      </c>
      <c r="D7">
        <v>72</v>
      </c>
      <c r="E7">
        <v>50</v>
      </c>
      <c r="F7">
        <v>53</v>
      </c>
      <c r="G7">
        <f t="shared" si="0"/>
        <v>53</v>
      </c>
      <c r="H7">
        <f t="shared" si="1"/>
        <v>6.5</v>
      </c>
      <c r="I7">
        <f>SUM(H3:H7)</f>
        <v>70</v>
      </c>
      <c r="J7" t="s">
        <v>75</v>
      </c>
      <c r="K7">
        <f>SUM(H23:H27)</f>
        <v>73</v>
      </c>
    </row>
    <row r="8" spans="2:11" x14ac:dyDescent="0.25">
      <c r="G8" s="7">
        <f>C3</f>
        <v>72</v>
      </c>
      <c r="H8">
        <f t="shared" si="1"/>
        <v>21</v>
      </c>
      <c r="J8" t="s">
        <v>76</v>
      </c>
      <c r="K8">
        <f>COUNT(B3:B7)</f>
        <v>5</v>
      </c>
    </row>
    <row r="9" spans="2:11" x14ac:dyDescent="0.25">
      <c r="G9" s="7">
        <f t="shared" ref="G9:G12" si="2">C4</f>
        <v>53</v>
      </c>
      <c r="H9">
        <f t="shared" si="1"/>
        <v>6.5</v>
      </c>
      <c r="J9" t="s">
        <v>77</v>
      </c>
      <c r="K9">
        <f>COUNT(C3:C7)</f>
        <v>5</v>
      </c>
    </row>
    <row r="10" spans="2:11" x14ac:dyDescent="0.25">
      <c r="G10" s="7">
        <f t="shared" si="2"/>
        <v>63</v>
      </c>
      <c r="H10">
        <f t="shared" si="1"/>
        <v>12</v>
      </c>
      <c r="J10" t="s">
        <v>78</v>
      </c>
      <c r="K10">
        <f>COUNT(D3:D7)</f>
        <v>5</v>
      </c>
    </row>
    <row r="11" spans="2:11" x14ac:dyDescent="0.25">
      <c r="G11" s="7">
        <f t="shared" si="2"/>
        <v>53</v>
      </c>
      <c r="H11">
        <f t="shared" si="1"/>
        <v>6.5</v>
      </c>
      <c r="J11" t="s">
        <v>79</v>
      </c>
      <c r="K11">
        <f>COUNT(E3:E7)</f>
        <v>5</v>
      </c>
    </row>
    <row r="12" spans="2:11" x14ac:dyDescent="0.25">
      <c r="G12" s="7">
        <f t="shared" si="2"/>
        <v>48</v>
      </c>
      <c r="H12">
        <f t="shared" si="1"/>
        <v>2.5</v>
      </c>
      <c r="I12">
        <f>SUM(H8:H12)</f>
        <v>48.5</v>
      </c>
      <c r="J12" t="s">
        <v>80</v>
      </c>
      <c r="K12">
        <f>COUNT(F3:F7)</f>
        <v>5</v>
      </c>
    </row>
    <row r="13" spans="2:11" x14ac:dyDescent="0.25">
      <c r="G13" s="8">
        <f>D3</f>
        <v>60</v>
      </c>
      <c r="H13">
        <f t="shared" si="1"/>
        <v>10</v>
      </c>
      <c r="J13" t="s">
        <v>45</v>
      </c>
      <c r="K13">
        <f>SUM(K8:K12)</f>
        <v>25</v>
      </c>
    </row>
    <row r="14" spans="2:11" x14ac:dyDescent="0.25">
      <c r="G14" s="8">
        <f t="shared" ref="G14:G17" si="3">D4</f>
        <v>82</v>
      </c>
      <c r="H14">
        <f t="shared" si="1"/>
        <v>25</v>
      </c>
      <c r="J14" t="s">
        <v>44</v>
      </c>
      <c r="K14">
        <f>COUNT(B3:F3)</f>
        <v>5</v>
      </c>
    </row>
    <row r="15" spans="2:11" x14ac:dyDescent="0.25">
      <c r="G15" s="8">
        <f t="shared" si="3"/>
        <v>64</v>
      </c>
      <c r="H15">
        <f t="shared" si="1"/>
        <v>14</v>
      </c>
      <c r="J15" t="s">
        <v>46</v>
      </c>
      <c r="K15">
        <f>(12)/(K13*(K13+1))</f>
        <v>1.8461538461538463E-2</v>
      </c>
    </row>
    <row r="16" spans="2:11" x14ac:dyDescent="0.25">
      <c r="G16" s="8">
        <f t="shared" si="3"/>
        <v>75</v>
      </c>
      <c r="H16">
        <f t="shared" si="1"/>
        <v>23</v>
      </c>
      <c r="J16" t="s">
        <v>81</v>
      </c>
      <c r="K16">
        <f>(K3^2)/K8+(K4^2)/K9+(K5^2)/K10+(K6^2)/K11+(K7^2)/K12</f>
        <v>4574.1000000000004</v>
      </c>
    </row>
    <row r="17" spans="2:12" x14ac:dyDescent="0.25">
      <c r="G17" s="8">
        <f t="shared" si="3"/>
        <v>72</v>
      </c>
      <c r="H17">
        <f t="shared" si="1"/>
        <v>21</v>
      </c>
      <c r="I17">
        <f>SUM(H13:H17)</f>
        <v>93</v>
      </c>
      <c r="J17" t="s">
        <v>48</v>
      </c>
      <c r="K17">
        <f>3*(K13+1)</f>
        <v>78</v>
      </c>
    </row>
    <row r="18" spans="2:12" x14ac:dyDescent="0.25">
      <c r="G18" s="9">
        <f>E3</f>
        <v>48</v>
      </c>
      <c r="H18">
        <f t="shared" si="1"/>
        <v>2.5</v>
      </c>
      <c r="J18" t="s">
        <v>49</v>
      </c>
      <c r="K18">
        <f>K15*K16-K17</f>
        <v>6.4449230769230894</v>
      </c>
    </row>
    <row r="19" spans="2:12" x14ac:dyDescent="0.25">
      <c r="G19" s="9">
        <f t="shared" ref="G19:G22" si="4">E4</f>
        <v>61</v>
      </c>
      <c r="H19">
        <f t="shared" si="1"/>
        <v>11</v>
      </c>
    </row>
    <row r="20" spans="2:12" x14ac:dyDescent="0.25">
      <c r="G20" s="9">
        <f t="shared" si="4"/>
        <v>57</v>
      </c>
      <c r="H20">
        <f t="shared" si="1"/>
        <v>9</v>
      </c>
      <c r="J20" t="s">
        <v>5</v>
      </c>
      <c r="K20">
        <v>0.05</v>
      </c>
      <c r="L20">
        <v>0.01</v>
      </c>
    </row>
    <row r="21" spans="2:12" x14ac:dyDescent="0.25">
      <c r="G21" s="9">
        <f t="shared" si="4"/>
        <v>64</v>
      </c>
      <c r="H21">
        <f t="shared" si="1"/>
        <v>14</v>
      </c>
      <c r="J21" t="s">
        <v>51</v>
      </c>
      <c r="K21">
        <f>_xlfn.CHISQ.INV(K20,K14-1)</f>
        <v>0.71072302139732424</v>
      </c>
      <c r="L21">
        <f>_xlfn.CHISQ.INV(L20,K14-1)</f>
        <v>0.29710948050653191</v>
      </c>
    </row>
    <row r="22" spans="2:12" x14ac:dyDescent="0.25">
      <c r="G22" s="9">
        <f t="shared" si="4"/>
        <v>50</v>
      </c>
      <c r="H22">
        <f t="shared" si="1"/>
        <v>4</v>
      </c>
      <c r="I22">
        <f>SUM(H18:H22)</f>
        <v>40.5</v>
      </c>
      <c r="J22" t="s">
        <v>17</v>
      </c>
      <c r="K22">
        <f>2*_xlfn.CHISQ.DIST.RT(K18,K14-1)</f>
        <v>0.33658784905009981</v>
      </c>
    </row>
    <row r="23" spans="2:12" x14ac:dyDescent="0.25">
      <c r="G23" s="10">
        <f>F3</f>
        <v>64</v>
      </c>
      <c r="H23">
        <f t="shared" si="1"/>
        <v>14</v>
      </c>
    </row>
    <row r="24" spans="2:12" x14ac:dyDescent="0.25">
      <c r="G24" s="10">
        <f t="shared" ref="G24:G27" si="5">F4</f>
        <v>65</v>
      </c>
      <c r="H24">
        <f t="shared" si="1"/>
        <v>16</v>
      </c>
      <c r="J24" t="s">
        <v>65</v>
      </c>
      <c r="K24" t="str">
        <f>IF(K22&lt;=K20,"reject","fail to reject")</f>
        <v>fail to reject</v>
      </c>
      <c r="L24" t="str">
        <f>IF(K22&lt;=L20,"reject","fail to reject")</f>
        <v>fail to reject</v>
      </c>
    </row>
    <row r="25" spans="2:12" x14ac:dyDescent="0.25">
      <c r="G25" s="10">
        <f t="shared" si="5"/>
        <v>70</v>
      </c>
      <c r="H25">
        <f t="shared" si="1"/>
        <v>19</v>
      </c>
    </row>
    <row r="26" spans="2:12" x14ac:dyDescent="0.25">
      <c r="G26" s="10">
        <f t="shared" si="5"/>
        <v>68</v>
      </c>
      <c r="H26">
        <f t="shared" si="1"/>
        <v>17.5</v>
      </c>
    </row>
    <row r="27" spans="2:12" x14ac:dyDescent="0.25">
      <c r="G27" s="10">
        <f t="shared" si="5"/>
        <v>53</v>
      </c>
      <c r="H27">
        <f t="shared" si="1"/>
        <v>6.5</v>
      </c>
      <c r="I27">
        <f>SUM(H23:H27)</f>
        <v>73</v>
      </c>
    </row>
    <row r="28" spans="2:12" x14ac:dyDescent="0.25">
      <c r="H28">
        <f>SUM(H3:H27)/5</f>
        <v>65</v>
      </c>
    </row>
    <row r="30" spans="2:12" ht="15.75" thickBot="1" x14ac:dyDescent="0.3"/>
    <row r="31" spans="2:12" x14ac:dyDescent="0.25">
      <c r="B31" s="5" t="s">
        <v>66</v>
      </c>
      <c r="C31" s="5"/>
      <c r="D31" s="5" t="s">
        <v>67</v>
      </c>
      <c r="E31" s="5"/>
      <c r="F31" s="5" t="s">
        <v>68</v>
      </c>
      <c r="G31" s="5"/>
      <c r="H31" s="5" t="s">
        <v>69</v>
      </c>
      <c r="I31" s="5"/>
      <c r="J31" s="5" t="s">
        <v>70</v>
      </c>
      <c r="K31" s="5"/>
    </row>
    <row r="32" spans="2:12" x14ac:dyDescent="0.25">
      <c r="B32" s="3"/>
      <c r="C32" s="3"/>
      <c r="D32" s="3"/>
      <c r="E32" s="3"/>
      <c r="F32" s="3"/>
      <c r="G32" s="3"/>
      <c r="H32" s="3"/>
      <c r="I32" s="3"/>
      <c r="J32" s="3"/>
      <c r="K32" s="3"/>
    </row>
    <row r="33" spans="2:11" x14ac:dyDescent="0.25">
      <c r="B33" s="3" t="s">
        <v>19</v>
      </c>
      <c r="C33" s="3">
        <v>62.4</v>
      </c>
      <c r="D33" s="3" t="s">
        <v>19</v>
      </c>
      <c r="E33" s="3">
        <v>57.8</v>
      </c>
      <c r="F33" s="3" t="s">
        <v>19</v>
      </c>
      <c r="G33" s="3">
        <v>70.599999999999994</v>
      </c>
      <c r="H33" s="3" t="s">
        <v>19</v>
      </c>
      <c r="I33" s="3">
        <v>56</v>
      </c>
      <c r="J33" s="3" t="s">
        <v>19</v>
      </c>
      <c r="K33" s="3">
        <v>64</v>
      </c>
    </row>
    <row r="34" spans="2:11" x14ac:dyDescent="0.25">
      <c r="B34" s="3" t="s">
        <v>20</v>
      </c>
      <c r="C34" s="3">
        <v>6.4853681468363877</v>
      </c>
      <c r="D34" s="3" t="s">
        <v>20</v>
      </c>
      <c r="E34" s="3">
        <v>4.3058100283221927</v>
      </c>
      <c r="F34" s="3" t="s">
        <v>20</v>
      </c>
      <c r="G34" s="3">
        <v>3.9191835884530892</v>
      </c>
      <c r="H34" s="3" t="s">
        <v>20</v>
      </c>
      <c r="I34" s="3">
        <v>3.082207001484488</v>
      </c>
      <c r="J34" s="3" t="s">
        <v>20</v>
      </c>
      <c r="K34" s="3">
        <v>2.9495762407505253</v>
      </c>
    </row>
    <row r="35" spans="2:11" x14ac:dyDescent="0.25">
      <c r="B35" s="3" t="s">
        <v>21</v>
      </c>
      <c r="C35" s="3">
        <v>68</v>
      </c>
      <c r="D35" s="3" t="s">
        <v>21</v>
      </c>
      <c r="E35" s="3">
        <v>53</v>
      </c>
      <c r="F35" s="3" t="s">
        <v>21</v>
      </c>
      <c r="G35" s="3">
        <v>72</v>
      </c>
      <c r="H35" s="3" t="s">
        <v>21</v>
      </c>
      <c r="I35" s="3">
        <v>57</v>
      </c>
      <c r="J35" s="3" t="s">
        <v>21</v>
      </c>
      <c r="K35" s="3">
        <v>65</v>
      </c>
    </row>
    <row r="36" spans="2:11" x14ac:dyDescent="0.25">
      <c r="B36" s="3" t="s">
        <v>22</v>
      </c>
      <c r="C36" s="3" t="e">
        <v>#N/A</v>
      </c>
      <c r="D36" s="3" t="s">
        <v>22</v>
      </c>
      <c r="E36" s="3">
        <v>53</v>
      </c>
      <c r="F36" s="3" t="s">
        <v>22</v>
      </c>
      <c r="G36" s="3" t="e">
        <v>#N/A</v>
      </c>
      <c r="H36" s="3" t="s">
        <v>22</v>
      </c>
      <c r="I36" s="3" t="e">
        <v>#N/A</v>
      </c>
      <c r="J36" s="3" t="s">
        <v>22</v>
      </c>
      <c r="K36" s="3" t="e">
        <v>#N/A</v>
      </c>
    </row>
    <row r="37" spans="2:11" x14ac:dyDescent="0.25">
      <c r="B37" s="3" t="s">
        <v>23</v>
      </c>
      <c r="C37" s="3">
        <v>14.501724035438</v>
      </c>
      <c r="D37" s="3" t="s">
        <v>23</v>
      </c>
      <c r="E37" s="3">
        <v>9.6280839215287184</v>
      </c>
      <c r="F37" s="3" t="s">
        <v>23</v>
      </c>
      <c r="G37" s="3">
        <v>8.7635609200826678</v>
      </c>
      <c r="H37" s="3" t="s">
        <v>23</v>
      </c>
      <c r="I37" s="3">
        <v>6.8920243760451108</v>
      </c>
      <c r="J37" s="3" t="s">
        <v>23</v>
      </c>
      <c r="K37" s="3">
        <v>6.5954529791364598</v>
      </c>
    </row>
    <row r="38" spans="2:11" x14ac:dyDescent="0.25">
      <c r="B38" s="3" t="s">
        <v>24</v>
      </c>
      <c r="C38" s="3">
        <v>210.30000000000018</v>
      </c>
      <c r="D38" s="3" t="s">
        <v>24</v>
      </c>
      <c r="E38" s="3">
        <v>92.699999999999818</v>
      </c>
      <c r="F38" s="3" t="s">
        <v>24</v>
      </c>
      <c r="G38" s="3">
        <v>76.800000000000182</v>
      </c>
      <c r="H38" s="3" t="s">
        <v>24</v>
      </c>
      <c r="I38" s="3">
        <v>47.5</v>
      </c>
      <c r="J38" s="3" t="s">
        <v>24</v>
      </c>
      <c r="K38" s="3">
        <v>43.5</v>
      </c>
    </row>
    <row r="39" spans="2:11" x14ac:dyDescent="0.25">
      <c r="B39" s="3" t="s">
        <v>25</v>
      </c>
      <c r="C39" s="3">
        <v>-1.3322520711191084</v>
      </c>
      <c r="D39" s="3" t="s">
        <v>25</v>
      </c>
      <c r="E39" s="3">
        <v>-0.4832025917896372</v>
      </c>
      <c r="F39" s="3" t="s">
        <v>25</v>
      </c>
      <c r="G39" s="3">
        <v>-1.2627156575520857</v>
      </c>
      <c r="H39" s="3" t="s">
        <v>25</v>
      </c>
      <c r="I39" s="3">
        <v>-2.3966759002770095</v>
      </c>
      <c r="J39" s="3" t="s">
        <v>25</v>
      </c>
      <c r="K39" s="3">
        <v>2.6975822433610759</v>
      </c>
    </row>
    <row r="40" spans="2:11" x14ac:dyDescent="0.25">
      <c r="B40" s="3" t="s">
        <v>26</v>
      </c>
      <c r="C40" s="3">
        <v>-0.70331218255131556</v>
      </c>
      <c r="D40" s="3" t="s">
        <v>26</v>
      </c>
      <c r="E40" s="3">
        <v>0.85969736771236693</v>
      </c>
      <c r="F40" s="3" t="s">
        <v>26</v>
      </c>
      <c r="G40" s="3">
        <v>5.6311536809480645E-2</v>
      </c>
      <c r="H40" s="3" t="s">
        <v>26</v>
      </c>
      <c r="I40" s="3">
        <v>-0.11454888159631758</v>
      </c>
      <c r="J40" s="3" t="s">
        <v>26</v>
      </c>
      <c r="K40" s="3">
        <v>-1.5249098577736562</v>
      </c>
    </row>
    <row r="41" spans="2:11" x14ac:dyDescent="0.25">
      <c r="B41" s="3" t="s">
        <v>27</v>
      </c>
      <c r="C41" s="3">
        <v>35</v>
      </c>
      <c r="D41" s="3" t="s">
        <v>27</v>
      </c>
      <c r="E41" s="3">
        <v>24</v>
      </c>
      <c r="F41" s="3" t="s">
        <v>27</v>
      </c>
      <c r="G41" s="3">
        <v>22</v>
      </c>
      <c r="H41" s="3" t="s">
        <v>27</v>
      </c>
      <c r="I41" s="3">
        <v>16</v>
      </c>
      <c r="J41" s="3" t="s">
        <v>27</v>
      </c>
      <c r="K41" s="3">
        <v>17</v>
      </c>
    </row>
    <row r="42" spans="2:11" x14ac:dyDescent="0.25">
      <c r="B42" s="3" t="s">
        <v>28</v>
      </c>
      <c r="C42" s="3">
        <v>42</v>
      </c>
      <c r="D42" s="3" t="s">
        <v>28</v>
      </c>
      <c r="E42" s="3">
        <v>48</v>
      </c>
      <c r="F42" s="3" t="s">
        <v>28</v>
      </c>
      <c r="G42" s="3">
        <v>60</v>
      </c>
      <c r="H42" s="3" t="s">
        <v>28</v>
      </c>
      <c r="I42" s="3">
        <v>48</v>
      </c>
      <c r="J42" s="3" t="s">
        <v>28</v>
      </c>
      <c r="K42" s="3">
        <v>53</v>
      </c>
    </row>
    <row r="43" spans="2:11" x14ac:dyDescent="0.25">
      <c r="B43" s="3" t="s">
        <v>29</v>
      </c>
      <c r="C43" s="3">
        <v>77</v>
      </c>
      <c r="D43" s="3" t="s">
        <v>29</v>
      </c>
      <c r="E43" s="3">
        <v>72</v>
      </c>
      <c r="F43" s="3" t="s">
        <v>29</v>
      </c>
      <c r="G43" s="3">
        <v>82</v>
      </c>
      <c r="H43" s="3" t="s">
        <v>29</v>
      </c>
      <c r="I43" s="3">
        <v>64</v>
      </c>
      <c r="J43" s="3" t="s">
        <v>29</v>
      </c>
      <c r="K43" s="3">
        <v>70</v>
      </c>
    </row>
    <row r="44" spans="2:11" x14ac:dyDescent="0.25">
      <c r="B44" s="3" t="s">
        <v>30</v>
      </c>
      <c r="C44" s="3">
        <v>312</v>
      </c>
      <c r="D44" s="3" t="s">
        <v>30</v>
      </c>
      <c r="E44" s="3">
        <v>289</v>
      </c>
      <c r="F44" s="3" t="s">
        <v>30</v>
      </c>
      <c r="G44" s="3">
        <v>353</v>
      </c>
      <c r="H44" s="3" t="s">
        <v>30</v>
      </c>
      <c r="I44" s="3">
        <v>280</v>
      </c>
      <c r="J44" s="3" t="s">
        <v>30</v>
      </c>
      <c r="K44" s="3">
        <v>320</v>
      </c>
    </row>
    <row r="45" spans="2:11" ht="15.75" thickBot="1" x14ac:dyDescent="0.3">
      <c r="B45" s="4" t="s">
        <v>31</v>
      </c>
      <c r="C45" s="4">
        <v>5</v>
      </c>
      <c r="D45" s="4" t="s">
        <v>31</v>
      </c>
      <c r="E45" s="4">
        <v>5</v>
      </c>
      <c r="F45" s="4" t="s">
        <v>31</v>
      </c>
      <c r="G45" s="4">
        <v>5</v>
      </c>
      <c r="H45" s="4" t="s">
        <v>31</v>
      </c>
      <c r="I45" s="4">
        <v>5</v>
      </c>
      <c r="J45" s="4" t="s">
        <v>31</v>
      </c>
      <c r="K45" s="4">
        <v>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5C92A-F0C3-40C7-B585-7C27ECDBA18B}">
  <dimension ref="A1:J39"/>
  <sheetViews>
    <sheetView workbookViewId="0">
      <selection activeCell="I41" sqref="I41"/>
    </sheetView>
  </sheetViews>
  <sheetFormatPr defaultRowHeight="15" x14ac:dyDescent="0.25"/>
  <sheetData>
    <row r="1" spans="1:7" x14ac:dyDescent="0.25">
      <c r="A1" t="s">
        <v>40</v>
      </c>
      <c r="B1" t="s">
        <v>42</v>
      </c>
      <c r="C1" t="s">
        <v>41</v>
      </c>
    </row>
    <row r="2" spans="1:7" x14ac:dyDescent="0.25">
      <c r="A2">
        <v>7</v>
      </c>
      <c r="B2">
        <v>11</v>
      </c>
      <c r="C2">
        <v>5</v>
      </c>
      <c r="E2" t="s">
        <v>3</v>
      </c>
      <c r="F2">
        <f>COUNT(A2:A7)</f>
        <v>6</v>
      </c>
    </row>
    <row r="3" spans="1:7" x14ac:dyDescent="0.25">
      <c r="A3">
        <v>4</v>
      </c>
      <c r="B3">
        <v>9</v>
      </c>
      <c r="C3">
        <v>1</v>
      </c>
      <c r="E3" t="s">
        <v>4</v>
      </c>
      <c r="F3">
        <f>COUNT(B2:B7)</f>
        <v>5</v>
      </c>
    </row>
    <row r="4" spans="1:7" x14ac:dyDescent="0.25">
      <c r="A4">
        <v>6</v>
      </c>
      <c r="B4">
        <v>12</v>
      </c>
      <c r="C4">
        <v>3</v>
      </c>
      <c r="E4" t="s">
        <v>43</v>
      </c>
      <c r="F4">
        <f>COUNT(C2:C7)</f>
        <v>6</v>
      </c>
    </row>
    <row r="5" spans="1:7" x14ac:dyDescent="0.25">
      <c r="A5">
        <v>10</v>
      </c>
      <c r="B5">
        <v>14</v>
      </c>
      <c r="C5">
        <v>8</v>
      </c>
      <c r="E5" t="s">
        <v>45</v>
      </c>
      <c r="F5">
        <f>SUM(F2:F4)</f>
        <v>17</v>
      </c>
    </row>
    <row r="6" spans="1:7" x14ac:dyDescent="0.25">
      <c r="A6">
        <v>13</v>
      </c>
      <c r="B6">
        <v>15</v>
      </c>
      <c r="C6">
        <v>2</v>
      </c>
      <c r="E6" t="s">
        <v>44</v>
      </c>
      <c r="F6">
        <v>3</v>
      </c>
    </row>
    <row r="7" spans="1:7" x14ac:dyDescent="0.25">
      <c r="A7">
        <v>16</v>
      </c>
      <c r="C7">
        <v>17</v>
      </c>
    </row>
    <row r="8" spans="1:7" x14ac:dyDescent="0.25">
      <c r="A8" s="6">
        <f>SUM(A2:A7)</f>
        <v>56</v>
      </c>
      <c r="B8" s="6">
        <f>SUM(B2:B7)</f>
        <v>61</v>
      </c>
      <c r="C8" s="6">
        <f>SUM(C2:C7)</f>
        <v>36</v>
      </c>
      <c r="E8" t="s">
        <v>46</v>
      </c>
      <c r="F8">
        <f>(12)/(F5*(F5+1))</f>
        <v>3.9215686274509803E-2</v>
      </c>
    </row>
    <row r="9" spans="1:7" x14ac:dyDescent="0.25">
      <c r="E9" t="s">
        <v>47</v>
      </c>
      <c r="F9">
        <f>(A8^2)/F2 + (B8^2)/F3 + (C8^2)/F4</f>
        <v>1482.8666666666668</v>
      </c>
    </row>
    <row r="10" spans="1:7" x14ac:dyDescent="0.25">
      <c r="E10" t="s">
        <v>48</v>
      </c>
      <c r="F10">
        <f>3*(F5+1)</f>
        <v>54</v>
      </c>
    </row>
    <row r="11" spans="1:7" x14ac:dyDescent="0.25">
      <c r="E11" t="s">
        <v>49</v>
      </c>
      <c r="F11">
        <f>F8*F9-F10</f>
        <v>4.1516339869281111</v>
      </c>
    </row>
    <row r="12" spans="1:7" x14ac:dyDescent="0.25">
      <c r="E12" t="s">
        <v>50</v>
      </c>
      <c r="F12">
        <v>0.05</v>
      </c>
      <c r="G12">
        <v>0.01</v>
      </c>
    </row>
    <row r="14" spans="1:7" x14ac:dyDescent="0.25">
      <c r="E14" t="s">
        <v>51</v>
      </c>
      <c r="F14">
        <f>_xlfn.CHISQ.INV(F12,F6-1)</f>
        <v>0.10258658877510107</v>
      </c>
      <c r="G14">
        <f>_xlfn.CHISQ.INV(G12,F6-1)</f>
        <v>2.0100671707002884E-2</v>
      </c>
    </row>
    <row r="16" spans="1:7" x14ac:dyDescent="0.25">
      <c r="E16" t="s">
        <v>17</v>
      </c>
      <c r="F16">
        <f>_xlfn.CHISQ.DIST.RT(F11,F6-1)</f>
        <v>0.12545389060425258</v>
      </c>
    </row>
    <row r="18" spans="5:10" x14ac:dyDescent="0.25">
      <c r="E18" t="s">
        <v>52</v>
      </c>
      <c r="F18" s="6" t="str">
        <f>IF(F16&lt;F12,"reject","fail to reject")</f>
        <v>fail to reject</v>
      </c>
      <c r="G18" s="6" t="str">
        <f>IF(F16&lt;G12,"reject","fail to reject")</f>
        <v>fail to reject</v>
      </c>
    </row>
    <row r="24" spans="5:10" ht="15.75" thickBot="1" x14ac:dyDescent="0.3"/>
    <row r="25" spans="5:10" x14ac:dyDescent="0.25">
      <c r="E25" s="5" t="s">
        <v>40</v>
      </c>
      <c r="F25" s="5"/>
      <c r="G25" s="5" t="s">
        <v>42</v>
      </c>
      <c r="H25" s="5"/>
      <c r="I25" s="5" t="s">
        <v>41</v>
      </c>
      <c r="J25" s="5"/>
    </row>
    <row r="26" spans="5:10" x14ac:dyDescent="0.25">
      <c r="E26" s="3"/>
      <c r="F26" s="3"/>
      <c r="G26" s="3"/>
      <c r="H26" s="3"/>
      <c r="I26" s="3"/>
      <c r="J26" s="3"/>
    </row>
    <row r="27" spans="5:10" x14ac:dyDescent="0.25">
      <c r="E27" s="3" t="s">
        <v>19</v>
      </c>
      <c r="F27" s="3">
        <v>9.3333333333333339</v>
      </c>
      <c r="G27" s="3" t="s">
        <v>19</v>
      </c>
      <c r="H27" s="3">
        <v>12.2</v>
      </c>
      <c r="I27" s="3" t="s">
        <v>19</v>
      </c>
      <c r="J27" s="3">
        <v>6</v>
      </c>
    </row>
    <row r="28" spans="5:10" x14ac:dyDescent="0.25">
      <c r="E28" s="3" t="s">
        <v>20</v>
      </c>
      <c r="F28" s="3">
        <v>1.8559214542766744</v>
      </c>
      <c r="G28" s="3" t="s">
        <v>20</v>
      </c>
      <c r="H28" s="3">
        <v>1.06770782520313</v>
      </c>
      <c r="I28" s="3" t="s">
        <v>20</v>
      </c>
      <c r="J28" s="3">
        <v>2.4221202832779936</v>
      </c>
    </row>
    <row r="29" spans="5:10" x14ac:dyDescent="0.25">
      <c r="E29" s="3" t="s">
        <v>21</v>
      </c>
      <c r="F29" s="3">
        <v>8.5</v>
      </c>
      <c r="G29" s="3" t="s">
        <v>21</v>
      </c>
      <c r="H29" s="3">
        <v>12</v>
      </c>
      <c r="I29" s="3" t="s">
        <v>21</v>
      </c>
      <c r="J29" s="3">
        <v>4</v>
      </c>
    </row>
    <row r="30" spans="5:10" x14ac:dyDescent="0.25">
      <c r="E30" s="3" t="s">
        <v>22</v>
      </c>
      <c r="F30" s="3" t="e">
        <v>#N/A</v>
      </c>
      <c r="G30" s="3" t="s">
        <v>22</v>
      </c>
      <c r="H30" s="3" t="e">
        <v>#N/A</v>
      </c>
      <c r="I30" s="3" t="s">
        <v>22</v>
      </c>
      <c r="J30" s="3" t="e">
        <v>#N/A</v>
      </c>
    </row>
    <row r="31" spans="5:10" x14ac:dyDescent="0.25">
      <c r="E31" s="3" t="s">
        <v>23</v>
      </c>
      <c r="F31" s="3">
        <v>4.5460605656619526</v>
      </c>
      <c r="G31" s="3" t="s">
        <v>23</v>
      </c>
      <c r="H31" s="3">
        <v>2.3874672772626622</v>
      </c>
      <c r="I31" s="3" t="s">
        <v>23</v>
      </c>
      <c r="J31" s="3">
        <v>5.9329587896765306</v>
      </c>
    </row>
    <row r="32" spans="5:10" x14ac:dyDescent="0.25">
      <c r="E32" s="3" t="s">
        <v>24</v>
      </c>
      <c r="F32" s="3">
        <v>20.666666666666675</v>
      </c>
      <c r="G32" s="3" t="s">
        <v>24</v>
      </c>
      <c r="H32" s="3">
        <v>5.6999999999999886</v>
      </c>
      <c r="I32" s="3" t="s">
        <v>24</v>
      </c>
      <c r="J32" s="3">
        <v>35.200000000000003</v>
      </c>
    </row>
    <row r="33" spans="5:10" x14ac:dyDescent="0.25">
      <c r="E33" s="3" t="s">
        <v>25</v>
      </c>
      <c r="F33" s="3">
        <v>-1.1391259105098852</v>
      </c>
      <c r="G33" s="3" t="s">
        <v>25</v>
      </c>
      <c r="H33" s="3">
        <v>-1.1172668513388739</v>
      </c>
      <c r="I33" s="3" t="s">
        <v>25</v>
      </c>
      <c r="J33" s="3">
        <v>2.5745738636363615</v>
      </c>
    </row>
    <row r="34" spans="5:10" x14ac:dyDescent="0.25">
      <c r="E34" s="3" t="s">
        <v>26</v>
      </c>
      <c r="F34" s="3">
        <v>0.46122882950264299</v>
      </c>
      <c r="G34" s="3" t="s">
        <v>26</v>
      </c>
      <c r="H34" s="3">
        <v>-0.20575279705556801</v>
      </c>
      <c r="I34" s="3" t="s">
        <v>26</v>
      </c>
      <c r="J34" s="3">
        <v>1.6117590462011882</v>
      </c>
    </row>
    <row r="35" spans="5:10" x14ac:dyDescent="0.25">
      <c r="E35" s="3" t="s">
        <v>27</v>
      </c>
      <c r="F35" s="3">
        <v>12</v>
      </c>
      <c r="G35" s="3" t="s">
        <v>27</v>
      </c>
      <c r="H35" s="3">
        <v>6</v>
      </c>
      <c r="I35" s="3" t="s">
        <v>27</v>
      </c>
      <c r="J35" s="3">
        <v>16</v>
      </c>
    </row>
    <row r="36" spans="5:10" x14ac:dyDescent="0.25">
      <c r="E36" s="3" t="s">
        <v>28</v>
      </c>
      <c r="F36" s="3">
        <v>4</v>
      </c>
      <c r="G36" s="3" t="s">
        <v>28</v>
      </c>
      <c r="H36" s="3">
        <v>9</v>
      </c>
      <c r="I36" s="3" t="s">
        <v>28</v>
      </c>
      <c r="J36" s="3">
        <v>1</v>
      </c>
    </row>
    <row r="37" spans="5:10" x14ac:dyDescent="0.25">
      <c r="E37" s="3" t="s">
        <v>29</v>
      </c>
      <c r="F37" s="3">
        <v>16</v>
      </c>
      <c r="G37" s="3" t="s">
        <v>29</v>
      </c>
      <c r="H37" s="3">
        <v>15</v>
      </c>
      <c r="I37" s="3" t="s">
        <v>29</v>
      </c>
      <c r="J37" s="3">
        <v>17</v>
      </c>
    </row>
    <row r="38" spans="5:10" x14ac:dyDescent="0.25">
      <c r="E38" s="3" t="s">
        <v>30</v>
      </c>
      <c r="F38" s="3">
        <v>56</v>
      </c>
      <c r="G38" s="3" t="s">
        <v>30</v>
      </c>
      <c r="H38" s="3">
        <v>61</v>
      </c>
      <c r="I38" s="3" t="s">
        <v>30</v>
      </c>
      <c r="J38" s="3">
        <v>36</v>
      </c>
    </row>
    <row r="39" spans="5:10" ht="15.75" thickBot="1" x14ac:dyDescent="0.3">
      <c r="E39" s="4" t="s">
        <v>31</v>
      </c>
      <c r="F39" s="4">
        <v>6</v>
      </c>
      <c r="G39" s="4" t="s">
        <v>31</v>
      </c>
      <c r="H39" s="4">
        <v>5</v>
      </c>
      <c r="I39" s="4" t="s">
        <v>31</v>
      </c>
      <c r="J39" s="4">
        <v>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80392-3BD9-42A6-AD0F-C909FD2BB647}">
  <dimension ref="B2:I20"/>
  <sheetViews>
    <sheetView workbookViewId="0">
      <selection activeCell="L22" sqref="L22"/>
    </sheetView>
  </sheetViews>
  <sheetFormatPr defaultRowHeight="15" x14ac:dyDescent="0.25"/>
  <sheetData>
    <row r="2" spans="2:9" x14ac:dyDescent="0.25">
      <c r="B2" t="s">
        <v>53</v>
      </c>
      <c r="C2" t="s">
        <v>54</v>
      </c>
      <c r="D2" t="s">
        <v>55</v>
      </c>
      <c r="E2" t="s">
        <v>56</v>
      </c>
      <c r="F2" t="s">
        <v>57</v>
      </c>
      <c r="G2" t="s">
        <v>58</v>
      </c>
    </row>
    <row r="3" spans="2:9" x14ac:dyDescent="0.25">
      <c r="B3">
        <v>1</v>
      </c>
      <c r="C3">
        <v>28</v>
      </c>
      <c r="D3">
        <v>26</v>
      </c>
      <c r="E3">
        <v>37</v>
      </c>
      <c r="F3">
        <f>C3</f>
        <v>28</v>
      </c>
      <c r="G3">
        <f>_xlfn.RANK.AVG(F3,$F$3:$F$20,1)</f>
        <v>13</v>
      </c>
      <c r="H3" t="s">
        <v>59</v>
      </c>
      <c r="I3">
        <f>SUM(G3:G9)</f>
        <v>62</v>
      </c>
    </row>
    <row r="4" spans="2:9" x14ac:dyDescent="0.25">
      <c r="B4">
        <v>2</v>
      </c>
      <c r="C4">
        <v>19</v>
      </c>
      <c r="D4">
        <v>20</v>
      </c>
      <c r="E4">
        <v>28</v>
      </c>
      <c r="F4">
        <f t="shared" ref="F4:F9" si="0">C4</f>
        <v>19</v>
      </c>
      <c r="G4">
        <f t="shared" ref="G4:G20" si="1">_xlfn.RANK.AVG(F4,$F$3:$F$20,1)</f>
        <v>4</v>
      </c>
      <c r="H4" t="s">
        <v>60</v>
      </c>
      <c r="I4">
        <f>SUM(G10:G15)</f>
        <v>34.5</v>
      </c>
    </row>
    <row r="5" spans="2:9" x14ac:dyDescent="0.25">
      <c r="B5">
        <v>3</v>
      </c>
      <c r="C5">
        <v>13</v>
      </c>
      <c r="D5">
        <v>11</v>
      </c>
      <c r="E5">
        <v>26</v>
      </c>
      <c r="F5">
        <f t="shared" si="0"/>
        <v>13</v>
      </c>
      <c r="G5">
        <f t="shared" si="1"/>
        <v>2</v>
      </c>
      <c r="H5" t="s">
        <v>61</v>
      </c>
      <c r="I5">
        <f>SUM(G16:G20)</f>
        <v>74.5</v>
      </c>
    </row>
    <row r="6" spans="2:9" x14ac:dyDescent="0.25">
      <c r="B6">
        <v>4</v>
      </c>
      <c r="C6">
        <v>28</v>
      </c>
      <c r="D6">
        <v>14</v>
      </c>
      <c r="E6">
        <v>35</v>
      </c>
      <c r="F6">
        <f t="shared" si="0"/>
        <v>28</v>
      </c>
      <c r="G6">
        <f t="shared" si="1"/>
        <v>13</v>
      </c>
      <c r="H6" t="s">
        <v>44</v>
      </c>
      <c r="I6">
        <f>COUNT(I3:I5)</f>
        <v>3</v>
      </c>
    </row>
    <row r="7" spans="2:9" x14ac:dyDescent="0.25">
      <c r="B7">
        <v>5</v>
      </c>
      <c r="C7">
        <v>29</v>
      </c>
      <c r="D7">
        <v>22</v>
      </c>
      <c r="E7">
        <v>31</v>
      </c>
      <c r="F7">
        <f t="shared" si="0"/>
        <v>29</v>
      </c>
      <c r="G7">
        <f t="shared" si="1"/>
        <v>15</v>
      </c>
      <c r="H7" t="s">
        <v>3</v>
      </c>
      <c r="I7">
        <f>COUNT(C3:C9)</f>
        <v>7</v>
      </c>
    </row>
    <row r="8" spans="2:9" x14ac:dyDescent="0.25">
      <c r="B8">
        <v>6</v>
      </c>
      <c r="C8">
        <v>22</v>
      </c>
      <c r="D8">
        <v>21</v>
      </c>
      <c r="F8">
        <f t="shared" si="0"/>
        <v>22</v>
      </c>
      <c r="G8">
        <f t="shared" si="1"/>
        <v>8.5</v>
      </c>
      <c r="H8" t="s">
        <v>4</v>
      </c>
      <c r="I8">
        <f>COUNT(D3:D9)</f>
        <v>6</v>
      </c>
    </row>
    <row r="9" spans="2:9" x14ac:dyDescent="0.25">
      <c r="B9">
        <v>7</v>
      </c>
      <c r="C9">
        <v>21</v>
      </c>
      <c r="F9">
        <f t="shared" si="0"/>
        <v>21</v>
      </c>
      <c r="G9">
        <f t="shared" si="1"/>
        <v>6.5</v>
      </c>
      <c r="H9" t="s">
        <v>43</v>
      </c>
      <c r="I9">
        <f>COUNT(E3:E9)</f>
        <v>5</v>
      </c>
    </row>
    <row r="10" spans="2:9" x14ac:dyDescent="0.25">
      <c r="F10" s="7">
        <f>D3</f>
        <v>26</v>
      </c>
      <c r="G10">
        <f t="shared" si="1"/>
        <v>10.5</v>
      </c>
      <c r="H10" t="s">
        <v>45</v>
      </c>
      <c r="I10">
        <f>SUM(I7:I9)</f>
        <v>18</v>
      </c>
    </row>
    <row r="11" spans="2:9" x14ac:dyDescent="0.25">
      <c r="F11" s="7">
        <f t="shared" ref="F11:F15" si="2">D4</f>
        <v>20</v>
      </c>
      <c r="G11">
        <f t="shared" si="1"/>
        <v>5</v>
      </c>
    </row>
    <row r="12" spans="2:9" x14ac:dyDescent="0.25">
      <c r="F12" s="7">
        <f t="shared" si="2"/>
        <v>11</v>
      </c>
      <c r="G12">
        <f t="shared" si="1"/>
        <v>1</v>
      </c>
      <c r="H12" t="s">
        <v>46</v>
      </c>
      <c r="I12">
        <f>(12)/(I10*(I10+1))</f>
        <v>3.5087719298245612E-2</v>
      </c>
    </row>
    <row r="13" spans="2:9" x14ac:dyDescent="0.25">
      <c r="F13" s="7">
        <f t="shared" si="2"/>
        <v>14</v>
      </c>
      <c r="G13">
        <f t="shared" si="1"/>
        <v>3</v>
      </c>
      <c r="H13" t="s">
        <v>47</v>
      </c>
      <c r="I13">
        <f>(I3^2)/I7+(I4^2)/I8+(I5^2)/I9</f>
        <v>1857.5678571428571</v>
      </c>
    </row>
    <row r="14" spans="2:9" x14ac:dyDescent="0.25">
      <c r="F14" s="7">
        <f t="shared" si="2"/>
        <v>22</v>
      </c>
      <c r="G14">
        <f t="shared" si="1"/>
        <v>8.5</v>
      </c>
      <c r="H14" t="s">
        <v>48</v>
      </c>
      <c r="I14">
        <f>3*(I10+1)</f>
        <v>57</v>
      </c>
    </row>
    <row r="15" spans="2:9" x14ac:dyDescent="0.25">
      <c r="F15" s="7">
        <f t="shared" si="2"/>
        <v>21</v>
      </c>
      <c r="G15">
        <f t="shared" si="1"/>
        <v>6.5</v>
      </c>
      <c r="H15" t="s">
        <v>62</v>
      </c>
      <c r="I15">
        <f>I12*I13-I14</f>
        <v>8.1778195488721792</v>
      </c>
    </row>
    <row r="16" spans="2:9" x14ac:dyDescent="0.25">
      <c r="F16" s="2">
        <f>E3</f>
        <v>37</v>
      </c>
      <c r="G16">
        <f t="shared" si="1"/>
        <v>18</v>
      </c>
    </row>
    <row r="17" spans="6:9" x14ac:dyDescent="0.25">
      <c r="F17" s="2">
        <f t="shared" ref="F17:F20" si="3">E4</f>
        <v>28</v>
      </c>
      <c r="G17">
        <f t="shared" si="1"/>
        <v>13</v>
      </c>
      <c r="H17" t="s">
        <v>63</v>
      </c>
      <c r="I17">
        <v>0.05</v>
      </c>
    </row>
    <row r="18" spans="6:9" x14ac:dyDescent="0.25">
      <c r="F18" s="2">
        <f t="shared" si="3"/>
        <v>26</v>
      </c>
      <c r="G18">
        <f t="shared" si="1"/>
        <v>10.5</v>
      </c>
      <c r="H18" t="s">
        <v>64</v>
      </c>
      <c r="I18">
        <f>_xlfn.CHISQ.INV(I17,I6-1)</f>
        <v>0.10258658877510107</v>
      </c>
    </row>
    <row r="19" spans="6:9" x14ac:dyDescent="0.25">
      <c r="F19" s="2">
        <f t="shared" si="3"/>
        <v>35</v>
      </c>
      <c r="G19">
        <f t="shared" si="1"/>
        <v>17</v>
      </c>
      <c r="H19" t="s">
        <v>17</v>
      </c>
      <c r="I19">
        <f>_xlfn.CHISQ.DIST.RT(I15,I6-1)</f>
        <v>1.6757493050600362E-2</v>
      </c>
    </row>
    <row r="20" spans="6:9" x14ac:dyDescent="0.25">
      <c r="F20" s="2">
        <f t="shared" si="3"/>
        <v>31</v>
      </c>
      <c r="G20">
        <f t="shared" si="1"/>
        <v>16</v>
      </c>
      <c r="H20" t="s">
        <v>65</v>
      </c>
      <c r="I20" t="str">
        <f>IF(I19&lt;=I17,"Reject","Fail to reject")</f>
        <v>Reject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42450-373D-4760-AEA0-EB4E4DA5F757}">
  <dimension ref="B2:K13"/>
  <sheetViews>
    <sheetView workbookViewId="0">
      <selection activeCell="K32" sqref="K32"/>
    </sheetView>
  </sheetViews>
  <sheetFormatPr defaultRowHeight="15" x14ac:dyDescent="0.25"/>
  <sheetData>
    <row r="2" spans="2:11" x14ac:dyDescent="0.25">
      <c r="B2" t="s">
        <v>87</v>
      </c>
      <c r="C2" t="s">
        <v>88</v>
      </c>
      <c r="D2" t="s">
        <v>89</v>
      </c>
      <c r="E2" t="s">
        <v>90</v>
      </c>
      <c r="F2" t="s">
        <v>91</v>
      </c>
      <c r="G2" t="s">
        <v>92</v>
      </c>
    </row>
    <row r="3" spans="2:11" x14ac:dyDescent="0.25">
      <c r="B3">
        <v>8</v>
      </c>
      <c r="C3">
        <v>9</v>
      </c>
      <c r="D3">
        <f>_xlfn.RANK.AVG(B3,$B$3:$B$12,1)</f>
        <v>8</v>
      </c>
      <c r="E3">
        <f>_xlfn.RANK.AVG(C3,$B$3:$B$12,1)</f>
        <v>9</v>
      </c>
      <c r="F3">
        <f>D3-E3</f>
        <v>-1</v>
      </c>
      <c r="G3">
        <f>F3^2</f>
        <v>1</v>
      </c>
      <c r="I3" t="s">
        <v>93</v>
      </c>
      <c r="J3">
        <f>COUNT(B3:B12)</f>
        <v>10</v>
      </c>
    </row>
    <row r="4" spans="2:11" x14ac:dyDescent="0.25">
      <c r="B4">
        <v>3</v>
      </c>
      <c r="C4">
        <v>5</v>
      </c>
      <c r="D4">
        <f>_xlfn.RANK.AVG(B4,$B$3:$B$12,1)</f>
        <v>3</v>
      </c>
      <c r="E4">
        <f>_xlfn.RANK.AVG(C4,$B$3:$B$12,1)</f>
        <v>5</v>
      </c>
      <c r="F4">
        <f t="shared" ref="F4:F12" si="0">D4-E4</f>
        <v>-2</v>
      </c>
      <c r="G4">
        <f t="shared" ref="G4:G12" si="1">F4^2</f>
        <v>4</v>
      </c>
      <c r="I4" t="s">
        <v>46</v>
      </c>
      <c r="J4">
        <f>G13*6</f>
        <v>144</v>
      </c>
    </row>
    <row r="5" spans="2:11" x14ac:dyDescent="0.25">
      <c r="B5">
        <v>9</v>
      </c>
      <c r="C5">
        <v>10</v>
      </c>
      <c r="D5">
        <f>_xlfn.RANK.AVG(B5,$B$3:$B$12,1)</f>
        <v>9</v>
      </c>
      <c r="E5">
        <f>_xlfn.RANK.AVG(C5,$B$3:$B$12,1)</f>
        <v>10</v>
      </c>
      <c r="F5">
        <f t="shared" si="0"/>
        <v>-1</v>
      </c>
      <c r="G5">
        <f t="shared" si="1"/>
        <v>1</v>
      </c>
      <c r="I5" t="s">
        <v>47</v>
      </c>
      <c r="J5">
        <f>J3*(J3^2-1)</f>
        <v>990</v>
      </c>
    </row>
    <row r="6" spans="2:11" x14ac:dyDescent="0.25">
      <c r="B6">
        <v>2</v>
      </c>
      <c r="C6">
        <v>1</v>
      </c>
      <c r="D6">
        <f>_xlfn.RANK.AVG(B6,$B$3:$B$12,1)</f>
        <v>2</v>
      </c>
      <c r="E6">
        <f>_xlfn.RANK.AVG(C6,$B$3:$B$12,1)</f>
        <v>1</v>
      </c>
      <c r="F6">
        <f t="shared" si="0"/>
        <v>1</v>
      </c>
      <c r="G6">
        <f t="shared" si="1"/>
        <v>1</v>
      </c>
      <c r="I6" t="s">
        <v>94</v>
      </c>
      <c r="J6">
        <f>1-(J4/J5)</f>
        <v>0.8545454545454545</v>
      </c>
      <c r="K6">
        <f>CORREL(B3:B12,C3:C12)</f>
        <v>0.8545454545454545</v>
      </c>
    </row>
    <row r="7" spans="2:11" x14ac:dyDescent="0.25">
      <c r="B7">
        <v>7</v>
      </c>
      <c r="C7">
        <v>8</v>
      </c>
      <c r="D7">
        <f>_xlfn.RANK.AVG(B7,$B$3:$B$12,1)</f>
        <v>7</v>
      </c>
      <c r="E7">
        <f>_xlfn.RANK.AVG(C7,$B$3:$B$12,1)</f>
        <v>8</v>
      </c>
      <c r="F7">
        <f t="shared" si="0"/>
        <v>-1</v>
      </c>
      <c r="G7">
        <f t="shared" si="1"/>
        <v>1</v>
      </c>
      <c r="I7" t="s">
        <v>95</v>
      </c>
      <c r="J7">
        <v>0</v>
      </c>
    </row>
    <row r="8" spans="2:11" x14ac:dyDescent="0.25">
      <c r="B8">
        <v>10</v>
      </c>
      <c r="C8">
        <v>7</v>
      </c>
      <c r="D8">
        <f>_xlfn.RANK.AVG(B8,$B$3:$B$12,1)</f>
        <v>10</v>
      </c>
      <c r="E8">
        <f>_xlfn.RANK.AVG(C8,$B$3:$B$12,1)</f>
        <v>7</v>
      </c>
      <c r="F8">
        <f t="shared" si="0"/>
        <v>3</v>
      </c>
      <c r="G8">
        <f t="shared" si="1"/>
        <v>9</v>
      </c>
      <c r="I8" t="s">
        <v>96</v>
      </c>
      <c r="J8">
        <f>SQRT(1/(J3-1))</f>
        <v>0.33333333333333331</v>
      </c>
    </row>
    <row r="9" spans="2:11" x14ac:dyDescent="0.25">
      <c r="B9">
        <v>4</v>
      </c>
      <c r="C9">
        <v>3</v>
      </c>
      <c r="D9">
        <f>_xlfn.RANK.AVG(B9,$B$3:$B$12,1)</f>
        <v>4</v>
      </c>
      <c r="E9">
        <f>_xlfn.RANK.AVG(C9,$B$3:$B$12,1)</f>
        <v>3</v>
      </c>
      <c r="F9">
        <f t="shared" si="0"/>
        <v>1</v>
      </c>
      <c r="G9">
        <f t="shared" si="1"/>
        <v>1</v>
      </c>
      <c r="I9" t="s">
        <v>2</v>
      </c>
      <c r="J9">
        <f>(J6-J7)/J8</f>
        <v>2.5636363636363635</v>
      </c>
    </row>
    <row r="10" spans="2:11" x14ac:dyDescent="0.25">
      <c r="B10">
        <v>6</v>
      </c>
      <c r="C10">
        <v>4</v>
      </c>
      <c r="D10">
        <f>_xlfn.RANK.AVG(B10,$B$3:$B$12,1)</f>
        <v>6</v>
      </c>
      <c r="E10">
        <f>_xlfn.RANK.AVG(C10,$B$3:$B$12,1)</f>
        <v>4</v>
      </c>
      <c r="F10">
        <f t="shared" si="0"/>
        <v>2</v>
      </c>
      <c r="G10">
        <f t="shared" si="1"/>
        <v>4</v>
      </c>
      <c r="I10" t="s">
        <v>17</v>
      </c>
      <c r="J10">
        <f>1-_xlfn.NORM.S.DIST(J9,1)</f>
        <v>5.1791001464500663E-3</v>
      </c>
    </row>
    <row r="11" spans="2:11" x14ac:dyDescent="0.25">
      <c r="B11">
        <v>1</v>
      </c>
      <c r="C11">
        <v>2</v>
      </c>
      <c r="D11">
        <f>_xlfn.RANK.AVG(B11,$B$3:$B$12,1)</f>
        <v>1</v>
      </c>
      <c r="E11">
        <f>_xlfn.RANK.AVG(C11,$B$3:$B$12,1)</f>
        <v>2</v>
      </c>
      <c r="F11">
        <f t="shared" si="0"/>
        <v>-1</v>
      </c>
      <c r="G11">
        <f t="shared" si="1"/>
        <v>1</v>
      </c>
      <c r="I11" t="s">
        <v>97</v>
      </c>
      <c r="J11">
        <v>0.05</v>
      </c>
    </row>
    <row r="12" spans="2:11" x14ac:dyDescent="0.25">
      <c r="B12">
        <v>5</v>
      </c>
      <c r="C12">
        <v>6</v>
      </c>
      <c r="D12">
        <f>_xlfn.RANK.AVG(B12,$B$3:$B$12,1)</f>
        <v>5</v>
      </c>
      <c r="E12">
        <f>_xlfn.RANK.AVG(C12,$B$3:$B$12,1)</f>
        <v>6</v>
      </c>
      <c r="F12">
        <f t="shared" si="0"/>
        <v>-1</v>
      </c>
      <c r="G12">
        <f t="shared" si="1"/>
        <v>1</v>
      </c>
      <c r="I12" t="s">
        <v>65</v>
      </c>
      <c r="J12" s="6" t="str">
        <f>IF(J10&lt;=J11,"reject","fail to reject")</f>
        <v>reject</v>
      </c>
    </row>
    <row r="13" spans="2:11" x14ac:dyDescent="0.25">
      <c r="G13" s="6">
        <f>SUM(G3:G12)</f>
        <v>24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6EFF6-3664-4C49-98A0-A1B1EED18F1B}">
  <dimension ref="B2:K15"/>
  <sheetViews>
    <sheetView workbookViewId="0">
      <selection activeCell="H28" sqref="H28"/>
    </sheetView>
  </sheetViews>
  <sheetFormatPr defaultRowHeight="15" x14ac:dyDescent="0.25"/>
  <sheetData>
    <row r="2" spans="2:11" x14ac:dyDescent="0.25">
      <c r="B2" t="s">
        <v>98</v>
      </c>
      <c r="C2" t="s">
        <v>99</v>
      </c>
      <c r="D2" t="s">
        <v>100</v>
      </c>
      <c r="E2" t="s">
        <v>101</v>
      </c>
      <c r="F2" t="s">
        <v>91</v>
      </c>
      <c r="G2" t="s">
        <v>92</v>
      </c>
      <c r="I2" t="s">
        <v>93</v>
      </c>
      <c r="J2">
        <f>COUNT(B3:B14)</f>
        <v>12</v>
      </c>
    </row>
    <row r="3" spans="2:11" x14ac:dyDescent="0.25">
      <c r="B3">
        <v>65</v>
      </c>
      <c r="C3">
        <v>68</v>
      </c>
      <c r="D3">
        <f>_xlfn.RANK.AVG(B3,$B$3:$B$14,1)</f>
        <v>4</v>
      </c>
      <c r="E3">
        <f>_xlfn.RANK.AVG(C3,$C$3:$C$14,1)</f>
        <v>7.5</v>
      </c>
      <c r="F3">
        <f>D3-E3</f>
        <v>-3.5</v>
      </c>
      <c r="G3">
        <f>F3^2</f>
        <v>12.25</v>
      </c>
      <c r="I3" t="s">
        <v>102</v>
      </c>
      <c r="J3">
        <f>6*G15</f>
        <v>435</v>
      </c>
    </row>
    <row r="4" spans="2:11" x14ac:dyDescent="0.25">
      <c r="B4">
        <v>63</v>
      </c>
      <c r="C4">
        <v>66</v>
      </c>
      <c r="D4">
        <f t="shared" ref="D4:D14" si="0">_xlfn.RANK.AVG(B4,$B$3:$B$14,1)</f>
        <v>2</v>
      </c>
      <c r="E4">
        <f>_xlfn.RANK.AVG(C4,$C$3:$C$14,1)</f>
        <v>3.5</v>
      </c>
      <c r="F4">
        <f t="shared" ref="F4:F14" si="1">D4-E4</f>
        <v>-1.5</v>
      </c>
      <c r="G4">
        <f t="shared" ref="G4:G14" si="2">F4^2</f>
        <v>2.25</v>
      </c>
      <c r="I4" t="s">
        <v>103</v>
      </c>
      <c r="J4">
        <f>J2*(J2^2-1)</f>
        <v>1716</v>
      </c>
    </row>
    <row r="5" spans="2:11" x14ac:dyDescent="0.25">
      <c r="B5">
        <v>67</v>
      </c>
      <c r="C5">
        <v>68</v>
      </c>
      <c r="D5">
        <f t="shared" si="0"/>
        <v>6.5</v>
      </c>
      <c r="E5">
        <f>_xlfn.RANK.AVG(C5,$C$3:$C$14,1)</f>
        <v>7.5</v>
      </c>
      <c r="F5">
        <f t="shared" si="1"/>
        <v>-1</v>
      </c>
      <c r="G5">
        <f t="shared" si="2"/>
        <v>1</v>
      </c>
      <c r="I5" t="s">
        <v>94</v>
      </c>
      <c r="J5">
        <f>1-(J3/J4)</f>
        <v>0.74650349650349646</v>
      </c>
      <c r="K5">
        <f>CORREL(D3:D14,E3:E14)</f>
        <v>0.74026225281333191</v>
      </c>
    </row>
    <row r="6" spans="2:11" x14ac:dyDescent="0.25">
      <c r="B6">
        <v>64</v>
      </c>
      <c r="C6">
        <v>65</v>
      </c>
      <c r="D6">
        <f t="shared" si="0"/>
        <v>3</v>
      </c>
      <c r="E6">
        <f>_xlfn.RANK.AVG(C6,$C$3:$C$14,1)</f>
        <v>1.5</v>
      </c>
      <c r="F6">
        <f t="shared" si="1"/>
        <v>1.5</v>
      </c>
      <c r="G6">
        <f t="shared" si="2"/>
        <v>2.25</v>
      </c>
      <c r="I6" t="s">
        <v>95</v>
      </c>
      <c r="J6">
        <f>0</f>
        <v>0</v>
      </c>
    </row>
    <row r="7" spans="2:11" x14ac:dyDescent="0.25">
      <c r="B7">
        <v>68</v>
      </c>
      <c r="C7">
        <v>69</v>
      </c>
      <c r="D7">
        <f t="shared" si="0"/>
        <v>8.5</v>
      </c>
      <c r="E7">
        <f>_xlfn.RANK.AVG(C7,$C$3:$C$14,1)</f>
        <v>10</v>
      </c>
      <c r="F7">
        <f t="shared" si="1"/>
        <v>-1.5</v>
      </c>
      <c r="G7">
        <f t="shared" si="2"/>
        <v>2.25</v>
      </c>
      <c r="I7" t="s">
        <v>96</v>
      </c>
      <c r="J7">
        <f>SQRT( 1/(J2-1))</f>
        <v>0.30151134457776363</v>
      </c>
    </row>
    <row r="8" spans="2:11" x14ac:dyDescent="0.25">
      <c r="B8">
        <v>62</v>
      </c>
      <c r="C8">
        <v>66</v>
      </c>
      <c r="D8">
        <f>_xlfn.RANK.AVG(B8,$B$3:$B$14,1)</f>
        <v>1</v>
      </c>
      <c r="E8">
        <f>_xlfn.RANK.AVG(C8,$C$3:$C$14,1)</f>
        <v>3.5</v>
      </c>
      <c r="F8">
        <f t="shared" si="1"/>
        <v>-2.5</v>
      </c>
      <c r="G8">
        <f t="shared" si="2"/>
        <v>6.25</v>
      </c>
      <c r="I8" t="s">
        <v>2</v>
      </c>
      <c r="J8">
        <f>(J5-J6)/J7</f>
        <v>2.4758720025904819</v>
      </c>
    </row>
    <row r="9" spans="2:11" x14ac:dyDescent="0.25">
      <c r="B9">
        <v>70</v>
      </c>
      <c r="C9">
        <v>68</v>
      </c>
      <c r="D9">
        <f>_xlfn.RANK.AVG(B9,$B$3:$B$14,1)</f>
        <v>11</v>
      </c>
      <c r="E9">
        <f>_xlfn.RANK.AVG(C9,$C$3:$C$14,1)</f>
        <v>7.5</v>
      </c>
      <c r="F9">
        <f t="shared" si="1"/>
        <v>3.5</v>
      </c>
      <c r="G9">
        <f t="shared" si="2"/>
        <v>12.25</v>
      </c>
      <c r="I9" t="s">
        <v>17</v>
      </c>
      <c r="J9">
        <f>1-_xlfn.NORM.S.DIST(J8,1)</f>
        <v>6.64556091382007E-3</v>
      </c>
    </row>
    <row r="10" spans="2:11" x14ac:dyDescent="0.25">
      <c r="B10">
        <v>66</v>
      </c>
      <c r="C10">
        <v>65</v>
      </c>
      <c r="D10">
        <f>_xlfn.RANK.AVG(B10,$B$3:$B$14,1)</f>
        <v>5</v>
      </c>
      <c r="E10">
        <f>_xlfn.RANK.AVG(C10,$C$3:$C$14,1)</f>
        <v>1.5</v>
      </c>
      <c r="F10">
        <f t="shared" si="1"/>
        <v>3.5</v>
      </c>
      <c r="G10">
        <f t="shared" si="2"/>
        <v>12.25</v>
      </c>
      <c r="I10" t="s">
        <v>97</v>
      </c>
      <c r="J10">
        <v>0.05</v>
      </c>
    </row>
    <row r="11" spans="2:11" x14ac:dyDescent="0.25">
      <c r="B11">
        <v>68</v>
      </c>
      <c r="C11">
        <v>71</v>
      </c>
      <c r="D11">
        <f>_xlfn.RANK.AVG(B11,$B$3:$B$14,1)</f>
        <v>8.5</v>
      </c>
      <c r="E11">
        <f>_xlfn.RANK.AVG(C11,$C$3:$C$14,1)</f>
        <v>12</v>
      </c>
      <c r="F11">
        <f t="shared" si="1"/>
        <v>-3.5</v>
      </c>
      <c r="G11">
        <f t="shared" si="2"/>
        <v>12.25</v>
      </c>
      <c r="I11" t="s">
        <v>104</v>
      </c>
      <c r="J11" t="str">
        <f>IF(J9&lt;=J10,"reject","fail to reject")</f>
        <v>reject</v>
      </c>
    </row>
    <row r="12" spans="2:11" x14ac:dyDescent="0.25">
      <c r="B12">
        <v>67</v>
      </c>
      <c r="C12">
        <v>67</v>
      </c>
      <c r="D12">
        <f>_xlfn.RANK.AVG(B12,$B$3:$B$14,1)</f>
        <v>6.5</v>
      </c>
      <c r="E12">
        <f>_xlfn.RANK.AVG(C12,$C$3:$C$14,1)</f>
        <v>5</v>
      </c>
      <c r="F12">
        <f t="shared" si="1"/>
        <v>1.5</v>
      </c>
      <c r="G12">
        <f t="shared" si="2"/>
        <v>2.25</v>
      </c>
    </row>
    <row r="13" spans="2:11" x14ac:dyDescent="0.25">
      <c r="B13">
        <v>69</v>
      </c>
      <c r="C13">
        <v>68</v>
      </c>
      <c r="D13">
        <f>_xlfn.RANK.AVG(B13,$B$3:$B$14,1)</f>
        <v>10</v>
      </c>
      <c r="E13">
        <f>_xlfn.RANK.AVG(C13,$C$3:$C$14,1)</f>
        <v>7.5</v>
      </c>
      <c r="F13">
        <f t="shared" si="1"/>
        <v>2.5</v>
      </c>
      <c r="G13">
        <f t="shared" si="2"/>
        <v>6.25</v>
      </c>
    </row>
    <row r="14" spans="2:11" x14ac:dyDescent="0.25">
      <c r="B14">
        <v>71</v>
      </c>
      <c r="C14">
        <v>70</v>
      </c>
      <c r="D14">
        <f t="shared" si="0"/>
        <v>12</v>
      </c>
      <c r="E14">
        <f t="shared" ref="E4:E14" si="3">_xlfn.RANK.AVG(C14,$C$3:$C$14,1)</f>
        <v>11</v>
      </c>
      <c r="F14">
        <f t="shared" si="1"/>
        <v>1</v>
      </c>
      <c r="G14">
        <f t="shared" si="2"/>
        <v>1</v>
      </c>
    </row>
    <row r="15" spans="2:11" x14ac:dyDescent="0.25">
      <c r="G15" s="6">
        <f>SUM(G3:G14)</f>
        <v>72.5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1</vt:lpstr>
      <vt:lpstr>2</vt:lpstr>
      <vt:lpstr>3</vt:lpstr>
      <vt:lpstr>4</vt:lpstr>
      <vt:lpstr>5</vt:lpstr>
      <vt:lpstr>6</vt:lpstr>
      <vt:lpstr>7</vt:lpstr>
      <vt:lpstr>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DAVIDCORZO</dc:creator>
  <cp:lastModifiedBy>DAVID CORZO</cp:lastModifiedBy>
  <dcterms:created xsi:type="dcterms:W3CDTF">2015-06-05T18:17:20Z</dcterms:created>
  <dcterms:modified xsi:type="dcterms:W3CDTF">2020-11-04T16:52:10Z</dcterms:modified>
</cp:coreProperties>
</file>