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Administracion_Financiera_I_-Notas___\Tarea\"/>
    </mc:Choice>
  </mc:AlternateContent>
  <xr:revisionPtr revIDLastSave="0" documentId="13_ncr:1_{58234BD8-734E-4C94-9947-89A1252B8C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8" i="2" l="1"/>
  <c r="D66" i="2"/>
  <c r="C65" i="2"/>
  <c r="C64" i="2"/>
  <c r="C63" i="2"/>
  <c r="D61" i="2"/>
  <c r="C58" i="2"/>
  <c r="C57" i="2"/>
  <c r="C55" i="2"/>
  <c r="C54" i="2"/>
  <c r="C53" i="2"/>
  <c r="D46" i="2"/>
  <c r="C46" i="2"/>
  <c r="G45" i="2"/>
  <c r="G44" i="2"/>
  <c r="I42" i="2"/>
  <c r="D42" i="2"/>
  <c r="C42" i="2"/>
  <c r="I40" i="2"/>
  <c r="G40" i="2" a="1"/>
  <c r="G40" i="2"/>
  <c r="D40" i="2"/>
  <c r="C40" i="2"/>
  <c r="I39" i="2"/>
  <c r="G39" i="2"/>
  <c r="K38" i="2"/>
  <c r="K39" i="2" s="1"/>
  <c r="I38" i="2"/>
  <c r="D38" i="2"/>
  <c r="C38" i="2"/>
  <c r="K37" i="2"/>
  <c r="M37" i="2" s="1"/>
  <c r="I37" i="2"/>
  <c r="I36" i="2"/>
  <c r="G36" i="2"/>
  <c r="D36" i="2"/>
  <c r="C36" i="2"/>
  <c r="I35" i="2"/>
  <c r="K35" i="2" s="1"/>
  <c r="M35" i="2" s="1"/>
  <c r="H35" i="2"/>
  <c r="D35" i="2"/>
  <c r="D37" i="2" s="1"/>
  <c r="D39" i="2" s="1"/>
  <c r="D41" i="2" s="1"/>
  <c r="D43" i="2" s="1"/>
  <c r="D45" i="2" s="1"/>
  <c r="D47" i="2" s="1"/>
  <c r="C35" i="2"/>
  <c r="C37" i="2" s="1"/>
  <c r="C39" i="2" s="1"/>
  <c r="C41" i="2" s="1"/>
  <c r="C43" i="2" s="1"/>
  <c r="C45" i="2" s="1"/>
  <c r="I34" i="2"/>
  <c r="D34" i="2"/>
  <c r="C34" i="2"/>
  <c r="D33" i="2"/>
  <c r="C33" i="2"/>
  <c r="G32" i="2"/>
  <c r="I31" i="2"/>
  <c r="G31" i="2"/>
  <c r="I30" i="2"/>
  <c r="K30" i="2" s="1"/>
  <c r="H30" i="2"/>
  <c r="G29" i="2"/>
  <c r="D29" i="2"/>
  <c r="C29" i="2"/>
  <c r="M28" i="2"/>
  <c r="K28" i="2"/>
  <c r="I28" i="2"/>
  <c r="H28" i="2"/>
  <c r="D28" i="2"/>
  <c r="C28" i="2"/>
  <c r="I27" i="2"/>
  <c r="K27" i="2" s="1"/>
  <c r="M27" i="2" s="1"/>
  <c r="H27" i="2"/>
  <c r="I26" i="2"/>
  <c r="I29" i="2" s="1"/>
  <c r="I32" i="2" s="1"/>
  <c r="H26" i="2"/>
  <c r="D23" i="2" a="1"/>
  <c r="D23" i="2"/>
  <c r="C23" i="2" a="1"/>
  <c r="C23" i="2"/>
  <c r="D22" i="2"/>
  <c r="C22" i="2"/>
  <c r="I21" i="2"/>
  <c r="K20" i="2"/>
  <c r="M20" i="2" s="1"/>
  <c r="I20" i="2"/>
  <c r="G20" i="2"/>
  <c r="G19" i="2"/>
  <c r="G17" i="2"/>
  <c r="D17" i="2"/>
  <c r="C17" i="2"/>
  <c r="I16" i="2"/>
  <c r="G14" i="2"/>
  <c r="G12" i="2"/>
  <c r="D12" i="2"/>
  <c r="C12" i="2"/>
  <c r="I11" i="2"/>
  <c r="D11" i="2"/>
  <c r="C11" i="2"/>
  <c r="G10" i="2"/>
  <c r="I9" i="2"/>
  <c r="K9" i="2" s="1"/>
  <c r="M9" i="2" s="1"/>
  <c r="H9" i="2"/>
  <c r="K8" i="2"/>
  <c r="M8" i="2" s="1"/>
  <c r="I8" i="2"/>
  <c r="G7" i="2"/>
  <c r="D7" i="2"/>
  <c r="C7" i="2"/>
  <c r="K6" i="2"/>
  <c r="M6" i="2" s="1"/>
  <c r="I6" i="2"/>
  <c r="H6" i="2"/>
  <c r="I5" i="2"/>
  <c r="I7" i="2" s="1"/>
  <c r="I10" i="2" s="1"/>
  <c r="I12" i="2" s="1"/>
  <c r="H5" i="2"/>
  <c r="I13" i="2" l="1"/>
  <c r="I14" i="2" s="1"/>
  <c r="M30" i="2"/>
  <c r="K31" i="2"/>
  <c r="M31" i="2" s="1"/>
  <c r="C47" i="2"/>
  <c r="C51" i="2"/>
  <c r="D59" i="2" s="1"/>
  <c r="D67" i="2" s="1"/>
  <c r="D69" i="2" s="1"/>
  <c r="K26" i="2"/>
  <c r="M38" i="2"/>
  <c r="M39" i="2" s="1"/>
  <c r="K5" i="2"/>
  <c r="I19" i="2" l="1"/>
  <c r="I17" i="2"/>
  <c r="H43" i="2" s="1"/>
  <c r="I43" i="2" s="1"/>
  <c r="I44" i="2" s="1"/>
  <c r="I45" i="2" s="1"/>
  <c r="I46" i="2" s="1"/>
  <c r="M5" i="2"/>
  <c r="M7" i="2" s="1"/>
  <c r="M10" i="2" s="1"/>
  <c r="K7" i="2"/>
  <c r="K10" i="2" s="1"/>
  <c r="K29" i="2"/>
  <c r="K32" i="2" s="1"/>
  <c r="M26" i="2"/>
  <c r="M29" i="2" s="1"/>
  <c r="M32" i="2" s="1"/>
  <c r="J51" i="2" l="1"/>
  <c r="J50" i="2" l="1"/>
  <c r="J49" i="2"/>
  <c r="K50" i="2" l="1"/>
  <c r="J11" i="2" s="1"/>
  <c r="K11" i="2" s="1"/>
  <c r="K12" i="2" s="1"/>
  <c r="J34" i="2"/>
  <c r="K34" i="2" s="1"/>
  <c r="K36" i="2" s="1"/>
  <c r="K40" i="2" s="1"/>
  <c r="J42" i="2"/>
  <c r="K42" i="2" s="1"/>
  <c r="K49" i="2"/>
  <c r="J21" i="2" s="1"/>
  <c r="K21" i="2" s="1"/>
  <c r="K16" i="2" s="1"/>
  <c r="K13" i="2" l="1"/>
  <c r="K14" i="2"/>
  <c r="K19" i="2" l="1"/>
  <c r="K17" i="2"/>
  <c r="J43" i="2" s="1"/>
  <c r="K43" i="2" s="1"/>
  <c r="K44" i="2" s="1"/>
  <c r="K45" i="2" s="1"/>
  <c r="K46" i="2" s="1"/>
  <c r="K47" i="2" s="1"/>
  <c r="J54" i="2" l="1"/>
  <c r="J55" i="2"/>
  <c r="K55" i="2" l="1"/>
  <c r="L11" i="2" s="1"/>
  <c r="M11" i="2" s="1"/>
  <c r="M12" i="2" s="1"/>
  <c r="L34" i="2"/>
  <c r="M34" i="2" s="1"/>
  <c r="M36" i="2" s="1"/>
  <c r="M40" i="2" s="1"/>
  <c r="L42" i="2"/>
  <c r="M42" i="2" s="1"/>
  <c r="K54" i="2"/>
  <c r="L21" i="2" s="1"/>
  <c r="M21" i="2" s="1"/>
  <c r="M16" i="2" s="1"/>
  <c r="M13" i="2" l="1"/>
  <c r="M14" i="2" s="1"/>
  <c r="M19" i="2" l="1"/>
  <c r="M17" i="2"/>
  <c r="L43" i="2" s="1"/>
  <c r="M43" i="2" s="1"/>
  <c r="M44" i="2" s="1"/>
  <c r="M45" i="2" s="1"/>
  <c r="M46" i="2" s="1"/>
</calcChain>
</file>

<file path=xl/sharedStrings.xml><?xml version="1.0" encoding="utf-8"?>
<sst xmlns="http://schemas.openxmlformats.org/spreadsheetml/2006/main" count="129" uniqueCount="81">
  <si>
    <t>BALANCE GENERAL AL 31 DE DICIEMBRE</t>
  </si>
  <si>
    <t>Empresa SA, ESTADO DE RESULTADOS, AL 31 DE DICIEMBRE, EN $</t>
  </si>
  <si>
    <t>ACTIVO CORRIENTE</t>
  </si>
  <si>
    <t>Inventarios</t>
  </si>
  <si>
    <t>Pronóstico</t>
  </si>
  <si>
    <t>Ajuste</t>
  </si>
  <si>
    <t>Efectivo</t>
  </si>
  <si>
    <t>Ventas</t>
  </si>
  <si>
    <t>Cuentas por cobrar</t>
  </si>
  <si>
    <t>Costo de ventas</t>
  </si>
  <si>
    <t>Otros Gastos</t>
  </si>
  <si>
    <t>Total de activo corriente</t>
  </si>
  <si>
    <t>Utilidad Bruta</t>
  </si>
  <si>
    <t>Gastos por intereses</t>
  </si>
  <si>
    <t>Otros gastos</t>
  </si>
  <si>
    <t>Depreciación</t>
  </si>
  <si>
    <t>ACTIVO NO CORRIENTE</t>
  </si>
  <si>
    <t>Deuda a largo plazo</t>
  </si>
  <si>
    <t>Activos fijos netos</t>
  </si>
  <si>
    <t>UAII</t>
  </si>
  <si>
    <t>Pasivos acumulados</t>
  </si>
  <si>
    <t>Total de activo no corriente</t>
  </si>
  <si>
    <t>Intreses</t>
  </si>
  <si>
    <t>Impuestos (40%)</t>
  </si>
  <si>
    <t>Total activo</t>
  </si>
  <si>
    <t>UAI</t>
  </si>
  <si>
    <t>Documentos por pagar</t>
  </si>
  <si>
    <t>PASIVO CORRIENTE</t>
  </si>
  <si>
    <t>Utilidad Neta</t>
  </si>
  <si>
    <t>Capital común</t>
  </si>
  <si>
    <t>Cuentas por pagar</t>
  </si>
  <si>
    <t>Dividendos comunes</t>
  </si>
  <si>
    <t>Total de pasivo corriente</t>
  </si>
  <si>
    <t>Adición a las utilidad retenidas</t>
  </si>
  <si>
    <t>PASIVO NO CORRIENTE</t>
  </si>
  <si>
    <t>Utilidades por acción</t>
  </si>
  <si>
    <t>Utilidades Retenidas</t>
  </si>
  <si>
    <t>Dividendos por acción</t>
  </si>
  <si>
    <t>Costos de ventas</t>
  </si>
  <si>
    <t>Número de acciones comunes</t>
  </si>
  <si>
    <t>Número de acciones</t>
  </si>
  <si>
    <t>Total de pasivo no corriente</t>
  </si>
  <si>
    <t>Total pasivo</t>
  </si>
  <si>
    <t>Empresa SA, BALANCE GENERAL AL 31 DE DICIEMBRE EN $</t>
  </si>
  <si>
    <t>*La empresa siempre paga dividendos</t>
  </si>
  <si>
    <t xml:space="preserve">CAPITAL </t>
  </si>
  <si>
    <t>Total de capital</t>
  </si>
  <si>
    <t>Total pasivo + capital</t>
  </si>
  <si>
    <t>ESTADO DE RESULTADOS</t>
  </si>
  <si>
    <t>Earnings before interest, taxes, depreciation and amortization</t>
  </si>
  <si>
    <t>Earnings before interest and tax</t>
  </si>
  <si>
    <t>Earnings before taxes</t>
  </si>
  <si>
    <t>Utilidad neta</t>
  </si>
  <si>
    <t>Earnings available to common stockholders</t>
  </si>
  <si>
    <t>Dividends</t>
  </si>
  <si>
    <t>FAN</t>
  </si>
  <si>
    <t>Increase utilidades retenidas</t>
  </si>
  <si>
    <t>ESTADO DE FLUJOS DE EFECTIVO</t>
  </si>
  <si>
    <t>Capital común, $10 por acción.</t>
  </si>
  <si>
    <t>Cash flow from operating activities</t>
  </si>
  <si>
    <t>Préstamo al banco, tasa del 7%.</t>
  </si>
  <si>
    <t>Net income</t>
  </si>
  <si>
    <t xml:space="preserve">Additions to net incom </t>
  </si>
  <si>
    <t>-</t>
  </si>
  <si>
    <t>Depreciation (change)</t>
  </si>
  <si>
    <t>Increase in accounts payable</t>
  </si>
  <si>
    <t>Increase in accruals</t>
  </si>
  <si>
    <t>Subtractions from net income</t>
  </si>
  <si>
    <t>Increase in accounts receivable</t>
  </si>
  <si>
    <t xml:space="preserve">Increase in inventory </t>
  </si>
  <si>
    <t xml:space="preserve">Net cash flow from operations </t>
  </si>
  <si>
    <t xml:space="preserve">Cash flows from long term investing activities </t>
  </si>
  <si>
    <t>Acquisition of fixed assets</t>
  </si>
  <si>
    <t xml:space="preserve">Cash flows from financing activities </t>
  </si>
  <si>
    <t>Increase in notes payable</t>
  </si>
  <si>
    <t>Increase in bonds</t>
  </si>
  <si>
    <t>Divident payment</t>
  </si>
  <si>
    <t xml:space="preserve">Net cash flow from financing </t>
  </si>
  <si>
    <t>Net change in cash</t>
  </si>
  <si>
    <t>Cash at the beginning of the year</t>
  </si>
  <si>
    <t>Cash at the end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</si>
</sst>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"/>
    <numFmt numFmtId="165" formatCode="_-* #,##0_-;\-* #,##0_-;_-* &quot;-&quot;??_-;_-@"/>
    <numFmt numFmtId="166" formatCode="yyyy\-m"/>
    <numFmt numFmtId="167" formatCode="&quot;Q&quot;#,##0.00"/>
    <numFmt numFmtId="168" formatCode="_-&quot;Q&quot;* #,##0.00_-;\-&quot;Q&quot;* #,##0.00_-;_-&quot;Q&quot;* &quot;-&quot;??_-;_-@"/>
  </numFmts>
  <fonts count="21" x14ac:knownFonts="1">
    <font>
      <sz val="11"/>
      <color theme="1"/>
      <name val="Arial"/>
    </font>
    <font>
      <sz val="11"/>
      <color theme="1"/>
      <name val="Calibri"/>
    </font>
    <font>
      <b/>
      <u/>
      <sz val="11"/>
      <name val="Arial"/>
    </font>
    <font>
      <b/>
      <u/>
      <sz val="11"/>
      <color rgb="FF000000"/>
      <name val="Calibri"/>
    </font>
    <font>
      <b/>
      <u/>
      <sz val="11"/>
      <color theme="1"/>
      <name val="Arial"/>
    </font>
    <font>
      <b/>
      <u/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u/>
      <sz val="11"/>
      <color theme="1"/>
      <name val="Arial"/>
    </font>
    <font>
      <b/>
      <u/>
      <sz val="11"/>
      <color theme="1"/>
      <name val="Arial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11"/>
      <name val="Arial"/>
    </font>
    <font>
      <b/>
      <u/>
      <sz val="11"/>
      <color rgb="FF000000"/>
      <name val="Calibri"/>
    </font>
    <font>
      <b/>
      <sz val="11"/>
      <color theme="1"/>
      <name val="Arial"/>
    </font>
    <font>
      <b/>
      <u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8D8D8"/>
        <bgColor rgb="FFD8D8D8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/>
    <xf numFmtId="165" fontId="7" fillId="0" borderId="0" xfId="0" applyNumberFormat="1" applyFont="1"/>
    <xf numFmtId="0" fontId="6" fillId="2" borderId="0" xfId="0" applyFont="1" applyFill="1" applyAlignment="1"/>
    <xf numFmtId="0" fontId="8" fillId="2" borderId="0" xfId="0" applyFont="1" applyFill="1" applyAlignment="1">
      <alignment horizontal="right"/>
    </xf>
    <xf numFmtId="0" fontId="9" fillId="2" borderId="0" xfId="0" applyFont="1" applyFill="1" applyAlignment="1"/>
    <xf numFmtId="166" fontId="9" fillId="2" borderId="0" xfId="0" applyNumberFormat="1" applyFont="1" applyFill="1" applyAlignment="1"/>
    <xf numFmtId="0" fontId="1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1" fillId="0" borderId="1" xfId="0" applyFont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0" fontId="6" fillId="4" borderId="0" xfId="0" applyFont="1" applyFill="1" applyAlignment="1"/>
    <xf numFmtId="0" fontId="11" fillId="5" borderId="0" xfId="0" applyFont="1" applyFill="1" applyAlignment="1"/>
    <xf numFmtId="165" fontId="12" fillId="5" borderId="0" xfId="0" applyNumberFormat="1" applyFont="1" applyFill="1"/>
    <xf numFmtId="0" fontId="9" fillId="6" borderId="0" xfId="0" applyFont="1" applyFill="1" applyAlignment="1"/>
    <xf numFmtId="0" fontId="9" fillId="6" borderId="0" xfId="0" applyFont="1" applyFill="1" applyAlignment="1">
      <alignment horizontal="right"/>
    </xf>
    <xf numFmtId="0" fontId="9" fillId="6" borderId="0" xfId="0" applyFont="1" applyFill="1" applyAlignment="1"/>
    <xf numFmtId="0" fontId="13" fillId="0" borderId="0" xfId="0" applyFont="1"/>
    <xf numFmtId="165" fontId="14" fillId="0" borderId="0" xfId="0" applyNumberFormat="1" applyFont="1"/>
    <xf numFmtId="0" fontId="6" fillId="0" borderId="0" xfId="0" applyFont="1" applyAlignment="1"/>
    <xf numFmtId="0" fontId="15" fillId="6" borderId="0" xfId="0" applyFont="1" applyFill="1"/>
    <xf numFmtId="167" fontId="10" fillId="6" borderId="0" xfId="0" applyNumberFormat="1" applyFont="1" applyFill="1"/>
    <xf numFmtId="4" fontId="6" fillId="0" borderId="0" xfId="0" applyNumberFormat="1" applyFont="1" applyAlignment="1">
      <alignment horizontal="right"/>
    </xf>
    <xf numFmtId="4" fontId="12" fillId="0" borderId="0" xfId="0" applyNumberFormat="1" applyFont="1"/>
    <xf numFmtId="0" fontId="12" fillId="0" borderId="0" xfId="0" applyFont="1"/>
    <xf numFmtId="0" fontId="7" fillId="0" borderId="1" xfId="0" applyFont="1" applyBorder="1"/>
    <xf numFmtId="0" fontId="10" fillId="6" borderId="0" xfId="0" applyFont="1" applyFill="1"/>
    <xf numFmtId="165" fontId="10" fillId="6" borderId="0" xfId="0" applyNumberFormat="1" applyFont="1" applyFill="1"/>
    <xf numFmtId="9" fontId="6" fillId="0" borderId="0" xfId="0" applyNumberFormat="1" applyFont="1" applyAlignment="1"/>
    <xf numFmtId="0" fontId="1" fillId="0" borderId="0" xfId="0" applyFont="1"/>
    <xf numFmtId="165" fontId="1" fillId="0" borderId="0" xfId="0" applyNumberFormat="1" applyFont="1"/>
    <xf numFmtId="168" fontId="10" fillId="6" borderId="0" xfId="0" applyNumberFormat="1" applyFont="1" applyFill="1"/>
    <xf numFmtId="0" fontId="16" fillId="0" borderId="0" xfId="0" applyFont="1"/>
    <xf numFmtId="165" fontId="12" fillId="0" borderId="0" xfId="0" applyNumberFormat="1" applyFont="1"/>
    <xf numFmtId="0" fontId="7" fillId="0" borderId="2" xfId="0" applyFont="1" applyBorder="1"/>
    <xf numFmtId="165" fontId="1" fillId="0" borderId="2" xfId="0" applyNumberFormat="1" applyFont="1" applyBorder="1"/>
    <xf numFmtId="166" fontId="6" fillId="0" borderId="3" xfId="0" applyNumberFormat="1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9" fontId="6" fillId="0" borderId="6" xfId="0" applyNumberFormat="1" applyFont="1" applyBorder="1" applyAlignment="1">
      <alignment horizontal="right"/>
    </xf>
    <xf numFmtId="0" fontId="6" fillId="0" borderId="7" xfId="0" applyFont="1" applyBorder="1" applyAlignment="1"/>
    <xf numFmtId="9" fontId="6" fillId="0" borderId="8" xfId="0" applyNumberFormat="1" applyFont="1" applyBorder="1" applyAlignment="1">
      <alignment horizontal="right"/>
    </xf>
    <xf numFmtId="0" fontId="6" fillId="0" borderId="2" xfId="0" applyFont="1" applyBorder="1" applyAlignment="1"/>
    <xf numFmtId="165" fontId="6" fillId="0" borderId="2" xfId="0" applyNumberFormat="1" applyFont="1" applyBorder="1" applyAlignment="1"/>
    <xf numFmtId="0" fontId="6" fillId="0" borderId="2" xfId="0" applyFont="1" applyBorder="1" applyAlignment="1">
      <alignment horizontal="right"/>
    </xf>
    <xf numFmtId="0" fontId="6" fillId="0" borderId="9" xfId="0" applyFont="1" applyBorder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/>
    <xf numFmtId="9" fontId="6" fillId="0" borderId="0" xfId="0" applyNumberFormat="1" applyFont="1" applyFill="1" applyBorder="1" applyAlignment="1"/>
    <xf numFmtId="0" fontId="9" fillId="0" borderId="0" xfId="0" applyFont="1" applyFill="1" applyBorder="1" applyAlignment="1"/>
    <xf numFmtId="0" fontId="18" fillId="0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/>
    <xf numFmtId="165" fontId="6" fillId="0" borderId="0" xfId="0" applyNumberFormat="1" applyFont="1" applyFill="1" applyBorder="1" applyAlignment="1">
      <alignment horizontal="right"/>
    </xf>
    <xf numFmtId="165" fontId="20" fillId="0" borderId="0" xfId="0" applyNumberFormat="1" applyFont="1" applyFill="1" applyBorder="1" applyAlignment="1"/>
    <xf numFmtId="4" fontId="9" fillId="0" borderId="0" xfId="0" applyNumberFormat="1" applyFont="1" applyFill="1" applyBorder="1" applyAlignment="1"/>
    <xf numFmtId="165" fontId="9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/>
    <xf numFmtId="0" fontId="7" fillId="0" borderId="0" xfId="0" applyFont="1" applyFill="1"/>
    <xf numFmtId="165" fontId="7" fillId="0" borderId="0" xfId="0" applyNumberFormat="1" applyFont="1" applyFill="1"/>
    <xf numFmtId="9" fontId="6" fillId="0" borderId="0" xfId="0" applyNumberFormat="1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11" fillId="0" borderId="0" xfId="0" applyFont="1" applyFill="1" applyAlignment="1"/>
    <xf numFmtId="165" fontId="12" fillId="0" borderId="0" xfId="0" applyNumberFormat="1" applyFont="1" applyFill="1"/>
    <xf numFmtId="0" fontId="1" fillId="0" borderId="0" xfId="0" applyFont="1" applyFill="1"/>
    <xf numFmtId="165" fontId="1" fillId="0" borderId="0" xfId="0" applyNumberFormat="1" applyFont="1" applyFill="1"/>
    <xf numFmtId="0" fontId="12" fillId="0" borderId="0" xfId="0" applyFont="1" applyFill="1" applyAlignment="1"/>
    <xf numFmtId="0" fontId="17" fillId="0" borderId="0" xfId="0" applyFont="1" applyFill="1"/>
    <xf numFmtId="167" fontId="10" fillId="0" borderId="0" xfId="0" applyNumberFormat="1" applyFont="1" applyFill="1"/>
    <xf numFmtId="0" fontId="19" fillId="0" borderId="0" xfId="0" applyFont="1" applyFill="1"/>
    <xf numFmtId="165" fontId="10" fillId="0" borderId="0" xfId="0" applyNumberFormat="1" applyFont="1" applyFill="1"/>
    <xf numFmtId="0" fontId="4" fillId="0" borderId="0" xfId="0" applyFont="1" applyFill="1" applyAlignment="1"/>
    <xf numFmtId="0" fontId="13" fillId="0" borderId="0" xfId="0" applyFont="1" applyFill="1"/>
    <xf numFmtId="168" fontId="10" fillId="0" borderId="0" xfId="0" applyNumberFormat="1" applyFont="1" applyFill="1"/>
    <xf numFmtId="0" fontId="2" fillId="0" borderId="0" xfId="0" applyFont="1" applyFill="1" applyAlignment="1"/>
    <xf numFmtId="165" fontId="12" fillId="0" borderId="0" xfId="0" applyNumberFormat="1" applyFont="1" applyFill="1" applyBorder="1"/>
    <xf numFmtId="0" fontId="1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1001"/>
  <sheetViews>
    <sheetView tabSelected="1" topLeftCell="A28" zoomScale="98" workbookViewId="0">
      <selection activeCell="M46" sqref="M46"/>
    </sheetView>
  </sheetViews>
  <sheetFormatPr defaultColWidth="12.625" defaultRowHeight="15" customHeight="1" x14ac:dyDescent="0.2"/>
  <cols>
    <col min="1" max="1" width="7.625" customWidth="1"/>
    <col min="2" max="2" width="36.375" customWidth="1"/>
    <col min="3" max="3" width="12.75" customWidth="1"/>
    <col min="4" max="4" width="11.75" customWidth="1"/>
    <col min="5" max="5" width="7.625" customWidth="1"/>
    <col min="6" max="6" width="20.125" customWidth="1"/>
    <col min="7" max="7" width="10" customWidth="1"/>
    <col min="8" max="8" width="9.5" customWidth="1"/>
    <col min="9" max="9" width="8.875" customWidth="1"/>
    <col min="10" max="10" width="7.625" customWidth="1"/>
    <col min="11" max="11" width="10.375" customWidth="1"/>
    <col min="12" max="12" width="10.625" customWidth="1"/>
    <col min="13" max="13" width="12.125" customWidth="1"/>
    <col min="14" max="15" width="7.625" customWidth="1"/>
    <col min="16" max="16" width="14" customWidth="1"/>
    <col min="17" max="25" width="7.625" customWidth="1"/>
  </cols>
  <sheetData>
    <row r="2" spans="2:19" x14ac:dyDescent="0.25">
      <c r="B2" s="2" t="s">
        <v>0</v>
      </c>
      <c r="F2" s="55" t="s">
        <v>1</v>
      </c>
      <c r="G2" s="56"/>
      <c r="H2" s="56"/>
      <c r="I2" s="56"/>
      <c r="J2" s="56"/>
      <c r="K2" s="56"/>
      <c r="L2" s="56"/>
      <c r="M2" s="56"/>
    </row>
    <row r="3" spans="2:19" x14ac:dyDescent="0.25">
      <c r="B3" s="3" t="s">
        <v>2</v>
      </c>
      <c r="C3" s="4">
        <v>2019</v>
      </c>
      <c r="D3" s="4">
        <v>2018</v>
      </c>
      <c r="F3" s="5"/>
      <c r="G3" s="5"/>
      <c r="H3" s="6">
        <v>0.08</v>
      </c>
      <c r="I3" s="7"/>
      <c r="J3" s="7"/>
      <c r="K3" s="7"/>
      <c r="L3" s="7"/>
      <c r="M3" s="7"/>
    </row>
    <row r="4" spans="2:19" ht="15.75" x14ac:dyDescent="0.25">
      <c r="B4" s="8" t="s">
        <v>3</v>
      </c>
      <c r="C4" s="9">
        <v>836000</v>
      </c>
      <c r="D4" s="9">
        <v>715200</v>
      </c>
      <c r="F4" s="10"/>
      <c r="G4" s="11">
        <v>2019</v>
      </c>
      <c r="H4" s="12" t="s">
        <v>4</v>
      </c>
      <c r="I4" s="13">
        <v>43831</v>
      </c>
      <c r="J4" s="12" t="s">
        <v>5</v>
      </c>
      <c r="K4" s="13">
        <v>43862</v>
      </c>
      <c r="L4" s="12" t="s">
        <v>5</v>
      </c>
      <c r="M4" s="13">
        <v>43891</v>
      </c>
      <c r="O4" s="14"/>
      <c r="P4" s="14"/>
      <c r="Q4" s="15">
        <v>2019</v>
      </c>
      <c r="R4" s="15"/>
      <c r="S4" s="15">
        <v>2018</v>
      </c>
    </row>
    <row r="5" spans="2:19" x14ac:dyDescent="0.25">
      <c r="B5" s="8" t="s">
        <v>6</v>
      </c>
      <c r="C5" s="9">
        <v>52000</v>
      </c>
      <c r="D5" s="9">
        <v>57600</v>
      </c>
      <c r="F5" t="s">
        <v>7</v>
      </c>
      <c r="G5">
        <v>3850000</v>
      </c>
      <c r="H5" s="6">
        <f t="shared" ref="H5:H6" si="0">1+$H$3</f>
        <v>1.08</v>
      </c>
      <c r="I5" s="16">
        <f t="shared" ref="I5:I6" si="1">IF(H5=0,G5,G5*H5)</f>
        <v>4158000.0000000005</v>
      </c>
      <c r="J5" s="7"/>
      <c r="K5" s="16">
        <f t="shared" ref="K5:K6" si="2">IF(J5=0,I5,I5*J5)</f>
        <v>4158000.0000000005</v>
      </c>
      <c r="L5" s="7"/>
      <c r="M5" s="16">
        <f t="shared" ref="M5:M6" si="3">IF(L5=0,K5,K5*L5)</f>
        <v>4158000.0000000005</v>
      </c>
      <c r="O5" s="17" t="s">
        <v>3</v>
      </c>
      <c r="P5" s="17"/>
      <c r="Q5" s="18">
        <v>836000</v>
      </c>
      <c r="R5" s="19"/>
      <c r="S5" s="18">
        <v>715200</v>
      </c>
    </row>
    <row r="6" spans="2:19" x14ac:dyDescent="0.25">
      <c r="B6" s="8" t="s">
        <v>8</v>
      </c>
      <c r="C6" s="9">
        <v>402000</v>
      </c>
      <c r="D6" s="9">
        <v>351200</v>
      </c>
      <c r="F6" s="20" t="s">
        <v>9</v>
      </c>
      <c r="G6" s="16">
        <v>-3250000</v>
      </c>
      <c r="H6" s="6">
        <f t="shared" si="0"/>
        <v>1.08</v>
      </c>
      <c r="I6" s="16">
        <f t="shared" si="1"/>
        <v>-3510000</v>
      </c>
      <c r="J6" s="7"/>
      <c r="K6" s="16">
        <f t="shared" si="2"/>
        <v>-3510000</v>
      </c>
      <c r="L6" s="7"/>
      <c r="M6" s="16">
        <f t="shared" si="3"/>
        <v>-3510000</v>
      </c>
      <c r="O6" s="17" t="s">
        <v>10</v>
      </c>
      <c r="P6" s="17"/>
      <c r="Q6" s="18">
        <v>430300</v>
      </c>
      <c r="R6" s="19"/>
      <c r="S6" s="18">
        <v>340000</v>
      </c>
    </row>
    <row r="7" spans="2:19" x14ac:dyDescent="0.25">
      <c r="B7" s="21" t="s">
        <v>11</v>
      </c>
      <c r="C7" s="22">
        <f t="shared" ref="C7:D7" si="4">SUM(C4:C6)</f>
        <v>1290000</v>
      </c>
      <c r="D7" s="22">
        <f t="shared" si="4"/>
        <v>1124000</v>
      </c>
      <c r="F7" s="23" t="s">
        <v>12</v>
      </c>
      <c r="G7" s="24">
        <f>SUM(G5:G6)</f>
        <v>600000</v>
      </c>
      <c r="H7" s="25"/>
      <c r="I7" s="24">
        <f>SUM(I5:I6)</f>
        <v>648000.00000000047</v>
      </c>
      <c r="J7" s="25"/>
      <c r="K7" s="24">
        <f>SUM(K5:K6)</f>
        <v>648000.00000000047</v>
      </c>
      <c r="L7" s="25"/>
      <c r="M7" s="24">
        <f>SUM(M5:M6)</f>
        <v>648000.00000000047</v>
      </c>
      <c r="O7" s="17" t="s">
        <v>13</v>
      </c>
      <c r="P7" s="17"/>
      <c r="Q7" s="18">
        <v>76000</v>
      </c>
      <c r="R7" s="19"/>
      <c r="S7" s="18">
        <v>62500</v>
      </c>
    </row>
    <row r="8" spans="2:19" x14ac:dyDescent="0.25">
      <c r="F8" s="20" t="s">
        <v>14</v>
      </c>
      <c r="G8" s="16">
        <v>-430300</v>
      </c>
      <c r="H8" s="16"/>
      <c r="I8" s="16">
        <f t="shared" ref="I8:I9" si="5">IF(H8=0,G8,G8*H8)</f>
        <v>-430300</v>
      </c>
      <c r="J8" s="7"/>
      <c r="K8" s="16">
        <f t="shared" ref="K8:K9" si="6">IF(J8=0,I8,I8*J8)</f>
        <v>-430300</v>
      </c>
      <c r="L8" s="7"/>
      <c r="M8" s="16">
        <f t="shared" ref="M8:M9" si="7">IF(L8=0,K8,K8*L8)</f>
        <v>-430300</v>
      </c>
      <c r="O8" s="17" t="s">
        <v>15</v>
      </c>
      <c r="P8" s="17"/>
      <c r="Q8" s="18">
        <v>20000</v>
      </c>
      <c r="R8" s="19"/>
      <c r="S8" s="18">
        <v>18900</v>
      </c>
    </row>
    <row r="9" spans="2:19" x14ac:dyDescent="0.25">
      <c r="B9" s="3" t="s">
        <v>16</v>
      </c>
      <c r="C9" s="26"/>
      <c r="D9" s="27"/>
      <c r="F9" s="20" t="s">
        <v>15</v>
      </c>
      <c r="G9" s="16">
        <v>-20000</v>
      </c>
      <c r="H9" s="6">
        <f>1+$H$3</f>
        <v>1.08</v>
      </c>
      <c r="I9" s="16">
        <f t="shared" si="5"/>
        <v>-21600</v>
      </c>
      <c r="J9" s="7"/>
      <c r="K9" s="16">
        <f t="shared" si="6"/>
        <v>-21600</v>
      </c>
      <c r="L9" s="7"/>
      <c r="M9" s="16">
        <f t="shared" si="7"/>
        <v>-21600</v>
      </c>
      <c r="O9" s="17" t="s">
        <v>17</v>
      </c>
      <c r="P9" s="17"/>
      <c r="Q9" s="18">
        <v>424612</v>
      </c>
      <c r="R9" s="19"/>
      <c r="S9" s="18">
        <v>323432</v>
      </c>
    </row>
    <row r="10" spans="2:19" x14ac:dyDescent="0.25">
      <c r="B10" s="8" t="s">
        <v>18</v>
      </c>
      <c r="C10" s="9">
        <v>360800</v>
      </c>
      <c r="D10" s="9">
        <v>344800</v>
      </c>
      <c r="F10" s="23" t="s">
        <v>19</v>
      </c>
      <c r="G10" s="24">
        <f>SUM(G7:G9)</f>
        <v>149700</v>
      </c>
      <c r="H10" s="25"/>
      <c r="I10" s="24">
        <f>SUM(I7:I9)</f>
        <v>196100.00000000047</v>
      </c>
      <c r="J10" s="25"/>
      <c r="K10" s="24">
        <f>SUM(K7:K9)</f>
        <v>196100.00000000047</v>
      </c>
      <c r="L10" s="25"/>
      <c r="M10" s="24">
        <f>SUM(M7:M9)</f>
        <v>196100.00000000047</v>
      </c>
      <c r="O10" s="17" t="s">
        <v>20</v>
      </c>
      <c r="P10" s="17"/>
      <c r="Q10" s="18">
        <v>140000</v>
      </c>
      <c r="R10" s="19"/>
      <c r="S10" s="18">
        <v>136000</v>
      </c>
    </row>
    <row r="11" spans="2:19" x14ac:dyDescent="0.25">
      <c r="B11" s="21" t="s">
        <v>21</v>
      </c>
      <c r="C11" s="22">
        <f t="shared" ref="C11:D11" si="8">SUM(C10)</f>
        <v>360800</v>
      </c>
      <c r="D11" s="22">
        <f t="shared" si="8"/>
        <v>344800</v>
      </c>
      <c r="F11" s="28" t="s">
        <v>22</v>
      </c>
      <c r="G11" s="16">
        <v>-76000</v>
      </c>
      <c r="H11" s="7"/>
      <c r="I11" s="16">
        <f>IF(H11=0,G11,G11*H11)</f>
        <v>-76000</v>
      </c>
      <c r="J11" s="16">
        <f>K50</f>
        <v>2855.4959999999901</v>
      </c>
      <c r="K11" s="16">
        <f>IF(J11=0,I11,I11-J11)</f>
        <v>-78855.495999999985</v>
      </c>
      <c r="L11" s="16">
        <f>K55</f>
        <v>2955.9999999999882</v>
      </c>
      <c r="M11" s="16">
        <f>G11-L11</f>
        <v>-78955.999999999985</v>
      </c>
      <c r="O11" s="17" t="s">
        <v>23</v>
      </c>
      <c r="P11" s="17"/>
      <c r="Q11" s="18">
        <v>29480</v>
      </c>
      <c r="R11" s="19"/>
      <c r="S11" s="18">
        <v>58640</v>
      </c>
    </row>
    <row r="12" spans="2:19" x14ac:dyDescent="0.25">
      <c r="B12" s="29" t="s">
        <v>24</v>
      </c>
      <c r="C12" s="30">
        <f t="shared" ref="C12:D12" si="9">C4+C5+C6+C10</f>
        <v>1650800</v>
      </c>
      <c r="D12" s="30">
        <f t="shared" si="9"/>
        <v>1468800</v>
      </c>
      <c r="F12" s="23" t="s">
        <v>25</v>
      </c>
      <c r="G12" s="24">
        <f>SUM(G10:G11)</f>
        <v>73700</v>
      </c>
      <c r="H12" s="25"/>
      <c r="I12" s="24">
        <f>SUM(I10:I11)</f>
        <v>120100.00000000047</v>
      </c>
      <c r="J12" s="25"/>
      <c r="K12" s="24">
        <f>SUM(K10:K11)</f>
        <v>117244.50400000048</v>
      </c>
      <c r="L12" s="25"/>
      <c r="M12" s="24">
        <f>SUM(M10:M11)</f>
        <v>117144.00000000048</v>
      </c>
      <c r="O12" s="17" t="s">
        <v>26</v>
      </c>
      <c r="P12" s="17"/>
      <c r="Q12" s="18">
        <v>225000</v>
      </c>
      <c r="R12" s="19"/>
      <c r="S12" s="18">
        <v>200000</v>
      </c>
    </row>
    <row r="13" spans="2:19" x14ac:dyDescent="0.25">
      <c r="F13" s="28" t="s">
        <v>23</v>
      </c>
      <c r="G13" s="16">
        <v>-29480</v>
      </c>
      <c r="H13" s="7"/>
      <c r="I13" s="16">
        <f>-I12*0.4</f>
        <v>-48040.000000000189</v>
      </c>
      <c r="J13" s="7"/>
      <c r="K13" s="16">
        <f>-K12*0.4</f>
        <v>-46897.801600000195</v>
      </c>
      <c r="L13" s="7"/>
      <c r="M13" s="16">
        <f>-M12*0.4</f>
        <v>-46857.600000000195</v>
      </c>
      <c r="O13" s="17" t="s">
        <v>7</v>
      </c>
      <c r="P13" s="17"/>
      <c r="Q13" s="18">
        <v>3850000</v>
      </c>
      <c r="R13" s="19"/>
      <c r="S13" s="18">
        <v>3432000</v>
      </c>
    </row>
    <row r="14" spans="2:19" x14ac:dyDescent="0.25">
      <c r="B14" s="3" t="s">
        <v>27</v>
      </c>
      <c r="C14" s="26"/>
      <c r="D14" s="26"/>
      <c r="F14" s="23" t="s">
        <v>28</v>
      </c>
      <c r="G14" s="24">
        <f>SUM(G12:G13)</f>
        <v>44220</v>
      </c>
      <c r="H14" s="25"/>
      <c r="I14" s="24">
        <f>SUM(I12:I13)</f>
        <v>72060.000000000276</v>
      </c>
      <c r="J14" s="25"/>
      <c r="K14" s="24">
        <f>SUM(K12:K13)</f>
        <v>70346.702400000286</v>
      </c>
      <c r="L14" s="25"/>
      <c r="M14" s="24">
        <f>SUM(M12:M13)</f>
        <v>70286.400000000285</v>
      </c>
      <c r="O14" s="17" t="s">
        <v>18</v>
      </c>
      <c r="P14" s="17"/>
      <c r="Q14" s="18">
        <v>360800</v>
      </c>
      <c r="R14" s="19"/>
      <c r="S14" s="18">
        <v>344800</v>
      </c>
    </row>
    <row r="15" spans="2:19" x14ac:dyDescent="0.25">
      <c r="B15" s="8" t="s">
        <v>26</v>
      </c>
      <c r="C15" s="9">
        <v>225000</v>
      </c>
      <c r="D15" s="9">
        <v>200000</v>
      </c>
      <c r="F15" s="7"/>
      <c r="G15" s="7"/>
      <c r="H15" s="7"/>
      <c r="I15" s="7"/>
      <c r="J15" s="7"/>
      <c r="K15" s="7"/>
      <c r="L15" s="7"/>
      <c r="M15" s="7"/>
      <c r="O15" s="17" t="s">
        <v>29</v>
      </c>
      <c r="P15" s="17"/>
      <c r="Q15" s="18">
        <v>460000</v>
      </c>
      <c r="R15" s="19"/>
      <c r="S15" s="18">
        <v>460000</v>
      </c>
    </row>
    <row r="16" spans="2:19" x14ac:dyDescent="0.25">
      <c r="B16" s="8" t="s">
        <v>30</v>
      </c>
      <c r="C16" s="9">
        <v>175200</v>
      </c>
      <c r="D16" s="9">
        <v>145600</v>
      </c>
      <c r="F16" s="28" t="s">
        <v>31</v>
      </c>
      <c r="G16" s="31">
        <v>-22000</v>
      </c>
      <c r="H16" s="7"/>
      <c r="I16" s="31">
        <f>IF(H16=0,G16,G16*H16)</f>
        <v>-22000</v>
      </c>
      <c r="J16" s="7"/>
      <c r="K16" s="16">
        <f>K20*K21</f>
        <v>-22598.294399999999</v>
      </c>
      <c r="L16" s="7"/>
      <c r="M16" s="16">
        <f>M20*M21</f>
        <v>-22619.352380952376</v>
      </c>
      <c r="O16" s="17" t="s">
        <v>30</v>
      </c>
      <c r="P16" s="17"/>
      <c r="Q16" s="18">
        <v>175200</v>
      </c>
      <c r="R16" s="19"/>
      <c r="S16" s="18">
        <v>145600</v>
      </c>
    </row>
    <row r="17" spans="2:19" x14ac:dyDescent="0.25">
      <c r="B17" s="21" t="s">
        <v>32</v>
      </c>
      <c r="C17" s="22">
        <f t="shared" ref="C17:D17" si="10">SUM(C15:C16)</f>
        <v>400200</v>
      </c>
      <c r="D17" s="22">
        <f t="shared" si="10"/>
        <v>345600</v>
      </c>
      <c r="F17" s="28" t="s">
        <v>33</v>
      </c>
      <c r="G17" s="32">
        <f>G14+G16</f>
        <v>22220</v>
      </c>
      <c r="H17" s="7"/>
      <c r="I17" s="32">
        <f>I14+I16</f>
        <v>50060.000000000276</v>
      </c>
      <c r="J17" s="7"/>
      <c r="K17" s="33">
        <f>K14+K16</f>
        <v>47748.408000000287</v>
      </c>
      <c r="L17" s="7"/>
      <c r="M17" s="33">
        <f>M14+M16</f>
        <v>47667.047619047909</v>
      </c>
      <c r="O17" s="17" t="s">
        <v>6</v>
      </c>
      <c r="P17" s="17"/>
      <c r="Q17" s="18">
        <v>52000</v>
      </c>
      <c r="R17" s="19"/>
      <c r="S17" s="18">
        <v>57600</v>
      </c>
    </row>
    <row r="18" spans="2:19" x14ac:dyDescent="0.25">
      <c r="F18" s="7"/>
      <c r="G18" s="7"/>
      <c r="H18" s="7"/>
      <c r="I18" s="7"/>
      <c r="J18" s="7"/>
      <c r="K18" s="7"/>
      <c r="L18" s="7"/>
      <c r="M18" s="7"/>
      <c r="O18" s="17" t="s">
        <v>8</v>
      </c>
      <c r="P18" s="17"/>
      <c r="Q18" s="18">
        <v>402000</v>
      </c>
      <c r="R18" s="19"/>
      <c r="S18" s="18">
        <v>351200</v>
      </c>
    </row>
    <row r="19" spans="2:19" x14ac:dyDescent="0.25">
      <c r="B19" s="3" t="s">
        <v>34</v>
      </c>
      <c r="C19" s="26"/>
      <c r="D19" s="26"/>
      <c r="F19" s="28" t="s">
        <v>35</v>
      </c>
      <c r="G19" s="16">
        <f>G14/G21</f>
        <v>0.44219999999999998</v>
      </c>
      <c r="H19" s="7"/>
      <c r="I19" s="16">
        <f>I14/I21</f>
        <v>0.72060000000000279</v>
      </c>
      <c r="J19" s="7"/>
      <c r="K19" s="16">
        <f>K14/K21</f>
        <v>0.68484259272239878</v>
      </c>
      <c r="L19" s="7"/>
      <c r="M19" s="16">
        <f>M14/M21</f>
        <v>0.68361851124532502</v>
      </c>
      <c r="O19" s="17" t="s">
        <v>36</v>
      </c>
      <c r="P19" s="17"/>
      <c r="Q19" s="18">
        <v>225988</v>
      </c>
      <c r="R19" s="19"/>
      <c r="S19" s="18">
        <v>203768</v>
      </c>
    </row>
    <row r="20" spans="2:19" x14ac:dyDescent="0.25">
      <c r="B20" s="8" t="s">
        <v>17</v>
      </c>
      <c r="C20" s="9">
        <v>424612</v>
      </c>
      <c r="D20" s="9">
        <v>323432</v>
      </c>
      <c r="F20" s="28" t="s">
        <v>37</v>
      </c>
      <c r="G20" s="16">
        <f>-G16/G21</f>
        <v>0.22</v>
      </c>
      <c r="H20" s="7"/>
      <c r="I20" s="16">
        <f>I16/I21</f>
        <v>-0.22</v>
      </c>
      <c r="J20" s="7"/>
      <c r="K20" s="16">
        <f>I20</f>
        <v>-0.22</v>
      </c>
      <c r="L20" s="7"/>
      <c r="M20" s="16">
        <f>K20</f>
        <v>-0.22</v>
      </c>
      <c r="O20" s="17" t="s">
        <v>38</v>
      </c>
      <c r="P20" s="34"/>
      <c r="Q20" s="18">
        <v>3250000</v>
      </c>
      <c r="R20" s="19"/>
      <c r="S20" s="18">
        <v>2864000</v>
      </c>
    </row>
    <row r="21" spans="2:19" x14ac:dyDescent="0.25">
      <c r="B21" s="8" t="s">
        <v>20</v>
      </c>
      <c r="C21" s="9">
        <v>140000</v>
      </c>
      <c r="D21" s="9">
        <v>136000</v>
      </c>
      <c r="F21" s="28" t="s">
        <v>39</v>
      </c>
      <c r="G21" s="16">
        <v>100000</v>
      </c>
      <c r="H21" s="7"/>
      <c r="I21" s="16">
        <f>IF(H21=0,G21,G21+H21)</f>
        <v>100000</v>
      </c>
      <c r="J21" s="16">
        <f>K49</f>
        <v>2719.5199999999909</v>
      </c>
      <c r="K21" s="16">
        <f>$G$21+J21</f>
        <v>102719.51999999999</v>
      </c>
      <c r="L21" s="16">
        <f>K54</f>
        <v>2815.2380952380836</v>
      </c>
      <c r="M21" s="16">
        <f>$G$21+L21</f>
        <v>102815.23809523808</v>
      </c>
      <c r="O21" s="17" t="s">
        <v>40</v>
      </c>
      <c r="P21" s="17"/>
      <c r="Q21" s="18">
        <v>100000</v>
      </c>
      <c r="R21" s="19"/>
      <c r="S21" s="18">
        <v>100000</v>
      </c>
    </row>
    <row r="22" spans="2:19" ht="15.75" customHeight="1" x14ac:dyDescent="0.25">
      <c r="B22" s="21" t="s">
        <v>41</v>
      </c>
      <c r="C22" s="22">
        <f t="shared" ref="C22:D22" si="11">SUM(C20:C21)</f>
        <v>564612</v>
      </c>
      <c r="D22" s="22">
        <f t="shared" si="11"/>
        <v>459432</v>
      </c>
      <c r="O22" s="17" t="s">
        <v>37</v>
      </c>
      <c r="P22" s="17"/>
      <c r="Q22" s="19">
        <v>0.22</v>
      </c>
      <c r="R22" s="19"/>
      <c r="S22" s="19">
        <v>0.22</v>
      </c>
    </row>
    <row r="23" spans="2:19" ht="15.75" customHeight="1" x14ac:dyDescent="0.25">
      <c r="B23" s="35" t="s">
        <v>42</v>
      </c>
      <c r="C23" s="36">
        <f t="array" ref="C23">SUM(C15:C16+C20:C21)</f>
        <v>964812</v>
      </c>
      <c r="D23" s="36">
        <f t="array" ref="D23">SUM(D15:D16+D20:D21)</f>
        <v>805032</v>
      </c>
      <c r="F23" s="55" t="s">
        <v>43</v>
      </c>
      <c r="G23" s="56"/>
      <c r="H23" s="56"/>
      <c r="I23" s="56"/>
      <c r="J23" s="56"/>
      <c r="K23" s="56"/>
      <c r="L23" s="56"/>
      <c r="M23" s="56"/>
      <c r="Q23" s="1"/>
      <c r="R23" s="1"/>
      <c r="S23" s="1"/>
    </row>
    <row r="24" spans="2:19" ht="15.75" customHeight="1" x14ac:dyDescent="0.25">
      <c r="F24" s="5"/>
      <c r="G24" s="5"/>
      <c r="H24" s="6">
        <v>0.08</v>
      </c>
      <c r="I24" s="7"/>
      <c r="J24" s="7"/>
      <c r="K24" s="7"/>
      <c r="L24" s="7"/>
      <c r="M24" s="7"/>
      <c r="O24" s="33" t="s">
        <v>44</v>
      </c>
      <c r="Q24" s="1"/>
      <c r="R24" s="1"/>
      <c r="S24" s="1"/>
    </row>
    <row r="25" spans="2:19" ht="15.75" customHeight="1" x14ac:dyDescent="0.25">
      <c r="B25" s="3" t="s">
        <v>45</v>
      </c>
      <c r="C25" s="26"/>
      <c r="D25" s="26"/>
      <c r="F25" s="10"/>
      <c r="G25" s="11">
        <v>2019</v>
      </c>
      <c r="H25" s="12" t="s">
        <v>4</v>
      </c>
      <c r="I25" s="13">
        <v>43831</v>
      </c>
      <c r="J25" s="12" t="s">
        <v>5</v>
      </c>
      <c r="K25" s="13">
        <v>43862</v>
      </c>
      <c r="L25" s="12" t="s">
        <v>5</v>
      </c>
      <c r="M25" s="13">
        <v>43891</v>
      </c>
    </row>
    <row r="26" spans="2:19" ht="15.75" customHeight="1" x14ac:dyDescent="0.25">
      <c r="B26" s="8" t="s">
        <v>29</v>
      </c>
      <c r="C26" s="9">
        <v>460000</v>
      </c>
      <c r="D26" s="9">
        <v>460000</v>
      </c>
      <c r="F26" s="8" t="s">
        <v>3</v>
      </c>
      <c r="G26" s="9">
        <v>836000</v>
      </c>
      <c r="H26" s="37">
        <f t="shared" ref="H26:H28" si="12">1+$H$24</f>
        <v>1.08</v>
      </c>
      <c r="I26" s="7">
        <f t="shared" ref="I26:I28" si="13">IF(H26=0,G26,G26*H26)</f>
        <v>902880.00000000012</v>
      </c>
      <c r="J26" s="7"/>
      <c r="K26" s="7">
        <f t="shared" ref="K26:K28" si="14">IF(J26=0,I26,G26+J26)</f>
        <v>902880.00000000012</v>
      </c>
      <c r="L26" s="7"/>
      <c r="M26" s="7">
        <f t="shared" ref="M26:M28" si="15">IF(L26=0,K26,G26+L26)</f>
        <v>902880.00000000012</v>
      </c>
    </row>
    <row r="27" spans="2:19" ht="15.75" customHeight="1" x14ac:dyDescent="0.25">
      <c r="B27" s="38" t="s">
        <v>36</v>
      </c>
      <c r="C27" s="39">
        <v>225988</v>
      </c>
      <c r="D27" s="39">
        <v>203768</v>
      </c>
      <c r="F27" s="70" t="s">
        <v>6</v>
      </c>
      <c r="G27" s="71">
        <v>52000</v>
      </c>
      <c r="H27" s="72">
        <f t="shared" si="12"/>
        <v>1.08</v>
      </c>
      <c r="I27" s="73">
        <f t="shared" si="13"/>
        <v>56160.000000000007</v>
      </c>
      <c r="J27" s="73"/>
      <c r="K27" s="73">
        <f t="shared" si="14"/>
        <v>56160.000000000007</v>
      </c>
      <c r="L27" s="73"/>
      <c r="M27" s="73">
        <f t="shared" si="15"/>
        <v>56160.000000000007</v>
      </c>
      <c r="N27" s="74"/>
    </row>
    <row r="28" spans="2:19" ht="15.75" customHeight="1" x14ac:dyDescent="0.25">
      <c r="B28" s="21" t="s">
        <v>46</v>
      </c>
      <c r="C28" s="22">
        <f t="shared" ref="C28:D28" si="16">SUM(C26:C27)</f>
        <v>685988</v>
      </c>
      <c r="D28" s="22">
        <f t="shared" si="16"/>
        <v>663768</v>
      </c>
      <c r="F28" s="70" t="s">
        <v>8</v>
      </c>
      <c r="G28" s="71">
        <v>402000</v>
      </c>
      <c r="H28" s="61">
        <f t="shared" si="12"/>
        <v>1.08</v>
      </c>
      <c r="I28" s="60">
        <f t="shared" si="13"/>
        <v>434160</v>
      </c>
      <c r="J28" s="60"/>
      <c r="K28" s="60">
        <f t="shared" si="14"/>
        <v>434160</v>
      </c>
      <c r="L28" s="60"/>
      <c r="M28" s="60">
        <f t="shared" si="15"/>
        <v>434160</v>
      </c>
      <c r="N28" s="75"/>
    </row>
    <row r="29" spans="2:19" ht="15.75" customHeight="1" x14ac:dyDescent="0.25">
      <c r="B29" s="29" t="s">
        <v>47</v>
      </c>
      <c r="C29" s="40">
        <f t="shared" ref="C29:D29" si="17">C23+C26+C27</f>
        <v>1650800</v>
      </c>
      <c r="D29" s="40">
        <f t="shared" si="17"/>
        <v>1468800</v>
      </c>
      <c r="F29" s="76" t="s">
        <v>11</v>
      </c>
      <c r="G29" s="77">
        <f>SUM(G26:G28)</f>
        <v>1290000</v>
      </c>
      <c r="H29" s="59"/>
      <c r="I29" s="59">
        <f>SUM(I26:I28)</f>
        <v>1393200</v>
      </c>
      <c r="J29" s="60"/>
      <c r="K29" s="60">
        <f>SUM(K26:K28)</f>
        <v>1393200</v>
      </c>
      <c r="L29" s="60"/>
      <c r="M29" s="60">
        <f>SUM(M26:M28)</f>
        <v>1393200</v>
      </c>
      <c r="N29" s="75"/>
    </row>
    <row r="30" spans="2:19" ht="15.75" customHeight="1" x14ac:dyDescent="0.25">
      <c r="F30" s="78" t="s">
        <v>18</v>
      </c>
      <c r="G30" s="79">
        <v>360800</v>
      </c>
      <c r="H30" s="61">
        <f>1+$H$24</f>
        <v>1.08</v>
      </c>
      <c r="I30" s="60">
        <f>IF(H30=0,G30,G30*H30)</f>
        <v>389664</v>
      </c>
      <c r="J30" s="62"/>
      <c r="K30" s="60">
        <f>IF(J30=0,I30,G30+J30)</f>
        <v>389664</v>
      </c>
      <c r="L30" s="62"/>
      <c r="M30" s="60">
        <f t="shared" ref="M30:M31" si="18">IF(L30=0,K30,G30+L30)</f>
        <v>389664</v>
      </c>
      <c r="N30" s="75"/>
    </row>
    <row r="31" spans="2:19" ht="15.75" customHeight="1" x14ac:dyDescent="0.25">
      <c r="B31" s="41" t="s">
        <v>48</v>
      </c>
      <c r="F31" s="80" t="s">
        <v>21</v>
      </c>
      <c r="G31" s="77">
        <f>SUM(G30)</f>
        <v>360800</v>
      </c>
      <c r="H31" s="59"/>
      <c r="I31" s="59">
        <f>SUM(I30)</f>
        <v>389664</v>
      </c>
      <c r="J31" s="60"/>
      <c r="K31" s="59">
        <f>SUM(K30)</f>
        <v>389664</v>
      </c>
      <c r="L31" s="60"/>
      <c r="M31" s="60">
        <f t="shared" si="18"/>
        <v>389664</v>
      </c>
      <c r="N31" s="75"/>
    </row>
    <row r="32" spans="2:19" ht="15.75" customHeight="1" x14ac:dyDescent="0.25">
      <c r="C32">
        <v>2019</v>
      </c>
      <c r="D32">
        <v>2018</v>
      </c>
      <c r="F32" s="81" t="s">
        <v>24</v>
      </c>
      <c r="G32" s="82">
        <f>G26+G27+G28+G30</f>
        <v>1650800</v>
      </c>
      <c r="H32" s="62"/>
      <c r="I32" s="63">
        <f>I29+I31</f>
        <v>1782864</v>
      </c>
      <c r="J32" s="62"/>
      <c r="K32" s="63">
        <f>K29+K31</f>
        <v>1782864</v>
      </c>
      <c r="L32" s="62"/>
      <c r="M32" s="63">
        <f>M29+M31</f>
        <v>1782864</v>
      </c>
      <c r="N32" s="75"/>
    </row>
    <row r="33" spans="2:14" ht="15.75" customHeight="1" x14ac:dyDescent="0.25">
      <c r="B33" t="s">
        <v>7</v>
      </c>
      <c r="C33" s="42">
        <f>main!Q13</f>
        <v>3850000</v>
      </c>
      <c r="D33" s="42">
        <f>main!S13</f>
        <v>3432000</v>
      </c>
      <c r="F33" s="74"/>
      <c r="G33" s="74"/>
      <c r="H33" s="60"/>
      <c r="I33" s="60"/>
      <c r="J33" s="60"/>
      <c r="K33" s="60"/>
      <c r="L33" s="60"/>
      <c r="M33" s="60"/>
      <c r="N33" s="75"/>
    </row>
    <row r="34" spans="2:14" ht="15.75" customHeight="1" x14ac:dyDescent="0.25">
      <c r="B34" s="43" t="s">
        <v>9</v>
      </c>
      <c r="C34" s="44">
        <f>main!Q20</f>
        <v>3250000</v>
      </c>
      <c r="D34" s="44">
        <f>main!S20</f>
        <v>2864000</v>
      </c>
      <c r="F34" s="78" t="s">
        <v>26</v>
      </c>
      <c r="G34" s="79">
        <v>225000</v>
      </c>
      <c r="H34" s="59"/>
      <c r="I34" s="64">
        <f t="shared" ref="I34:I35" si="19">IF(H34=0,G34,G34*H34)</f>
        <v>225000</v>
      </c>
      <c r="J34" s="60">
        <f>J50</f>
        <v>40792.799999999857</v>
      </c>
      <c r="K34" s="64">
        <f t="shared" ref="K34:K35" si="20">IF(J34=0,I34,G34+J34)</f>
        <v>265792.79999999987</v>
      </c>
      <c r="L34" s="60">
        <f>J55</f>
        <v>42228.571428571253</v>
      </c>
      <c r="M34" s="64">
        <f t="shared" ref="M34:M35" si="21">IF(L34=0,K34,G34+L34)</f>
        <v>267228.57142857125</v>
      </c>
      <c r="N34" s="75"/>
    </row>
    <row r="35" spans="2:14" ht="15.75" customHeight="1" x14ac:dyDescent="0.25">
      <c r="B35" t="s">
        <v>12</v>
      </c>
      <c r="C35" s="42">
        <f t="shared" ref="C35:D35" si="22">C33-C34</f>
        <v>600000</v>
      </c>
      <c r="D35" s="42">
        <f t="shared" si="22"/>
        <v>568000</v>
      </c>
      <c r="F35" s="78" t="s">
        <v>30</v>
      </c>
      <c r="G35" s="79">
        <v>175200</v>
      </c>
      <c r="H35" s="61">
        <f>1+$H$24</f>
        <v>1.08</v>
      </c>
      <c r="I35" s="60">
        <f t="shared" si="19"/>
        <v>189216</v>
      </c>
      <c r="J35" s="60"/>
      <c r="K35" s="60">
        <f t="shared" si="20"/>
        <v>189216</v>
      </c>
      <c r="L35" s="60"/>
      <c r="M35" s="60">
        <f t="shared" si="21"/>
        <v>189216</v>
      </c>
      <c r="N35" s="75"/>
    </row>
    <row r="36" spans="2:14" ht="15.75" customHeight="1" x14ac:dyDescent="0.25">
      <c r="B36" s="43" t="s">
        <v>14</v>
      </c>
      <c r="C36" s="44">
        <f>main!Q6</f>
        <v>430300</v>
      </c>
      <c r="D36" s="44">
        <f>main!S6</f>
        <v>340000</v>
      </c>
      <c r="F36" s="80" t="s">
        <v>32</v>
      </c>
      <c r="G36" s="77">
        <f>SUM(G34:G35)</f>
        <v>400200</v>
      </c>
      <c r="H36" s="60"/>
      <c r="I36" s="65">
        <f>SUM(I34:I35)</f>
        <v>414216</v>
      </c>
      <c r="J36" s="59"/>
      <c r="K36" s="65">
        <f>SUM(K34:K35)</f>
        <v>455008.79999999987</v>
      </c>
      <c r="L36" s="59"/>
      <c r="M36" s="64">
        <f>SUM(M34:M35)</f>
        <v>456444.57142857125</v>
      </c>
      <c r="N36" s="75"/>
    </row>
    <row r="37" spans="2:14" ht="15.75" customHeight="1" x14ac:dyDescent="0.25">
      <c r="B37" t="s">
        <v>49</v>
      </c>
      <c r="C37" s="42">
        <f t="shared" ref="C37:D37" si="23">C35-C36</f>
        <v>169700</v>
      </c>
      <c r="D37" s="42">
        <f t="shared" si="23"/>
        <v>228000</v>
      </c>
      <c r="F37" s="70" t="s">
        <v>17</v>
      </c>
      <c r="G37" s="71">
        <v>424612</v>
      </c>
      <c r="H37" s="62"/>
      <c r="I37" s="64">
        <f t="shared" ref="I37:I38" si="24">IF(H37=0,G37,G37*H37)</f>
        <v>424612</v>
      </c>
      <c r="J37" s="62"/>
      <c r="K37" s="64">
        <f t="shared" ref="K37:K38" si="25">IF(J37=0,I37,G37+J37)</f>
        <v>424612</v>
      </c>
      <c r="L37" s="62"/>
      <c r="M37" s="64">
        <f t="shared" ref="M37:M38" si="26">IF(L37=0,K37,G37+L37)</f>
        <v>424612</v>
      </c>
      <c r="N37" s="75"/>
    </row>
    <row r="38" spans="2:14" ht="15.75" customHeight="1" x14ac:dyDescent="0.25">
      <c r="B38" s="43" t="s">
        <v>15</v>
      </c>
      <c r="C38" s="44">
        <f>main!Q8</f>
        <v>20000</v>
      </c>
      <c r="D38" s="44">
        <f>main!S8</f>
        <v>18900</v>
      </c>
      <c r="F38" s="70" t="s">
        <v>20</v>
      </c>
      <c r="G38" s="71">
        <v>140000</v>
      </c>
      <c r="H38" s="60"/>
      <c r="I38" s="64">
        <f t="shared" si="24"/>
        <v>140000</v>
      </c>
      <c r="J38" s="59"/>
      <c r="K38" s="64">
        <f t="shared" si="25"/>
        <v>140000</v>
      </c>
      <c r="L38" s="59"/>
      <c r="M38" s="64">
        <f t="shared" si="26"/>
        <v>140000</v>
      </c>
      <c r="N38" s="75"/>
    </row>
    <row r="39" spans="2:14" ht="15.75" customHeight="1" x14ac:dyDescent="0.25">
      <c r="B39" t="s">
        <v>50</v>
      </c>
      <c r="C39" s="42">
        <f t="shared" ref="C39:D39" si="27">C37-C38</f>
        <v>149700</v>
      </c>
      <c r="D39" s="42">
        <f t="shared" si="27"/>
        <v>209100</v>
      </c>
      <c r="F39" s="76" t="s">
        <v>41</v>
      </c>
      <c r="G39" s="77">
        <f>SUM(G37:G38)</f>
        <v>564612</v>
      </c>
      <c r="H39" s="62"/>
      <c r="I39" s="65">
        <f>SUM(G39:H39)</f>
        <v>564612</v>
      </c>
      <c r="J39" s="62"/>
      <c r="K39" s="65">
        <f>SUM(K37:K38)</f>
        <v>564612</v>
      </c>
      <c r="L39" s="62"/>
      <c r="M39" s="64">
        <f>SUM(M37:M38)</f>
        <v>564612</v>
      </c>
      <c r="N39" s="75"/>
    </row>
    <row r="40" spans="2:14" ht="15.75" customHeight="1" x14ac:dyDescent="0.25">
      <c r="B40" s="43" t="s">
        <v>13</v>
      </c>
      <c r="C40" s="44">
        <f>main!Q7</f>
        <v>76000</v>
      </c>
      <c r="D40" s="44">
        <f>main!S7</f>
        <v>62500</v>
      </c>
      <c r="F40" s="83" t="s">
        <v>42</v>
      </c>
      <c r="G40" s="84">
        <f t="array" ref="G40">SUM(G34:G35+G37:G38)</f>
        <v>964812</v>
      </c>
      <c r="H40" s="60"/>
      <c r="I40" s="66">
        <f>I36+I39</f>
        <v>978828</v>
      </c>
      <c r="J40" s="60"/>
      <c r="K40" s="66">
        <f>K36+K39</f>
        <v>1019620.7999999998</v>
      </c>
      <c r="L40" s="60"/>
      <c r="M40" s="66">
        <f>M36+M39</f>
        <v>1021056.5714285712</v>
      </c>
      <c r="N40" s="75"/>
    </row>
    <row r="41" spans="2:14" ht="15.75" customHeight="1" x14ac:dyDescent="0.25">
      <c r="B41" t="s">
        <v>51</v>
      </c>
      <c r="C41" s="42">
        <f t="shared" ref="C41:D41" si="28">C39-C40</f>
        <v>73700</v>
      </c>
      <c r="D41" s="42">
        <f t="shared" si="28"/>
        <v>146600</v>
      </c>
      <c r="F41" s="85"/>
      <c r="G41" s="86"/>
      <c r="H41" s="60"/>
      <c r="I41" s="59"/>
      <c r="J41" s="59"/>
      <c r="K41" s="59"/>
      <c r="L41" s="59"/>
      <c r="M41" s="59"/>
      <c r="N41" s="75"/>
    </row>
    <row r="42" spans="2:14" ht="15.75" customHeight="1" x14ac:dyDescent="0.25">
      <c r="B42" s="43" t="s">
        <v>23</v>
      </c>
      <c r="C42" s="44">
        <f>main!Q11</f>
        <v>29480</v>
      </c>
      <c r="D42" s="44">
        <f>main!S11</f>
        <v>58640</v>
      </c>
      <c r="F42" s="70" t="s">
        <v>29</v>
      </c>
      <c r="G42" s="71">
        <v>460000</v>
      </c>
      <c r="H42" s="59"/>
      <c r="I42" s="64">
        <f>IF(H42=0,$G$42,$G$42+H42)</f>
        <v>460000</v>
      </c>
      <c r="J42" s="59">
        <f>J49</f>
        <v>27195.19999999991</v>
      </c>
      <c r="K42" s="64">
        <f>IF(J42=0,$G$42,$G$42+J42)</f>
        <v>487195.1999999999</v>
      </c>
      <c r="L42" s="59">
        <f>J54</f>
        <v>28152.380952380838</v>
      </c>
      <c r="M42" s="64">
        <f>IF(L42=0,$G$42,$G$42+L42)</f>
        <v>488152.38095238083</v>
      </c>
      <c r="N42" s="75"/>
    </row>
    <row r="43" spans="2:14" ht="15.75" customHeight="1" x14ac:dyDescent="0.25">
      <c r="B43" s="33" t="s">
        <v>52</v>
      </c>
      <c r="C43" s="42">
        <f t="shared" ref="C43:D43" si="29">C41-C42</f>
        <v>44220</v>
      </c>
      <c r="D43" s="42">
        <f t="shared" si="29"/>
        <v>87960</v>
      </c>
      <c r="F43" s="70" t="s">
        <v>36</v>
      </c>
      <c r="G43" s="71">
        <v>225988</v>
      </c>
      <c r="H43" s="67">
        <f>I17</f>
        <v>50060.000000000276</v>
      </c>
      <c r="I43" s="64">
        <f>IF(H43=0,$G$43,$G$43+H43)</f>
        <v>276048.00000000029</v>
      </c>
      <c r="J43" s="62">
        <f>K17</f>
        <v>47748.408000000287</v>
      </c>
      <c r="K43" s="64">
        <f>IF(J43=0,$G$43,$G$43+J43)</f>
        <v>273736.40800000029</v>
      </c>
      <c r="L43" s="62">
        <f>M17</f>
        <v>47667.047619047909</v>
      </c>
      <c r="M43" s="64">
        <f>IF(L43=0,$G$43,$G$43+L43)</f>
        <v>273655.04761904792</v>
      </c>
      <c r="N43" s="75"/>
    </row>
    <row r="44" spans="2:14" ht="15.75" customHeight="1" x14ac:dyDescent="0.25">
      <c r="F44" s="76" t="s">
        <v>46</v>
      </c>
      <c r="G44" s="77">
        <f>SUM(G42:G43)</f>
        <v>685988</v>
      </c>
      <c r="H44" s="62"/>
      <c r="I44" s="68">
        <f>SUM(I42:I43)</f>
        <v>736048.00000000023</v>
      </c>
      <c r="J44" s="62"/>
      <c r="K44" s="68">
        <f>SUM(K42:K43)</f>
        <v>760931.60800000024</v>
      </c>
      <c r="L44" s="62"/>
      <c r="M44" s="68">
        <f>SUM(M42:M43)</f>
        <v>761807.42857142875</v>
      </c>
      <c r="N44" s="75"/>
    </row>
    <row r="45" spans="2:14" ht="15.75" customHeight="1" x14ac:dyDescent="0.25">
      <c r="B45" s="34" t="s">
        <v>53</v>
      </c>
      <c r="C45" s="18">
        <f t="shared" ref="C45:D45" si="30">C43</f>
        <v>44220</v>
      </c>
      <c r="D45" s="18">
        <f t="shared" si="30"/>
        <v>87960</v>
      </c>
      <c r="F45" s="81" t="s">
        <v>47</v>
      </c>
      <c r="G45" s="87">
        <f>G40+G42+G43</f>
        <v>1650800</v>
      </c>
      <c r="H45" s="60"/>
      <c r="I45" s="68">
        <f>I40+I44</f>
        <v>1714876.0000000002</v>
      </c>
      <c r="J45" s="60"/>
      <c r="K45" s="68">
        <f>K40+K44</f>
        <v>1780552.4080000001</v>
      </c>
      <c r="L45" s="60"/>
      <c r="M45" s="68">
        <f>M40+M44</f>
        <v>1782864</v>
      </c>
      <c r="N45" s="75"/>
    </row>
    <row r="46" spans="2:14" ht="15.75" customHeight="1" x14ac:dyDescent="0.25">
      <c r="B46" s="34" t="s">
        <v>54</v>
      </c>
      <c r="C46" s="19">
        <f>main!Q21*main!Q22</f>
        <v>22000</v>
      </c>
      <c r="D46" s="19">
        <f>main!S21*main!S22</f>
        <v>22000</v>
      </c>
      <c r="F46" s="88" t="s">
        <v>55</v>
      </c>
      <c r="G46" s="74"/>
      <c r="H46" s="60"/>
      <c r="I46" s="69">
        <f>I32-I45</f>
        <v>67987.999999999767</v>
      </c>
      <c r="J46" s="60"/>
      <c r="K46" s="68">
        <f>K32-K45</f>
        <v>2311.591999999946</v>
      </c>
      <c r="L46" s="60"/>
      <c r="M46" s="68">
        <f>M32-M45</f>
        <v>0</v>
      </c>
      <c r="N46" s="75"/>
    </row>
    <row r="47" spans="2:14" ht="15.75" customHeight="1" x14ac:dyDescent="0.25">
      <c r="B47" s="38" t="s">
        <v>56</v>
      </c>
      <c r="C47" s="1">
        <f t="shared" ref="C47:D47" si="31">C45-C46</f>
        <v>22220</v>
      </c>
      <c r="D47" s="1">
        <f t="shared" si="31"/>
        <v>65960</v>
      </c>
      <c r="F47" s="74"/>
      <c r="G47" s="74"/>
      <c r="H47" s="75"/>
      <c r="I47" s="75"/>
      <c r="J47" s="75"/>
      <c r="K47" s="89">
        <f>ROUND(I46+K46,0)+L47</f>
        <v>70300</v>
      </c>
      <c r="L47" s="90"/>
      <c r="M47" s="75"/>
      <c r="N47" s="75"/>
    </row>
    <row r="48" spans="2:14" ht="15.75" customHeight="1" x14ac:dyDescent="0.25">
      <c r="F48" s="45">
        <v>43862</v>
      </c>
      <c r="G48" s="46"/>
      <c r="H48" s="58"/>
      <c r="I48" s="58"/>
      <c r="J48" s="58"/>
      <c r="K48" s="58"/>
      <c r="L48" s="58"/>
      <c r="M48" s="49"/>
    </row>
    <row r="49" spans="2:13" ht="15.75" customHeight="1" x14ac:dyDescent="0.25">
      <c r="B49" t="s">
        <v>57</v>
      </c>
      <c r="C49" s="4">
        <v>2019</v>
      </c>
      <c r="F49" s="48">
        <v>0.4</v>
      </c>
      <c r="G49" s="28" t="s">
        <v>58</v>
      </c>
      <c r="H49" s="28"/>
      <c r="I49" s="28"/>
      <c r="J49" s="7">
        <f t="shared" ref="J49:J50" si="32">$J$51*F49</f>
        <v>27195.19999999991</v>
      </c>
      <c r="K49" s="16">
        <f>J49/10</f>
        <v>2719.5199999999909</v>
      </c>
      <c r="L49" s="16"/>
      <c r="M49" s="49"/>
    </row>
    <row r="50" spans="2:13" ht="15.75" customHeight="1" x14ac:dyDescent="0.25">
      <c r="B50" t="s">
        <v>59</v>
      </c>
      <c r="F50" s="48">
        <v>0.6</v>
      </c>
      <c r="G50" s="28" t="s">
        <v>60</v>
      </c>
      <c r="H50" s="28"/>
      <c r="I50" s="28"/>
      <c r="J50" s="7">
        <f t="shared" si="32"/>
        <v>40792.799999999857</v>
      </c>
      <c r="K50" s="16">
        <f>J50*0.07</f>
        <v>2855.4959999999901</v>
      </c>
      <c r="L50" s="16"/>
      <c r="M50" s="49"/>
    </row>
    <row r="51" spans="2:13" ht="15.75" customHeight="1" x14ac:dyDescent="0.25">
      <c r="B51" t="s">
        <v>61</v>
      </c>
      <c r="C51" s="42">
        <f>main!C45</f>
        <v>44220</v>
      </c>
      <c r="F51" s="50">
        <v>1</v>
      </c>
      <c r="G51" s="51"/>
      <c r="H51" s="51"/>
      <c r="I51" s="51"/>
      <c r="J51" s="52">
        <f>I46</f>
        <v>67987.999999999767</v>
      </c>
      <c r="K51" s="53"/>
      <c r="L51" s="51"/>
      <c r="M51" s="54"/>
    </row>
    <row r="52" spans="2:13" ht="15.75" customHeight="1" x14ac:dyDescent="0.25">
      <c r="B52" t="s">
        <v>62</v>
      </c>
      <c r="C52" t="s">
        <v>63</v>
      </c>
      <c r="F52" s="7"/>
      <c r="G52" s="7"/>
      <c r="H52" s="7"/>
      <c r="I52" s="7"/>
      <c r="J52" s="7"/>
      <c r="K52" s="7"/>
      <c r="L52" s="7"/>
      <c r="M52" s="7"/>
    </row>
    <row r="53" spans="2:13" ht="15.75" customHeight="1" x14ac:dyDescent="0.25">
      <c r="B53" t="s">
        <v>64</v>
      </c>
      <c r="C53" s="42">
        <f>main!Q8-main!S8</f>
        <v>1100</v>
      </c>
      <c r="F53" s="45">
        <v>43891</v>
      </c>
      <c r="G53" s="46"/>
      <c r="H53" s="46"/>
      <c r="I53" s="46"/>
      <c r="J53" s="46"/>
      <c r="K53" s="46"/>
      <c r="L53" s="46"/>
      <c r="M53" s="47"/>
    </row>
    <row r="54" spans="2:13" ht="15.75" customHeight="1" x14ac:dyDescent="0.25">
      <c r="B54" t="s">
        <v>65</v>
      </c>
      <c r="C54" s="42">
        <f>main!C16-main!D16</f>
        <v>29600</v>
      </c>
      <c r="F54" s="48">
        <v>0.4</v>
      </c>
      <c r="G54" s="57" t="s">
        <v>58</v>
      </c>
      <c r="H54" s="56"/>
      <c r="I54" s="56"/>
      <c r="J54" s="7">
        <f t="shared" ref="J54:J55" si="33">$J$56*F54</f>
        <v>28152.380952380838</v>
      </c>
      <c r="K54" s="16">
        <f>J54/10</f>
        <v>2815.2380952380836</v>
      </c>
      <c r="L54" s="16"/>
      <c r="M54" s="49"/>
    </row>
    <row r="55" spans="2:13" ht="15.75" customHeight="1" x14ac:dyDescent="0.25">
      <c r="B55" t="s">
        <v>66</v>
      </c>
      <c r="C55" s="42">
        <f>main!C21-main!D21</f>
        <v>4000</v>
      </c>
      <c r="F55" s="48">
        <v>0.6</v>
      </c>
      <c r="G55" s="28" t="s">
        <v>60</v>
      </c>
      <c r="H55" s="28"/>
      <c r="I55" s="28"/>
      <c r="J55" s="7">
        <f t="shared" si="33"/>
        <v>42228.571428571253</v>
      </c>
      <c r="K55" s="16">
        <f>J55*0.07</f>
        <v>2955.9999999999882</v>
      </c>
      <c r="L55" s="16"/>
      <c r="M55" s="49"/>
    </row>
    <row r="56" spans="2:13" ht="15.75" customHeight="1" x14ac:dyDescent="0.25">
      <c r="B56" t="s">
        <v>67</v>
      </c>
      <c r="C56" t="s">
        <v>63</v>
      </c>
      <c r="F56" s="50">
        <v>1</v>
      </c>
      <c r="G56" s="51"/>
      <c r="H56" s="51"/>
      <c r="I56" s="51"/>
      <c r="J56" s="52">
        <v>70380.952380952091</v>
      </c>
      <c r="K56" s="53"/>
      <c r="L56" s="51"/>
      <c r="M56" s="54"/>
    </row>
    <row r="57" spans="2:13" ht="15.75" customHeight="1" x14ac:dyDescent="0.25">
      <c r="B57" t="s">
        <v>68</v>
      </c>
      <c r="C57" s="42">
        <f>main!C6-main!D6</f>
        <v>50800</v>
      </c>
    </row>
    <row r="58" spans="2:13" ht="15.75" customHeight="1" x14ac:dyDescent="0.25">
      <c r="B58" t="s">
        <v>69</v>
      </c>
      <c r="C58" s="42">
        <f>main!C4-main!D4</f>
        <v>120800</v>
      </c>
    </row>
    <row r="59" spans="2:13" ht="15.75" customHeight="1" x14ac:dyDescent="0.25">
      <c r="B59" s="26" t="s">
        <v>70</v>
      </c>
      <c r="C59" s="33" t="s">
        <v>63</v>
      </c>
      <c r="D59" s="42">
        <f>C51+C53+C54+C55-C57-C58</f>
        <v>-92680</v>
      </c>
    </row>
    <row r="60" spans="2:13" ht="15.75" customHeight="1" x14ac:dyDescent="0.2">
      <c r="B60" t="s">
        <v>71</v>
      </c>
      <c r="D60" t="s">
        <v>63</v>
      </c>
    </row>
    <row r="61" spans="2:13" ht="15.75" customHeight="1" x14ac:dyDescent="0.25">
      <c r="B61" t="s">
        <v>72</v>
      </c>
      <c r="D61" s="42">
        <f>-(main!Q14+main!Q8)+(main!S14+main!S8)</f>
        <v>-17100</v>
      </c>
    </row>
    <row r="62" spans="2:13" ht="15.75" customHeight="1" x14ac:dyDescent="0.2">
      <c r="B62" t="s">
        <v>73</v>
      </c>
    </row>
    <row r="63" spans="2:13" ht="15.75" customHeight="1" x14ac:dyDescent="0.25">
      <c r="B63" t="s">
        <v>74</v>
      </c>
      <c r="C63" s="42">
        <f>main!Q12-main!S12</f>
        <v>25000</v>
      </c>
    </row>
    <row r="64" spans="2:13" ht="15.75" customHeight="1" x14ac:dyDescent="0.25">
      <c r="B64" t="s">
        <v>75</v>
      </c>
      <c r="C64" s="42">
        <f>main!Q9-main!S9</f>
        <v>101180</v>
      </c>
    </row>
    <row r="65" spans="2:4" ht="15.75" customHeight="1" x14ac:dyDescent="0.25">
      <c r="B65" t="s">
        <v>76</v>
      </c>
      <c r="C65" s="1">
        <f>main!Q21*main!Q22</f>
        <v>22000</v>
      </c>
    </row>
    <row r="66" spans="2:4" ht="15.75" customHeight="1" x14ac:dyDescent="0.25">
      <c r="B66" t="s">
        <v>77</v>
      </c>
      <c r="D66" s="1">
        <f>C63+C64-C65</f>
        <v>104180</v>
      </c>
    </row>
    <row r="67" spans="2:4" ht="15.75" customHeight="1" x14ac:dyDescent="0.25">
      <c r="B67" t="s">
        <v>78</v>
      </c>
      <c r="D67" s="1">
        <f>D59+D61+D66</f>
        <v>-5600</v>
      </c>
    </row>
    <row r="68" spans="2:4" ht="15.75" customHeight="1" x14ac:dyDescent="0.25">
      <c r="B68" t="s">
        <v>79</v>
      </c>
      <c r="D68" s="42">
        <f>main!S17</f>
        <v>57600</v>
      </c>
    </row>
    <row r="69" spans="2:4" ht="15.75" customHeight="1" x14ac:dyDescent="0.25">
      <c r="B69" s="33" t="s">
        <v>80</v>
      </c>
      <c r="D69" s="1">
        <f>D68+D67</f>
        <v>52000</v>
      </c>
    </row>
    <row r="70" spans="2:4" ht="15.75" customHeight="1" x14ac:dyDescent="0.2"/>
    <row r="71" spans="2:4" ht="15.75" customHeight="1" x14ac:dyDescent="0.2"/>
    <row r="72" spans="2:4" ht="15.75" customHeight="1" x14ac:dyDescent="0.2"/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3">
    <mergeCell ref="F2:M2"/>
    <mergeCell ref="F23:M23"/>
    <mergeCell ref="G54:I5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CORZO</cp:lastModifiedBy>
  <dcterms:modified xsi:type="dcterms:W3CDTF">2020-09-02T04:39:02Z</dcterms:modified>
</cp:coreProperties>
</file>