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Administracion_Financiera_I_-Notas___\Ejercicio\"/>
    </mc:Choice>
  </mc:AlternateContent>
  <xr:revisionPtr revIDLastSave="0" documentId="13_ncr:1_{0E7F117F-CC7E-4263-964D-FD24F172AA1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20" sheetId="1" r:id="rId1"/>
    <sheet name="2021" sheetId="2" r:id="rId2"/>
    <sheet name="202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3" l="1"/>
  <c r="E52" i="3"/>
  <c r="E53" i="3"/>
  <c r="K43" i="3"/>
  <c r="I43" i="3"/>
  <c r="G43" i="3"/>
  <c r="F43" i="3"/>
  <c r="E51" i="3"/>
  <c r="F22" i="3"/>
  <c r="G22" i="3" s="1"/>
  <c r="E22" i="3"/>
  <c r="K40" i="2"/>
  <c r="I40" i="2"/>
  <c r="G40" i="2"/>
  <c r="K41" i="2"/>
  <c r="I41" i="2"/>
  <c r="G41" i="2"/>
  <c r="E41" i="2"/>
  <c r="D10" i="3"/>
  <c r="C21" i="3"/>
  <c r="E33" i="2"/>
  <c r="D33" i="3"/>
  <c r="C7" i="3"/>
  <c r="E7" i="3" s="1"/>
  <c r="C8" i="3"/>
  <c r="C9" i="3"/>
  <c r="E9" i="3" s="1"/>
  <c r="C10" i="3"/>
  <c r="C11" i="3"/>
  <c r="C22" i="3"/>
  <c r="C27" i="3"/>
  <c r="C28" i="3"/>
  <c r="E28" i="3" s="1"/>
  <c r="C29" i="3"/>
  <c r="E29" i="3" s="1"/>
  <c r="C30" i="3"/>
  <c r="E30" i="3" s="1"/>
  <c r="C31" i="3"/>
  <c r="E31" i="3" s="1"/>
  <c r="C32" i="3"/>
  <c r="C43" i="3"/>
  <c r="E43" i="3" s="1"/>
  <c r="C6" i="3"/>
  <c r="E6" i="3" s="1"/>
  <c r="E2" i="3"/>
  <c r="F2" i="3" s="1"/>
  <c r="G41" i="1"/>
  <c r="E49" i="1"/>
  <c r="E17" i="3" l="1"/>
  <c r="G17" i="3"/>
  <c r="C17" i="3"/>
  <c r="E10" i="3"/>
  <c r="I10" i="3" s="1"/>
  <c r="K30" i="3"/>
  <c r="I30" i="3"/>
  <c r="K29" i="3"/>
  <c r="I29" i="3"/>
  <c r="E32" i="3"/>
  <c r="G32" i="3" s="1"/>
  <c r="I7" i="3"/>
  <c r="G7" i="3"/>
  <c r="K7" i="3"/>
  <c r="K9" i="3"/>
  <c r="I9" i="3"/>
  <c r="G9" i="3"/>
  <c r="K31" i="3"/>
  <c r="I31" i="3"/>
  <c r="G31" i="3"/>
  <c r="K6" i="3"/>
  <c r="I6" i="3"/>
  <c r="G6" i="3"/>
  <c r="E8" i="3"/>
  <c r="G30" i="3"/>
  <c r="G28" i="3"/>
  <c r="I28" i="3"/>
  <c r="K28" i="3"/>
  <c r="G29" i="3"/>
  <c r="E11" i="3" l="1"/>
  <c r="K10" i="3"/>
  <c r="G10" i="3"/>
  <c r="I8" i="3"/>
  <c r="I11" i="3" s="1"/>
  <c r="G8" i="3"/>
  <c r="I32" i="3"/>
  <c r="K32" i="3"/>
  <c r="K8" i="3"/>
  <c r="K11" i="3" l="1"/>
  <c r="G11" i="3"/>
  <c r="E44" i="2" l="1"/>
  <c r="D44" i="2"/>
  <c r="C41" i="2"/>
  <c r="C42" i="2"/>
  <c r="C43" i="2"/>
  <c r="E43" i="2" s="1"/>
  <c r="G43" i="2" s="1"/>
  <c r="C44" i="2"/>
  <c r="C45" i="2"/>
  <c r="C46" i="2"/>
  <c r="C17" i="2"/>
  <c r="C18" i="2"/>
  <c r="C20" i="2"/>
  <c r="C21" i="2"/>
  <c r="C22" i="2"/>
  <c r="C28" i="2"/>
  <c r="E28" i="2" s="1"/>
  <c r="G28" i="2" s="1"/>
  <c r="C29" i="2"/>
  <c r="E29" i="2" s="1"/>
  <c r="K29" i="2" s="1"/>
  <c r="C30" i="2"/>
  <c r="E30" i="2" s="1"/>
  <c r="I30" i="2" s="1"/>
  <c r="C31" i="2"/>
  <c r="E31" i="2" s="1"/>
  <c r="I31" i="2" s="1"/>
  <c r="C32" i="2"/>
  <c r="C33" i="2"/>
  <c r="C34" i="2"/>
  <c r="C36" i="2"/>
  <c r="C37" i="2"/>
  <c r="E37" i="2" s="1"/>
  <c r="G37" i="2" s="1"/>
  <c r="I37" i="2" s="1"/>
  <c r="K37" i="2" s="1"/>
  <c r="C37" i="3" s="1"/>
  <c r="E37" i="3" s="1"/>
  <c r="G37" i="3" s="1"/>
  <c r="I37" i="3" s="1"/>
  <c r="K37" i="3" s="1"/>
  <c r="C38" i="2"/>
  <c r="C39" i="2"/>
  <c r="C40" i="2"/>
  <c r="C7" i="2"/>
  <c r="C8" i="2"/>
  <c r="C9" i="2"/>
  <c r="C10" i="2"/>
  <c r="C11" i="2"/>
  <c r="C12" i="2"/>
  <c r="E12" i="2" s="1"/>
  <c r="C13" i="2"/>
  <c r="C14" i="2"/>
  <c r="C15" i="2"/>
  <c r="C6" i="2"/>
  <c r="E6" i="2" s="1"/>
  <c r="K6" i="2" s="1"/>
  <c r="D33" i="2"/>
  <c r="I17" i="2"/>
  <c r="G17" i="2"/>
  <c r="K21" i="2"/>
  <c r="I21" i="2"/>
  <c r="G21" i="2"/>
  <c r="E7" i="2"/>
  <c r="G7" i="2" s="1"/>
  <c r="G22" i="2"/>
  <c r="C48" i="2"/>
  <c r="E38" i="2"/>
  <c r="G38" i="2" s="1"/>
  <c r="I38" i="2" s="1"/>
  <c r="K38" i="2" s="1"/>
  <c r="C38" i="3" s="1"/>
  <c r="E38" i="3" s="1"/>
  <c r="G38" i="3" s="1"/>
  <c r="I38" i="3" s="1"/>
  <c r="K38" i="3" s="1"/>
  <c r="E40" i="2"/>
  <c r="C40" i="3" s="1"/>
  <c r="E40" i="3" s="1"/>
  <c r="G40" i="3" s="1"/>
  <c r="I40" i="3" s="1"/>
  <c r="K40" i="3" s="1"/>
  <c r="E36" i="2"/>
  <c r="I22" i="2"/>
  <c r="F2" i="2"/>
  <c r="E2" i="2"/>
  <c r="D10" i="2" s="1"/>
  <c r="E9" i="2"/>
  <c r="K9" i="2" s="1"/>
  <c r="D44" i="1"/>
  <c r="K41" i="1"/>
  <c r="G14" i="1"/>
  <c r="C13" i="1"/>
  <c r="G11" i="1"/>
  <c r="G13" i="1" s="1"/>
  <c r="G12" i="1"/>
  <c r="E50" i="1"/>
  <c r="F12" i="1"/>
  <c r="E46" i="1"/>
  <c r="E45" i="1"/>
  <c r="E44" i="1"/>
  <c r="K39" i="1"/>
  <c r="I39" i="1"/>
  <c r="G39" i="1"/>
  <c r="K43" i="1"/>
  <c r="I43" i="1"/>
  <c r="G43" i="1"/>
  <c r="K40" i="1"/>
  <c r="K38" i="1"/>
  <c r="K37" i="1"/>
  <c r="K36" i="1"/>
  <c r="I36" i="1"/>
  <c r="I37" i="1"/>
  <c r="I38" i="1"/>
  <c r="I40" i="1"/>
  <c r="E41" i="1"/>
  <c r="G37" i="1"/>
  <c r="G38" i="1"/>
  <c r="G36" i="1"/>
  <c r="G40" i="1"/>
  <c r="K29" i="1"/>
  <c r="K30" i="1"/>
  <c r="K31" i="1"/>
  <c r="K32" i="1"/>
  <c r="K33" i="1"/>
  <c r="K34" i="1"/>
  <c r="K28" i="1"/>
  <c r="I29" i="1"/>
  <c r="I30" i="1"/>
  <c r="I31" i="1"/>
  <c r="I32" i="1"/>
  <c r="I33" i="1"/>
  <c r="I34" i="1"/>
  <c r="I28" i="1"/>
  <c r="G29" i="1"/>
  <c r="G30" i="1"/>
  <c r="G31" i="1"/>
  <c r="G32" i="1"/>
  <c r="G33" i="1"/>
  <c r="G34" i="1"/>
  <c r="G28" i="1"/>
  <c r="E33" i="1"/>
  <c r="D10" i="1"/>
  <c r="F2" i="1"/>
  <c r="E2" i="1"/>
  <c r="E34" i="1"/>
  <c r="E30" i="1"/>
  <c r="E29" i="1"/>
  <c r="E28" i="1"/>
  <c r="E32" i="1"/>
  <c r="C48" i="1"/>
  <c r="E43" i="1"/>
  <c r="E39" i="1"/>
  <c r="E38" i="1"/>
  <c r="E37" i="1"/>
  <c r="E36" i="1"/>
  <c r="K21" i="1"/>
  <c r="I21" i="1"/>
  <c r="G21" i="1"/>
  <c r="E21" i="1"/>
  <c r="K22" i="1"/>
  <c r="I22" i="1"/>
  <c r="G22" i="1"/>
  <c r="E22" i="1"/>
  <c r="K17" i="1"/>
  <c r="I17" i="1"/>
  <c r="G17" i="1"/>
  <c r="E17" i="1"/>
  <c r="G10" i="1"/>
  <c r="K9" i="1"/>
  <c r="I9" i="1"/>
  <c r="G9" i="1"/>
  <c r="K7" i="1"/>
  <c r="I7" i="1"/>
  <c r="I8" i="1" s="1"/>
  <c r="K6" i="1"/>
  <c r="I6" i="1"/>
  <c r="G6" i="1"/>
  <c r="G7" i="1"/>
  <c r="K8" i="1"/>
  <c r="E10" i="1"/>
  <c r="E11" i="1" s="1"/>
  <c r="E13" i="1" s="1"/>
  <c r="E14" i="1" s="1"/>
  <c r="E8" i="1"/>
  <c r="E12" i="1"/>
  <c r="E39" i="2" l="1"/>
  <c r="E42" i="2" s="1"/>
  <c r="E22" i="2"/>
  <c r="E17" i="2" s="1"/>
  <c r="K22" i="2"/>
  <c r="K17" i="2" s="1"/>
  <c r="E10" i="2"/>
  <c r="G10" i="2" s="1"/>
  <c r="K30" i="2"/>
  <c r="I33" i="2"/>
  <c r="G6" i="2"/>
  <c r="G8" i="2" s="1"/>
  <c r="I9" i="2"/>
  <c r="G9" i="2"/>
  <c r="I6" i="2"/>
  <c r="K10" i="2"/>
  <c r="I43" i="2"/>
  <c r="I28" i="2"/>
  <c r="K28" i="2"/>
  <c r="K31" i="2"/>
  <c r="G31" i="2"/>
  <c r="K7" i="2"/>
  <c r="K8" i="2" s="1"/>
  <c r="E8" i="2"/>
  <c r="E11" i="2" s="1"/>
  <c r="E13" i="2" s="1"/>
  <c r="E32" i="2"/>
  <c r="G36" i="2"/>
  <c r="G29" i="2"/>
  <c r="I29" i="2"/>
  <c r="I7" i="2"/>
  <c r="G30" i="2"/>
  <c r="E15" i="1"/>
  <c r="I10" i="1"/>
  <c r="E18" i="1"/>
  <c r="K10" i="1"/>
  <c r="I11" i="1"/>
  <c r="K11" i="1"/>
  <c r="G8" i="1"/>
  <c r="G15" i="1" s="1"/>
  <c r="G18" i="1" s="1"/>
  <c r="E7" i="1"/>
  <c r="E9" i="1"/>
  <c r="E6" i="1"/>
  <c r="I10" i="2" l="1"/>
  <c r="K33" i="2"/>
  <c r="C33" i="3" s="1"/>
  <c r="E33" i="3" s="1"/>
  <c r="G33" i="2"/>
  <c r="K11" i="2"/>
  <c r="G11" i="2"/>
  <c r="I8" i="2"/>
  <c r="K43" i="2"/>
  <c r="K32" i="2"/>
  <c r="I32" i="2"/>
  <c r="E34" i="2"/>
  <c r="G32" i="2"/>
  <c r="I36" i="2"/>
  <c r="G39" i="2"/>
  <c r="E14" i="2"/>
  <c r="E15" i="2" s="1"/>
  <c r="E18" i="2" s="1"/>
  <c r="F44" i="1"/>
  <c r="G44" i="1" s="1"/>
  <c r="G45" i="1" s="1"/>
  <c r="G20" i="1"/>
  <c r="E20" i="1"/>
  <c r="E42" i="1"/>
  <c r="E40" i="1"/>
  <c r="E31" i="1"/>
  <c r="K33" i="3" l="1"/>
  <c r="G33" i="3"/>
  <c r="I33" i="3"/>
  <c r="E34" i="3"/>
  <c r="I11" i="2"/>
  <c r="E45" i="2"/>
  <c r="E46" i="2" s="1"/>
  <c r="E48" i="2" s="1"/>
  <c r="E20" i="2"/>
  <c r="K36" i="2"/>
  <c r="I39" i="2"/>
  <c r="I34" i="2"/>
  <c r="K34" i="2"/>
  <c r="C34" i="3" s="1"/>
  <c r="G34" i="2"/>
  <c r="K39" i="2" l="1"/>
  <c r="C39" i="3" s="1"/>
  <c r="C36" i="3"/>
  <c r="E36" i="3" s="1"/>
  <c r="I34" i="3"/>
  <c r="G34" i="3"/>
  <c r="K34" i="3"/>
  <c r="E50" i="2"/>
  <c r="F40" i="2"/>
  <c r="E48" i="1"/>
  <c r="G36" i="3" l="1"/>
  <c r="E39" i="3"/>
  <c r="G42" i="2"/>
  <c r="F12" i="2"/>
  <c r="G12" i="2" s="1"/>
  <c r="G13" i="2" s="1"/>
  <c r="G14" i="2" s="1"/>
  <c r="G15" i="2" s="1"/>
  <c r="G18" i="2" s="1"/>
  <c r="F44" i="2" s="1"/>
  <c r="G44" i="2" s="1"/>
  <c r="G42" i="1"/>
  <c r="G46" i="1" s="1"/>
  <c r="G48" i="1" s="1"/>
  <c r="I36" i="3" l="1"/>
  <c r="G39" i="3"/>
  <c r="G20" i="2"/>
  <c r="G45" i="2"/>
  <c r="G46" i="2" s="1"/>
  <c r="G48" i="2" s="1"/>
  <c r="I41" i="1"/>
  <c r="K42" i="1" s="1"/>
  <c r="E51" i="1"/>
  <c r="E52" i="1" s="1"/>
  <c r="H12" i="1" s="1"/>
  <c r="K36" i="3" l="1"/>
  <c r="K39" i="3" s="1"/>
  <c r="I39" i="3"/>
  <c r="E51" i="2"/>
  <c r="E52" i="2" s="1"/>
  <c r="H12" i="2" s="1"/>
  <c r="I12" i="2" s="1"/>
  <c r="I13" i="2" s="1"/>
  <c r="H40" i="2"/>
  <c r="I42" i="1"/>
  <c r="I12" i="1"/>
  <c r="I13" i="1" s="1"/>
  <c r="I42" i="2" l="1"/>
  <c r="I14" i="1"/>
  <c r="I15" i="1" s="1"/>
  <c r="I18" i="1" s="1"/>
  <c r="I14" i="2"/>
  <c r="I15" i="2" s="1"/>
  <c r="I18" i="2" s="1"/>
  <c r="H44" i="2" s="1"/>
  <c r="I44" i="2" s="1"/>
  <c r="H44" i="1" l="1"/>
  <c r="I44" i="1" s="1"/>
  <c r="I45" i="1" s="1"/>
  <c r="I46" i="1" s="1"/>
  <c r="I48" i="1" s="1"/>
  <c r="E54" i="1" s="1"/>
  <c r="J12" i="1" s="1"/>
  <c r="K12" i="1" s="1"/>
  <c r="K13" i="1" s="1"/>
  <c r="I20" i="1"/>
  <c r="I45" i="2"/>
  <c r="I46" i="2" s="1"/>
  <c r="I48" i="2" s="1"/>
  <c r="E53" i="2" s="1"/>
  <c r="E54" i="2" s="1"/>
  <c r="J12" i="2" s="1"/>
  <c r="I20" i="2"/>
  <c r="K14" i="1"/>
  <c r="K15" i="1" s="1"/>
  <c r="K18" i="1" s="1"/>
  <c r="K12" i="2" l="1"/>
  <c r="J40" i="2"/>
  <c r="J44" i="1"/>
  <c r="K44" i="1" s="1"/>
  <c r="K45" i="1" s="1"/>
  <c r="K46" i="1" s="1"/>
  <c r="K48" i="1" s="1"/>
  <c r="K20" i="1"/>
  <c r="K13" i="2" l="1"/>
  <c r="C12" i="3"/>
  <c r="E12" i="3" s="1"/>
  <c r="E13" i="3" l="1"/>
  <c r="E14" i="3" s="1"/>
  <c r="E15" i="3" s="1"/>
  <c r="E18" i="3" s="1"/>
  <c r="D44" i="3" s="1"/>
  <c r="I12" i="3"/>
  <c r="K42" i="2"/>
  <c r="C42" i="3" s="1"/>
  <c r="C41" i="3"/>
  <c r="E41" i="3" s="1"/>
  <c r="E42" i="3" s="1"/>
  <c r="K14" i="2"/>
  <c r="C13" i="3"/>
  <c r="E20" i="3" l="1"/>
  <c r="K15" i="2"/>
  <c r="C14" i="3"/>
  <c r="K18" i="2" l="1"/>
  <c r="C15" i="3"/>
  <c r="C18" i="3" l="1"/>
  <c r="K20" i="2"/>
  <c r="C20" i="3" s="1"/>
  <c r="J44" i="2"/>
  <c r="K44" i="2" s="1"/>
  <c r="K45" i="2" l="1"/>
  <c r="C44" i="3"/>
  <c r="E44" i="3" s="1"/>
  <c r="E45" i="3" s="1"/>
  <c r="E46" i="3" s="1"/>
  <c r="E48" i="3" s="1"/>
  <c r="E50" i="3" s="1"/>
  <c r="G41" i="3" l="1"/>
  <c r="G42" i="3" s="1"/>
  <c r="G12" i="3"/>
  <c r="G13" i="3" s="1"/>
  <c r="G14" i="3" s="1"/>
  <c r="G15" i="3" s="1"/>
  <c r="G18" i="3" s="1"/>
  <c r="F44" i="3" s="1"/>
  <c r="C45" i="3"/>
  <c r="K46" i="2"/>
  <c r="G44" i="3" l="1"/>
  <c r="G45" i="3" s="1"/>
  <c r="G46" i="3" s="1"/>
  <c r="G48" i="3" s="1"/>
  <c r="G20" i="3"/>
  <c r="K48" i="2"/>
  <c r="C46" i="3"/>
  <c r="C48" i="3" s="1"/>
  <c r="H43" i="3" l="1"/>
  <c r="H22" i="3"/>
  <c r="I22" i="3" s="1"/>
  <c r="I41" i="3"/>
  <c r="I42" i="3" s="1"/>
  <c r="I13" i="3"/>
  <c r="I14" i="3" s="1"/>
  <c r="I15" i="3" s="1"/>
  <c r="I17" i="3" l="1"/>
  <c r="I18" i="3" s="1"/>
  <c r="H44" i="3" s="1"/>
  <c r="I44" i="3" s="1"/>
  <c r="I45" i="3" s="1"/>
  <c r="I46" i="3" s="1"/>
  <c r="I48" i="3" s="1"/>
  <c r="E55" i="3" l="1"/>
  <c r="J22" i="3" s="1"/>
  <c r="K22" i="3" s="1"/>
  <c r="K17" i="3" s="1"/>
  <c r="J43" i="3"/>
  <c r="I20" i="3"/>
  <c r="K12" i="3"/>
  <c r="K13" i="3" s="1"/>
  <c r="K14" i="3" s="1"/>
  <c r="K15" i="3" s="1"/>
  <c r="K41" i="3"/>
  <c r="K42" i="3" s="1"/>
  <c r="K18" i="3" l="1"/>
  <c r="J44" i="3" s="1"/>
  <c r="K44" i="3" s="1"/>
  <c r="K45" i="3" s="1"/>
  <c r="K46" i="3" s="1"/>
  <c r="K48" i="3" s="1"/>
  <c r="K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C12" authorId="0" shapeId="0" xr:uid="{620D0A07-035C-496F-BC9D-1FB1939EE2FB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se agarran los intereses ajustados.</t>
        </r>
      </text>
    </comment>
    <comment ref="E33" authorId="0" shapeId="0" xr:uid="{B21185CE-4CAC-4F6B-9780-92D13EF6273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se le resta depreciación de año pasado.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C12" authorId="0" shapeId="0" xr:uid="{202E1D81-5CF0-45F4-B35B-706A265987CE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se agarran los intereses ajustados.</t>
        </r>
      </text>
    </comment>
    <comment ref="E33" authorId="0" shapeId="0" xr:uid="{5F578E27-93D0-4824-96CD-ED94F63978C3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se le resta depreciación de año pasado.</t>
        </r>
      </text>
    </comment>
  </commentList>
</comments>
</file>

<file path=xl/sharedStrings.xml><?xml version="1.0" encoding="utf-8"?>
<sst xmlns="http://schemas.openxmlformats.org/spreadsheetml/2006/main" count="160" uniqueCount="55">
  <si>
    <t>Nordstrom, Inc</t>
  </si>
  <si>
    <t>Estado de Resultados</t>
  </si>
  <si>
    <t>($ millones)</t>
  </si>
  <si>
    <t>Ventas</t>
  </si>
  <si>
    <t>Costo de ventas</t>
  </si>
  <si>
    <t>Utilidad Bruta</t>
  </si>
  <si>
    <t xml:space="preserve">Gastos de operación fijos </t>
  </si>
  <si>
    <t>Depreciación</t>
  </si>
  <si>
    <t>UAII</t>
  </si>
  <si>
    <t>Intreses</t>
  </si>
  <si>
    <t>UAI</t>
  </si>
  <si>
    <t>Impuestos (38%)</t>
  </si>
  <si>
    <t>Utilidad Neta</t>
  </si>
  <si>
    <t>Dividendos comunes</t>
  </si>
  <si>
    <t>Adición a las utilidad retenidas</t>
  </si>
  <si>
    <t>Utilidades por acción</t>
  </si>
  <si>
    <t>Dividendos por acción</t>
  </si>
  <si>
    <t>Número de acciones comunes</t>
  </si>
  <si>
    <t>Balance General</t>
  </si>
  <si>
    <t>Efectivo</t>
  </si>
  <si>
    <t>Cuentas por cobrar</t>
  </si>
  <si>
    <t>Inventarios</t>
  </si>
  <si>
    <t>Otros activos</t>
  </si>
  <si>
    <t>Total activos circulantes</t>
  </si>
  <si>
    <t>Planta y equipo  Neto</t>
  </si>
  <si>
    <t>Total Activos</t>
  </si>
  <si>
    <t>Cuentas por pagar</t>
  </si>
  <si>
    <t>Gastos Devengados</t>
  </si>
  <si>
    <t>Otras cuentas por pagar</t>
  </si>
  <si>
    <t>Total Pasivos Circulantes</t>
  </si>
  <si>
    <t>Documentos por pagar</t>
  </si>
  <si>
    <t>Bonos a LP</t>
  </si>
  <si>
    <t>Total Pasivos</t>
  </si>
  <si>
    <t>Acciones comunes</t>
  </si>
  <si>
    <t>Utilidades retenidas</t>
  </si>
  <si>
    <t xml:space="preserve">Total Capital </t>
  </si>
  <si>
    <t>Total pasivo y capital</t>
  </si>
  <si>
    <t>2020-1</t>
  </si>
  <si>
    <t>2020-2</t>
  </si>
  <si>
    <t>2020-3</t>
  </si>
  <si>
    <t>Pronostico 2020</t>
  </si>
  <si>
    <t>FAN</t>
  </si>
  <si>
    <t>Bonos</t>
  </si>
  <si>
    <t>Pronostico 2021</t>
  </si>
  <si>
    <t>2021-1</t>
  </si>
  <si>
    <t>2021-2</t>
  </si>
  <si>
    <t>2021-3</t>
  </si>
  <si>
    <t>Deuda a largo plazo</t>
  </si>
  <si>
    <t>Intereses</t>
  </si>
  <si>
    <t>Pronostico 2022</t>
  </si>
  <si>
    <t>2022-2</t>
  </si>
  <si>
    <t>2022-1</t>
  </si>
  <si>
    <t>2022-3</t>
  </si>
  <si>
    <t>Precio por acción</t>
  </si>
  <si>
    <t>Opinion: opino que no le conviene puesto a que la utilidad baja del 2019 a 2022 de un aproximado 600 a 500, la utilidad neta baja y eso no es deseable. Además adquieren deuda innecesaria y extra procesos solo para terminar con menos utilidades, no les conviene.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</si>
</sst>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1" xfId="0" applyFont="1" applyBorder="1"/>
    <xf numFmtId="0" fontId="5" fillId="0" borderId="0" xfId="0" applyFont="1"/>
    <xf numFmtId="9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4"/>
  <sheetViews>
    <sheetView zoomScale="67" workbookViewId="0">
      <selection activeCell="E53" sqref="E53"/>
    </sheetView>
  </sheetViews>
  <sheetFormatPr defaultRowHeight="15" x14ac:dyDescent="0.25"/>
  <cols>
    <col min="2" max="2" width="28.7109375" bestFit="1" customWidth="1"/>
    <col min="3" max="3" width="9.140625" customWidth="1"/>
    <col min="5" max="5" width="11.7109375" customWidth="1"/>
  </cols>
  <sheetData>
    <row r="2" spans="2:11" x14ac:dyDescent="0.25">
      <c r="B2" t="s">
        <v>0</v>
      </c>
      <c r="D2">
        <v>1350</v>
      </c>
      <c r="E2">
        <f>D2/D3</f>
        <v>270</v>
      </c>
      <c r="F2">
        <f>D2-E2</f>
        <v>1080</v>
      </c>
    </row>
    <row r="3" spans="2:11" x14ac:dyDescent="0.25">
      <c r="B3" t="s">
        <v>1</v>
      </c>
      <c r="D3">
        <v>5</v>
      </c>
    </row>
    <row r="4" spans="2:11" x14ac:dyDescent="0.25">
      <c r="B4" t="s">
        <v>2</v>
      </c>
    </row>
    <row r="5" spans="2:11" x14ac:dyDescent="0.25">
      <c r="C5" s="1">
        <v>2019</v>
      </c>
      <c r="D5" s="1"/>
      <c r="E5" s="1" t="s">
        <v>40</v>
      </c>
      <c r="F5" s="1"/>
      <c r="G5" s="1" t="s">
        <v>37</v>
      </c>
      <c r="H5" s="1"/>
      <c r="I5" s="1" t="s">
        <v>38</v>
      </c>
      <c r="J5" s="1"/>
      <c r="K5" s="1" t="s">
        <v>39</v>
      </c>
    </row>
    <row r="6" spans="2:11" x14ac:dyDescent="0.25">
      <c r="B6" t="s">
        <v>3</v>
      </c>
      <c r="C6">
        <v>9700</v>
      </c>
      <c r="D6" s="4">
        <v>1.05</v>
      </c>
      <c r="E6">
        <f>IF(D6=0,C6,C6*D6)</f>
        <v>10185</v>
      </c>
      <c r="G6">
        <f>$E$6</f>
        <v>10185</v>
      </c>
      <c r="I6">
        <f>$E$6</f>
        <v>10185</v>
      </c>
      <c r="K6">
        <f>$E$6</f>
        <v>10185</v>
      </c>
    </row>
    <row r="7" spans="2:11" x14ac:dyDescent="0.25">
      <c r="B7" t="s">
        <v>4</v>
      </c>
      <c r="C7">
        <v>5508</v>
      </c>
      <c r="D7" s="4">
        <v>1.04</v>
      </c>
      <c r="E7">
        <f t="shared" ref="E7:E9" si="0">IF(D7=0,C7,C7*D7)</f>
        <v>5728.3200000000006</v>
      </c>
      <c r="G7">
        <f>$E$7</f>
        <v>5728.3200000000006</v>
      </c>
      <c r="I7">
        <f>$E$7</f>
        <v>5728.3200000000006</v>
      </c>
      <c r="K7">
        <f>$E$7</f>
        <v>5728.3200000000006</v>
      </c>
    </row>
    <row r="8" spans="2:11" x14ac:dyDescent="0.25">
      <c r="B8" s="3" t="s">
        <v>5</v>
      </c>
      <c r="C8" s="3">
        <v>4192</v>
      </c>
      <c r="D8" s="5"/>
      <c r="E8" s="3">
        <f>E6-E7</f>
        <v>4456.6799999999994</v>
      </c>
      <c r="F8" s="3"/>
      <c r="G8" s="3">
        <f>G6-G7</f>
        <v>4456.6799999999994</v>
      </c>
      <c r="H8" s="3"/>
      <c r="I8" s="3">
        <f>I6-I7</f>
        <v>4456.6799999999994</v>
      </c>
      <c r="J8" s="3"/>
      <c r="K8" s="3">
        <f>K6-K7</f>
        <v>4456.6799999999994</v>
      </c>
    </row>
    <row r="9" spans="2:11" x14ac:dyDescent="0.25">
      <c r="B9" t="s">
        <v>6</v>
      </c>
      <c r="C9">
        <v>2842.6</v>
      </c>
      <c r="D9" s="4">
        <v>1.08</v>
      </c>
      <c r="E9">
        <f t="shared" si="0"/>
        <v>3070.0080000000003</v>
      </c>
      <c r="G9">
        <f>$E$9</f>
        <v>3070.0080000000003</v>
      </c>
      <c r="I9">
        <f>$E$9</f>
        <v>3070.0080000000003</v>
      </c>
      <c r="K9">
        <f>$E$9</f>
        <v>3070.0080000000003</v>
      </c>
    </row>
    <row r="10" spans="2:11" x14ac:dyDescent="0.25">
      <c r="B10" t="s">
        <v>7</v>
      </c>
      <c r="C10">
        <v>169.4</v>
      </c>
      <c r="D10" s="4">
        <f>E2</f>
        <v>270</v>
      </c>
      <c r="E10">
        <f>IF(D10=0,C10,C10+D10)</f>
        <v>439.4</v>
      </c>
      <c r="G10">
        <f>$E$10</f>
        <v>439.4</v>
      </c>
      <c r="I10">
        <f>$E$10</f>
        <v>439.4</v>
      </c>
      <c r="K10">
        <f>$E$10</f>
        <v>439.4</v>
      </c>
    </row>
    <row r="11" spans="2:11" x14ac:dyDescent="0.25">
      <c r="B11" s="3" t="s">
        <v>8</v>
      </c>
      <c r="C11" s="3">
        <v>1180</v>
      </c>
      <c r="D11" s="3"/>
      <c r="E11" s="3">
        <f>E8-SUM(E9:E10)</f>
        <v>947.27199999999903</v>
      </c>
      <c r="F11" s="3"/>
      <c r="G11" s="3">
        <f>G8-SUM(G9:G10)</f>
        <v>947.27199999999903</v>
      </c>
      <c r="H11" s="3"/>
      <c r="I11" s="3">
        <f>I8-SUM(I9:I10)</f>
        <v>947.27199999999903</v>
      </c>
      <c r="J11" s="3"/>
      <c r="K11" s="3">
        <f>K8-SUM(K9:K10)</f>
        <v>947.27199999999903</v>
      </c>
    </row>
    <row r="12" spans="2:11" x14ac:dyDescent="0.25">
      <c r="B12" t="s">
        <v>9</v>
      </c>
      <c r="C12">
        <v>164.2</v>
      </c>
      <c r="E12">
        <f>IF(D12=0,C12,C12+D12)</f>
        <v>164.2</v>
      </c>
      <c r="F12" s="4">
        <f>E50</f>
        <v>62.16807519999999</v>
      </c>
      <c r="G12">
        <f>IF(F12=0,$E$12,$E$12+F12)</f>
        <v>226.36807519999996</v>
      </c>
      <c r="H12" s="4">
        <f>E52</f>
        <v>64.866169663679941</v>
      </c>
      <c r="I12">
        <f>IF(H12=0,$E$12,$E$12+H12)</f>
        <v>229.06616966367994</v>
      </c>
      <c r="J12" s="4">
        <f>E54</f>
        <v>64.988579552582479</v>
      </c>
      <c r="K12">
        <f>IF(J12=0,$E$12,$E$12+J12)</f>
        <v>229.18857955258247</v>
      </c>
    </row>
    <row r="13" spans="2:11" x14ac:dyDescent="0.25">
      <c r="B13" s="3" t="s">
        <v>10</v>
      </c>
      <c r="C13" s="3">
        <f>C11-C12</f>
        <v>1015.8</v>
      </c>
      <c r="D13" s="3"/>
      <c r="E13" s="3">
        <f>E11-E12</f>
        <v>783.07199999999898</v>
      </c>
      <c r="F13" s="3"/>
      <c r="G13" s="3">
        <f>G11-G12</f>
        <v>720.903924799999</v>
      </c>
      <c r="H13" s="3"/>
      <c r="I13" s="3">
        <f>I11-I12</f>
        <v>718.20583033631908</v>
      </c>
      <c r="J13" s="3"/>
      <c r="K13" s="3">
        <f>K11-K12</f>
        <v>718.08342044741653</v>
      </c>
    </row>
    <row r="14" spans="2:11" x14ac:dyDescent="0.25">
      <c r="B14" t="s">
        <v>11</v>
      </c>
      <c r="C14">
        <v>386.00399999999996</v>
      </c>
      <c r="E14">
        <f>E13*0.38</f>
        <v>297.56735999999961</v>
      </c>
      <c r="G14">
        <f>G13*0.38</f>
        <v>273.9434914239996</v>
      </c>
      <c r="I14">
        <f>I13*0.38</f>
        <v>272.91821552780124</v>
      </c>
      <c r="K14">
        <f>K13*0.38</f>
        <v>272.87169977001827</v>
      </c>
    </row>
    <row r="15" spans="2:11" x14ac:dyDescent="0.25">
      <c r="B15" s="3" t="s">
        <v>12</v>
      </c>
      <c r="C15" s="3">
        <v>629.79600000000005</v>
      </c>
      <c r="D15" s="3"/>
      <c r="E15" s="3">
        <f>E13-E14</f>
        <v>485.50463999999937</v>
      </c>
      <c r="F15" s="3"/>
      <c r="G15" s="3">
        <f>G13-G14</f>
        <v>446.9604333759994</v>
      </c>
      <c r="H15" s="3"/>
      <c r="I15" s="3">
        <f>I13-I14</f>
        <v>445.28761480851784</v>
      </c>
      <c r="J15" s="3"/>
      <c r="K15" s="3">
        <f>K13-K14</f>
        <v>445.21172067739826</v>
      </c>
    </row>
    <row r="17" spans="2:11" x14ac:dyDescent="0.25">
      <c r="B17" t="s">
        <v>13</v>
      </c>
      <c r="C17">
        <v>187.5</v>
      </c>
      <c r="E17">
        <f>$C$17</f>
        <v>187.5</v>
      </c>
      <c r="G17">
        <f>$C$17</f>
        <v>187.5</v>
      </c>
      <c r="I17">
        <f>$C$17</f>
        <v>187.5</v>
      </c>
      <c r="K17">
        <f>$C$17</f>
        <v>187.5</v>
      </c>
    </row>
    <row r="18" spans="2:11" x14ac:dyDescent="0.25">
      <c r="B18" t="s">
        <v>14</v>
      </c>
      <c r="C18">
        <v>442.29600000000005</v>
      </c>
      <c r="E18">
        <f>E15-E17</f>
        <v>298.00463999999937</v>
      </c>
      <c r="G18">
        <f>G15-G17</f>
        <v>259.4604333759994</v>
      </c>
      <c r="I18">
        <f>I15-I17</f>
        <v>257.78761480851784</v>
      </c>
      <c r="K18">
        <f>K15-K17</f>
        <v>257.71172067739826</v>
      </c>
    </row>
    <row r="20" spans="2:11" x14ac:dyDescent="0.25">
      <c r="B20" t="s">
        <v>15</v>
      </c>
      <c r="C20">
        <v>8.3972800000000003</v>
      </c>
      <c r="E20">
        <f>E18/E22</f>
        <v>3.9733951999999917</v>
      </c>
      <c r="G20">
        <f>G18/G22</f>
        <v>3.4594724450133252</v>
      </c>
      <c r="I20">
        <f>I18/I22</f>
        <v>3.4371681974469044</v>
      </c>
      <c r="K20">
        <f>K18/K22</f>
        <v>3.4361562756986435</v>
      </c>
    </row>
    <row r="21" spans="2:11" x14ac:dyDescent="0.25">
      <c r="B21" t="s">
        <v>16</v>
      </c>
      <c r="C21">
        <v>2.5</v>
      </c>
      <c r="E21">
        <f>$C$21</f>
        <v>2.5</v>
      </c>
      <c r="G21">
        <f>$C$21</f>
        <v>2.5</v>
      </c>
      <c r="I21">
        <f>$C$21</f>
        <v>2.5</v>
      </c>
      <c r="K21">
        <f>$C$21</f>
        <v>2.5</v>
      </c>
    </row>
    <row r="22" spans="2:11" x14ac:dyDescent="0.25">
      <c r="B22" t="s">
        <v>17</v>
      </c>
      <c r="C22">
        <v>75</v>
      </c>
      <c r="E22">
        <f>$C$22</f>
        <v>75</v>
      </c>
      <c r="G22">
        <f>$C$22</f>
        <v>75</v>
      </c>
      <c r="I22">
        <f>$C$22</f>
        <v>75</v>
      </c>
      <c r="K22">
        <f>$C$22</f>
        <v>75</v>
      </c>
    </row>
    <row r="24" spans="2:11" x14ac:dyDescent="0.25">
      <c r="B24" t="s">
        <v>0</v>
      </c>
    </row>
    <row r="25" spans="2:11" x14ac:dyDescent="0.25">
      <c r="B25" t="s">
        <v>18</v>
      </c>
    </row>
    <row r="26" spans="2:11" x14ac:dyDescent="0.25">
      <c r="B26" t="s">
        <v>2</v>
      </c>
    </row>
    <row r="27" spans="2:11" x14ac:dyDescent="0.25">
      <c r="C27" s="2">
        <v>2019</v>
      </c>
      <c r="E27" s="1" t="s">
        <v>40</v>
      </c>
      <c r="F27" s="1"/>
      <c r="G27" s="1" t="s">
        <v>37</v>
      </c>
      <c r="H27" s="1"/>
      <c r="I27" s="1" t="s">
        <v>38</v>
      </c>
      <c r="J27" s="1"/>
      <c r="K27" s="1" t="s">
        <v>39</v>
      </c>
    </row>
    <row r="28" spans="2:11" x14ac:dyDescent="0.25">
      <c r="B28" t="s">
        <v>19</v>
      </c>
      <c r="C28">
        <v>1506</v>
      </c>
      <c r="D28" s="4">
        <v>1.05</v>
      </c>
      <c r="E28">
        <f>C28*D28</f>
        <v>1581.3</v>
      </c>
      <c r="G28">
        <f>E28</f>
        <v>1581.3</v>
      </c>
      <c r="I28">
        <f>E28</f>
        <v>1581.3</v>
      </c>
      <c r="K28">
        <f>E28</f>
        <v>1581.3</v>
      </c>
    </row>
    <row r="29" spans="2:11" x14ac:dyDescent="0.25">
      <c r="B29" t="s">
        <v>20</v>
      </c>
      <c r="C29">
        <v>2026</v>
      </c>
      <c r="D29" s="4">
        <v>1.05</v>
      </c>
      <c r="E29">
        <f>C29*D29</f>
        <v>2127.3000000000002</v>
      </c>
      <c r="G29">
        <f t="shared" ref="G29:G34" si="1">E29</f>
        <v>2127.3000000000002</v>
      </c>
      <c r="I29">
        <f t="shared" ref="I29:I34" si="2">E29</f>
        <v>2127.3000000000002</v>
      </c>
      <c r="K29">
        <f t="shared" ref="K29:K34" si="3">E29</f>
        <v>2127.3000000000002</v>
      </c>
    </row>
    <row r="30" spans="2:11" x14ac:dyDescent="0.25">
      <c r="B30" t="s">
        <v>21</v>
      </c>
      <c r="C30">
        <v>977</v>
      </c>
      <c r="D30" s="4">
        <v>1.05</v>
      </c>
      <c r="E30">
        <f>C30*D30</f>
        <v>1025.8500000000001</v>
      </c>
      <c r="G30">
        <f t="shared" si="1"/>
        <v>1025.8500000000001</v>
      </c>
      <c r="I30">
        <f t="shared" si="2"/>
        <v>1025.8500000000001</v>
      </c>
      <c r="K30">
        <f t="shared" si="3"/>
        <v>1025.8500000000001</v>
      </c>
    </row>
    <row r="31" spans="2:11" x14ac:dyDescent="0.25">
      <c r="B31" t="s">
        <v>22</v>
      </c>
      <c r="C31">
        <v>315</v>
      </c>
      <c r="D31" s="4"/>
      <c r="E31">
        <f>C31</f>
        <v>315</v>
      </c>
      <c r="G31">
        <f t="shared" si="1"/>
        <v>315</v>
      </c>
      <c r="I31">
        <f t="shared" si="2"/>
        <v>315</v>
      </c>
      <c r="K31">
        <f t="shared" si="3"/>
        <v>315</v>
      </c>
    </row>
    <row r="32" spans="2:11" x14ac:dyDescent="0.25">
      <c r="B32" s="1" t="s">
        <v>23</v>
      </c>
      <c r="C32" s="1">
        <v>4824</v>
      </c>
      <c r="D32" s="6"/>
      <c r="E32" s="1">
        <f>SUM(E28:E31)</f>
        <v>5049.4500000000007</v>
      </c>
      <c r="F32" s="1"/>
      <c r="G32" s="1">
        <f t="shared" si="1"/>
        <v>5049.4500000000007</v>
      </c>
      <c r="H32" s="1"/>
      <c r="I32" s="1">
        <f t="shared" si="2"/>
        <v>5049.4500000000007</v>
      </c>
      <c r="J32" s="1"/>
      <c r="K32" s="1">
        <f t="shared" si="3"/>
        <v>5049.4500000000007</v>
      </c>
    </row>
    <row r="33" spans="2:11" x14ac:dyDescent="0.25">
      <c r="B33" t="s">
        <v>24</v>
      </c>
      <c r="C33">
        <v>3347.8</v>
      </c>
      <c r="D33" s="4"/>
      <c r="E33">
        <f>C33+F2</f>
        <v>4427.8</v>
      </c>
      <c r="G33">
        <f t="shared" si="1"/>
        <v>4427.8</v>
      </c>
      <c r="I33">
        <f t="shared" si="2"/>
        <v>4427.8</v>
      </c>
      <c r="K33">
        <f t="shared" si="3"/>
        <v>4427.8</v>
      </c>
    </row>
    <row r="34" spans="2:11" x14ac:dyDescent="0.25">
      <c r="B34" s="1" t="s">
        <v>25</v>
      </c>
      <c r="C34" s="1">
        <v>8171.8</v>
      </c>
      <c r="D34" s="6"/>
      <c r="E34" s="1">
        <f>E32+E33</f>
        <v>9477.25</v>
      </c>
      <c r="F34" s="1"/>
      <c r="G34" s="1">
        <f t="shared" si="1"/>
        <v>9477.25</v>
      </c>
      <c r="H34" s="1"/>
      <c r="I34" s="1">
        <f t="shared" si="2"/>
        <v>9477.25</v>
      </c>
      <c r="J34" s="1"/>
      <c r="K34" s="1">
        <f t="shared" si="3"/>
        <v>9477.25</v>
      </c>
    </row>
    <row r="35" spans="2:11" x14ac:dyDescent="0.25">
      <c r="D35" s="4"/>
    </row>
    <row r="36" spans="2:11" x14ac:dyDescent="0.25">
      <c r="B36" t="s">
        <v>26</v>
      </c>
      <c r="C36">
        <v>846</v>
      </c>
      <c r="D36" s="4">
        <v>1.08</v>
      </c>
      <c r="E36">
        <f>C36*D36</f>
        <v>913.68000000000006</v>
      </c>
      <c r="G36">
        <f>E36</f>
        <v>913.68000000000006</v>
      </c>
      <c r="I36">
        <f t="shared" ref="G36:K40" si="4">G36</f>
        <v>913.68000000000006</v>
      </c>
      <c r="K36">
        <f t="shared" si="4"/>
        <v>913.68000000000006</v>
      </c>
    </row>
    <row r="37" spans="2:11" x14ac:dyDescent="0.25">
      <c r="B37" t="s">
        <v>27</v>
      </c>
      <c r="C37">
        <v>1033</v>
      </c>
      <c r="D37" s="4">
        <v>1.05</v>
      </c>
      <c r="E37">
        <f>C37*D37</f>
        <v>1084.6500000000001</v>
      </c>
      <c r="G37">
        <f t="shared" ref="G37:G38" si="5">E37</f>
        <v>1084.6500000000001</v>
      </c>
      <c r="I37">
        <f t="shared" si="4"/>
        <v>1084.6500000000001</v>
      </c>
      <c r="K37">
        <f t="shared" si="4"/>
        <v>1084.6500000000001</v>
      </c>
    </row>
    <row r="38" spans="2:11" x14ac:dyDescent="0.25">
      <c r="B38" t="s">
        <v>28</v>
      </c>
      <c r="C38">
        <v>795.7</v>
      </c>
      <c r="D38" s="4"/>
      <c r="E38">
        <f>C38</f>
        <v>795.7</v>
      </c>
      <c r="G38">
        <f t="shared" si="5"/>
        <v>795.7</v>
      </c>
      <c r="I38">
        <f t="shared" si="4"/>
        <v>795.7</v>
      </c>
      <c r="K38">
        <f t="shared" si="4"/>
        <v>795.7</v>
      </c>
    </row>
    <row r="39" spans="2:11" x14ac:dyDescent="0.25">
      <c r="B39" s="1" t="s">
        <v>29</v>
      </c>
      <c r="C39" s="1">
        <v>2674.7</v>
      </c>
      <c r="D39" s="6"/>
      <c r="E39" s="1">
        <f>SUM(E36:E38)</f>
        <v>2794.03</v>
      </c>
      <c r="F39" s="1"/>
      <c r="G39" s="1">
        <f>SUM(G36:G38)</f>
        <v>2794.03</v>
      </c>
      <c r="H39" s="1"/>
      <c r="I39" s="1">
        <f>SUM(I36:I38)</f>
        <v>2794.03</v>
      </c>
      <c r="J39" s="1"/>
      <c r="K39" s="1">
        <f>SUM(K36:K38)</f>
        <v>2794.03</v>
      </c>
    </row>
    <row r="40" spans="2:11" x14ac:dyDescent="0.25">
      <c r="B40" t="s">
        <v>30</v>
      </c>
      <c r="C40">
        <v>3460</v>
      </c>
      <c r="D40" s="4"/>
      <c r="E40">
        <f>C40</f>
        <v>3460</v>
      </c>
      <c r="G40">
        <f t="shared" si="4"/>
        <v>3460</v>
      </c>
      <c r="I40">
        <f t="shared" si="4"/>
        <v>3460</v>
      </c>
      <c r="K40">
        <f t="shared" si="4"/>
        <v>3460</v>
      </c>
    </row>
    <row r="41" spans="2:11" x14ac:dyDescent="0.25">
      <c r="B41" t="s">
        <v>31</v>
      </c>
      <c r="D41" s="4"/>
      <c r="E41">
        <f>C41</f>
        <v>0</v>
      </c>
      <c r="G41" s="4">
        <f>E49</f>
        <v>888.11535999999978</v>
      </c>
      <c r="I41" s="4">
        <f>E48+G48</f>
        <v>926.65956662399913</v>
      </c>
      <c r="K41" s="4">
        <f>E53</f>
        <v>928.40827932260675</v>
      </c>
    </row>
    <row r="42" spans="2:11" x14ac:dyDescent="0.25">
      <c r="B42" s="1" t="s">
        <v>32</v>
      </c>
      <c r="C42" s="1"/>
      <c r="D42" s="6"/>
      <c r="E42" s="1">
        <f>E39+SUM(E40:E41)</f>
        <v>6254.0300000000007</v>
      </c>
      <c r="F42" s="1"/>
      <c r="G42" s="1">
        <f>SUM(G39:G41)</f>
        <v>7142.1453600000004</v>
      </c>
      <c r="H42" s="1"/>
      <c r="I42" s="1">
        <f>SUM(I39:I41)</f>
        <v>7180.6895666239998</v>
      </c>
      <c r="J42" s="1"/>
      <c r="K42" s="1">
        <f>SUM(K39:K41)</f>
        <v>7182.4382793226077</v>
      </c>
    </row>
    <row r="43" spans="2:11" x14ac:dyDescent="0.25">
      <c r="B43" t="s">
        <v>33</v>
      </c>
      <c r="C43">
        <v>1147.0999999999999</v>
      </c>
      <c r="D43" s="4"/>
      <c r="E43">
        <f>C43</f>
        <v>1147.0999999999999</v>
      </c>
      <c r="G43">
        <f>E43</f>
        <v>1147.0999999999999</v>
      </c>
      <c r="I43">
        <f>G43</f>
        <v>1147.0999999999999</v>
      </c>
      <c r="K43">
        <f>I43</f>
        <v>1147.0999999999999</v>
      </c>
    </row>
    <row r="44" spans="2:11" x14ac:dyDescent="0.25">
      <c r="B44" t="s">
        <v>34</v>
      </c>
      <c r="C44">
        <v>890</v>
      </c>
      <c r="D44" s="4">
        <f>E18</f>
        <v>298.00463999999937</v>
      </c>
      <c r="E44">
        <f>C44+D44</f>
        <v>1188.0046399999994</v>
      </c>
      <c r="F44" s="4">
        <f>G18</f>
        <v>259.4604333759994</v>
      </c>
      <c r="G44">
        <f>$C$44+F44</f>
        <v>1149.4604333759994</v>
      </c>
      <c r="H44" s="4">
        <f>I18</f>
        <v>257.78761480851784</v>
      </c>
      <c r="I44">
        <f>$C$44+H44</f>
        <v>1147.7876148085179</v>
      </c>
      <c r="J44" s="4">
        <f>K18</f>
        <v>257.71172067739826</v>
      </c>
      <c r="K44">
        <f>$C$44+J44</f>
        <v>1147.7117206773983</v>
      </c>
    </row>
    <row r="45" spans="2:11" x14ac:dyDescent="0.25">
      <c r="B45" s="1" t="s">
        <v>35</v>
      </c>
      <c r="C45" s="1">
        <v>2037.1</v>
      </c>
      <c r="D45" s="1"/>
      <c r="E45" s="1">
        <f>SUM(E43:E44)</f>
        <v>2335.1046399999996</v>
      </c>
      <c r="F45" s="1"/>
      <c r="G45" s="1">
        <f>SUM(G43:G44)</f>
        <v>2296.5604333759993</v>
      </c>
      <c r="H45" s="1"/>
      <c r="I45" s="1">
        <f>SUM(I43:I44)</f>
        <v>2294.8876148085178</v>
      </c>
      <c r="J45" s="1"/>
      <c r="K45" s="1">
        <f>SUM(K43:K44)</f>
        <v>2294.8117206773982</v>
      </c>
    </row>
    <row r="46" spans="2:11" x14ac:dyDescent="0.25">
      <c r="B46" s="1" t="s">
        <v>36</v>
      </c>
      <c r="C46" s="1">
        <v>8171.7999999999993</v>
      </c>
      <c r="D46" s="1"/>
      <c r="E46" s="1">
        <f>E42+E45</f>
        <v>8589.1346400000002</v>
      </c>
      <c r="F46" s="1"/>
      <c r="G46" s="1">
        <f>G42+G45</f>
        <v>9438.7057933760007</v>
      </c>
      <c r="H46" s="1"/>
      <c r="I46" s="1">
        <f>I42+I45</f>
        <v>9475.577181432518</v>
      </c>
      <c r="J46" s="1"/>
      <c r="K46" s="1">
        <f>K42+K45</f>
        <v>9477.2500000000055</v>
      </c>
    </row>
    <row r="48" spans="2:11" x14ac:dyDescent="0.25">
      <c r="B48" s="1" t="s">
        <v>41</v>
      </c>
      <c r="C48" s="1">
        <f>C34-C46</f>
        <v>0</v>
      </c>
      <c r="D48" s="1"/>
      <c r="E48" s="1">
        <f>E34-E46</f>
        <v>888.11535999999978</v>
      </c>
      <c r="F48" s="1"/>
      <c r="G48" s="1">
        <f>G34-G46</f>
        <v>38.544206623999344</v>
      </c>
      <c r="H48" s="1"/>
      <c r="I48" s="1">
        <f>I34-I46</f>
        <v>1.6728185674819542</v>
      </c>
      <c r="J48" s="1"/>
      <c r="K48" s="1">
        <f>K34-K46</f>
        <v>0</v>
      </c>
    </row>
    <row r="49" spans="2:5" x14ac:dyDescent="0.25">
      <c r="B49" s="1" t="s">
        <v>42</v>
      </c>
      <c r="E49">
        <f>E48</f>
        <v>888.11535999999978</v>
      </c>
    </row>
    <row r="50" spans="2:5" x14ac:dyDescent="0.25">
      <c r="B50" s="1" t="s">
        <v>48</v>
      </c>
      <c r="D50" s="7">
        <v>7.0000000000000007E-2</v>
      </c>
      <c r="E50">
        <f>E48*D50</f>
        <v>62.16807519999999</v>
      </c>
    </row>
    <row r="51" spans="2:5" x14ac:dyDescent="0.25">
      <c r="B51" s="1" t="s">
        <v>42</v>
      </c>
      <c r="E51">
        <f>E48+G48</f>
        <v>926.65956662399913</v>
      </c>
    </row>
    <row r="52" spans="2:5" x14ac:dyDescent="0.25">
      <c r="B52" s="1" t="s">
        <v>48</v>
      </c>
      <c r="D52" s="7">
        <v>7.0000000000000007E-2</v>
      </c>
      <c r="E52">
        <f>E51*D52</f>
        <v>64.866169663679941</v>
      </c>
    </row>
    <row r="53" spans="2:5" x14ac:dyDescent="0.25">
      <c r="B53" s="1" t="s">
        <v>42</v>
      </c>
      <c r="E53">
        <v>928.40827932260675</v>
      </c>
    </row>
    <row r="54" spans="2:5" x14ac:dyDescent="0.25">
      <c r="B54" s="1" t="s">
        <v>48</v>
      </c>
      <c r="D54" s="7">
        <v>7.0000000000000007E-2</v>
      </c>
      <c r="E54">
        <f>D54*E53</f>
        <v>64.988579552582479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0B8A-44DF-4C53-954D-33F4355DC942}">
  <dimension ref="B2:K54"/>
  <sheetViews>
    <sheetView topLeftCell="B1" zoomScale="90" workbookViewId="0">
      <selection activeCell="L45" sqref="L45"/>
    </sheetView>
  </sheetViews>
  <sheetFormatPr defaultRowHeight="15" x14ac:dyDescent="0.25"/>
  <cols>
    <col min="2" max="2" width="28.7109375" bestFit="1" customWidth="1"/>
    <col min="3" max="3" width="8" bestFit="1" customWidth="1"/>
    <col min="4" max="4" width="10" bestFit="1" customWidth="1"/>
    <col min="5" max="5" width="15" bestFit="1" customWidth="1"/>
    <col min="6" max="11" width="12" bestFit="1" customWidth="1"/>
  </cols>
  <sheetData>
    <row r="2" spans="2:11" x14ac:dyDescent="0.25">
      <c r="B2" t="s">
        <v>0</v>
      </c>
      <c r="D2">
        <v>1000</v>
      </c>
      <c r="E2">
        <f>D2/D3</f>
        <v>200</v>
      </c>
      <c r="F2">
        <f>D2-E2</f>
        <v>800</v>
      </c>
    </row>
    <row r="3" spans="2:11" x14ac:dyDescent="0.25">
      <c r="B3" t="s">
        <v>1</v>
      </c>
      <c r="D3">
        <v>5</v>
      </c>
    </row>
    <row r="4" spans="2:11" x14ac:dyDescent="0.25">
      <c r="B4" t="s">
        <v>2</v>
      </c>
    </row>
    <row r="5" spans="2:11" x14ac:dyDescent="0.25">
      <c r="C5" s="1">
        <v>2020</v>
      </c>
      <c r="D5" s="1"/>
      <c r="E5" s="1" t="s">
        <v>43</v>
      </c>
      <c r="F5" s="1"/>
      <c r="G5" s="1" t="s">
        <v>44</v>
      </c>
      <c r="H5" s="1"/>
      <c r="I5" s="1" t="s">
        <v>45</v>
      </c>
      <c r="J5" s="1"/>
      <c r="K5" s="1" t="s">
        <v>46</v>
      </c>
    </row>
    <row r="6" spans="2:11" x14ac:dyDescent="0.25">
      <c r="B6" t="s">
        <v>3</v>
      </c>
      <c r="C6">
        <f>'2020'!K6</f>
        <v>10185</v>
      </c>
      <c r="D6" s="4">
        <v>1.1000000000000001</v>
      </c>
      <c r="E6">
        <f>IF(D6=0,C6,C6*D6)</f>
        <v>11203.5</v>
      </c>
      <c r="G6">
        <f>$E$6</f>
        <v>11203.5</v>
      </c>
      <c r="I6">
        <f>$E$6</f>
        <v>11203.5</v>
      </c>
      <c r="K6">
        <f>$E$6</f>
        <v>11203.5</v>
      </c>
    </row>
    <row r="7" spans="2:11" x14ac:dyDescent="0.25">
      <c r="B7" t="s">
        <v>4</v>
      </c>
      <c r="C7">
        <f>'2020'!K7</f>
        <v>5728.3200000000006</v>
      </c>
      <c r="D7" s="4">
        <v>1.1000000000000001</v>
      </c>
      <c r="E7">
        <f t="shared" ref="E7:E9" si="0">IF(D7=0,C7,C7*D7)</f>
        <v>6301.152000000001</v>
      </c>
      <c r="G7">
        <f>$E$7</f>
        <v>6301.152000000001</v>
      </c>
      <c r="I7">
        <f>$E$7</f>
        <v>6301.152000000001</v>
      </c>
      <c r="K7">
        <f>$E$7</f>
        <v>6301.152000000001</v>
      </c>
    </row>
    <row r="8" spans="2:11" x14ac:dyDescent="0.25">
      <c r="B8" s="3" t="s">
        <v>5</v>
      </c>
      <c r="C8">
        <f>'2020'!K8</f>
        <v>4456.6799999999994</v>
      </c>
      <c r="D8" s="5"/>
      <c r="E8" s="3">
        <f>E6-E7</f>
        <v>4902.347999999999</v>
      </c>
      <c r="F8" s="3"/>
      <c r="G8" s="3">
        <f>G6-G7</f>
        <v>4902.347999999999</v>
      </c>
      <c r="H8" s="3"/>
      <c r="I8" s="3">
        <f>I6-I7</f>
        <v>4902.347999999999</v>
      </c>
      <c r="J8" s="3"/>
      <c r="K8" s="3">
        <f>K6-K7</f>
        <v>4902.347999999999</v>
      </c>
    </row>
    <row r="9" spans="2:11" x14ac:dyDescent="0.25">
      <c r="B9" t="s">
        <v>6</v>
      </c>
      <c r="C9">
        <f>'2020'!K9</f>
        <v>3070.0080000000003</v>
      </c>
      <c r="D9" s="4">
        <v>1.1000000000000001</v>
      </c>
      <c r="E9">
        <f t="shared" si="0"/>
        <v>3377.0088000000005</v>
      </c>
      <c r="G9">
        <f>$E$9</f>
        <v>3377.0088000000005</v>
      </c>
      <c r="I9">
        <f>$E$9</f>
        <v>3377.0088000000005</v>
      </c>
      <c r="K9">
        <f>$E$9</f>
        <v>3377.0088000000005</v>
      </c>
    </row>
    <row r="10" spans="2:11" x14ac:dyDescent="0.25">
      <c r="B10" t="s">
        <v>7</v>
      </c>
      <c r="C10">
        <f>'2020'!K10</f>
        <v>439.4</v>
      </c>
      <c r="D10" s="4">
        <f>E2</f>
        <v>200</v>
      </c>
      <c r="E10">
        <f>IF(D10=0,C10,C10+D10)</f>
        <v>639.4</v>
      </c>
      <c r="G10">
        <f>$E$10</f>
        <v>639.4</v>
      </c>
      <c r="I10">
        <f>$E$10</f>
        <v>639.4</v>
      </c>
      <c r="K10">
        <f>$E$10</f>
        <v>639.4</v>
      </c>
    </row>
    <row r="11" spans="2:11" x14ac:dyDescent="0.25">
      <c r="B11" s="3" t="s">
        <v>8</v>
      </c>
      <c r="C11">
        <f>'2020'!K11</f>
        <v>947.27199999999903</v>
      </c>
      <c r="D11" s="3"/>
      <c r="E11" s="3">
        <f>E8-SUM(E9:E10)</f>
        <v>885.93919999999844</v>
      </c>
      <c r="F11" s="3"/>
      <c r="G11" s="3">
        <f>G8-SUM(G9:G10)</f>
        <v>885.93919999999844</v>
      </c>
      <c r="H11" s="3"/>
      <c r="I11" s="3">
        <f>I8-SUM(I9:I10)</f>
        <v>885.93919999999844</v>
      </c>
      <c r="J11" s="3"/>
      <c r="K11" s="3">
        <f>K8-SUM(K9:K10)</f>
        <v>885.93919999999844</v>
      </c>
    </row>
    <row r="12" spans="2:11" x14ac:dyDescent="0.25">
      <c r="B12" t="s">
        <v>9</v>
      </c>
      <c r="C12">
        <f>'2020'!K12</f>
        <v>229.18857955258247</v>
      </c>
      <c r="E12">
        <f>IF(D12=0,C12,C12+D12)</f>
        <v>229.18857955258247</v>
      </c>
      <c r="F12" s="4">
        <f>E50</f>
        <v>62.142661532259631</v>
      </c>
      <c r="G12">
        <f>IF(F12=0,$E$12,$E$12+F12)</f>
        <v>291.33124108484208</v>
      </c>
      <c r="H12" s="4">
        <f>E52</f>
        <v>65.995506547259723</v>
      </c>
      <c r="I12">
        <f>IF(H12=0,$E$12,$E$12+H12)</f>
        <v>295.1840860998422</v>
      </c>
      <c r="J12" s="4">
        <f>E54</f>
        <v>66.250172209232161</v>
      </c>
      <c r="K12">
        <f>IF(J12=0,$E$12,$E$12+J12)</f>
        <v>295.43875176181461</v>
      </c>
    </row>
    <row r="13" spans="2:11" x14ac:dyDescent="0.25">
      <c r="B13" s="3" t="s">
        <v>10</v>
      </c>
      <c r="C13">
        <f>'2020'!K13</f>
        <v>718.08342044741653</v>
      </c>
      <c r="D13" s="3"/>
      <c r="E13" s="3">
        <f>E11-E12</f>
        <v>656.75062044741594</v>
      </c>
      <c r="F13" s="3"/>
      <c r="G13" s="3">
        <f>G11-G12</f>
        <v>594.60795891515636</v>
      </c>
      <c r="H13" s="3"/>
      <c r="I13" s="3">
        <f>I11-I12</f>
        <v>590.75511390015618</v>
      </c>
      <c r="J13" s="3"/>
      <c r="K13" s="3">
        <f>K11-K12</f>
        <v>590.50044823818382</v>
      </c>
    </row>
    <row r="14" spans="2:11" x14ac:dyDescent="0.25">
      <c r="B14" t="s">
        <v>11</v>
      </c>
      <c r="C14">
        <f>'2020'!K14</f>
        <v>272.87169977001827</v>
      </c>
      <c r="E14">
        <f>E13*0.38</f>
        <v>249.56523577001806</v>
      </c>
      <c r="G14">
        <f>G13*0.38</f>
        <v>225.95102438775942</v>
      </c>
      <c r="I14">
        <f>I13*0.38</f>
        <v>224.48694328205934</v>
      </c>
      <c r="K14">
        <f>K13*0.38</f>
        <v>224.39017033050985</v>
      </c>
    </row>
    <row r="15" spans="2:11" x14ac:dyDescent="0.25">
      <c r="B15" s="3" t="s">
        <v>12</v>
      </c>
      <c r="C15">
        <f>'2020'!K15</f>
        <v>445.21172067739826</v>
      </c>
      <c r="D15" s="3"/>
      <c r="E15" s="3">
        <f>E13-E14</f>
        <v>407.18538467739791</v>
      </c>
      <c r="F15" s="3"/>
      <c r="G15" s="3">
        <f>G13-G14</f>
        <v>368.65693452739697</v>
      </c>
      <c r="H15" s="3"/>
      <c r="I15" s="3">
        <f>I13-I14</f>
        <v>366.26817061809686</v>
      </c>
      <c r="J15" s="3"/>
      <c r="K15" s="3">
        <f>K13-K14</f>
        <v>366.110277907674</v>
      </c>
    </row>
    <row r="17" spans="2:11" x14ac:dyDescent="0.25">
      <c r="B17" t="s">
        <v>13</v>
      </c>
      <c r="C17">
        <f>'2020'!K17</f>
        <v>187.5</v>
      </c>
      <c r="E17">
        <f>E21*E22</f>
        <v>225</v>
      </c>
      <c r="G17">
        <f>G21*G22</f>
        <v>225</v>
      </c>
      <c r="I17">
        <f>I21*I22</f>
        <v>225</v>
      </c>
      <c r="K17">
        <f>K21*K22</f>
        <v>225</v>
      </c>
    </row>
    <row r="18" spans="2:11" x14ac:dyDescent="0.25">
      <c r="B18" t="s">
        <v>14</v>
      </c>
      <c r="C18">
        <f>'2020'!K18</f>
        <v>257.71172067739826</v>
      </c>
      <c r="E18">
        <f>E15-E17</f>
        <v>182.18538467739791</v>
      </c>
      <c r="G18">
        <f>G15-G17</f>
        <v>143.65693452739697</v>
      </c>
      <c r="I18">
        <f>I15-I17</f>
        <v>141.26817061809686</v>
      </c>
      <c r="K18">
        <f>K15-K17</f>
        <v>141.110277907674</v>
      </c>
    </row>
    <row r="20" spans="2:11" x14ac:dyDescent="0.25">
      <c r="B20" t="s">
        <v>15</v>
      </c>
      <c r="C20">
        <f>'2020'!K20</f>
        <v>3.4361562756986435</v>
      </c>
      <c r="E20">
        <f>E18/E22</f>
        <v>2.4291384623653056</v>
      </c>
      <c r="G20">
        <f>G18/G22</f>
        <v>1.9154257936986263</v>
      </c>
      <c r="I20">
        <f>I18/I22</f>
        <v>1.8835756082412916</v>
      </c>
      <c r="K20">
        <f>K18/K22</f>
        <v>1.88147037210232</v>
      </c>
    </row>
    <row r="21" spans="2:11" x14ac:dyDescent="0.25">
      <c r="B21" t="s">
        <v>16</v>
      </c>
      <c r="C21">
        <f>'2020'!K21</f>
        <v>2.5</v>
      </c>
      <c r="E21">
        <v>3</v>
      </c>
      <c r="G21">
        <f>E21</f>
        <v>3</v>
      </c>
      <c r="I21">
        <f>G21</f>
        <v>3</v>
      </c>
      <c r="K21">
        <f>I21</f>
        <v>3</v>
      </c>
    </row>
    <row r="22" spans="2:11" x14ac:dyDescent="0.25">
      <c r="B22" t="s">
        <v>17</v>
      </c>
      <c r="C22">
        <f>'2020'!K22</f>
        <v>75</v>
      </c>
      <c r="E22">
        <f>$C$22</f>
        <v>75</v>
      </c>
      <c r="G22">
        <f>$C$22</f>
        <v>75</v>
      </c>
      <c r="I22">
        <f>$C$22</f>
        <v>75</v>
      </c>
      <c r="K22">
        <f>$C$22</f>
        <v>75</v>
      </c>
    </row>
    <row r="24" spans="2:11" x14ac:dyDescent="0.25">
      <c r="B24" t="s">
        <v>0</v>
      </c>
    </row>
    <row r="25" spans="2:11" x14ac:dyDescent="0.25">
      <c r="B25" t="s">
        <v>18</v>
      </c>
    </row>
    <row r="26" spans="2:11" x14ac:dyDescent="0.25">
      <c r="B26" t="s">
        <v>2</v>
      </c>
    </row>
    <row r="27" spans="2:11" x14ac:dyDescent="0.25">
      <c r="C27" s="2">
        <v>2020</v>
      </c>
      <c r="E27" s="1" t="s">
        <v>43</v>
      </c>
      <c r="F27" s="1"/>
      <c r="G27" s="1" t="s">
        <v>44</v>
      </c>
      <c r="H27" s="1"/>
      <c r="I27" s="1" t="s">
        <v>45</v>
      </c>
      <c r="J27" s="1"/>
      <c r="K27" s="1" t="s">
        <v>46</v>
      </c>
    </row>
    <row r="28" spans="2:11" x14ac:dyDescent="0.25">
      <c r="B28" t="s">
        <v>19</v>
      </c>
      <c r="C28">
        <f>'2020'!K28</f>
        <v>1581.3</v>
      </c>
      <c r="D28" s="4">
        <v>1.1000000000000001</v>
      </c>
      <c r="E28">
        <f>C28*D28</f>
        <v>1739.43</v>
      </c>
      <c r="G28">
        <f>E28</f>
        <v>1739.43</v>
      </c>
      <c r="I28">
        <f>E28</f>
        <v>1739.43</v>
      </c>
      <c r="K28">
        <f>E28</f>
        <v>1739.43</v>
      </c>
    </row>
    <row r="29" spans="2:11" x14ac:dyDescent="0.25">
      <c r="B29" t="s">
        <v>20</v>
      </c>
      <c r="C29">
        <f>'2020'!K29</f>
        <v>2127.3000000000002</v>
      </c>
      <c r="D29" s="4">
        <v>1.1000000000000001</v>
      </c>
      <c r="E29">
        <f>C29*D29</f>
        <v>2340.0300000000002</v>
      </c>
      <c r="G29">
        <f t="shared" ref="G29:G34" si="1">E29</f>
        <v>2340.0300000000002</v>
      </c>
      <c r="I29">
        <f t="shared" ref="I29:I34" si="2">E29</f>
        <v>2340.0300000000002</v>
      </c>
      <c r="K29">
        <f t="shared" ref="K29:K34" si="3">E29</f>
        <v>2340.0300000000002</v>
      </c>
    </row>
    <row r="30" spans="2:11" x14ac:dyDescent="0.25">
      <c r="B30" t="s">
        <v>21</v>
      </c>
      <c r="C30">
        <f>'2020'!K30</f>
        <v>1025.8500000000001</v>
      </c>
      <c r="D30" s="4">
        <v>1.1000000000000001</v>
      </c>
      <c r="E30">
        <f>C30*D30</f>
        <v>1128.4350000000002</v>
      </c>
      <c r="G30">
        <f t="shared" si="1"/>
        <v>1128.4350000000002</v>
      </c>
      <c r="I30">
        <f t="shared" si="2"/>
        <v>1128.4350000000002</v>
      </c>
      <c r="K30">
        <f t="shared" si="3"/>
        <v>1128.4350000000002</v>
      </c>
    </row>
    <row r="31" spans="2:11" x14ac:dyDescent="0.25">
      <c r="B31" t="s">
        <v>22</v>
      </c>
      <c r="C31">
        <f>'2020'!K31</f>
        <v>315</v>
      </c>
      <c r="D31" s="4"/>
      <c r="E31">
        <f>C31</f>
        <v>315</v>
      </c>
      <c r="G31">
        <f t="shared" si="1"/>
        <v>315</v>
      </c>
      <c r="I31">
        <f t="shared" si="2"/>
        <v>315</v>
      </c>
      <c r="K31">
        <f t="shared" si="3"/>
        <v>315</v>
      </c>
    </row>
    <row r="32" spans="2:11" x14ac:dyDescent="0.25">
      <c r="B32" s="1" t="s">
        <v>23</v>
      </c>
      <c r="C32">
        <f>'2020'!K32</f>
        <v>5049.4500000000007</v>
      </c>
      <c r="D32" s="6"/>
      <c r="E32" s="1">
        <f>SUM(E28:E31)</f>
        <v>5522.8950000000004</v>
      </c>
      <c r="F32" s="1"/>
      <c r="G32" s="1">
        <f t="shared" si="1"/>
        <v>5522.8950000000004</v>
      </c>
      <c r="H32" s="1"/>
      <c r="I32" s="1">
        <f t="shared" si="2"/>
        <v>5522.8950000000004</v>
      </c>
      <c r="J32" s="1"/>
      <c r="K32" s="1">
        <f t="shared" si="3"/>
        <v>5522.8950000000004</v>
      </c>
    </row>
    <row r="33" spans="2:11" x14ac:dyDescent="0.25">
      <c r="B33" t="s">
        <v>24</v>
      </c>
      <c r="C33">
        <f>'2020'!K33</f>
        <v>4427.8</v>
      </c>
      <c r="D33" s="4">
        <f>F2</f>
        <v>800</v>
      </c>
      <c r="E33">
        <f>C33+D33-'2020'!E2</f>
        <v>4957.8</v>
      </c>
      <c r="G33">
        <f t="shared" si="1"/>
        <v>4957.8</v>
      </c>
      <c r="I33">
        <f t="shared" si="2"/>
        <v>4957.8</v>
      </c>
      <c r="K33">
        <f t="shared" si="3"/>
        <v>4957.8</v>
      </c>
    </row>
    <row r="34" spans="2:11" x14ac:dyDescent="0.25">
      <c r="B34" s="1" t="s">
        <v>25</v>
      </c>
      <c r="C34">
        <f>'2020'!K34</f>
        <v>9477.25</v>
      </c>
      <c r="D34" s="6"/>
      <c r="E34" s="1">
        <f>E32+E33</f>
        <v>10480.695</v>
      </c>
      <c r="F34" s="1"/>
      <c r="G34" s="1">
        <f t="shared" si="1"/>
        <v>10480.695</v>
      </c>
      <c r="H34" s="1"/>
      <c r="I34" s="1">
        <f t="shared" si="2"/>
        <v>10480.695</v>
      </c>
      <c r="J34" s="1"/>
      <c r="K34" s="1">
        <f t="shared" si="3"/>
        <v>10480.695</v>
      </c>
    </row>
    <row r="35" spans="2:11" x14ac:dyDescent="0.25">
      <c r="D35" s="4"/>
    </row>
    <row r="36" spans="2:11" x14ac:dyDescent="0.25">
      <c r="B36" t="s">
        <v>26</v>
      </c>
      <c r="C36">
        <f>'2020'!K36</f>
        <v>913.68000000000006</v>
      </c>
      <c r="D36" s="4">
        <v>1.1000000000000001</v>
      </c>
      <c r="E36">
        <f>C36*D36</f>
        <v>1005.0480000000001</v>
      </c>
      <c r="G36">
        <f>E36</f>
        <v>1005.0480000000001</v>
      </c>
      <c r="I36">
        <f t="shared" ref="I36:K38" si="4">G36</f>
        <v>1005.0480000000001</v>
      </c>
      <c r="K36">
        <f t="shared" si="4"/>
        <v>1005.0480000000001</v>
      </c>
    </row>
    <row r="37" spans="2:11" x14ac:dyDescent="0.25">
      <c r="B37" t="s">
        <v>27</v>
      </c>
      <c r="C37">
        <f>'2020'!K37</f>
        <v>1084.6500000000001</v>
      </c>
      <c r="D37" s="4">
        <v>1.1000000000000001</v>
      </c>
      <c r="E37">
        <f>C37*D37</f>
        <v>1193.1150000000002</v>
      </c>
      <c r="G37">
        <f t="shared" ref="G37:G38" si="5">E37</f>
        <v>1193.1150000000002</v>
      </c>
      <c r="I37">
        <f t="shared" si="4"/>
        <v>1193.1150000000002</v>
      </c>
      <c r="K37">
        <f t="shared" si="4"/>
        <v>1193.1150000000002</v>
      </c>
    </row>
    <row r="38" spans="2:11" x14ac:dyDescent="0.25">
      <c r="B38" t="s">
        <v>28</v>
      </c>
      <c r="C38">
        <f>'2020'!K38</f>
        <v>795.7</v>
      </c>
      <c r="D38" s="4"/>
      <c r="E38">
        <f>C38</f>
        <v>795.7</v>
      </c>
      <c r="G38">
        <f t="shared" si="5"/>
        <v>795.7</v>
      </c>
      <c r="I38">
        <f t="shared" si="4"/>
        <v>795.7</v>
      </c>
      <c r="K38">
        <f t="shared" si="4"/>
        <v>795.7</v>
      </c>
    </row>
    <row r="39" spans="2:11" x14ac:dyDescent="0.25">
      <c r="B39" s="1" t="s">
        <v>29</v>
      </c>
      <c r="C39">
        <f>'2020'!K39</f>
        <v>2794.03</v>
      </c>
      <c r="D39" s="6"/>
      <c r="E39" s="1">
        <f>SUM(E36:E38)</f>
        <v>2993.8630000000003</v>
      </c>
      <c r="F39" s="1"/>
      <c r="G39" s="1">
        <f>SUM(G36:G38)</f>
        <v>2993.8630000000003</v>
      </c>
      <c r="H39" s="1"/>
      <c r="I39" s="1">
        <f>SUM(I36:I38)</f>
        <v>2993.8630000000003</v>
      </c>
      <c r="J39" s="1"/>
      <c r="K39" s="1">
        <f>SUM(K36:K38)</f>
        <v>2993.8630000000003</v>
      </c>
    </row>
    <row r="40" spans="2:11" x14ac:dyDescent="0.25">
      <c r="B40" t="s">
        <v>30</v>
      </c>
      <c r="C40">
        <f>'2020'!K40</f>
        <v>3460</v>
      </c>
      <c r="D40" s="4"/>
      <c r="E40">
        <f>C40</f>
        <v>3460</v>
      </c>
      <c r="F40" s="4">
        <f>E48</f>
        <v>621.42661532259626</v>
      </c>
      <c r="G40">
        <f>IF(F40=0,$C$40,$C$40+F40)</f>
        <v>4081.4266153225963</v>
      </c>
      <c r="H40" s="4">
        <f>E48+G48</f>
        <v>659.9550654725972</v>
      </c>
      <c r="I40">
        <f>IF(H40=0,$C$40,$C$40+H40)</f>
        <v>4119.9550654725972</v>
      </c>
      <c r="J40" s="4">
        <f>E53</f>
        <v>662.50172209232164</v>
      </c>
      <c r="K40">
        <f>IF(J40=0,$C$40,$C$40+J40)</f>
        <v>4122.5017220923219</v>
      </c>
    </row>
    <row r="41" spans="2:11" x14ac:dyDescent="0.25">
      <c r="B41" t="s">
        <v>31</v>
      </c>
      <c r="C41">
        <f>'2020'!K41</f>
        <v>928.40827932260675</v>
      </c>
      <c r="D41" s="4"/>
      <c r="E41">
        <f>C41</f>
        <v>928.40827932260675</v>
      </c>
      <c r="G41">
        <f>E41</f>
        <v>928.40827932260675</v>
      </c>
      <c r="I41">
        <f>G41</f>
        <v>928.40827932260675</v>
      </c>
      <c r="K41">
        <f>I41</f>
        <v>928.40827932260675</v>
      </c>
    </row>
    <row r="42" spans="2:11" x14ac:dyDescent="0.25">
      <c r="B42" s="1" t="s">
        <v>32</v>
      </c>
      <c r="C42">
        <f>'2020'!K42</f>
        <v>7182.4382793226077</v>
      </c>
      <c r="D42" s="6"/>
      <c r="E42" s="1">
        <f>E39+SUM(E40:E41)</f>
        <v>7382.2712793226074</v>
      </c>
      <c r="F42" s="1"/>
      <c r="G42" s="1">
        <f>SUM(G39:G41)</f>
        <v>8003.6978946452036</v>
      </c>
      <c r="H42" s="1"/>
      <c r="I42" s="1">
        <f>SUM(I39:I41)</f>
        <v>8042.2263447952046</v>
      </c>
      <c r="J42" s="1"/>
      <c r="K42" s="1">
        <f>SUM(K39:K41)</f>
        <v>8044.7730014149292</v>
      </c>
    </row>
    <row r="43" spans="2:11" x14ac:dyDescent="0.25">
      <c r="B43" t="s">
        <v>33</v>
      </c>
      <c r="C43">
        <f>'2020'!K43</f>
        <v>1147.0999999999999</v>
      </c>
      <c r="D43" s="4"/>
      <c r="E43">
        <f>C43</f>
        <v>1147.0999999999999</v>
      </c>
      <c r="G43">
        <f>E43</f>
        <v>1147.0999999999999</v>
      </c>
      <c r="I43">
        <f>G43</f>
        <v>1147.0999999999999</v>
      </c>
      <c r="K43">
        <f>I43</f>
        <v>1147.0999999999999</v>
      </c>
    </row>
    <row r="44" spans="2:11" x14ac:dyDescent="0.25">
      <c r="B44" t="s">
        <v>34</v>
      </c>
      <c r="C44">
        <f>'2020'!K44</f>
        <v>1147.7117206773983</v>
      </c>
      <c r="D44" s="4">
        <f>E18</f>
        <v>182.18538467739791</v>
      </c>
      <c r="E44">
        <f>C44+D44</f>
        <v>1329.8971053547962</v>
      </c>
      <c r="F44" s="4">
        <f>G18</f>
        <v>143.65693452739697</v>
      </c>
      <c r="G44">
        <f>$C$44+F44</f>
        <v>1291.3686552047952</v>
      </c>
      <c r="H44" s="4">
        <f>I18</f>
        <v>141.26817061809686</v>
      </c>
      <c r="I44">
        <f>$C$44+H44</f>
        <v>1288.9798912954952</v>
      </c>
      <c r="J44" s="4">
        <f>K18</f>
        <v>141.110277907674</v>
      </c>
      <c r="K44">
        <f>$C$44+J44</f>
        <v>1288.8219985850724</v>
      </c>
    </row>
    <row r="45" spans="2:11" x14ac:dyDescent="0.25">
      <c r="B45" s="1" t="s">
        <v>35</v>
      </c>
      <c r="C45">
        <f>'2020'!K45</f>
        <v>2294.8117206773982</v>
      </c>
      <c r="D45" s="1"/>
      <c r="E45" s="1">
        <f>SUM(E43:E44)</f>
        <v>2476.9971053547961</v>
      </c>
      <c r="F45" s="1"/>
      <c r="G45" s="1">
        <f>SUM(G43:G44)</f>
        <v>2438.4686552047951</v>
      </c>
      <c r="H45" s="1"/>
      <c r="I45" s="1">
        <f>SUM(I43:I44)</f>
        <v>2436.0798912954951</v>
      </c>
      <c r="J45" s="1"/>
      <c r="K45" s="1">
        <f>SUM(K43:K44)</f>
        <v>2435.9219985850723</v>
      </c>
    </row>
    <row r="46" spans="2:11" x14ac:dyDescent="0.25">
      <c r="B46" s="1" t="s">
        <v>36</v>
      </c>
      <c r="C46">
        <f>'2020'!K46</f>
        <v>9477.2500000000055</v>
      </c>
      <c r="D46" s="1"/>
      <c r="E46" s="1">
        <f>E42+E45</f>
        <v>9859.2683846774034</v>
      </c>
      <c r="F46" s="1"/>
      <c r="G46" s="1">
        <f>G42+G45</f>
        <v>10442.166549849999</v>
      </c>
      <c r="H46" s="1"/>
      <c r="I46" s="1">
        <f>I42+I45</f>
        <v>10478.306236090699</v>
      </c>
      <c r="J46" s="1"/>
      <c r="K46" s="1">
        <f>K42+K45</f>
        <v>10480.695000000002</v>
      </c>
    </row>
    <row r="48" spans="2:11" x14ac:dyDescent="0.25">
      <c r="B48" s="1" t="s">
        <v>41</v>
      </c>
      <c r="C48" s="1">
        <f>C34-C46</f>
        <v>0</v>
      </c>
      <c r="D48" s="1"/>
      <c r="E48" s="1">
        <f>E34-E46</f>
        <v>621.42661532259626</v>
      </c>
      <c r="F48" s="1"/>
      <c r="G48" s="1">
        <f>G34-G46</f>
        <v>38.528450150000936</v>
      </c>
      <c r="H48" s="1"/>
      <c r="I48" s="1">
        <f>I34-I46</f>
        <v>2.3887639093009057</v>
      </c>
      <c r="J48" s="1"/>
      <c r="K48" s="1">
        <f>K34-K46</f>
        <v>0</v>
      </c>
    </row>
    <row r="50" spans="2:6" x14ac:dyDescent="0.25">
      <c r="B50" s="1" t="s">
        <v>47</v>
      </c>
      <c r="D50" s="7">
        <v>0.1</v>
      </c>
      <c r="E50">
        <f>E48*D50</f>
        <v>62.142661532259631</v>
      </c>
    </row>
    <row r="51" spans="2:6" x14ac:dyDescent="0.25">
      <c r="E51">
        <f>E48+G48</f>
        <v>659.9550654725972</v>
      </c>
    </row>
    <row r="52" spans="2:6" x14ac:dyDescent="0.25">
      <c r="B52" s="1" t="s">
        <v>47</v>
      </c>
      <c r="D52" s="7">
        <v>0.1</v>
      </c>
      <c r="E52">
        <f>E51*D52</f>
        <v>65.995506547259723</v>
      </c>
    </row>
    <row r="53" spans="2:6" x14ac:dyDescent="0.25">
      <c r="E53">
        <f>E48+G48+I48+F53</f>
        <v>662.50172209232164</v>
      </c>
      <c r="F53">
        <v>0.15789271042358877</v>
      </c>
    </row>
    <row r="54" spans="2:6" x14ac:dyDescent="0.25">
      <c r="B54" s="1" t="s">
        <v>47</v>
      </c>
      <c r="D54" s="7">
        <v>0.1</v>
      </c>
      <c r="E54">
        <f>E53*D54</f>
        <v>66.250172209232161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FCEA-06EB-4F25-8C81-DD6EE7515B1F}">
  <dimension ref="B2:T55"/>
  <sheetViews>
    <sheetView tabSelected="1" zoomScale="87" zoomScaleNormal="70" workbookViewId="0">
      <selection activeCell="N5" sqref="N5:T10"/>
    </sheetView>
  </sheetViews>
  <sheetFormatPr defaultRowHeight="15" x14ac:dyDescent="0.25"/>
  <cols>
    <col min="2" max="2" width="16.140625" customWidth="1"/>
  </cols>
  <sheetData>
    <row r="2" spans="2:20" x14ac:dyDescent="0.25">
      <c r="B2" t="s">
        <v>0</v>
      </c>
      <c r="D2">
        <v>500</v>
      </c>
      <c r="E2">
        <f>D2/D3</f>
        <v>100</v>
      </c>
      <c r="F2">
        <f>D2-E2</f>
        <v>400</v>
      </c>
    </row>
    <row r="3" spans="2:20" x14ac:dyDescent="0.25">
      <c r="B3" t="s">
        <v>1</v>
      </c>
      <c r="D3">
        <v>5</v>
      </c>
    </row>
    <row r="4" spans="2:20" x14ac:dyDescent="0.25">
      <c r="B4" t="s">
        <v>2</v>
      </c>
    </row>
    <row r="5" spans="2:20" x14ac:dyDescent="0.25">
      <c r="C5" s="1">
        <v>2021</v>
      </c>
      <c r="D5" s="1"/>
      <c r="E5" s="1" t="s">
        <v>49</v>
      </c>
      <c r="F5" s="1"/>
      <c r="G5" s="1" t="s">
        <v>51</v>
      </c>
      <c r="H5" s="1"/>
      <c r="I5" s="1" t="s">
        <v>50</v>
      </c>
      <c r="J5" s="1"/>
      <c r="K5" s="1" t="s">
        <v>52</v>
      </c>
      <c r="N5" s="8" t="s">
        <v>54</v>
      </c>
      <c r="O5" s="8"/>
      <c r="P5" s="8"/>
      <c r="Q5" s="8"/>
      <c r="R5" s="8"/>
      <c r="S5" s="8"/>
      <c r="T5" s="8"/>
    </row>
    <row r="6" spans="2:20" x14ac:dyDescent="0.25">
      <c r="B6" t="s">
        <v>3</v>
      </c>
      <c r="C6">
        <f>'2021'!K6</f>
        <v>11203.5</v>
      </c>
      <c r="D6" s="4">
        <v>1.1000000000000001</v>
      </c>
      <c r="E6">
        <f>IF(D6=0,C6,C6*D6)</f>
        <v>12323.85</v>
      </c>
      <c r="G6">
        <f>$E$6</f>
        <v>12323.85</v>
      </c>
      <c r="I6">
        <f>$E$6</f>
        <v>12323.85</v>
      </c>
      <c r="K6">
        <f>$E$6</f>
        <v>12323.85</v>
      </c>
      <c r="N6" s="8"/>
      <c r="O6" s="8"/>
      <c r="P6" s="8"/>
      <c r="Q6" s="8"/>
      <c r="R6" s="8"/>
      <c r="S6" s="8"/>
      <c r="T6" s="8"/>
    </row>
    <row r="7" spans="2:20" x14ac:dyDescent="0.25">
      <c r="B7" t="s">
        <v>4</v>
      </c>
      <c r="C7">
        <f>'2021'!K7</f>
        <v>6301.152000000001</v>
      </c>
      <c r="D7" s="4">
        <v>1.08</v>
      </c>
      <c r="E7">
        <f t="shared" ref="E7:E9" si="0">IF(D7=0,C7,C7*D7)</f>
        <v>6805.2441600000011</v>
      </c>
      <c r="G7">
        <f>$E$7</f>
        <v>6805.2441600000011</v>
      </c>
      <c r="I7">
        <f>$E$7</f>
        <v>6805.2441600000011</v>
      </c>
      <c r="K7">
        <f>$E$7</f>
        <v>6805.2441600000011</v>
      </c>
      <c r="N7" s="8"/>
      <c r="O7" s="8"/>
      <c r="P7" s="8"/>
      <c r="Q7" s="8"/>
      <c r="R7" s="8"/>
      <c r="S7" s="8"/>
      <c r="T7" s="8"/>
    </row>
    <row r="8" spans="2:20" x14ac:dyDescent="0.25">
      <c r="B8" s="3" t="s">
        <v>5</v>
      </c>
      <c r="C8">
        <f>'2021'!K8</f>
        <v>4902.347999999999</v>
      </c>
      <c r="D8" s="5"/>
      <c r="E8" s="3">
        <f>E6-E7</f>
        <v>5518.6058399999993</v>
      </c>
      <c r="F8" s="3"/>
      <c r="G8" s="3">
        <f>G6-G7</f>
        <v>5518.6058399999993</v>
      </c>
      <c r="H8" s="3"/>
      <c r="I8" s="3">
        <f>I6-I7</f>
        <v>5518.6058399999993</v>
      </c>
      <c r="J8" s="3"/>
      <c r="K8" s="3">
        <f>K6-K7</f>
        <v>5518.6058399999993</v>
      </c>
      <c r="N8" s="8"/>
      <c r="O8" s="8"/>
      <c r="P8" s="8"/>
      <c r="Q8" s="8"/>
      <c r="R8" s="8"/>
      <c r="S8" s="8"/>
      <c r="T8" s="8"/>
    </row>
    <row r="9" spans="2:20" x14ac:dyDescent="0.25">
      <c r="B9" t="s">
        <v>6</v>
      </c>
      <c r="C9">
        <f>'2021'!K9</f>
        <v>3377.0088000000005</v>
      </c>
      <c r="D9" s="4">
        <v>1.08</v>
      </c>
      <c r="E9">
        <f t="shared" si="0"/>
        <v>3647.1695040000009</v>
      </c>
      <c r="G9">
        <f>$E$9</f>
        <v>3647.1695040000009</v>
      </c>
      <c r="I9">
        <f>$E$9</f>
        <v>3647.1695040000009</v>
      </c>
      <c r="K9">
        <f>$E$9</f>
        <v>3647.1695040000009</v>
      </c>
      <c r="N9" s="8"/>
      <c r="O9" s="8"/>
      <c r="P9" s="8"/>
      <c r="Q9" s="8"/>
      <c r="R9" s="8"/>
      <c r="S9" s="8"/>
      <c r="T9" s="8"/>
    </row>
    <row r="10" spans="2:20" x14ac:dyDescent="0.25">
      <c r="B10" t="s">
        <v>7</v>
      </c>
      <c r="C10">
        <f>'2021'!K10</f>
        <v>639.4</v>
      </c>
      <c r="D10" s="4">
        <f>E2</f>
        <v>100</v>
      </c>
      <c r="E10">
        <f>IF(D10=0,C10,C10+D10)</f>
        <v>739.4</v>
      </c>
      <c r="G10">
        <f>$E$10</f>
        <v>739.4</v>
      </c>
      <c r="I10">
        <f>$E$10</f>
        <v>739.4</v>
      </c>
      <c r="K10">
        <f>$E$10</f>
        <v>739.4</v>
      </c>
      <c r="N10" s="8"/>
      <c r="O10" s="8"/>
      <c r="P10" s="8"/>
      <c r="Q10" s="8"/>
      <c r="R10" s="8"/>
      <c r="S10" s="8"/>
      <c r="T10" s="8"/>
    </row>
    <row r="11" spans="2:20" x14ac:dyDescent="0.25">
      <c r="B11" s="3" t="s">
        <v>8</v>
      </c>
      <c r="C11">
        <f>'2021'!K11</f>
        <v>885.93919999999844</v>
      </c>
      <c r="D11" s="3"/>
      <c r="E11" s="3">
        <f>E8-SUM(E9:E10)</f>
        <v>1132.0363359999983</v>
      </c>
      <c r="F11" s="3"/>
      <c r="G11" s="3">
        <f>G8-SUM(G9:G10)</f>
        <v>1132.0363359999983</v>
      </c>
      <c r="H11" s="3"/>
      <c r="I11" s="3">
        <f>I8-SUM(I9:I10)</f>
        <v>1132.0363359999983</v>
      </c>
      <c r="J11" s="3"/>
      <c r="K11" s="3">
        <f>K8-SUM(K9:K10)</f>
        <v>1132.0363359999983</v>
      </c>
    </row>
    <row r="12" spans="2:20" x14ac:dyDescent="0.25">
      <c r="B12" t="s">
        <v>9</v>
      </c>
      <c r="C12">
        <f>'2021'!K12</f>
        <v>295.43875176181461</v>
      </c>
      <c r="E12">
        <f>IF(D12=0,C12,C12+D12)</f>
        <v>295.43875176181461</v>
      </c>
      <c r="F12" s="4"/>
      <c r="G12">
        <f>IF(F12=0,$E$12,$E$12+F12)</f>
        <v>295.43875176181461</v>
      </c>
      <c r="H12" s="4"/>
      <c r="I12">
        <f>IF(H12=0,$E$12,$E$12+H12)</f>
        <v>295.43875176181461</v>
      </c>
      <c r="J12" s="4"/>
      <c r="K12">
        <f>IF(J12=0,$E$12,$E$12+J12)</f>
        <v>295.43875176181461</v>
      </c>
    </row>
    <row r="13" spans="2:20" x14ac:dyDescent="0.25">
      <c r="B13" s="3" t="s">
        <v>10</v>
      </c>
      <c r="C13">
        <f>'2021'!K13</f>
        <v>590.50044823818382</v>
      </c>
      <c r="D13" s="3"/>
      <c r="E13" s="3">
        <f>E11-E12</f>
        <v>836.59758423818369</v>
      </c>
      <c r="F13" s="3"/>
      <c r="G13" s="3">
        <f>G11-G12</f>
        <v>836.59758423818369</v>
      </c>
      <c r="H13" s="3"/>
      <c r="I13" s="3">
        <f>I11-I12</f>
        <v>836.59758423818369</v>
      </c>
      <c r="J13" s="3"/>
      <c r="K13" s="3">
        <f>K11-K12</f>
        <v>836.59758423818369</v>
      </c>
    </row>
    <row r="14" spans="2:20" x14ac:dyDescent="0.25">
      <c r="B14" t="s">
        <v>11</v>
      </c>
      <c r="C14">
        <f>'2021'!K14</f>
        <v>224.39017033050985</v>
      </c>
      <c r="E14">
        <f>E13*0.38</f>
        <v>317.90708201050978</v>
      </c>
      <c r="G14">
        <f>G13*0.38</f>
        <v>317.90708201050978</v>
      </c>
      <c r="I14">
        <f>I13*0.38</f>
        <v>317.90708201050978</v>
      </c>
      <c r="K14">
        <f>K13*0.38</f>
        <v>317.90708201050978</v>
      </c>
    </row>
    <row r="15" spans="2:20" x14ac:dyDescent="0.25">
      <c r="B15" s="3" t="s">
        <v>12</v>
      </c>
      <c r="C15">
        <f>'2021'!K15</f>
        <v>366.110277907674</v>
      </c>
      <c r="D15" s="3"/>
      <c r="E15" s="3">
        <f>E13-E14</f>
        <v>518.69050222767396</v>
      </c>
      <c r="F15" s="3"/>
      <c r="G15" s="3">
        <f>G13-G14</f>
        <v>518.69050222767396</v>
      </c>
      <c r="H15" s="3"/>
      <c r="I15" s="3">
        <f>I13-I14</f>
        <v>518.69050222767396</v>
      </c>
      <c r="J15" s="3"/>
      <c r="K15" s="3">
        <f>K13-K14</f>
        <v>518.69050222767396</v>
      </c>
    </row>
    <row r="17" spans="2:11" x14ac:dyDescent="0.25">
      <c r="B17" t="s">
        <v>13</v>
      </c>
      <c r="C17">
        <f>C21*C22</f>
        <v>225</v>
      </c>
      <c r="E17">
        <f>E21*E22</f>
        <v>300</v>
      </c>
      <c r="G17">
        <f>G21*G22</f>
        <v>299.1064843168374</v>
      </c>
      <c r="I17">
        <f>I21*I22</f>
        <v>298.11085255559902</v>
      </c>
      <c r="K17">
        <f>K21*K22</f>
        <v>299.00436823876134</v>
      </c>
    </row>
    <row r="18" spans="2:11" x14ac:dyDescent="0.25">
      <c r="B18" t="s">
        <v>14</v>
      </c>
      <c r="C18">
        <f>'2021'!K18</f>
        <v>141.110277907674</v>
      </c>
      <c r="E18">
        <f>E15-E17</f>
        <v>218.69050222767396</v>
      </c>
      <c r="G18">
        <f>G15-G17</f>
        <v>219.58401791083656</v>
      </c>
      <c r="I18">
        <f>I15-I17</f>
        <v>220.57964967207494</v>
      </c>
      <c r="K18">
        <f>K15-K17</f>
        <v>219.68613398891262</v>
      </c>
    </row>
    <row r="20" spans="2:11" x14ac:dyDescent="0.25">
      <c r="B20" t="s">
        <v>15</v>
      </c>
      <c r="C20">
        <f>'2021'!K20</f>
        <v>1.88147037210232</v>
      </c>
      <c r="E20">
        <f>E18/E22</f>
        <v>2.9158733630356526</v>
      </c>
      <c r="G20">
        <f>G18/G22</f>
        <v>2.9365330332088111</v>
      </c>
      <c r="I20">
        <f>I18/I22</f>
        <v>2.9596996926629613</v>
      </c>
      <c r="K20">
        <f>K18/K22</f>
        <v>2.9389020004348372</v>
      </c>
    </row>
    <row r="21" spans="2:11" x14ac:dyDescent="0.25">
      <c r="B21" t="s">
        <v>16</v>
      </c>
      <c r="C21">
        <f>'2021'!K21</f>
        <v>3</v>
      </c>
      <c r="E21">
        <v>4</v>
      </c>
      <c r="G21">
        <v>4</v>
      </c>
      <c r="I21">
        <v>4</v>
      </c>
      <c r="K21">
        <v>4</v>
      </c>
    </row>
    <row r="22" spans="2:11" x14ac:dyDescent="0.25">
      <c r="B22" t="s">
        <v>17</v>
      </c>
      <c r="C22">
        <f>'2021'!K22</f>
        <v>75</v>
      </c>
      <c r="E22">
        <f>C22+D22</f>
        <v>75</v>
      </c>
      <c r="F22">
        <f>E51</f>
        <v>-0.22337892079064789</v>
      </c>
      <c r="G22">
        <f>E22+F22</f>
        <v>74.776621079209349</v>
      </c>
      <c r="H22">
        <f>E53</f>
        <v>-0.24890794030959243</v>
      </c>
      <c r="I22">
        <f>G22+H22</f>
        <v>74.527713138899756</v>
      </c>
      <c r="J22">
        <f>E55</f>
        <v>0.22337892079058089</v>
      </c>
      <c r="K22">
        <f>I22+J22</f>
        <v>74.751092059690336</v>
      </c>
    </row>
    <row r="24" spans="2:11" x14ac:dyDescent="0.25">
      <c r="B24" t="s">
        <v>0</v>
      </c>
    </row>
    <row r="25" spans="2:11" x14ac:dyDescent="0.25">
      <c r="B25" t="s">
        <v>18</v>
      </c>
    </row>
    <row r="26" spans="2:11" x14ac:dyDescent="0.25">
      <c r="B26" t="s">
        <v>2</v>
      </c>
    </row>
    <row r="27" spans="2:11" x14ac:dyDescent="0.25">
      <c r="C27" t="str">
        <f>'2021'!K27</f>
        <v>2021-3</v>
      </c>
      <c r="E27" s="1" t="s">
        <v>43</v>
      </c>
      <c r="F27" s="1"/>
      <c r="G27" s="1" t="s">
        <v>44</v>
      </c>
      <c r="H27" s="1"/>
      <c r="I27" s="1" t="s">
        <v>45</v>
      </c>
      <c r="J27" s="1"/>
      <c r="K27" s="1" t="s">
        <v>46</v>
      </c>
    </row>
    <row r="28" spans="2:11" x14ac:dyDescent="0.25">
      <c r="B28" t="s">
        <v>19</v>
      </c>
      <c r="C28">
        <f>'2021'!K28</f>
        <v>1739.43</v>
      </c>
      <c r="D28" s="4">
        <v>1.1000000000000001</v>
      </c>
      <c r="E28">
        <f>C28*D28</f>
        <v>1913.3730000000003</v>
      </c>
      <c r="G28">
        <f>E28</f>
        <v>1913.3730000000003</v>
      </c>
      <c r="I28">
        <f>E28</f>
        <v>1913.3730000000003</v>
      </c>
      <c r="K28">
        <f>E28</f>
        <v>1913.3730000000003</v>
      </c>
    </row>
    <row r="29" spans="2:11" x14ac:dyDescent="0.25">
      <c r="B29" t="s">
        <v>20</v>
      </c>
      <c r="C29">
        <f>'2021'!K29</f>
        <v>2340.0300000000002</v>
      </c>
      <c r="D29" s="4">
        <v>1.1000000000000001</v>
      </c>
      <c r="E29">
        <f>C29*D29</f>
        <v>2574.0330000000004</v>
      </c>
      <c r="G29">
        <f t="shared" ref="G29:G34" si="1">E29</f>
        <v>2574.0330000000004</v>
      </c>
      <c r="I29">
        <f t="shared" ref="I29:I34" si="2">E29</f>
        <v>2574.0330000000004</v>
      </c>
      <c r="K29">
        <f t="shared" ref="K29:K34" si="3">E29</f>
        <v>2574.0330000000004</v>
      </c>
    </row>
    <row r="30" spans="2:11" x14ac:dyDescent="0.25">
      <c r="B30" t="s">
        <v>21</v>
      </c>
      <c r="C30">
        <f>'2021'!K30</f>
        <v>1128.4350000000002</v>
      </c>
      <c r="D30" s="4">
        <v>1.1000000000000001</v>
      </c>
      <c r="E30">
        <f>C30*D30</f>
        <v>1241.2785000000003</v>
      </c>
      <c r="G30">
        <f t="shared" si="1"/>
        <v>1241.2785000000003</v>
      </c>
      <c r="I30">
        <f t="shared" si="2"/>
        <v>1241.2785000000003</v>
      </c>
      <c r="K30">
        <f t="shared" si="3"/>
        <v>1241.2785000000003</v>
      </c>
    </row>
    <row r="31" spans="2:11" x14ac:dyDescent="0.25">
      <c r="B31" t="s">
        <v>22</v>
      </c>
      <c r="C31">
        <f>'2021'!K31</f>
        <v>315</v>
      </c>
      <c r="D31" s="4"/>
      <c r="E31">
        <f>C31</f>
        <v>315</v>
      </c>
      <c r="G31">
        <f t="shared" si="1"/>
        <v>315</v>
      </c>
      <c r="I31">
        <f t="shared" si="2"/>
        <v>315</v>
      </c>
      <c r="K31">
        <f t="shared" si="3"/>
        <v>315</v>
      </c>
    </row>
    <row r="32" spans="2:11" x14ac:dyDescent="0.25">
      <c r="B32" s="1" t="s">
        <v>23</v>
      </c>
      <c r="C32">
        <f>'2021'!K32</f>
        <v>5522.8950000000004</v>
      </c>
      <c r="D32" s="6"/>
      <c r="E32" s="1">
        <f>SUM(E28:E31)</f>
        <v>6043.6845000000012</v>
      </c>
      <c r="F32" s="1"/>
      <c r="G32" s="1">
        <f t="shared" si="1"/>
        <v>6043.6845000000012</v>
      </c>
      <c r="H32" s="1"/>
      <c r="I32" s="1">
        <f t="shared" si="2"/>
        <v>6043.6845000000012</v>
      </c>
      <c r="J32" s="1"/>
      <c r="K32" s="1">
        <f t="shared" si="3"/>
        <v>6043.6845000000012</v>
      </c>
    </row>
    <row r="33" spans="2:11" x14ac:dyDescent="0.25">
      <c r="B33" t="s">
        <v>24</v>
      </c>
      <c r="C33">
        <f>'2021'!K33</f>
        <v>4957.8</v>
      </c>
      <c r="D33" s="4">
        <f>F2</f>
        <v>400</v>
      </c>
      <c r="E33">
        <f>C33+D33-'2020'!E2-'2021'!E2</f>
        <v>4887.8</v>
      </c>
      <c r="G33">
        <f t="shared" si="1"/>
        <v>4887.8</v>
      </c>
      <c r="I33">
        <f t="shared" si="2"/>
        <v>4887.8</v>
      </c>
      <c r="K33">
        <f t="shared" si="3"/>
        <v>4887.8</v>
      </c>
    </row>
    <row r="34" spans="2:11" x14ac:dyDescent="0.25">
      <c r="B34" s="1" t="s">
        <v>25</v>
      </c>
      <c r="C34">
        <f>'2021'!K34</f>
        <v>10480.695</v>
      </c>
      <c r="D34" s="6"/>
      <c r="E34" s="1">
        <f>E32+E33</f>
        <v>10931.484500000002</v>
      </c>
      <c r="F34" s="1"/>
      <c r="G34" s="1">
        <f t="shared" si="1"/>
        <v>10931.484500000002</v>
      </c>
      <c r="H34" s="1"/>
      <c r="I34" s="1">
        <f t="shared" si="2"/>
        <v>10931.484500000002</v>
      </c>
      <c r="J34" s="1"/>
      <c r="K34" s="1">
        <f t="shared" si="3"/>
        <v>10931.484500000002</v>
      </c>
    </row>
    <row r="35" spans="2:11" x14ac:dyDescent="0.25">
      <c r="D35" s="4"/>
    </row>
    <row r="36" spans="2:11" x14ac:dyDescent="0.25">
      <c r="B36" t="s">
        <v>26</v>
      </c>
      <c r="C36">
        <f>'2021'!K36</f>
        <v>1005.0480000000001</v>
      </c>
      <c r="D36" s="4">
        <v>1.1200000000000001</v>
      </c>
      <c r="E36">
        <f>C36*D36</f>
        <v>1125.6537600000001</v>
      </c>
      <c r="G36">
        <f>E36</f>
        <v>1125.6537600000001</v>
      </c>
      <c r="I36">
        <f t="shared" ref="G36:K40" si="4">G36</f>
        <v>1125.6537600000001</v>
      </c>
      <c r="K36">
        <f t="shared" si="4"/>
        <v>1125.6537600000001</v>
      </c>
    </row>
    <row r="37" spans="2:11" x14ac:dyDescent="0.25">
      <c r="B37" t="s">
        <v>27</v>
      </c>
      <c r="C37">
        <f>'2021'!K37</f>
        <v>1193.1150000000002</v>
      </c>
      <c r="D37" s="4">
        <v>1.1000000000000001</v>
      </c>
      <c r="E37">
        <f>C37*D37</f>
        <v>1312.4265000000003</v>
      </c>
      <c r="G37">
        <f t="shared" ref="G37:G38" si="5">E37</f>
        <v>1312.4265000000003</v>
      </c>
      <c r="I37">
        <f t="shared" si="4"/>
        <v>1312.4265000000003</v>
      </c>
      <c r="K37">
        <f t="shared" si="4"/>
        <v>1312.4265000000003</v>
      </c>
    </row>
    <row r="38" spans="2:11" x14ac:dyDescent="0.25">
      <c r="B38" t="s">
        <v>28</v>
      </c>
      <c r="C38">
        <f>'2021'!K38</f>
        <v>795.7</v>
      </c>
      <c r="D38" s="4"/>
      <c r="E38">
        <f>C38</f>
        <v>795.7</v>
      </c>
      <c r="G38">
        <f t="shared" si="5"/>
        <v>795.7</v>
      </c>
      <c r="I38">
        <f t="shared" si="4"/>
        <v>795.7</v>
      </c>
      <c r="K38">
        <f t="shared" si="4"/>
        <v>795.7</v>
      </c>
    </row>
    <row r="39" spans="2:11" x14ac:dyDescent="0.25">
      <c r="B39" s="1" t="s">
        <v>29</v>
      </c>
      <c r="C39">
        <f>'2021'!K39</f>
        <v>2993.8630000000003</v>
      </c>
      <c r="D39" s="6"/>
      <c r="E39" s="1">
        <f>SUM(E36:E38)</f>
        <v>3233.7802600000005</v>
      </c>
      <c r="F39" s="1"/>
      <c r="G39" s="1">
        <f>SUM(G36:G38)</f>
        <v>3233.7802600000005</v>
      </c>
      <c r="H39" s="1"/>
      <c r="I39" s="1">
        <f>SUM(I36:I38)</f>
        <v>3233.7802600000005</v>
      </c>
      <c r="J39" s="1"/>
      <c r="K39" s="1">
        <f>SUM(K36:K38)</f>
        <v>3233.7802600000005</v>
      </c>
    </row>
    <row r="40" spans="2:11" x14ac:dyDescent="0.25">
      <c r="B40" t="s">
        <v>30</v>
      </c>
      <c r="C40">
        <f>'2021'!K40</f>
        <v>4122.5017220923219</v>
      </c>
      <c r="D40" s="4"/>
      <c r="E40">
        <f>C40</f>
        <v>4122.5017220923219</v>
      </c>
      <c r="G40">
        <f t="shared" si="4"/>
        <v>4122.5017220923219</v>
      </c>
      <c r="I40">
        <f t="shared" si="4"/>
        <v>4122.5017220923219</v>
      </c>
      <c r="K40">
        <f t="shared" si="4"/>
        <v>4122.5017220923219</v>
      </c>
    </row>
    <row r="41" spans="2:11" x14ac:dyDescent="0.25">
      <c r="B41" t="s">
        <v>31</v>
      </c>
      <c r="C41">
        <f>'2021'!K41</f>
        <v>928.40827932260675</v>
      </c>
      <c r="D41" s="4"/>
      <c r="E41">
        <f>C41</f>
        <v>928.40827932260675</v>
      </c>
      <c r="F41" s="4"/>
      <c r="G41">
        <f>$E$41+F41</f>
        <v>928.40827932260675</v>
      </c>
      <c r="H41" s="4"/>
      <c r="I41">
        <f>$E$41+H41</f>
        <v>928.40827932260675</v>
      </c>
      <c r="J41" s="4"/>
      <c r="K41">
        <f>$E$41+J41</f>
        <v>928.40827932260675</v>
      </c>
    </row>
    <row r="42" spans="2:11" x14ac:dyDescent="0.25">
      <c r="B42" s="1" t="s">
        <v>32</v>
      </c>
      <c r="C42">
        <f>'2021'!K42</f>
        <v>8044.7730014149292</v>
      </c>
      <c r="D42" s="6"/>
      <c r="E42" s="1">
        <f>E39+SUM(E40:E41)</f>
        <v>8284.6902614149294</v>
      </c>
      <c r="F42" s="1"/>
      <c r="G42" s="1">
        <f>SUM(G39:G41)</f>
        <v>8284.6902614149294</v>
      </c>
      <c r="H42" s="1"/>
      <c r="I42" s="1">
        <f>SUM(I39:I41)</f>
        <v>8284.6902614149294</v>
      </c>
      <c r="J42" s="1"/>
      <c r="K42" s="1">
        <f>SUM(K39:K41)</f>
        <v>8284.6902614149294</v>
      </c>
    </row>
    <row r="43" spans="2:11" x14ac:dyDescent="0.25">
      <c r="B43" t="s">
        <v>33</v>
      </c>
      <c r="C43">
        <f>'2021'!K43</f>
        <v>1147.0999999999999</v>
      </c>
      <c r="D43" s="4"/>
      <c r="E43">
        <f>C43</f>
        <v>1147.0999999999999</v>
      </c>
      <c r="F43">
        <f>E48</f>
        <v>-7.8182622276726761</v>
      </c>
      <c r="G43">
        <f>$E$43+F43</f>
        <v>1139.2817377723272</v>
      </c>
      <c r="H43">
        <f>G48</f>
        <v>-0.89351568316305929</v>
      </c>
      <c r="I43">
        <f>$E$43+H43</f>
        <v>1146.2064843168368</v>
      </c>
      <c r="J43">
        <f>I48</f>
        <v>-8.8138939889104222</v>
      </c>
      <c r="K43">
        <f>$E$43+J43</f>
        <v>1138.2861060110895</v>
      </c>
    </row>
    <row r="44" spans="2:11" x14ac:dyDescent="0.25">
      <c r="B44" t="s">
        <v>34</v>
      </c>
      <c r="C44">
        <f>'2021'!K44</f>
        <v>1288.8219985850724</v>
      </c>
      <c r="D44" s="4">
        <f>E18</f>
        <v>218.69050222767396</v>
      </c>
      <c r="E44">
        <f>C44+D44</f>
        <v>1507.5125008127463</v>
      </c>
      <c r="F44" s="4">
        <f>G18</f>
        <v>219.58401791083656</v>
      </c>
      <c r="G44">
        <f>$C$44+F44</f>
        <v>1508.4060164959089</v>
      </c>
      <c r="H44" s="4">
        <f>I18</f>
        <v>220.57964967207494</v>
      </c>
      <c r="I44">
        <f>$C$44+H44</f>
        <v>1509.4016482571474</v>
      </c>
      <c r="J44" s="4">
        <f>K18</f>
        <v>219.68613398891262</v>
      </c>
      <c r="K44">
        <f>$C$44+J44</f>
        <v>1508.508132573985</v>
      </c>
    </row>
    <row r="45" spans="2:11" x14ac:dyDescent="0.25">
      <c r="B45" s="1" t="s">
        <v>35</v>
      </c>
      <c r="C45">
        <f>'2021'!K45</f>
        <v>2435.9219985850723</v>
      </c>
      <c r="D45" s="1"/>
      <c r="E45" s="1">
        <f>SUM(E43:E44)</f>
        <v>2654.6125008127465</v>
      </c>
      <c r="F45" s="1"/>
      <c r="G45" s="1">
        <f>SUM(G43:G44)</f>
        <v>2647.6877542682359</v>
      </c>
      <c r="H45" s="1"/>
      <c r="I45" s="1">
        <f>SUM(I43:I44)</f>
        <v>2655.6081325739842</v>
      </c>
      <c r="J45" s="1"/>
      <c r="K45" s="1">
        <f>SUM(K43:K44)</f>
        <v>2646.7942385850747</v>
      </c>
    </row>
    <row r="46" spans="2:11" x14ac:dyDescent="0.25">
      <c r="B46" s="1" t="s">
        <v>36</v>
      </c>
      <c r="C46">
        <f>'2021'!K46</f>
        <v>10480.695000000002</v>
      </c>
      <c r="D46" s="1"/>
      <c r="E46" s="1">
        <f>E42+E45</f>
        <v>10939.302762227675</v>
      </c>
      <c r="F46" s="1"/>
      <c r="G46" s="1">
        <f>G42+G45</f>
        <v>10932.378015683165</v>
      </c>
      <c r="H46" s="1"/>
      <c r="I46" s="1">
        <f>I42+I45</f>
        <v>10940.298393988913</v>
      </c>
      <c r="J46" s="1"/>
      <c r="K46" s="1">
        <f>K42+K45</f>
        <v>10931.484500000004</v>
      </c>
    </row>
    <row r="48" spans="2:11" x14ac:dyDescent="0.25">
      <c r="B48" s="1" t="s">
        <v>41</v>
      </c>
      <c r="C48" s="1">
        <f>C34-C46</f>
        <v>0</v>
      </c>
      <c r="D48" s="1"/>
      <c r="E48" s="1">
        <f>E34-E46</f>
        <v>-7.8182622276726761</v>
      </c>
      <c r="F48" s="1"/>
      <c r="G48" s="1">
        <f>G34-G46</f>
        <v>-0.89351568316305929</v>
      </c>
      <c r="H48" s="1"/>
      <c r="I48" s="1">
        <f>I34-I46</f>
        <v>-8.8138939889104222</v>
      </c>
      <c r="J48" s="1"/>
      <c r="K48" s="1">
        <f>K34-K46</f>
        <v>0</v>
      </c>
    </row>
    <row r="50" spans="2:6" x14ac:dyDescent="0.25">
      <c r="B50" s="1" t="s">
        <v>33</v>
      </c>
      <c r="D50" s="7">
        <v>1</v>
      </c>
      <c r="E50">
        <f>D50*E48</f>
        <v>-7.8182622276726761</v>
      </c>
    </row>
    <row r="51" spans="2:6" x14ac:dyDescent="0.25">
      <c r="B51" s="1" t="s">
        <v>53</v>
      </c>
      <c r="D51">
        <v>35</v>
      </c>
      <c r="E51">
        <f>E50/D51</f>
        <v>-0.22337892079064789</v>
      </c>
    </row>
    <row r="52" spans="2:6" x14ac:dyDescent="0.25">
      <c r="B52" s="1" t="s">
        <v>33</v>
      </c>
      <c r="D52" s="7">
        <v>1</v>
      </c>
      <c r="E52">
        <f>(E48+G48)*D52</f>
        <v>-8.7117779108357354</v>
      </c>
    </row>
    <row r="53" spans="2:6" x14ac:dyDescent="0.25">
      <c r="B53" s="1" t="s">
        <v>53</v>
      </c>
      <c r="D53">
        <v>35</v>
      </c>
      <c r="E53">
        <f>E52/D53</f>
        <v>-0.24890794030959243</v>
      </c>
    </row>
    <row r="54" spans="2:6" x14ac:dyDescent="0.25">
      <c r="B54" s="1" t="s">
        <v>33</v>
      </c>
      <c r="D54" s="7">
        <v>1</v>
      </c>
      <c r="E54">
        <f>(E48+G48+I48)*D54+F54</f>
        <v>7.8182622276703313</v>
      </c>
      <c r="F54">
        <v>25.343934127416489</v>
      </c>
    </row>
    <row r="55" spans="2:6" x14ac:dyDescent="0.25">
      <c r="B55" s="1" t="s">
        <v>53</v>
      </c>
      <c r="D55">
        <v>35</v>
      </c>
      <c r="E55">
        <f>E54/D55</f>
        <v>0.22337892079058089</v>
      </c>
    </row>
  </sheetData>
  <mergeCells count="1">
    <mergeCell ref="N5:T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Muñoz</dc:creator>
  <cp:lastModifiedBy>DAVID CORZO</cp:lastModifiedBy>
  <dcterms:created xsi:type="dcterms:W3CDTF">2020-09-21T13:01:04Z</dcterms:created>
  <dcterms:modified xsi:type="dcterms:W3CDTF">2020-09-22T04:25:30Z</dcterms:modified>
</cp:coreProperties>
</file>