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a Muñoz\Documents\1 - ANA\2 - CURSOS\2020 - 1 - FIN 7AM - C\EJERCICIOS\"/>
    </mc:Choice>
  </mc:AlternateContent>
  <bookViews>
    <workbookView xWindow="0" yWindow="0" windowWidth="20490" windowHeight="7155" tabRatio="500" activeTab="2"/>
  </bookViews>
  <sheets>
    <sheet name="ER" sheetId="2" r:id="rId1"/>
    <sheet name="BG" sheetId="1" r:id="rId2"/>
    <sheet name="Sheet1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4" i="3" l="1"/>
  <c r="L58" i="3"/>
  <c r="J55" i="3"/>
  <c r="J54" i="3"/>
  <c r="J52" i="3"/>
  <c r="J49" i="3"/>
  <c r="J46" i="3"/>
  <c r="J44" i="3"/>
  <c r="J50" i="3"/>
  <c r="I50" i="3"/>
  <c r="J19" i="3"/>
  <c r="J20" i="3"/>
  <c r="M59" i="3"/>
  <c r="L60" i="3"/>
  <c r="G54" i="3"/>
  <c r="I14" i="3"/>
  <c r="J14" i="3"/>
  <c r="J15" i="3"/>
  <c r="J16" i="3"/>
  <c r="J17" i="3"/>
  <c r="J51" i="3"/>
  <c r="J66" i="3"/>
  <c r="O44" i="3"/>
  <c r="P44" i="3"/>
  <c r="P45" i="3"/>
  <c r="J67" i="3"/>
  <c r="O46" i="3"/>
  <c r="P46" i="3"/>
  <c r="P47" i="3"/>
  <c r="J65" i="3"/>
  <c r="O49" i="3"/>
  <c r="P49" i="3"/>
  <c r="O66" i="3"/>
  <c r="O67" i="3"/>
  <c r="P66" i="3"/>
  <c r="O14" i="3"/>
  <c r="P14" i="3"/>
  <c r="P15" i="3"/>
  <c r="P16" i="3"/>
  <c r="P17" i="3"/>
  <c r="O65" i="3"/>
  <c r="O24" i="3"/>
  <c r="P24" i="3"/>
  <c r="P19" i="3"/>
  <c r="P20" i="3"/>
  <c r="O50" i="3"/>
  <c r="P50" i="3"/>
  <c r="P51" i="3"/>
  <c r="P52" i="3"/>
  <c r="P54" i="3"/>
  <c r="J57" i="3"/>
  <c r="L59" i="3"/>
  <c r="E42" i="3"/>
  <c r="G42" i="3"/>
  <c r="E43" i="3"/>
  <c r="G43" i="3"/>
  <c r="G44" i="3"/>
  <c r="G45" i="3"/>
  <c r="G8" i="3"/>
  <c r="E9" i="3"/>
  <c r="G9" i="3"/>
  <c r="G10" i="3"/>
  <c r="E11" i="3"/>
  <c r="G11" i="3"/>
  <c r="E12" i="3"/>
  <c r="G12" i="3"/>
  <c r="G13" i="3"/>
  <c r="P13" i="3"/>
  <c r="G46" i="3"/>
  <c r="P8" i="3"/>
  <c r="G47" i="3"/>
  <c r="G49" i="3"/>
  <c r="G14" i="3"/>
  <c r="G15" i="3"/>
  <c r="G16" i="3"/>
  <c r="G17" i="3"/>
  <c r="G20" i="3"/>
  <c r="E50" i="3"/>
  <c r="G50" i="3"/>
  <c r="G51" i="3"/>
  <c r="G52" i="3"/>
  <c r="E35" i="3"/>
  <c r="G35" i="3"/>
  <c r="E36" i="3"/>
  <c r="G36" i="3"/>
  <c r="E37" i="3"/>
  <c r="G37" i="3"/>
  <c r="G38" i="3"/>
  <c r="E39" i="3"/>
  <c r="G39" i="3"/>
  <c r="G40" i="3"/>
  <c r="J59" i="3"/>
  <c r="I44" i="3"/>
  <c r="J42" i="3"/>
  <c r="J43" i="3"/>
  <c r="J45" i="3"/>
  <c r="J60" i="3"/>
  <c r="I46" i="3"/>
  <c r="J47" i="3"/>
  <c r="J58" i="3"/>
  <c r="I49" i="3"/>
  <c r="J8" i="3"/>
  <c r="J9" i="3"/>
  <c r="J10" i="3"/>
  <c r="J11" i="3"/>
  <c r="J12" i="3"/>
  <c r="J13" i="3"/>
  <c r="I24" i="3"/>
  <c r="J35" i="3"/>
  <c r="J36" i="3"/>
  <c r="J37" i="3"/>
  <c r="J38" i="3"/>
  <c r="J39" i="3"/>
  <c r="J40" i="3"/>
  <c r="G22" i="3"/>
  <c r="D38" i="3"/>
  <c r="D40" i="3"/>
  <c r="L40" i="3"/>
  <c r="E8" i="3"/>
  <c r="D19" i="3"/>
  <c r="D23" i="3"/>
  <c r="P36" i="3"/>
  <c r="P37" i="3"/>
  <c r="P39" i="3"/>
  <c r="P42" i="3"/>
  <c r="E20" i="2"/>
  <c r="E18" i="2"/>
  <c r="D51" i="3"/>
  <c r="D45" i="3"/>
  <c r="D47" i="3"/>
  <c r="D52" i="3"/>
  <c r="D10" i="3"/>
  <c r="D13" i="3"/>
  <c r="D15" i="3"/>
  <c r="D16" i="3"/>
  <c r="D17" i="3"/>
  <c r="D22" i="3"/>
  <c r="D20" i="3"/>
  <c r="E15" i="1"/>
  <c r="E16" i="1"/>
  <c r="E17" i="1"/>
  <c r="E18" i="1"/>
  <c r="E20" i="1"/>
  <c r="E6" i="2"/>
  <c r="E7" i="2"/>
  <c r="E8" i="2"/>
  <c r="E9" i="2"/>
  <c r="E10" i="2"/>
  <c r="E11" i="2"/>
  <c r="E12" i="2"/>
  <c r="E13" i="2"/>
  <c r="E14" i="2"/>
  <c r="E15" i="2"/>
  <c r="E17" i="2"/>
  <c r="D21" i="1"/>
  <c r="E21" i="1"/>
  <c r="E22" i="1"/>
  <c r="E23" i="1"/>
  <c r="E25" i="1"/>
  <c r="G33" i="1"/>
  <c r="H33" i="1"/>
  <c r="F22" i="2"/>
  <c r="G22" i="2"/>
  <c r="G7" i="2"/>
  <c r="G6" i="2"/>
  <c r="G8" i="2"/>
  <c r="G9" i="2"/>
  <c r="G10" i="2"/>
  <c r="G11" i="2"/>
  <c r="G34" i="1"/>
  <c r="H34" i="1"/>
  <c r="G35" i="1"/>
  <c r="H35" i="1"/>
  <c r="I34" i="1"/>
  <c r="F12" i="2"/>
  <c r="G12" i="2"/>
  <c r="G13" i="2"/>
  <c r="G14" i="2"/>
  <c r="G15" i="2"/>
  <c r="G36" i="1"/>
  <c r="I11" i="2"/>
  <c r="H50" i="2"/>
  <c r="I50" i="2"/>
  <c r="H51" i="2"/>
  <c r="I51" i="2"/>
  <c r="J50" i="2"/>
  <c r="H12" i="2"/>
  <c r="I12" i="2"/>
  <c r="I13" i="2"/>
  <c r="I14" i="2"/>
  <c r="I15" i="2"/>
  <c r="H49" i="2"/>
  <c r="I49" i="2"/>
  <c r="H22" i="2"/>
  <c r="I22" i="2"/>
  <c r="I20" i="2"/>
  <c r="E21" i="2"/>
  <c r="I21" i="2"/>
  <c r="I17" i="2"/>
  <c r="I18" i="2"/>
  <c r="H18" i="2"/>
  <c r="H52" i="2"/>
  <c r="C8" i="2"/>
  <c r="C11" i="2"/>
  <c r="C13" i="2"/>
  <c r="C14" i="2"/>
  <c r="C15" i="2"/>
  <c r="C17" i="2"/>
  <c r="C18" i="2"/>
  <c r="F21" i="1"/>
  <c r="G21" i="1"/>
  <c r="F20" i="1"/>
  <c r="G20" i="1"/>
  <c r="G22" i="1"/>
  <c r="E13" i="1"/>
  <c r="G13" i="1"/>
  <c r="E14" i="1"/>
  <c r="G14" i="1"/>
  <c r="F15" i="1"/>
  <c r="G15" i="1"/>
  <c r="G16" i="1"/>
  <c r="F17" i="1"/>
  <c r="G17" i="1"/>
  <c r="G18" i="1"/>
  <c r="G23" i="1"/>
  <c r="E7" i="1"/>
  <c r="G7" i="1"/>
  <c r="E8" i="1"/>
  <c r="G8" i="1"/>
  <c r="E6" i="1"/>
  <c r="E9" i="1"/>
  <c r="G9" i="1"/>
  <c r="E10" i="1"/>
  <c r="G10" i="1"/>
  <c r="E11" i="1"/>
  <c r="G11" i="1"/>
  <c r="G6" i="1"/>
  <c r="I7" i="2"/>
  <c r="I8" i="2"/>
  <c r="I9" i="2"/>
  <c r="I10" i="2"/>
  <c r="I6" i="2"/>
  <c r="C20" i="2"/>
  <c r="C21" i="2"/>
  <c r="C22" i="1"/>
  <c r="C16" i="1"/>
  <c r="C18" i="1"/>
  <c r="C23" i="1"/>
  <c r="C9" i="1"/>
  <c r="C11" i="1"/>
  <c r="J68" i="3"/>
  <c r="P10" i="3"/>
  <c r="P12" i="3"/>
  <c r="P11" i="3"/>
  <c r="P43" i="3"/>
  <c r="P9" i="3"/>
  <c r="H40" i="3"/>
  <c r="P35" i="3"/>
  <c r="P38" i="3"/>
  <c r="P22" i="3"/>
  <c r="P40" i="3"/>
  <c r="J61" i="3"/>
  <c r="G23" i="3"/>
  <c r="J22" i="3"/>
</calcChain>
</file>

<file path=xl/sharedStrings.xml><?xml version="1.0" encoding="utf-8"?>
<sst xmlns="http://schemas.openxmlformats.org/spreadsheetml/2006/main" count="125" uniqueCount="58">
  <si>
    <t>Efectivo</t>
  </si>
  <si>
    <t>Cuentas por cobrar</t>
  </si>
  <si>
    <t>Inventarios</t>
  </si>
  <si>
    <t>Total activos circulantes</t>
  </si>
  <si>
    <t>Cuentas por pagar</t>
  </si>
  <si>
    <t>Documentos por pagar</t>
  </si>
  <si>
    <t>Total Activos</t>
  </si>
  <si>
    <t>Total Pasivos</t>
  </si>
  <si>
    <t>Utilidades retenidas</t>
  </si>
  <si>
    <t xml:space="preserve">Total Capital </t>
  </si>
  <si>
    <t>Total pasivo y capital</t>
  </si>
  <si>
    <t>millones de $</t>
  </si>
  <si>
    <t>Accionoes comunes</t>
  </si>
  <si>
    <t>Pronóstico</t>
  </si>
  <si>
    <t>NOTAS:</t>
  </si>
  <si>
    <t>1. Se pronostica que las ventas incrementarán un 10%, al igual que los costos variables.</t>
  </si>
  <si>
    <t>2. La planta opera en su máxima capacidad, por lo que será necesaria una amplicación.</t>
  </si>
  <si>
    <t>Ventas</t>
  </si>
  <si>
    <t>Costo de ventas</t>
  </si>
  <si>
    <t>Utilidad Bruta</t>
  </si>
  <si>
    <t>Depreciación</t>
  </si>
  <si>
    <t>UAII</t>
  </si>
  <si>
    <t>Intreses</t>
  </si>
  <si>
    <t>Utilidad Neta</t>
  </si>
  <si>
    <t>Dividendos comunes</t>
  </si>
  <si>
    <t>Adición a las utilidad retenidas</t>
  </si>
  <si>
    <t>Dividendos por acción</t>
  </si>
  <si>
    <t>Número de acciones comunes</t>
  </si>
  <si>
    <t>UAI</t>
  </si>
  <si>
    <t>Utilidades por acción</t>
  </si>
  <si>
    <t>3. Los activos aumentan con las ventas, al igual que las cuentas por pagar y gastos devengados.</t>
  </si>
  <si>
    <t>FAN</t>
  </si>
  <si>
    <t>4. Fondos adicionales</t>
  </si>
  <si>
    <t>Venta de bonos a LP cupon de interés del 10%</t>
  </si>
  <si>
    <t>Capital común, $23 por acción</t>
  </si>
  <si>
    <t>Préstamo al banco, tasa del 7%</t>
  </si>
  <si>
    <t>Pronóstico 1</t>
  </si>
  <si>
    <t>Ajuste</t>
  </si>
  <si>
    <t>Impuestos (40%)</t>
  </si>
  <si>
    <t xml:space="preserve">Gastos de operación fijos </t>
  </si>
  <si>
    <t>Textiles Unilate, S.A.</t>
  </si>
  <si>
    <t>Estado de Resultados</t>
  </si>
  <si>
    <t>2018-1</t>
  </si>
  <si>
    <t>2018-2</t>
  </si>
  <si>
    <t>2018 - 2</t>
  </si>
  <si>
    <t>Balance General</t>
  </si>
  <si>
    <t>Planta y equipo  Neto</t>
  </si>
  <si>
    <t>Gastos Devengados</t>
  </si>
  <si>
    <t>Total Pasivos Circulantes</t>
  </si>
  <si>
    <t>Bonos a Largo Plazo</t>
  </si>
  <si>
    <t>Ajuste 1</t>
  </si>
  <si>
    <t>2018-3</t>
  </si>
  <si>
    <t>¿Capacidad instalada?</t>
  </si>
  <si>
    <t>al 31 de diciembre del 2018</t>
  </si>
  <si>
    <t>2020-1</t>
  </si>
  <si>
    <t>2020 - 2</t>
  </si>
  <si>
    <t>2020 - 3</t>
  </si>
  <si>
    <t>al 31 de diciembre del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</si>
</sst>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.0"/>
    <numFmt numFmtId="165" formatCode="0.000"/>
    <numFmt numFmtId="166" formatCode="0.0000"/>
    <numFmt numFmtId="167" formatCode="_-* #,##0.0000_-;\-* #,##0.0000_-;_-* &quot;-&quot;??_-;_-@_-"/>
    <numFmt numFmtId="168" formatCode="0.00000000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3" borderId="0" xfId="0" applyFill="1"/>
    <xf numFmtId="9" fontId="5" fillId="0" borderId="0" xfId="0" applyNumberFormat="1" applyFont="1"/>
    <xf numFmtId="0" fontId="5" fillId="0" borderId="0" xfId="0" applyFont="1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164" fontId="0" fillId="2" borderId="0" xfId="0" applyNumberFormat="1" applyFill="1"/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12" applyNumberFormat="1" applyFont="1"/>
    <xf numFmtId="9" fontId="0" fillId="0" borderId="0" xfId="0" applyNumberFormat="1"/>
    <xf numFmtId="0" fontId="0" fillId="5" borderId="0" xfId="0" applyFill="1"/>
    <xf numFmtId="9" fontId="5" fillId="6" borderId="0" xfId="0" applyNumberFormat="1" applyFont="1" applyFill="1"/>
    <xf numFmtId="0" fontId="5" fillId="6" borderId="0" xfId="0" applyFont="1" applyFill="1"/>
    <xf numFmtId="0" fontId="0" fillId="6" borderId="0" xfId="0" applyFill="1"/>
    <xf numFmtId="166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166" fontId="0" fillId="7" borderId="0" xfId="0" applyNumberFormat="1" applyFill="1"/>
    <xf numFmtId="168" fontId="0" fillId="0" borderId="0" xfId="0" applyNumberFormat="1"/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2" fontId="0" fillId="2" borderId="0" xfId="0" applyNumberFormat="1" applyFill="1"/>
    <xf numFmtId="165" fontId="0" fillId="2" borderId="0" xfId="0" applyNumberFormat="1" applyFill="1"/>
    <xf numFmtId="2" fontId="0" fillId="0" borderId="0" xfId="0" applyNumberFormat="1" applyFill="1"/>
    <xf numFmtId="2" fontId="2" fillId="4" borderId="1" xfId="0" applyNumberFormat="1" applyFont="1" applyFill="1" applyBorder="1"/>
    <xf numFmtId="9" fontId="0" fillId="0" borderId="0" xfId="0" applyNumberFormat="1" applyFill="1"/>
    <xf numFmtId="9" fontId="2" fillId="2" borderId="1" xfId="0" applyNumberFormat="1" applyFont="1" applyFill="1" applyBorder="1"/>
    <xf numFmtId="0" fontId="6" fillId="0" borderId="0" xfId="0" applyFont="1"/>
    <xf numFmtId="164" fontId="6" fillId="0" borderId="0" xfId="0" applyNumberFormat="1" applyFont="1"/>
    <xf numFmtId="166" fontId="6" fillId="0" borderId="0" xfId="0" applyNumberFormat="1" applyFont="1"/>
    <xf numFmtId="2" fontId="6" fillId="0" borderId="0" xfId="0" applyNumberFormat="1" applyFont="1"/>
    <xf numFmtId="9" fontId="0" fillId="2" borderId="2" xfId="1" applyFont="1" applyFill="1" applyBorder="1" applyAlignment="1">
      <alignment horizontal="center"/>
    </xf>
    <xf numFmtId="166" fontId="2" fillId="4" borderId="1" xfId="0" applyNumberFormat="1" applyFont="1" applyFill="1" applyBorder="1"/>
    <xf numFmtId="0" fontId="7" fillId="0" borderId="0" xfId="0" applyFont="1"/>
    <xf numFmtId="2" fontId="8" fillId="7" borderId="2" xfId="0" applyNumberFormat="1" applyFont="1" applyFill="1" applyBorder="1"/>
    <xf numFmtId="0" fontId="2" fillId="8" borderId="0" xfId="0" applyFont="1" applyFill="1"/>
    <xf numFmtId="0" fontId="0" fillId="8" borderId="0" xfId="0" applyFill="1"/>
    <xf numFmtId="0" fontId="0" fillId="0" borderId="0" xfId="0" applyFill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3">
    <cellStyle name="Comma" xfId="12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924486</xdr:colOff>
      <xdr:row>60</xdr:row>
      <xdr:rowOff>28015</xdr:rowOff>
    </xdr:from>
    <xdr:to>
      <xdr:col>8</xdr:col>
      <xdr:colOff>798420</xdr:colOff>
      <xdr:row>62</xdr:row>
      <xdr:rowOff>196103</xdr:rowOff>
    </xdr:to>
    <xdr:sp macro="" textlink="">
      <xdr:nvSpPr>
        <xdr:cNvPr id="3" name="Down Arrow 2"/>
        <xdr:cNvSpPr/>
      </xdr:nvSpPr>
      <xdr:spPr>
        <a:xfrm>
          <a:off x="7900148" y="11850221"/>
          <a:ext cx="882463" cy="560294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"/>
  <sheetViews>
    <sheetView workbookViewId="0">
      <selection activeCell="C5" sqref="C5"/>
    </sheetView>
  </sheetViews>
  <sheetFormatPr defaultColWidth="11" defaultRowHeight="15.75" x14ac:dyDescent="0.25"/>
  <cols>
    <col min="1" max="1" width="15" bestFit="1" customWidth="1"/>
    <col min="2" max="2" width="26.125" bestFit="1" customWidth="1"/>
    <col min="4" max="4" width="11.625" bestFit="1" customWidth="1"/>
    <col min="5" max="7" width="12.5" customWidth="1"/>
    <col min="8" max="8" width="11.625" bestFit="1" customWidth="1"/>
  </cols>
  <sheetData>
    <row r="1" spans="2:9" x14ac:dyDescent="0.25">
      <c r="B1" s="44" t="s">
        <v>40</v>
      </c>
      <c r="C1" s="44"/>
    </row>
    <row r="2" spans="2:9" x14ac:dyDescent="0.25">
      <c r="B2" s="44" t="s">
        <v>41</v>
      </c>
      <c r="C2" s="44"/>
    </row>
    <row r="3" spans="2:9" x14ac:dyDescent="0.25">
      <c r="B3" s="45" t="s">
        <v>57</v>
      </c>
      <c r="C3" s="44"/>
    </row>
    <row r="4" spans="2:9" x14ac:dyDescent="0.25">
      <c r="B4" s="44" t="s">
        <v>11</v>
      </c>
      <c r="C4" s="44"/>
    </row>
    <row r="5" spans="2:9" x14ac:dyDescent="0.25">
      <c r="C5" s="3">
        <v>2017</v>
      </c>
      <c r="D5" s="3" t="s">
        <v>36</v>
      </c>
      <c r="E5" s="3" t="s">
        <v>42</v>
      </c>
      <c r="F5" s="3" t="s">
        <v>50</v>
      </c>
      <c r="G5" s="3" t="s">
        <v>43</v>
      </c>
      <c r="H5" s="3" t="s">
        <v>37</v>
      </c>
      <c r="I5" s="3" t="s">
        <v>51</v>
      </c>
    </row>
    <row r="6" spans="2:9" x14ac:dyDescent="0.25">
      <c r="B6" t="s">
        <v>17</v>
      </c>
      <c r="C6">
        <v>1500</v>
      </c>
      <c r="D6">
        <v>1.1000000000000001</v>
      </c>
      <c r="E6">
        <f>C6*D6</f>
        <v>1650.0000000000002</v>
      </c>
      <c r="G6">
        <f>E6</f>
        <v>1650.0000000000002</v>
      </c>
      <c r="I6">
        <f t="shared" ref="I6:I11" si="0">E6</f>
        <v>1650.0000000000002</v>
      </c>
    </row>
    <row r="7" spans="2:9" x14ac:dyDescent="0.25">
      <c r="B7" t="s">
        <v>18</v>
      </c>
      <c r="C7">
        <v>-1230</v>
      </c>
      <c r="D7">
        <v>1.1000000000000001</v>
      </c>
      <c r="E7">
        <f>C7*D7</f>
        <v>-1353</v>
      </c>
      <c r="G7">
        <f t="shared" ref="G7:G10" si="1">E7</f>
        <v>-1353</v>
      </c>
      <c r="I7">
        <f t="shared" si="0"/>
        <v>-1353</v>
      </c>
    </row>
    <row r="8" spans="2:9" x14ac:dyDescent="0.25">
      <c r="B8" t="s">
        <v>19</v>
      </c>
      <c r="C8">
        <f>SUM(C6:C7)</f>
        <v>270</v>
      </c>
      <c r="E8">
        <f>SUM(E6:E7)</f>
        <v>297.00000000000023</v>
      </c>
      <c r="G8">
        <f>SUM(G6:G7)</f>
        <v>297.00000000000023</v>
      </c>
      <c r="I8">
        <f t="shared" si="0"/>
        <v>297.00000000000023</v>
      </c>
    </row>
    <row r="9" spans="2:9" x14ac:dyDescent="0.25">
      <c r="B9" t="s">
        <v>39</v>
      </c>
      <c r="C9">
        <v>-90</v>
      </c>
      <c r="D9">
        <v>1.1000000000000001</v>
      </c>
      <c r="E9">
        <f>C9*D9</f>
        <v>-99.000000000000014</v>
      </c>
      <c r="G9">
        <f t="shared" si="1"/>
        <v>-99.000000000000014</v>
      </c>
      <c r="I9">
        <f t="shared" si="0"/>
        <v>-99.000000000000014</v>
      </c>
    </row>
    <row r="10" spans="2:9" x14ac:dyDescent="0.25">
      <c r="B10" t="s">
        <v>20</v>
      </c>
      <c r="C10">
        <v>-50</v>
      </c>
      <c r="D10">
        <v>1.1000000000000001</v>
      </c>
      <c r="E10">
        <f>C10*D10</f>
        <v>-55.000000000000007</v>
      </c>
      <c r="G10">
        <f t="shared" si="1"/>
        <v>-55.000000000000007</v>
      </c>
      <c r="I10">
        <f t="shared" si="0"/>
        <v>-55.000000000000007</v>
      </c>
    </row>
    <row r="11" spans="2:9" x14ac:dyDescent="0.25">
      <c r="B11" t="s">
        <v>21</v>
      </c>
      <c r="C11">
        <f>SUM(C8:C10)</f>
        <v>130</v>
      </c>
      <c r="E11">
        <f>SUM(E8:E10)</f>
        <v>143.00000000000023</v>
      </c>
      <c r="G11">
        <f>SUM(G8:G10)</f>
        <v>143.00000000000023</v>
      </c>
      <c r="I11">
        <f t="shared" si="0"/>
        <v>143.00000000000023</v>
      </c>
    </row>
    <row r="12" spans="2:9" x14ac:dyDescent="0.25">
      <c r="B12" t="s">
        <v>22</v>
      </c>
      <c r="C12">
        <v>-40</v>
      </c>
      <c r="E12">
        <f>C12</f>
        <v>-40</v>
      </c>
      <c r="F12">
        <f>BG!I34</f>
        <v>1.3023499999999946</v>
      </c>
      <c r="G12">
        <f>C12-F12</f>
        <v>-41.302349999999997</v>
      </c>
      <c r="H12" s="12">
        <f>J50</f>
        <v>1.3725000000000001</v>
      </c>
      <c r="I12" s="8">
        <f>E12-H12</f>
        <v>-41.372500000000002</v>
      </c>
    </row>
    <row r="13" spans="2:9" x14ac:dyDescent="0.25">
      <c r="B13" t="s">
        <v>28</v>
      </c>
      <c r="C13">
        <f>SUM(C11:C12)</f>
        <v>90</v>
      </c>
      <c r="E13">
        <f>SUM(E11:E12)</f>
        <v>103.00000000000023</v>
      </c>
      <c r="G13">
        <f>G11+G12</f>
        <v>101.69765000000024</v>
      </c>
      <c r="I13" s="8">
        <f>SUM(I11:I12)</f>
        <v>101.62750000000023</v>
      </c>
    </row>
    <row r="14" spans="2:9" x14ac:dyDescent="0.25">
      <c r="B14" t="s">
        <v>38</v>
      </c>
      <c r="C14">
        <f>C13*-40%</f>
        <v>-36</v>
      </c>
      <c r="E14">
        <f>E13*-40%</f>
        <v>-41.200000000000095</v>
      </c>
      <c r="G14">
        <f>G13*0.4</f>
        <v>40.679060000000099</v>
      </c>
      <c r="I14" s="8">
        <f t="shared" ref="I14" si="2">I13*-40%</f>
        <v>-40.651000000000096</v>
      </c>
    </row>
    <row r="15" spans="2:9" x14ac:dyDescent="0.25">
      <c r="B15" t="s">
        <v>23</v>
      </c>
      <c r="C15">
        <f>SUM(C13:C14)</f>
        <v>54</v>
      </c>
      <c r="E15">
        <f>SUM(E13:E14)</f>
        <v>61.800000000000132</v>
      </c>
      <c r="G15">
        <f>G13-G14</f>
        <v>61.018590000000138</v>
      </c>
      <c r="I15" s="8">
        <f>SUM(I13:I14)</f>
        <v>60.976500000000129</v>
      </c>
    </row>
    <row r="16" spans="2:9" x14ac:dyDescent="0.25">
      <c r="I16" s="8"/>
    </row>
    <row r="17" spans="2:9" x14ac:dyDescent="0.25">
      <c r="B17" t="s">
        <v>24</v>
      </c>
      <c r="C17">
        <f>-29</f>
        <v>-29</v>
      </c>
      <c r="D17" s="9"/>
      <c r="E17">
        <f t="shared" ref="E17" si="3">-29</f>
        <v>-29</v>
      </c>
      <c r="I17" s="8">
        <f>I21*-I22</f>
        <v>-30.475217391304344</v>
      </c>
    </row>
    <row r="18" spans="2:9" x14ac:dyDescent="0.25">
      <c r="B18" t="s">
        <v>25</v>
      </c>
      <c r="C18">
        <f>C15+C17</f>
        <v>25</v>
      </c>
      <c r="E18">
        <f>E15+E17</f>
        <v>32.800000000000132</v>
      </c>
      <c r="H18" s="8">
        <f>I18-E18</f>
        <v>-2.298717391304347</v>
      </c>
      <c r="I18" s="8">
        <f>I15+I17</f>
        <v>30.501282608695785</v>
      </c>
    </row>
    <row r="19" spans="2:9" x14ac:dyDescent="0.25">
      <c r="I19" s="8"/>
    </row>
    <row r="20" spans="2:9" x14ac:dyDescent="0.25">
      <c r="B20" t="s">
        <v>29</v>
      </c>
      <c r="C20">
        <f>C15/C22</f>
        <v>2.16</v>
      </c>
      <c r="E20">
        <f>E15/E22</f>
        <v>2.4720000000000053</v>
      </c>
      <c r="I20" s="7">
        <f>I15/I22</f>
        <v>2.3209921390153134</v>
      </c>
    </row>
    <row r="21" spans="2:9" x14ac:dyDescent="0.25">
      <c r="B21" t="s">
        <v>26</v>
      </c>
      <c r="C21">
        <f>-C17/C22</f>
        <v>1.1599999999999999</v>
      </c>
      <c r="E21">
        <f>-E17/E22</f>
        <v>1.1599999999999999</v>
      </c>
      <c r="G21">
        <v>1.1599999999999999</v>
      </c>
      <c r="I21" s="7">
        <f>E21</f>
        <v>1.1599999999999999</v>
      </c>
    </row>
    <row r="22" spans="2:9" x14ac:dyDescent="0.25">
      <c r="B22" t="s">
        <v>27</v>
      </c>
      <c r="C22">
        <v>25</v>
      </c>
      <c r="E22">
        <v>25</v>
      </c>
      <c r="F22">
        <f>BG!H33</f>
        <v>1.2067391304347774</v>
      </c>
      <c r="G22">
        <f>E22+F22</f>
        <v>26.206739130434777</v>
      </c>
      <c r="H22">
        <f>I49</f>
        <v>1.2717391304347827</v>
      </c>
      <c r="I22" s="7">
        <f>E22+H22</f>
        <v>26.271739130434781</v>
      </c>
    </row>
    <row r="23" spans="2:9" x14ac:dyDescent="0.25">
      <c r="I23" s="8"/>
    </row>
    <row r="24" spans="2:9" x14ac:dyDescent="0.25">
      <c r="I24" s="8"/>
    </row>
    <row r="25" spans="2:9" x14ac:dyDescent="0.25">
      <c r="I25" s="8"/>
    </row>
    <row r="26" spans="2:9" x14ac:dyDescent="0.25">
      <c r="I26" s="8"/>
    </row>
    <row r="27" spans="2:9" x14ac:dyDescent="0.25">
      <c r="I27" s="8"/>
    </row>
    <row r="28" spans="2:9" x14ac:dyDescent="0.25">
      <c r="I28" s="8"/>
    </row>
    <row r="29" spans="2:9" x14ac:dyDescent="0.25">
      <c r="I29" s="8"/>
    </row>
    <row r="30" spans="2:9" x14ac:dyDescent="0.25">
      <c r="I30" s="8"/>
    </row>
    <row r="31" spans="2:9" x14ac:dyDescent="0.25">
      <c r="I31" s="8"/>
    </row>
    <row r="32" spans="2:9" x14ac:dyDescent="0.25">
      <c r="I32" s="8"/>
    </row>
    <row r="33" spans="2:9" x14ac:dyDescent="0.25">
      <c r="I33" s="8"/>
    </row>
    <row r="34" spans="2:9" x14ac:dyDescent="0.25">
      <c r="I34" s="8"/>
    </row>
    <row r="35" spans="2:9" x14ac:dyDescent="0.25">
      <c r="I35" s="8"/>
    </row>
    <row r="36" spans="2:9" x14ac:dyDescent="0.25">
      <c r="I36" s="8"/>
    </row>
    <row r="37" spans="2:9" x14ac:dyDescent="0.25">
      <c r="I37" s="8"/>
    </row>
    <row r="38" spans="2:9" x14ac:dyDescent="0.25">
      <c r="I38" s="8"/>
    </row>
    <row r="39" spans="2:9" x14ac:dyDescent="0.25">
      <c r="I39" s="8"/>
    </row>
    <row r="40" spans="2:9" x14ac:dyDescent="0.25">
      <c r="I40" s="8"/>
    </row>
    <row r="44" spans="2:9" x14ac:dyDescent="0.25">
      <c r="B44" t="s">
        <v>14</v>
      </c>
    </row>
    <row r="45" spans="2:9" x14ac:dyDescent="0.25">
      <c r="B45" t="s">
        <v>15</v>
      </c>
    </row>
    <row r="46" spans="2:9" x14ac:dyDescent="0.25">
      <c r="B46" t="s">
        <v>16</v>
      </c>
    </row>
    <row r="47" spans="2:9" x14ac:dyDescent="0.25">
      <c r="B47" t="s">
        <v>30</v>
      </c>
    </row>
    <row r="48" spans="2:9" x14ac:dyDescent="0.25">
      <c r="B48" t="s">
        <v>32</v>
      </c>
      <c r="C48">
        <v>45</v>
      </c>
    </row>
    <row r="49" spans="2:10" x14ac:dyDescent="0.25">
      <c r="B49" s="5">
        <v>0.65</v>
      </c>
      <c r="C49" s="6" t="s">
        <v>34</v>
      </c>
      <c r="H49">
        <f>$C$48*B49</f>
        <v>29.25</v>
      </c>
      <c r="I49" s="7">
        <f>H49/23</f>
        <v>1.2717391304347827</v>
      </c>
    </row>
    <row r="50" spans="2:10" x14ac:dyDescent="0.25">
      <c r="B50" s="5">
        <v>0.15</v>
      </c>
      <c r="C50" s="6" t="s">
        <v>35</v>
      </c>
      <c r="H50">
        <f>$C$48*B50</f>
        <v>6.75</v>
      </c>
      <c r="I50" s="12">
        <f>H50*0.07</f>
        <v>0.47250000000000003</v>
      </c>
      <c r="J50" s="12">
        <f>SUM(I50:I51)</f>
        <v>1.3725000000000001</v>
      </c>
    </row>
    <row r="51" spans="2:10" x14ac:dyDescent="0.25">
      <c r="B51" s="5">
        <v>0.2</v>
      </c>
      <c r="C51" s="6" t="s">
        <v>33</v>
      </c>
      <c r="H51">
        <f>$C$48*B51</f>
        <v>9</v>
      </c>
      <c r="I51" s="12">
        <f>H51*0.1</f>
        <v>0.9</v>
      </c>
    </row>
    <row r="52" spans="2:10" x14ac:dyDescent="0.25">
      <c r="B52" s="5">
        <v>1</v>
      </c>
      <c r="C52" s="6"/>
      <c r="D52" s="6"/>
      <c r="H52">
        <f>SUM(H49:H51)</f>
        <v>45</v>
      </c>
    </row>
  </sheetData>
  <mergeCells count="4">
    <mergeCell ref="B1:C1"/>
    <mergeCell ref="B2:C2"/>
    <mergeCell ref="B3:C3"/>
    <mergeCell ref="B4:C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opLeftCell="A10" zoomScale="82" zoomScaleNormal="82" workbookViewId="0">
      <selection activeCell="B4" sqref="B4:C4"/>
    </sheetView>
  </sheetViews>
  <sheetFormatPr defaultColWidth="11" defaultRowHeight="15.75" x14ac:dyDescent="0.25"/>
  <cols>
    <col min="1" max="1" width="19" bestFit="1" customWidth="1"/>
    <col min="2" max="2" width="22.875" customWidth="1"/>
  </cols>
  <sheetData>
    <row r="1" spans="2:7" x14ac:dyDescent="0.25">
      <c r="B1" s="44" t="s">
        <v>40</v>
      </c>
      <c r="C1" s="44"/>
    </row>
    <row r="2" spans="2:7" x14ac:dyDescent="0.25">
      <c r="B2" s="44" t="s">
        <v>45</v>
      </c>
      <c r="C2" s="44"/>
    </row>
    <row r="3" spans="2:7" x14ac:dyDescent="0.25">
      <c r="B3" s="45" t="s">
        <v>53</v>
      </c>
      <c r="C3" s="44"/>
    </row>
    <row r="4" spans="2:7" x14ac:dyDescent="0.25">
      <c r="B4" s="44" t="s">
        <v>11</v>
      </c>
      <c r="C4" s="44"/>
    </row>
    <row r="5" spans="2:7" x14ac:dyDescent="0.25">
      <c r="C5" s="2">
        <v>2017</v>
      </c>
      <c r="D5" s="2" t="s">
        <v>13</v>
      </c>
      <c r="E5" s="2" t="s">
        <v>42</v>
      </c>
      <c r="F5" s="3" t="s">
        <v>37</v>
      </c>
      <c r="G5" s="2" t="s">
        <v>44</v>
      </c>
    </row>
    <row r="6" spans="2:7" x14ac:dyDescent="0.25">
      <c r="B6" t="s">
        <v>0</v>
      </c>
      <c r="C6">
        <v>15</v>
      </c>
      <c r="D6">
        <v>1.1000000000000001</v>
      </c>
      <c r="E6">
        <f>C6*D6</f>
        <v>16.5</v>
      </c>
      <c r="G6">
        <f>E6</f>
        <v>16.5</v>
      </c>
    </row>
    <row r="7" spans="2:7" x14ac:dyDescent="0.25">
      <c r="B7" t="s">
        <v>1</v>
      </c>
      <c r="C7">
        <v>180</v>
      </c>
      <c r="D7">
        <v>1.1000000000000001</v>
      </c>
      <c r="E7">
        <f t="shared" ref="E7:E8" si="0">C7*D7</f>
        <v>198.00000000000003</v>
      </c>
      <c r="G7">
        <f t="shared" ref="G7:G11" si="1">E7</f>
        <v>198.00000000000003</v>
      </c>
    </row>
    <row r="8" spans="2:7" x14ac:dyDescent="0.25">
      <c r="B8" t="s">
        <v>2</v>
      </c>
      <c r="C8">
        <v>270</v>
      </c>
      <c r="D8">
        <v>1.1000000000000001</v>
      </c>
      <c r="E8">
        <f t="shared" si="0"/>
        <v>297</v>
      </c>
      <c r="G8">
        <f t="shared" si="1"/>
        <v>297</v>
      </c>
    </row>
    <row r="9" spans="2:7" x14ac:dyDescent="0.25">
      <c r="B9" t="s">
        <v>3</v>
      </c>
      <c r="C9">
        <f>SUM(C6:C8)</f>
        <v>465</v>
      </c>
      <c r="E9">
        <f>SUM(E6:E8)</f>
        <v>511.5</v>
      </c>
      <c r="G9">
        <f t="shared" si="1"/>
        <v>511.5</v>
      </c>
    </row>
    <row r="10" spans="2:7" x14ac:dyDescent="0.25">
      <c r="B10" t="s">
        <v>46</v>
      </c>
      <c r="C10">
        <v>380</v>
      </c>
      <c r="D10">
        <v>1.1000000000000001</v>
      </c>
      <c r="E10">
        <f>C10*D10</f>
        <v>418.00000000000006</v>
      </c>
      <c r="G10">
        <f t="shared" si="1"/>
        <v>418.00000000000006</v>
      </c>
    </row>
    <row r="11" spans="2:7" x14ac:dyDescent="0.25">
      <c r="B11" s="1" t="s">
        <v>6</v>
      </c>
      <c r="C11" s="1">
        <f>SUM(C9:C10)</f>
        <v>845</v>
      </c>
      <c r="D11" s="1"/>
      <c r="E11" s="1">
        <f>SUM(E9:E10)</f>
        <v>929.5</v>
      </c>
      <c r="F11" s="1"/>
      <c r="G11" s="1">
        <f t="shared" si="1"/>
        <v>929.5</v>
      </c>
    </row>
    <row r="13" spans="2:7" x14ac:dyDescent="0.25">
      <c r="B13" t="s">
        <v>4</v>
      </c>
      <c r="C13">
        <v>30</v>
      </c>
      <c r="D13">
        <v>1.1000000000000001</v>
      </c>
      <c r="E13">
        <f>C13*D13</f>
        <v>33</v>
      </c>
      <c r="G13">
        <f>E13</f>
        <v>33</v>
      </c>
    </row>
    <row r="14" spans="2:7" x14ac:dyDescent="0.25">
      <c r="B14" t="s">
        <v>47</v>
      </c>
      <c r="C14">
        <v>60</v>
      </c>
      <c r="D14">
        <v>1.1000000000000001</v>
      </c>
      <c r="E14">
        <f>C14*D14</f>
        <v>66</v>
      </c>
      <c r="G14">
        <f t="shared" ref="G14" si="2">E14</f>
        <v>66</v>
      </c>
    </row>
    <row r="15" spans="2:7" x14ac:dyDescent="0.25">
      <c r="B15" t="s">
        <v>5</v>
      </c>
      <c r="C15">
        <v>40</v>
      </c>
      <c r="E15">
        <f>C15</f>
        <v>40</v>
      </c>
      <c r="F15" s="8">
        <f>ER!H50</f>
        <v>6.75</v>
      </c>
      <c r="G15" s="8">
        <f>E15+F15</f>
        <v>46.75</v>
      </c>
    </row>
    <row r="16" spans="2:7" x14ac:dyDescent="0.25">
      <c r="B16" t="s">
        <v>48</v>
      </c>
      <c r="C16">
        <f>SUM(C13:C15)</f>
        <v>130</v>
      </c>
      <c r="E16">
        <f>SUM(E13:E15)</f>
        <v>139</v>
      </c>
      <c r="G16" s="8">
        <f>SUM(G13:G15)</f>
        <v>145.75</v>
      </c>
    </row>
    <row r="17" spans="2:7" x14ac:dyDescent="0.25">
      <c r="B17" t="s">
        <v>49</v>
      </c>
      <c r="C17">
        <v>300</v>
      </c>
      <c r="E17">
        <f>C17</f>
        <v>300</v>
      </c>
      <c r="F17">
        <f>ER!H51</f>
        <v>9</v>
      </c>
      <c r="G17" s="8">
        <f>E17+F17</f>
        <v>309</v>
      </c>
    </row>
    <row r="18" spans="2:7" x14ac:dyDescent="0.25">
      <c r="B18" t="s">
        <v>7</v>
      </c>
      <c r="C18">
        <f>SUM(C16:C17)</f>
        <v>430</v>
      </c>
      <c r="E18">
        <f>SUM(E16:E17)</f>
        <v>439</v>
      </c>
      <c r="G18" s="8">
        <f>SUM(G16:G17)</f>
        <v>454.75</v>
      </c>
    </row>
    <row r="20" spans="2:7" x14ac:dyDescent="0.25">
      <c r="B20" t="s">
        <v>12</v>
      </c>
      <c r="C20">
        <v>130</v>
      </c>
      <c r="E20">
        <f>C20</f>
        <v>130</v>
      </c>
      <c r="F20" s="7">
        <f>ER!H49</f>
        <v>29.25</v>
      </c>
      <c r="G20" s="8">
        <f>E20+F20</f>
        <v>159.25</v>
      </c>
    </row>
    <row r="21" spans="2:7" x14ac:dyDescent="0.25">
      <c r="B21" t="s">
        <v>8</v>
      </c>
      <c r="C21">
        <v>285</v>
      </c>
      <c r="D21">
        <f>ER!E18</f>
        <v>32.800000000000132</v>
      </c>
      <c r="E21">
        <f>C21+D21</f>
        <v>317.80000000000013</v>
      </c>
      <c r="F21" s="7">
        <f>ER!H18</f>
        <v>-2.298717391304347</v>
      </c>
      <c r="G21" s="7">
        <f>E21+F21</f>
        <v>315.50128260869576</v>
      </c>
    </row>
    <row r="22" spans="2:7" x14ac:dyDescent="0.25">
      <c r="B22" t="s">
        <v>9</v>
      </c>
      <c r="C22">
        <f>SUM(C20:C21)</f>
        <v>415</v>
      </c>
      <c r="E22">
        <f>SUM(E20:E21)</f>
        <v>447.80000000000013</v>
      </c>
      <c r="G22" s="8">
        <f>SUM(G20:G21)</f>
        <v>474.75128260869576</v>
      </c>
    </row>
    <row r="23" spans="2:7" x14ac:dyDescent="0.25">
      <c r="B23" s="1" t="s">
        <v>10</v>
      </c>
      <c r="C23" s="1">
        <f>C22+C18</f>
        <v>845</v>
      </c>
      <c r="D23" s="1"/>
      <c r="E23" s="1">
        <f>E18+E22</f>
        <v>886.80000000000018</v>
      </c>
      <c r="F23" s="1"/>
      <c r="G23" s="10">
        <f>G18+G22</f>
        <v>929.50128260869576</v>
      </c>
    </row>
    <row r="25" spans="2:7" x14ac:dyDescent="0.25">
      <c r="B25" s="4" t="s">
        <v>31</v>
      </c>
      <c r="C25" s="4"/>
      <c r="D25" s="4"/>
      <c r="E25" s="4">
        <f>E11-E23</f>
        <v>42.699999999999818</v>
      </c>
    </row>
    <row r="28" spans="2:7" x14ac:dyDescent="0.25">
      <c r="B28" t="s">
        <v>14</v>
      </c>
    </row>
    <row r="29" spans="2:7" x14ac:dyDescent="0.25">
      <c r="B29" t="s">
        <v>15</v>
      </c>
    </row>
    <row r="30" spans="2:7" x14ac:dyDescent="0.25">
      <c r="B30" t="s">
        <v>16</v>
      </c>
    </row>
    <row r="31" spans="2:7" x14ac:dyDescent="0.25">
      <c r="B31" t="s">
        <v>30</v>
      </c>
    </row>
    <row r="32" spans="2:7" x14ac:dyDescent="0.25">
      <c r="B32" t="s">
        <v>32</v>
      </c>
    </row>
    <row r="33" spans="2:9" x14ac:dyDescent="0.25">
      <c r="B33" s="5">
        <v>0.65</v>
      </c>
      <c r="C33" s="6" t="s">
        <v>34</v>
      </c>
      <c r="G33" s="13">
        <f>$E$25*B33</f>
        <v>27.754999999999882</v>
      </c>
      <c r="H33" s="14">
        <f>G33/23</f>
        <v>1.2067391304347774</v>
      </c>
    </row>
    <row r="34" spans="2:9" x14ac:dyDescent="0.25">
      <c r="B34" s="5">
        <v>0.15</v>
      </c>
      <c r="C34" s="6" t="s">
        <v>35</v>
      </c>
      <c r="G34" s="13">
        <f t="shared" ref="G34:G35" si="3">$E$25*B34</f>
        <v>6.4049999999999727</v>
      </c>
      <c r="H34" s="14">
        <f>G34*0.07</f>
        <v>0.44834999999999814</v>
      </c>
      <c r="I34" s="13">
        <f>SUM(H34:H35)</f>
        <v>1.3023499999999946</v>
      </c>
    </row>
    <row r="35" spans="2:9" x14ac:dyDescent="0.25">
      <c r="B35" s="5">
        <v>0.2</v>
      </c>
      <c r="C35" s="6" t="s">
        <v>33</v>
      </c>
      <c r="G35" s="13">
        <f t="shared" si="3"/>
        <v>8.5399999999999636</v>
      </c>
      <c r="H35" s="14">
        <f>G35*0.1</f>
        <v>0.85399999999999643</v>
      </c>
    </row>
    <row r="36" spans="2:9" x14ac:dyDescent="0.25">
      <c r="B36" s="5">
        <v>1</v>
      </c>
      <c r="C36" s="6"/>
      <c r="D36" s="6"/>
      <c r="G36" s="13">
        <f>SUM(G33:G35)</f>
        <v>42.699999999999818</v>
      </c>
    </row>
  </sheetData>
  <mergeCells count="4">
    <mergeCell ref="B1:C1"/>
    <mergeCell ref="B2:C2"/>
    <mergeCell ref="B3:C3"/>
    <mergeCell ref="B4:C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77"/>
  <sheetViews>
    <sheetView tabSelected="1" topLeftCell="D1" zoomScale="95" zoomScaleNormal="95" workbookViewId="0">
      <selection activeCell="R59" sqref="R59"/>
    </sheetView>
  </sheetViews>
  <sheetFormatPr defaultRowHeight="15.75" outlineLevelCol="1" x14ac:dyDescent="0.25"/>
  <cols>
    <col min="2" max="2" width="11.125" customWidth="1"/>
    <col min="3" max="3" width="26.5" bestFit="1" customWidth="1"/>
    <col min="4" max="4" width="8.5" customWidth="1"/>
    <col min="5" max="5" width="11.625" bestFit="1" customWidth="1"/>
    <col min="6" max="6" width="2.375" customWidth="1"/>
    <col min="7" max="7" width="13.25" bestFit="1" customWidth="1"/>
    <col min="8" max="8" width="4.5" bestFit="1" customWidth="1"/>
    <col min="9" max="9" width="13.25" customWidth="1" outlineLevel="1"/>
    <col min="10" max="10" width="9" customWidth="1" outlineLevel="1"/>
    <col min="11" max="11" width="3.875" customWidth="1"/>
    <col min="12" max="12" width="10.875" bestFit="1" customWidth="1"/>
    <col min="13" max="13" width="7.875" bestFit="1" customWidth="1"/>
    <col min="14" max="14" width="3.875" customWidth="1"/>
    <col min="15" max="15" width="9.125" customWidth="1" outlineLevel="1"/>
    <col min="16" max="16" width="16.5" customWidth="1" outlineLevel="1"/>
  </cols>
  <sheetData>
    <row r="2" spans="1:16" x14ac:dyDescent="0.25">
      <c r="C2" s="44" t="s">
        <v>40</v>
      </c>
      <c r="D2" s="44"/>
    </row>
    <row r="3" spans="1:16" x14ac:dyDescent="0.25">
      <c r="C3" s="44" t="s">
        <v>41</v>
      </c>
      <c r="D3" s="44"/>
    </row>
    <row r="4" spans="1:16" x14ac:dyDescent="0.25">
      <c r="C4" s="45" t="s">
        <v>57</v>
      </c>
      <c r="D4" s="44"/>
    </row>
    <row r="5" spans="1:16" ht="16.5" thickBot="1" x14ac:dyDescent="0.3">
      <c r="C5" s="44" t="s">
        <v>11</v>
      </c>
      <c r="D5" s="44"/>
    </row>
    <row r="6" spans="1:16" ht="16.5" thickBot="1" x14ac:dyDescent="0.3">
      <c r="C6" s="11"/>
      <c r="D6" s="11"/>
      <c r="E6" s="32">
        <v>0.1</v>
      </c>
      <c r="F6" s="31"/>
    </row>
    <row r="7" spans="1:16" x14ac:dyDescent="0.25">
      <c r="C7" s="42"/>
      <c r="D7" s="41">
        <v>2019</v>
      </c>
      <c r="E7" s="41" t="s">
        <v>13</v>
      </c>
      <c r="F7" s="41"/>
      <c r="G7" s="41" t="s">
        <v>54</v>
      </c>
      <c r="H7" s="41"/>
      <c r="I7" s="25" t="s">
        <v>37</v>
      </c>
      <c r="J7" s="41" t="s">
        <v>55</v>
      </c>
      <c r="K7" s="41"/>
      <c r="L7" s="41"/>
      <c r="M7" s="41"/>
      <c r="N7" s="41"/>
      <c r="O7" s="25" t="s">
        <v>37</v>
      </c>
      <c r="P7" s="41" t="s">
        <v>56</v>
      </c>
    </row>
    <row r="8" spans="1:16" x14ac:dyDescent="0.25">
      <c r="C8" t="s">
        <v>17</v>
      </c>
      <c r="D8">
        <v>1500</v>
      </c>
      <c r="E8" s="7">
        <f>1+($E$6*100/100)</f>
        <v>1.1000000000000001</v>
      </c>
      <c r="F8" s="7"/>
      <c r="G8">
        <f>D8*(1+$E$6)</f>
        <v>1650.0000000000002</v>
      </c>
      <c r="J8">
        <f>G8</f>
        <v>1650.0000000000002</v>
      </c>
      <c r="P8">
        <f>G8</f>
        <v>1650.0000000000002</v>
      </c>
    </row>
    <row r="9" spans="1:16" x14ac:dyDescent="0.25">
      <c r="C9" t="s">
        <v>18</v>
      </c>
      <c r="D9">
        <v>-1230</v>
      </c>
      <c r="E9" s="7">
        <f>1+($E$6*100/100)</f>
        <v>1.1000000000000001</v>
      </c>
      <c r="F9" s="7"/>
      <c r="G9">
        <f>D9*E9</f>
        <v>-1353</v>
      </c>
      <c r="J9">
        <f>G9</f>
        <v>-1353</v>
      </c>
      <c r="P9">
        <f t="shared" ref="P9:P13" si="0">G9</f>
        <v>-1353</v>
      </c>
    </row>
    <row r="10" spans="1:16" x14ac:dyDescent="0.25">
      <c r="C10" t="s">
        <v>19</v>
      </c>
      <c r="D10">
        <f>SUM(D8:D9)</f>
        <v>270</v>
      </c>
      <c r="E10" s="7"/>
      <c r="F10" s="7"/>
      <c r="G10">
        <f>SUM(G8:G9)</f>
        <v>297.00000000000023</v>
      </c>
      <c r="J10">
        <f>SUM(J8:J9)</f>
        <v>297.00000000000023</v>
      </c>
      <c r="P10">
        <f t="shared" si="0"/>
        <v>297.00000000000023</v>
      </c>
    </row>
    <row r="11" spans="1:16" x14ac:dyDescent="0.25">
      <c r="C11" t="s">
        <v>39</v>
      </c>
      <c r="D11">
        <v>-90</v>
      </c>
      <c r="E11" s="7">
        <f>1+($E$6*100/100)</f>
        <v>1.1000000000000001</v>
      </c>
      <c r="F11" s="7"/>
      <c r="G11">
        <f>D11*E11</f>
        <v>-99.000000000000014</v>
      </c>
      <c r="J11">
        <f>G11</f>
        <v>-99.000000000000014</v>
      </c>
      <c r="P11">
        <f t="shared" si="0"/>
        <v>-99.000000000000014</v>
      </c>
    </row>
    <row r="12" spans="1:16" x14ac:dyDescent="0.25">
      <c r="A12" t="s">
        <v>52</v>
      </c>
      <c r="C12" t="s">
        <v>20</v>
      </c>
      <c r="D12">
        <v>-50</v>
      </c>
      <c r="E12" s="7">
        <f>1+($E$6*100/100)</f>
        <v>1.1000000000000001</v>
      </c>
      <c r="F12" s="7"/>
      <c r="G12">
        <f>D12*E12</f>
        <v>-55.000000000000007</v>
      </c>
      <c r="J12">
        <f>G12</f>
        <v>-55.000000000000007</v>
      </c>
      <c r="P12">
        <f t="shared" si="0"/>
        <v>-55.000000000000007</v>
      </c>
    </row>
    <row r="13" spans="1:16" x14ac:dyDescent="0.25">
      <c r="C13" t="s">
        <v>21</v>
      </c>
      <c r="D13">
        <f>SUM(D10:D12)</f>
        <v>130</v>
      </c>
      <c r="E13" s="7"/>
      <c r="F13" s="7"/>
      <c r="G13">
        <f>SUM(G10:G12)</f>
        <v>143.00000000000023</v>
      </c>
      <c r="J13">
        <f>SUM(J10:J12)</f>
        <v>143.00000000000023</v>
      </c>
      <c r="P13">
        <f t="shared" si="0"/>
        <v>143.00000000000023</v>
      </c>
    </row>
    <row r="14" spans="1:16" x14ac:dyDescent="0.25">
      <c r="C14" t="s">
        <v>22</v>
      </c>
      <c r="D14">
        <v>-40</v>
      </c>
      <c r="G14">
        <f>D14</f>
        <v>-40</v>
      </c>
      <c r="I14" s="33">
        <f>M59</f>
        <v>1.3023499999999946</v>
      </c>
      <c r="J14" s="33">
        <f>D14-I14</f>
        <v>-41.302349999999997</v>
      </c>
      <c r="O14" s="33">
        <f>P66</f>
        <v>1.3724587745302403</v>
      </c>
      <c r="P14" s="33">
        <f>D14-O14</f>
        <v>-41.372458774530237</v>
      </c>
    </row>
    <row r="15" spans="1:16" x14ac:dyDescent="0.25">
      <c r="C15" t="s">
        <v>28</v>
      </c>
      <c r="D15">
        <f>SUM(D13:D14)</f>
        <v>90</v>
      </c>
      <c r="G15">
        <f>G13+G14</f>
        <v>103.00000000000023</v>
      </c>
      <c r="J15">
        <f>SUM(J13:J14)</f>
        <v>101.69765000000024</v>
      </c>
      <c r="P15">
        <f>P13+P14</f>
        <v>101.62754122547</v>
      </c>
    </row>
    <row r="16" spans="1:16" x14ac:dyDescent="0.25">
      <c r="C16" t="s">
        <v>38</v>
      </c>
      <c r="D16">
        <f>D15*-40%</f>
        <v>-36</v>
      </c>
      <c r="G16">
        <f>G15*0.4</f>
        <v>41.200000000000095</v>
      </c>
      <c r="J16">
        <f>J15*0.4*-1</f>
        <v>-40.679060000000099</v>
      </c>
      <c r="P16">
        <f>P15*0.4*-1</f>
        <v>-40.651016490187999</v>
      </c>
    </row>
    <row r="17" spans="3:16" x14ac:dyDescent="0.25">
      <c r="C17" s="1" t="s">
        <v>23</v>
      </c>
      <c r="D17" s="1">
        <f>SUM(D15:D16)</f>
        <v>54</v>
      </c>
      <c r="E17" s="1"/>
      <c r="F17" s="1"/>
      <c r="G17" s="1">
        <f>G15-G16</f>
        <v>61.800000000000132</v>
      </c>
      <c r="H17" s="1"/>
      <c r="I17" s="1"/>
      <c r="J17" s="1">
        <f>SUM(J15:J16)</f>
        <v>61.018590000000138</v>
      </c>
      <c r="K17" s="1"/>
      <c r="L17" s="1"/>
      <c r="M17" s="1"/>
      <c r="N17" s="1"/>
      <c r="O17" s="1"/>
      <c r="P17" s="1">
        <f>P15+P16</f>
        <v>60.976524735281998</v>
      </c>
    </row>
    <row r="19" spans="3:16" x14ac:dyDescent="0.25">
      <c r="C19" t="s">
        <v>24</v>
      </c>
      <c r="D19">
        <f>-29</f>
        <v>-29</v>
      </c>
      <c r="E19" s="9"/>
      <c r="F19" s="9"/>
      <c r="G19">
        <v>-29</v>
      </c>
      <c r="J19" s="13">
        <f>J23*J24*-1</f>
        <v>-30.399817391304339</v>
      </c>
      <c r="K19" s="13"/>
      <c r="L19" s="13"/>
      <c r="M19" s="13"/>
      <c r="N19" s="13"/>
      <c r="P19">
        <f>P24*P23*-1</f>
        <v>-30.475173080535708</v>
      </c>
    </row>
    <row r="20" spans="3:16" x14ac:dyDescent="0.25">
      <c r="C20" t="s">
        <v>25</v>
      </c>
      <c r="D20">
        <f>D17+D19</f>
        <v>25</v>
      </c>
      <c r="G20">
        <f>G17+G19</f>
        <v>32.800000000000132</v>
      </c>
      <c r="J20" s="13">
        <f>J17+J19</f>
        <v>30.618772608695799</v>
      </c>
      <c r="K20" s="13"/>
      <c r="L20" s="13"/>
      <c r="M20" s="13"/>
      <c r="N20" s="13"/>
      <c r="P20">
        <f>P17+P19</f>
        <v>30.501351654746291</v>
      </c>
    </row>
    <row r="22" spans="3:16" x14ac:dyDescent="0.25">
      <c r="C22" t="s">
        <v>29</v>
      </c>
      <c r="D22">
        <f>D17/D24</f>
        <v>2.16</v>
      </c>
      <c r="G22">
        <f>G17/G24</f>
        <v>2.4720000000000053</v>
      </c>
      <c r="J22">
        <f>J17/J24</f>
        <v>2.328354920324184</v>
      </c>
      <c r="P22">
        <f>P17/P24</f>
        <v>2.3209964552458495</v>
      </c>
    </row>
    <row r="23" spans="3:16" x14ac:dyDescent="0.25">
      <c r="C23" t="s">
        <v>26</v>
      </c>
      <c r="D23">
        <f>-D19/D24</f>
        <v>1.1599999999999999</v>
      </c>
      <c r="G23">
        <f>G19/G24*-1</f>
        <v>1.1599999999999999</v>
      </c>
      <c r="J23">
        <v>1.1599999999999999</v>
      </c>
      <c r="P23">
        <v>1.1599999999999999</v>
      </c>
    </row>
    <row r="24" spans="3:16" x14ac:dyDescent="0.25">
      <c r="C24" t="s">
        <v>27</v>
      </c>
      <c r="D24">
        <v>25</v>
      </c>
      <c r="G24">
        <v>25</v>
      </c>
      <c r="I24" s="33">
        <f>L58</f>
        <v>1.2067391304347774</v>
      </c>
      <c r="J24" s="33">
        <f>D24+I24</f>
        <v>26.206739130434777</v>
      </c>
      <c r="O24" s="33">
        <f>O65</f>
        <v>1.2717009314963026</v>
      </c>
      <c r="P24" s="33">
        <f>D24+O24</f>
        <v>26.271700931496301</v>
      </c>
    </row>
    <row r="28" spans="3:16" x14ac:dyDescent="0.25">
      <c r="C28" s="44" t="s">
        <v>40</v>
      </c>
      <c r="D28" s="44"/>
    </row>
    <row r="29" spans="3:16" x14ac:dyDescent="0.25">
      <c r="C29" s="44" t="s">
        <v>45</v>
      </c>
      <c r="D29" s="44"/>
    </row>
    <row r="30" spans="3:16" x14ac:dyDescent="0.25">
      <c r="C30" s="45" t="s">
        <v>57</v>
      </c>
      <c r="D30" s="44"/>
    </row>
    <row r="31" spans="3:16" x14ac:dyDescent="0.25">
      <c r="C31" s="44" t="s">
        <v>11</v>
      </c>
      <c r="D31" s="44"/>
    </row>
    <row r="32" spans="3:16" x14ac:dyDescent="0.25">
      <c r="C32" s="11"/>
      <c r="D32" s="11"/>
    </row>
    <row r="33" spans="3:16" x14ac:dyDescent="0.25">
      <c r="C33" s="26"/>
      <c r="D33" s="25">
        <v>2019</v>
      </c>
      <c r="E33" s="25" t="s">
        <v>13</v>
      </c>
      <c r="F33" s="25"/>
      <c r="G33" s="41" t="s">
        <v>54</v>
      </c>
      <c r="H33" s="41"/>
      <c r="I33" s="25" t="s">
        <v>37</v>
      </c>
      <c r="J33" s="41" t="s">
        <v>55</v>
      </c>
      <c r="K33" s="41"/>
      <c r="L33" s="41"/>
      <c r="M33" s="41"/>
      <c r="N33" s="41"/>
      <c r="O33" s="25" t="s">
        <v>37</v>
      </c>
      <c r="P33" s="41" t="s">
        <v>56</v>
      </c>
    </row>
    <row r="34" spans="3:16" x14ac:dyDescent="0.25"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</row>
    <row r="35" spans="3:16" x14ac:dyDescent="0.25">
      <c r="C35" t="s">
        <v>0</v>
      </c>
      <c r="D35">
        <v>15</v>
      </c>
      <c r="E35" s="7">
        <f>1+($E$6*100/100)</f>
        <v>1.1000000000000001</v>
      </c>
      <c r="F35" s="7"/>
      <c r="G35">
        <f>D35*E35</f>
        <v>16.5</v>
      </c>
      <c r="J35">
        <f>G35</f>
        <v>16.5</v>
      </c>
      <c r="P35">
        <f>J35</f>
        <v>16.5</v>
      </c>
    </row>
    <row r="36" spans="3:16" x14ac:dyDescent="0.25">
      <c r="C36" t="s">
        <v>1</v>
      </c>
      <c r="D36">
        <v>180</v>
      </c>
      <c r="E36" s="7">
        <f>1+($E$6*100/100)</f>
        <v>1.1000000000000001</v>
      </c>
      <c r="F36" s="7"/>
      <c r="G36">
        <f t="shared" ref="G36:G37" si="1">D36*E36</f>
        <v>198.00000000000003</v>
      </c>
      <c r="J36">
        <f>G36</f>
        <v>198.00000000000003</v>
      </c>
      <c r="P36">
        <f t="shared" ref="P36:P40" si="2">J36</f>
        <v>198.00000000000003</v>
      </c>
    </row>
    <row r="37" spans="3:16" x14ac:dyDescent="0.25">
      <c r="C37" t="s">
        <v>2</v>
      </c>
      <c r="D37">
        <v>270</v>
      </c>
      <c r="E37" s="7">
        <f>1+($E$6*100/100)</f>
        <v>1.1000000000000001</v>
      </c>
      <c r="F37" s="7"/>
      <c r="G37">
        <f t="shared" si="1"/>
        <v>297</v>
      </c>
      <c r="J37">
        <f>G37</f>
        <v>297</v>
      </c>
      <c r="P37">
        <f t="shared" si="2"/>
        <v>297</v>
      </c>
    </row>
    <row r="38" spans="3:16" x14ac:dyDescent="0.25">
      <c r="C38" t="s">
        <v>3</v>
      </c>
      <c r="D38">
        <f>SUM(D35:D37)</f>
        <v>465</v>
      </c>
      <c r="E38" s="7"/>
      <c r="F38" s="7"/>
      <c r="G38">
        <f>SUM(G35:G37)</f>
        <v>511.5</v>
      </c>
      <c r="J38">
        <f>SUM(J35:J37)</f>
        <v>511.5</v>
      </c>
      <c r="P38">
        <f t="shared" si="2"/>
        <v>511.5</v>
      </c>
    </row>
    <row r="39" spans="3:16" x14ac:dyDescent="0.25">
      <c r="C39" t="s">
        <v>46</v>
      </c>
      <c r="D39">
        <v>380</v>
      </c>
      <c r="E39" s="7">
        <f>1+($E$6*100/100)</f>
        <v>1.1000000000000001</v>
      </c>
      <c r="F39" s="7"/>
      <c r="G39">
        <f>D39*E39</f>
        <v>418.00000000000006</v>
      </c>
      <c r="J39">
        <f>G39</f>
        <v>418.00000000000006</v>
      </c>
      <c r="P39">
        <f t="shared" si="2"/>
        <v>418.00000000000006</v>
      </c>
    </row>
    <row r="40" spans="3:16" x14ac:dyDescent="0.25">
      <c r="C40" s="1" t="s">
        <v>6</v>
      </c>
      <c r="D40" s="1">
        <f>SUM(D38:D39)</f>
        <v>845</v>
      </c>
      <c r="E40" s="27"/>
      <c r="F40" s="27"/>
      <c r="G40" s="1">
        <f>SUM(G38:G39)</f>
        <v>929.5</v>
      </c>
      <c r="H40" s="37">
        <f>(G40-D40)/D40</f>
        <v>0.1</v>
      </c>
      <c r="I40" s="1"/>
      <c r="J40" s="1">
        <f>J38+J39</f>
        <v>929.5</v>
      </c>
      <c r="K40" s="1"/>
      <c r="L40" s="1">
        <f>G40-D40</f>
        <v>84.5</v>
      </c>
      <c r="M40" s="1"/>
      <c r="N40" s="1"/>
      <c r="O40" s="1"/>
      <c r="P40" s="28">
        <f t="shared" si="2"/>
        <v>929.5</v>
      </c>
    </row>
    <row r="41" spans="3:16" x14ac:dyDescent="0.25">
      <c r="E41" s="7"/>
      <c r="F41" s="7"/>
    </row>
    <row r="42" spans="3:16" x14ac:dyDescent="0.25">
      <c r="C42" t="s">
        <v>4</v>
      </c>
      <c r="D42">
        <v>30</v>
      </c>
      <c r="E42" s="7">
        <f>1+($E$6*100/100)</f>
        <v>1.1000000000000001</v>
      </c>
      <c r="F42" s="7"/>
      <c r="G42">
        <f>D42*E42</f>
        <v>33</v>
      </c>
      <c r="J42">
        <f>G42</f>
        <v>33</v>
      </c>
      <c r="P42">
        <f>G42</f>
        <v>33</v>
      </c>
    </row>
    <row r="43" spans="3:16" x14ac:dyDescent="0.25">
      <c r="C43" t="s">
        <v>47</v>
      </c>
      <c r="D43">
        <v>60</v>
      </c>
      <c r="E43" s="7">
        <f>1+($E$6*100/100)</f>
        <v>1.1000000000000001</v>
      </c>
      <c r="F43" s="7"/>
      <c r="G43">
        <f>D43*E43</f>
        <v>66</v>
      </c>
      <c r="J43">
        <f>G43</f>
        <v>66</v>
      </c>
      <c r="P43">
        <f>G43</f>
        <v>66</v>
      </c>
    </row>
    <row r="44" spans="3:16" x14ac:dyDescent="0.25">
      <c r="C44" t="s">
        <v>5</v>
      </c>
      <c r="D44">
        <v>40</v>
      </c>
      <c r="E44" s="7"/>
      <c r="F44" s="7"/>
      <c r="G44">
        <f>D44</f>
        <v>40</v>
      </c>
      <c r="I44" s="34">
        <f>J59</f>
        <v>6.4049999999999727</v>
      </c>
      <c r="J44" s="34">
        <f>D44+I44</f>
        <v>46.404999999999973</v>
      </c>
      <c r="K44" s="8"/>
      <c r="L44" s="8"/>
      <c r="M44" s="8"/>
      <c r="N44" s="8"/>
      <c r="O44" s="35">
        <f>J66</f>
        <v>6.7497972517880678</v>
      </c>
      <c r="P44" s="35">
        <f>G44+O44</f>
        <v>46.749797251788067</v>
      </c>
    </row>
    <row r="45" spans="3:16" x14ac:dyDescent="0.25">
      <c r="C45" t="s">
        <v>48</v>
      </c>
      <c r="D45">
        <f>SUM(D42:D44)</f>
        <v>130</v>
      </c>
      <c r="G45">
        <f>SUM(G42:G44)</f>
        <v>139</v>
      </c>
      <c r="J45" s="8">
        <f>SUM(J42:J44)</f>
        <v>145.40499999999997</v>
      </c>
      <c r="K45" s="8"/>
      <c r="L45" s="8"/>
      <c r="M45" s="8"/>
      <c r="N45" s="8"/>
      <c r="P45">
        <f>SUM(P42:P44)</f>
        <v>145.74979725178807</v>
      </c>
    </row>
    <row r="46" spans="3:16" x14ac:dyDescent="0.25">
      <c r="C46" t="s">
        <v>49</v>
      </c>
      <c r="D46">
        <v>300</v>
      </c>
      <c r="G46">
        <f>D46</f>
        <v>300</v>
      </c>
      <c r="I46" s="35">
        <f>J60</f>
        <v>8.5399999999999636</v>
      </c>
      <c r="J46" s="34">
        <f>D46+I46</f>
        <v>308.53999999999996</v>
      </c>
      <c r="K46" s="8"/>
      <c r="L46" s="8"/>
      <c r="M46" s="8"/>
      <c r="N46" s="8"/>
      <c r="O46" s="35">
        <f>J67</f>
        <v>8.9997296690507564</v>
      </c>
      <c r="P46" s="35">
        <f>G46+O46</f>
        <v>308.99972966905074</v>
      </c>
    </row>
    <row r="47" spans="3:16" x14ac:dyDescent="0.25">
      <c r="C47" t="s">
        <v>7</v>
      </c>
      <c r="D47">
        <f>SUM(D45:D46)</f>
        <v>430</v>
      </c>
      <c r="G47">
        <f>G45+G46</f>
        <v>439</v>
      </c>
      <c r="J47" s="8">
        <f>J45+J46</f>
        <v>453.94499999999994</v>
      </c>
      <c r="K47" s="8"/>
      <c r="L47" s="8"/>
      <c r="M47" s="8"/>
      <c r="N47" s="8"/>
      <c r="P47" s="13">
        <f>P45+P46</f>
        <v>454.74952692083878</v>
      </c>
    </row>
    <row r="49" spans="3:20" x14ac:dyDescent="0.25">
      <c r="C49" t="s">
        <v>12</v>
      </c>
      <c r="D49">
        <v>130</v>
      </c>
      <c r="G49">
        <f>D49</f>
        <v>130</v>
      </c>
      <c r="I49" s="36">
        <f>J58</f>
        <v>27.754999999999882</v>
      </c>
      <c r="J49" s="34">
        <f>D49+I49</f>
        <v>157.75499999999988</v>
      </c>
      <c r="K49" s="8"/>
      <c r="L49" s="8"/>
      <c r="M49" s="8"/>
      <c r="N49" s="8"/>
      <c r="O49" s="35">
        <f>J65</f>
        <v>29.249121424414959</v>
      </c>
      <c r="P49" s="35">
        <f>D49+O49</f>
        <v>159.24912142441497</v>
      </c>
    </row>
    <row r="50" spans="3:20" x14ac:dyDescent="0.25">
      <c r="C50" t="s">
        <v>8</v>
      </c>
      <c r="D50">
        <v>285</v>
      </c>
      <c r="E50" s="16">
        <f>G20</f>
        <v>32.800000000000132</v>
      </c>
      <c r="F50" s="16"/>
      <c r="G50" s="16">
        <f>D50+E50</f>
        <v>317.80000000000013</v>
      </c>
      <c r="H50" s="16"/>
      <c r="I50" s="36">
        <f>J20</f>
        <v>30.618772608695799</v>
      </c>
      <c r="J50" s="36">
        <f>D50+J20</f>
        <v>315.61877260869579</v>
      </c>
      <c r="K50" s="7"/>
      <c r="L50" s="7"/>
      <c r="M50" s="7"/>
      <c r="N50" s="7"/>
      <c r="O50" s="33">
        <f>P20</f>
        <v>30.501351654746291</v>
      </c>
      <c r="P50" s="33">
        <f>D50+O50</f>
        <v>315.50135165474632</v>
      </c>
    </row>
    <row r="51" spans="3:20" x14ac:dyDescent="0.25">
      <c r="C51" t="s">
        <v>9</v>
      </c>
      <c r="D51">
        <f>SUM(D49:D50)</f>
        <v>415</v>
      </c>
      <c r="G51">
        <f>SUM(G49:G50)</f>
        <v>447.80000000000013</v>
      </c>
      <c r="J51" s="8">
        <f>SUM(J49:J50)</f>
        <v>473.37377260869567</v>
      </c>
      <c r="K51" s="8"/>
      <c r="L51" s="8"/>
      <c r="M51" s="8"/>
      <c r="N51" s="8"/>
      <c r="P51" s="13">
        <f>SUM(P49:P50)</f>
        <v>474.75047307916128</v>
      </c>
    </row>
    <row r="52" spans="3:20" x14ac:dyDescent="0.25">
      <c r="C52" s="1" t="s">
        <v>10</v>
      </c>
      <c r="D52" s="1">
        <f>D51+D47</f>
        <v>845</v>
      </c>
      <c r="E52" s="1"/>
      <c r="F52" s="1"/>
      <c r="G52" s="1">
        <f>G47+G51</f>
        <v>886.80000000000018</v>
      </c>
      <c r="H52" s="1"/>
      <c r="I52" s="1"/>
      <c r="J52" s="10">
        <f>J47+J51</f>
        <v>927.31877260869555</v>
      </c>
      <c r="K52" s="10"/>
      <c r="L52" s="10"/>
      <c r="M52" s="10"/>
      <c r="N52" s="10"/>
      <c r="O52" s="1"/>
      <c r="P52" s="28">
        <f>P47+P51</f>
        <v>929.5</v>
      </c>
    </row>
    <row r="54" spans="3:20" x14ac:dyDescent="0.25">
      <c r="C54" s="21" t="s">
        <v>31</v>
      </c>
      <c r="D54" s="21"/>
      <c r="E54" s="21"/>
      <c r="F54" s="21"/>
      <c r="G54" s="40">
        <f>G40-G52</f>
        <v>42.699999999999818</v>
      </c>
      <c r="H54" s="22"/>
      <c r="I54" s="21"/>
      <c r="J54" s="22">
        <f>J40-J52</f>
        <v>2.1812273913044464</v>
      </c>
      <c r="K54" s="22"/>
      <c r="L54" s="22"/>
      <c r="M54" s="22"/>
      <c r="N54" s="22"/>
      <c r="O54" s="21"/>
      <c r="P54" s="23">
        <f>P40-P52</f>
        <v>0</v>
      </c>
    </row>
    <row r="55" spans="3:20" x14ac:dyDescent="0.25">
      <c r="J55" s="7">
        <f>J54+G54</f>
        <v>44.881227391304265</v>
      </c>
      <c r="K55" s="7"/>
      <c r="L55" s="7"/>
      <c r="M55" s="7"/>
      <c r="N55" s="7"/>
      <c r="P55" s="24"/>
      <c r="T55" s="39"/>
    </row>
    <row r="56" spans="3:20" ht="16.5" thickBot="1" x14ac:dyDescent="0.3">
      <c r="J56" s="7"/>
      <c r="K56" s="7"/>
      <c r="L56" s="7"/>
      <c r="M56" s="7"/>
      <c r="N56" s="7"/>
      <c r="P56" s="24"/>
    </row>
    <row r="57" spans="3:20" ht="16.5" thickBot="1" x14ac:dyDescent="0.3">
      <c r="J57" s="30">
        <f>G54</f>
        <v>42.699999999999818</v>
      </c>
    </row>
    <row r="58" spans="3:20" x14ac:dyDescent="0.25">
      <c r="C58" s="17">
        <v>0.65</v>
      </c>
      <c r="D58" s="18" t="s">
        <v>34</v>
      </c>
      <c r="E58" s="19"/>
      <c r="F58" s="19"/>
      <c r="G58" s="19"/>
      <c r="H58" s="19"/>
      <c r="I58" s="19"/>
      <c r="J58" s="20">
        <f>$G$54*C58</f>
        <v>27.754999999999882</v>
      </c>
      <c r="K58" s="20"/>
      <c r="L58" s="19">
        <f>J58/23</f>
        <v>1.2067391304347774</v>
      </c>
      <c r="M58" s="19"/>
      <c r="N58" s="20"/>
    </row>
    <row r="59" spans="3:20" x14ac:dyDescent="0.25">
      <c r="C59" s="17">
        <v>0.15</v>
      </c>
      <c r="D59" s="18" t="s">
        <v>35</v>
      </c>
      <c r="E59" s="19"/>
      <c r="F59" s="19"/>
      <c r="G59" s="19"/>
      <c r="H59" s="19"/>
      <c r="I59" s="19"/>
      <c r="J59" s="20">
        <f>$G$54*C59</f>
        <v>6.4049999999999727</v>
      </c>
      <c r="K59" s="20"/>
      <c r="L59" s="19">
        <f>J59*0.07</f>
        <v>0.44834999999999814</v>
      </c>
      <c r="M59" s="19">
        <f>SUM(L59:L60)</f>
        <v>1.3023499999999946</v>
      </c>
      <c r="N59" s="20"/>
    </row>
    <row r="60" spans="3:20" x14ac:dyDescent="0.25">
      <c r="C60" s="17">
        <v>0.2</v>
      </c>
      <c r="D60" s="18" t="s">
        <v>33</v>
      </c>
      <c r="E60" s="19"/>
      <c r="F60" s="19"/>
      <c r="G60" s="19"/>
      <c r="H60" s="19"/>
      <c r="I60" s="19"/>
      <c r="J60" s="20">
        <f>$G$54*C60</f>
        <v>8.5399999999999636</v>
      </c>
      <c r="K60" s="20"/>
      <c r="L60" s="19">
        <f>J60*0.1</f>
        <v>0.85399999999999643</v>
      </c>
      <c r="M60" s="19"/>
      <c r="N60" s="20"/>
    </row>
    <row r="61" spans="3:20" x14ac:dyDescent="0.25">
      <c r="C61" s="17">
        <v>1</v>
      </c>
      <c r="D61" s="18"/>
      <c r="E61" s="18"/>
      <c r="F61" s="18"/>
      <c r="G61" s="19"/>
      <c r="H61" s="19"/>
      <c r="I61" s="19"/>
      <c r="J61" s="20">
        <f>SUM(J58:J60)</f>
        <v>42.699999999999818</v>
      </c>
      <c r="K61" s="20"/>
      <c r="L61" s="20"/>
      <c r="M61" s="20"/>
      <c r="N61" s="20"/>
      <c r="O61" s="43"/>
      <c r="P61" s="43"/>
    </row>
    <row r="63" spans="3:20" ht="16.5" thickBot="1" x14ac:dyDescent="0.3"/>
    <row r="64" spans="3:20" ht="16.5" thickBot="1" x14ac:dyDescent="0.3">
      <c r="J64" s="38">
        <v>44.998648345253784</v>
      </c>
      <c r="K64" s="29"/>
      <c r="L64" s="29"/>
      <c r="M64" s="29"/>
      <c r="N64" s="29"/>
    </row>
    <row r="65" spans="3:16" x14ac:dyDescent="0.25">
      <c r="C65" s="17">
        <v>0.65</v>
      </c>
      <c r="D65" s="18" t="s">
        <v>34</v>
      </c>
      <c r="E65" s="19"/>
      <c r="F65" s="19"/>
      <c r="G65" s="19"/>
      <c r="H65" s="19"/>
      <c r="I65" s="19"/>
      <c r="J65" s="20">
        <f>$J$64*C65</f>
        <v>29.249121424414959</v>
      </c>
      <c r="K65" s="20"/>
      <c r="L65" s="20"/>
      <c r="M65" s="20"/>
      <c r="N65" s="20"/>
      <c r="O65" s="19">
        <f>J65/23</f>
        <v>1.2717009314963026</v>
      </c>
      <c r="P65" s="19"/>
    </row>
    <row r="66" spans="3:16" x14ac:dyDescent="0.25">
      <c r="C66" s="17">
        <v>0.15</v>
      </c>
      <c r="D66" s="18" t="s">
        <v>35</v>
      </c>
      <c r="E66" s="19"/>
      <c r="F66" s="19"/>
      <c r="G66" s="19"/>
      <c r="H66" s="19"/>
      <c r="I66" s="19"/>
      <c r="J66" s="20">
        <f>$J$64*C66</f>
        <v>6.7497972517880678</v>
      </c>
      <c r="K66" s="20"/>
      <c r="L66" s="20"/>
      <c r="M66" s="20"/>
      <c r="N66" s="20"/>
      <c r="O66" s="19">
        <f>J66*0.07</f>
        <v>0.47248580762516479</v>
      </c>
      <c r="P66" s="19">
        <f>SUM(O66:O67)</f>
        <v>1.3724587745302403</v>
      </c>
    </row>
    <row r="67" spans="3:16" x14ac:dyDescent="0.25">
      <c r="C67" s="17">
        <v>0.2</v>
      </c>
      <c r="D67" s="18" t="s">
        <v>33</v>
      </c>
      <c r="E67" s="19"/>
      <c r="F67" s="19"/>
      <c r="G67" s="19"/>
      <c r="H67" s="19"/>
      <c r="I67" s="19"/>
      <c r="J67" s="20">
        <f>$J$64*C67</f>
        <v>8.9997296690507564</v>
      </c>
      <c r="K67" s="20"/>
      <c r="L67" s="20"/>
      <c r="M67" s="20"/>
      <c r="N67" s="20"/>
      <c r="O67" s="19">
        <f>J67*0.1</f>
        <v>0.89997296690507567</v>
      </c>
      <c r="P67" s="19"/>
    </row>
    <row r="68" spans="3:16" x14ac:dyDescent="0.25">
      <c r="C68" s="17">
        <v>1</v>
      </c>
      <c r="D68" s="18"/>
      <c r="E68" s="18"/>
      <c r="F68" s="18"/>
      <c r="G68" s="19"/>
      <c r="H68" s="19"/>
      <c r="I68" s="19"/>
      <c r="J68" s="20">
        <f>SUM(J65:J67)</f>
        <v>44.998648345253784</v>
      </c>
      <c r="K68" s="20"/>
      <c r="L68" s="20"/>
      <c r="M68" s="20"/>
      <c r="N68" s="20"/>
      <c r="O68" s="19"/>
      <c r="P68" s="19"/>
    </row>
    <row r="76" spans="3:16" x14ac:dyDescent="0.25">
      <c r="C76" s="15"/>
    </row>
    <row r="77" spans="3:16" x14ac:dyDescent="0.25">
      <c r="C77" s="15"/>
    </row>
  </sheetData>
  <mergeCells count="8">
    <mergeCell ref="C30:D30"/>
    <mergeCell ref="C31:D31"/>
    <mergeCell ref="C2:D2"/>
    <mergeCell ref="C3:D3"/>
    <mergeCell ref="C4:D4"/>
    <mergeCell ref="C5:D5"/>
    <mergeCell ref="C28:D28"/>
    <mergeCell ref="C29:D29"/>
  </mergeCells>
  <pageMargins left="0.7" right="0.7" top="0.75" bottom="0.75" header="0.3" footer="0.3"/>
  <pageSetup scale="56" orientation="portrait" r:id="rId1"/>
  <ignoredErrors>
    <ignoredError sqref="J45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</vt:lpstr>
      <vt:lpstr>BG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Maria  Lopez</dc:creator>
  <cp:lastModifiedBy>Ana Muñoz</cp:lastModifiedBy>
  <cp:lastPrinted>2019-08-28T18:04:30Z</cp:lastPrinted>
  <dcterms:created xsi:type="dcterms:W3CDTF">2017-10-04T17:15:27Z</dcterms:created>
  <dcterms:modified xsi:type="dcterms:W3CDTF">2020-08-26T15:55:24Z</dcterms:modified>
</cp:coreProperties>
</file>