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Post parcial\sols\"/>
    </mc:Choice>
  </mc:AlternateContent>
  <xr:revisionPtr revIDLastSave="0" documentId="13_ncr:1_{D474656A-799A-479D-AA23-A6C66D423423}" xr6:coauthVersionLast="45" xr6:coauthVersionMax="45" xr10:uidLastSave="{00000000-0000-0000-0000-000000000000}"/>
  <bookViews>
    <workbookView xWindow="-120" yWindow="-120" windowWidth="29040" windowHeight="15840" tabRatio="722" xr2:uid="{00000000-000D-0000-FFFF-FFFF00000000}"/>
  </bookViews>
  <sheets>
    <sheet name="ZX1" sheetId="16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6" l="1"/>
  <c r="G48" i="16"/>
  <c r="O23" i="16"/>
  <c r="K38" i="16"/>
  <c r="K34" i="16"/>
  <c r="K35" i="16"/>
  <c r="K36" i="16"/>
  <c r="R20" i="16"/>
  <c r="K19" i="16"/>
  <c r="K37" i="16"/>
  <c r="K39" i="16"/>
  <c r="K4" i="16"/>
  <c r="K11" i="16"/>
  <c r="J4" i="16"/>
  <c r="K12" i="16"/>
  <c r="I4" i="16"/>
  <c r="K13" i="16"/>
  <c r="K14" i="16"/>
  <c r="K5" i="16"/>
  <c r="K17" i="16"/>
  <c r="I5" i="16"/>
  <c r="K18" i="16"/>
  <c r="R33" i="16"/>
  <c r="R34" i="16"/>
  <c r="R35" i="16"/>
  <c r="K21" i="16"/>
  <c r="U31" i="16"/>
  <c r="V31" i="16"/>
  <c r="W31" i="16"/>
  <c r="X31" i="16"/>
  <c r="Y31" i="16"/>
  <c r="U32" i="16"/>
  <c r="V32" i="16"/>
  <c r="W32" i="16"/>
  <c r="X32" i="16"/>
  <c r="Y32" i="16"/>
  <c r="U33" i="16"/>
  <c r="V33" i="16"/>
  <c r="W33" i="16"/>
  <c r="X33" i="16"/>
  <c r="Y33" i="16"/>
  <c r="U34" i="16"/>
  <c r="V34" i="16"/>
  <c r="W34" i="16"/>
  <c r="X34" i="16"/>
  <c r="Y34" i="16"/>
  <c r="U35" i="16"/>
  <c r="V35" i="16"/>
  <c r="W35" i="16"/>
  <c r="X35" i="16"/>
  <c r="Y35" i="16"/>
  <c r="U36" i="16"/>
  <c r="W36" i="16"/>
  <c r="K40" i="16"/>
  <c r="K41" i="16"/>
  <c r="K42" i="16"/>
  <c r="K22" i="16"/>
  <c r="K23" i="16"/>
  <c r="J11" i="16"/>
  <c r="J12" i="16"/>
  <c r="H4" i="16"/>
  <c r="J13" i="16"/>
  <c r="J14" i="16"/>
  <c r="J5" i="16"/>
  <c r="J17" i="16"/>
  <c r="H5" i="16"/>
  <c r="J18" i="16"/>
  <c r="J19" i="16"/>
  <c r="J21" i="16"/>
  <c r="J34" i="16"/>
  <c r="J35" i="16"/>
  <c r="J36" i="16"/>
  <c r="J37" i="16"/>
  <c r="J38" i="16"/>
  <c r="J39" i="16"/>
  <c r="J40" i="16"/>
  <c r="J41" i="16"/>
  <c r="J42" i="16"/>
  <c r="J22" i="16"/>
  <c r="J23" i="16"/>
  <c r="I11" i="16"/>
  <c r="I12" i="16"/>
  <c r="G4" i="16"/>
  <c r="I13" i="16"/>
  <c r="I14" i="16"/>
  <c r="I17" i="16"/>
  <c r="G5" i="16"/>
  <c r="I18" i="16"/>
  <c r="I19" i="16"/>
  <c r="I21" i="16"/>
  <c r="I34" i="16"/>
  <c r="I35" i="16"/>
  <c r="I36" i="16"/>
  <c r="I37" i="16"/>
  <c r="I38" i="16"/>
  <c r="I39" i="16"/>
  <c r="I40" i="16"/>
  <c r="I41" i="16"/>
  <c r="I42" i="16"/>
  <c r="I22" i="16"/>
  <c r="I23" i="16"/>
  <c r="H11" i="16"/>
  <c r="H12" i="16"/>
  <c r="F4" i="16"/>
  <c r="H13" i="16"/>
  <c r="H14" i="16"/>
  <c r="H17" i="16"/>
  <c r="F5" i="16"/>
  <c r="H18" i="16"/>
  <c r="H19" i="16"/>
  <c r="H21" i="16"/>
  <c r="H34" i="16"/>
  <c r="H35" i="16"/>
  <c r="H36" i="16"/>
  <c r="H37" i="16"/>
  <c r="H38" i="16"/>
  <c r="H39" i="16"/>
  <c r="H40" i="16"/>
  <c r="H41" i="16"/>
  <c r="H42" i="16"/>
  <c r="H22" i="16"/>
  <c r="H23" i="16"/>
  <c r="G11" i="16"/>
  <c r="G12" i="16"/>
  <c r="G14" i="16"/>
  <c r="G17" i="16"/>
  <c r="E5" i="16"/>
  <c r="G18" i="16"/>
  <c r="G19" i="16"/>
  <c r="G21" i="16"/>
  <c r="G34" i="16"/>
  <c r="G35" i="16"/>
  <c r="G36" i="16"/>
  <c r="G37" i="16"/>
  <c r="G38" i="16"/>
  <c r="G39" i="16"/>
  <c r="G40" i="16"/>
  <c r="G41" i="16"/>
  <c r="G42" i="16"/>
  <c r="G22" i="16"/>
  <c r="G23" i="16"/>
  <c r="F11" i="16"/>
  <c r="F14" i="16"/>
  <c r="F17" i="16"/>
  <c r="F19" i="16"/>
  <c r="F21" i="16"/>
  <c r="F34" i="16"/>
  <c r="F35" i="16"/>
  <c r="F36" i="16"/>
  <c r="F37" i="16"/>
  <c r="F38" i="16"/>
  <c r="F39" i="16"/>
  <c r="F40" i="16"/>
  <c r="F41" i="16"/>
  <c r="F42" i="16"/>
  <c r="F22" i="16"/>
  <c r="F23" i="16"/>
  <c r="E14" i="16"/>
  <c r="E17" i="16"/>
  <c r="E19" i="16"/>
  <c r="E20" i="16"/>
  <c r="E23" i="16"/>
  <c r="E25" i="16"/>
  <c r="E26" i="16"/>
  <c r="F25" i="16"/>
  <c r="F26" i="16"/>
  <c r="G25" i="16"/>
  <c r="G26" i="16"/>
  <c r="H25" i="16"/>
  <c r="H26" i="16"/>
  <c r="I25" i="16"/>
  <c r="I26" i="16"/>
  <c r="J25" i="16"/>
  <c r="J26" i="16"/>
  <c r="K25" i="16"/>
  <c r="K26" i="16"/>
  <c r="K46" i="16"/>
  <c r="E47" i="16"/>
  <c r="F47" i="16"/>
  <c r="G47" i="16"/>
  <c r="H47" i="16"/>
  <c r="I47" i="16"/>
  <c r="J47" i="16"/>
  <c r="K47" i="16"/>
  <c r="H48" i="16"/>
  <c r="I48" i="16"/>
  <c r="J48" i="16"/>
  <c r="K48" i="16"/>
  <c r="K49" i="16"/>
  <c r="E56" i="16"/>
  <c r="F56" i="16"/>
  <c r="G56" i="16"/>
  <c r="H56" i="16"/>
  <c r="I56" i="16"/>
  <c r="J56" i="16"/>
  <c r="K56" i="16"/>
  <c r="J46" i="16"/>
  <c r="J49" i="16"/>
  <c r="K70" i="16"/>
  <c r="L71" i="16"/>
  <c r="D87" i="16"/>
  <c r="K71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X36" i="16"/>
  <c r="Y36" i="16"/>
  <c r="U37" i="16"/>
  <c r="L83" i="16"/>
  <c r="L84" i="16"/>
  <c r="L85" i="16"/>
  <c r="D88" i="16"/>
  <c r="W37" i="16"/>
  <c r="X37" i="16"/>
  <c r="Y37" i="16"/>
  <c r="U38" i="16"/>
  <c r="K59" i="16"/>
  <c r="J59" i="16"/>
  <c r="I59" i="16"/>
  <c r="H59" i="16"/>
  <c r="G59" i="16"/>
  <c r="F59" i="16"/>
  <c r="E59" i="16"/>
  <c r="E35" i="16"/>
  <c r="E34" i="16"/>
  <c r="E36" i="16"/>
  <c r="E57" i="16"/>
  <c r="E84" i="16"/>
  <c r="R25" i="16"/>
  <c r="H27" i="16"/>
  <c r="F27" i="16"/>
  <c r="K27" i="16"/>
  <c r="L22" i="16"/>
  <c r="C19" i="16"/>
  <c r="L5" i="16"/>
  <c r="L17" i="16"/>
  <c r="R13" i="16"/>
  <c r="R12" i="16"/>
  <c r="R10" i="16"/>
  <c r="R9" i="16"/>
  <c r="R8" i="16"/>
  <c r="R6" i="16"/>
  <c r="R5" i="16"/>
  <c r="L18" i="16"/>
  <c r="L4" i="16"/>
  <c r="L11" i="16"/>
  <c r="L12" i="16"/>
  <c r="Z3" i="16"/>
  <c r="Y3" i="16"/>
  <c r="X3" i="16"/>
  <c r="W3" i="16"/>
  <c r="V3" i="16"/>
  <c r="U3" i="16"/>
  <c r="T3" i="16"/>
  <c r="S3" i="16"/>
  <c r="W38" i="16"/>
  <c r="X38" i="16"/>
  <c r="Y38" i="16"/>
  <c r="U39" i="16"/>
  <c r="J27" i="16"/>
  <c r="L27" i="16"/>
  <c r="E37" i="16"/>
  <c r="L13" i="16"/>
  <c r="L14" i="16"/>
  <c r="K50" i="16"/>
  <c r="G50" i="16"/>
  <c r="J50" i="16"/>
  <c r="F50" i="16"/>
  <c r="I50" i="16"/>
  <c r="H50" i="16"/>
  <c r="E50" i="16"/>
  <c r="E58" i="16"/>
  <c r="E38" i="16"/>
  <c r="E51" i="16"/>
  <c r="I27" i="16"/>
  <c r="G27" i="16"/>
  <c r="W39" i="16"/>
  <c r="X39" i="16"/>
  <c r="Y39" i="16"/>
  <c r="U40" i="16"/>
  <c r="F51" i="16"/>
  <c r="G51" i="16"/>
  <c r="F52" i="16"/>
  <c r="L21" i="16"/>
  <c r="L23" i="16"/>
  <c r="E39" i="16"/>
  <c r="E52" i="16"/>
  <c r="W40" i="16"/>
  <c r="X40" i="16"/>
  <c r="Y40" i="16"/>
  <c r="U41" i="16"/>
  <c r="H51" i="16"/>
  <c r="G52" i="16"/>
  <c r="E46" i="16"/>
  <c r="E49" i="16"/>
  <c r="E41" i="16"/>
  <c r="E43" i="16"/>
  <c r="E60" i="16"/>
  <c r="E61" i="16"/>
  <c r="E83" i="16"/>
  <c r="E29" i="16"/>
  <c r="F43" i="16"/>
  <c r="F57" i="16"/>
  <c r="W41" i="16"/>
  <c r="X41" i="16"/>
  <c r="Y41" i="16"/>
  <c r="U42" i="16"/>
  <c r="I51" i="16"/>
  <c r="H52" i="16"/>
  <c r="F60" i="16"/>
  <c r="F61" i="16"/>
  <c r="E53" i="16"/>
  <c r="E70" i="16"/>
  <c r="E62" i="16"/>
  <c r="E85" i="16"/>
  <c r="E82" i="16"/>
  <c r="E76" i="16"/>
  <c r="F58" i="16"/>
  <c r="F84" i="16"/>
  <c r="W42" i="16"/>
  <c r="X42" i="16"/>
  <c r="Y42" i="16"/>
  <c r="U43" i="16"/>
  <c r="E73" i="16"/>
  <c r="J51" i="16"/>
  <c r="I52" i="16"/>
  <c r="E64" i="16"/>
  <c r="F62" i="16"/>
  <c r="F85" i="16"/>
  <c r="F83" i="16"/>
  <c r="F46" i="16"/>
  <c r="F49" i="16"/>
  <c r="F70" i="16"/>
  <c r="F73" i="16"/>
  <c r="F29" i="16"/>
  <c r="G57" i="16"/>
  <c r="W43" i="16"/>
  <c r="X43" i="16"/>
  <c r="Y43" i="16"/>
  <c r="U44" i="16"/>
  <c r="K51" i="16"/>
  <c r="K52" i="16"/>
  <c r="J52" i="16"/>
  <c r="F82" i="16"/>
  <c r="F76" i="16"/>
  <c r="G58" i="16"/>
  <c r="G84" i="16"/>
  <c r="F53" i="16"/>
  <c r="F64" i="16"/>
  <c r="G29" i="16"/>
  <c r="G46" i="16"/>
  <c r="G49" i="16"/>
  <c r="G70" i="16"/>
  <c r="G73" i="16"/>
  <c r="G43" i="16"/>
  <c r="G60" i="16"/>
  <c r="W44" i="16"/>
  <c r="X44" i="16"/>
  <c r="Y44" i="16"/>
  <c r="U45" i="16"/>
  <c r="G53" i="16"/>
  <c r="G61" i="16"/>
  <c r="H57" i="16"/>
  <c r="W45" i="16"/>
  <c r="X45" i="16"/>
  <c r="Y45" i="16"/>
  <c r="U46" i="16"/>
  <c r="G62" i="16"/>
  <c r="G64" i="16"/>
  <c r="G83" i="16"/>
  <c r="G85" i="16"/>
  <c r="H58" i="16"/>
  <c r="H84" i="16"/>
  <c r="H43" i="16"/>
  <c r="H60" i="16"/>
  <c r="H61" i="16"/>
  <c r="H46" i="16"/>
  <c r="H49" i="16"/>
  <c r="H70" i="16"/>
  <c r="H73" i="16"/>
  <c r="H29" i="16"/>
  <c r="W46" i="16"/>
  <c r="X46" i="16"/>
  <c r="Y46" i="16"/>
  <c r="U47" i="16"/>
  <c r="H62" i="16"/>
  <c r="H83" i="16"/>
  <c r="H85" i="16"/>
  <c r="H53" i="16"/>
  <c r="G82" i="16"/>
  <c r="G76" i="16"/>
  <c r="I57" i="16"/>
  <c r="W47" i="16"/>
  <c r="X47" i="16"/>
  <c r="Y47" i="16"/>
  <c r="U48" i="16"/>
  <c r="H64" i="16"/>
  <c r="H82" i="16"/>
  <c r="H76" i="16"/>
  <c r="I58" i="16"/>
  <c r="I84" i="16"/>
  <c r="I46" i="16"/>
  <c r="I49" i="16"/>
  <c r="I70" i="16"/>
  <c r="I73" i="16"/>
  <c r="I29" i="16"/>
  <c r="I43" i="16"/>
  <c r="I60" i="16"/>
  <c r="W48" i="16"/>
  <c r="X48" i="16"/>
  <c r="Y48" i="16"/>
  <c r="U49" i="16"/>
  <c r="I53" i="16"/>
  <c r="J57" i="16"/>
  <c r="I61" i="16"/>
  <c r="W49" i="16"/>
  <c r="X49" i="16"/>
  <c r="Y49" i="16"/>
  <c r="U50" i="16"/>
  <c r="I62" i="16"/>
  <c r="I64" i="16"/>
  <c r="I85" i="16"/>
  <c r="I83" i="16"/>
  <c r="J58" i="16"/>
  <c r="J84" i="16"/>
  <c r="J43" i="16"/>
  <c r="J60" i="16"/>
  <c r="J70" i="16"/>
  <c r="J73" i="16"/>
  <c r="J29" i="16"/>
  <c r="W50" i="16"/>
  <c r="X50" i="16"/>
  <c r="Y50" i="16"/>
  <c r="U51" i="16"/>
  <c r="J53" i="16"/>
  <c r="I82" i="16"/>
  <c r="I76" i="16"/>
  <c r="J61" i="16"/>
  <c r="K57" i="16"/>
  <c r="W51" i="16"/>
  <c r="X51" i="16"/>
  <c r="Y51" i="16"/>
  <c r="U52" i="16"/>
  <c r="J62" i="16"/>
  <c r="J64" i="16"/>
  <c r="J85" i="16"/>
  <c r="J83" i="16"/>
  <c r="K58" i="16"/>
  <c r="K84" i="16"/>
  <c r="K43" i="16"/>
  <c r="K60" i="16"/>
  <c r="K61" i="16"/>
  <c r="K29" i="16"/>
  <c r="L25" i="16"/>
  <c r="L26" i="16"/>
  <c r="L29" i="16"/>
  <c r="W52" i="16"/>
  <c r="X52" i="16"/>
  <c r="Y52" i="16"/>
  <c r="U53" i="16"/>
  <c r="K73" i="16"/>
  <c r="E74" i="16"/>
  <c r="J82" i="16"/>
  <c r="J76" i="16"/>
  <c r="K62" i="16"/>
  <c r="K83" i="16"/>
  <c r="K85" i="16"/>
  <c r="K53" i="16"/>
  <c r="W53" i="16"/>
  <c r="X53" i="16"/>
  <c r="Y53" i="16"/>
  <c r="U54" i="16"/>
  <c r="K64" i="16"/>
  <c r="K82" i="16"/>
  <c r="K76" i="16"/>
  <c r="W54" i="16"/>
  <c r="X54" i="16"/>
  <c r="Y54" i="16"/>
  <c r="U55" i="16"/>
  <c r="E77" i="16"/>
  <c r="W55" i="16"/>
  <c r="X55" i="16"/>
  <c r="Y55" i="16"/>
  <c r="U56" i="16"/>
  <c r="W56" i="16"/>
  <c r="X56" i="16"/>
  <c r="Y56" i="16"/>
  <c r="U57" i="16"/>
  <c r="W57" i="16"/>
  <c r="X57" i="16"/>
  <c r="Y57" i="16"/>
  <c r="U58" i="16"/>
  <c r="W58" i="16"/>
  <c r="X58" i="16"/>
  <c r="Y58" i="16"/>
  <c r="U59" i="16"/>
  <c r="W59" i="16"/>
  <c r="X59" i="16"/>
  <c r="Y59" i="16"/>
  <c r="U60" i="16"/>
  <c r="W60" i="16"/>
  <c r="X60" i="16"/>
  <c r="Y60" i="16"/>
  <c r="U61" i="16"/>
  <c r="W61" i="16"/>
  <c r="X61" i="16"/>
  <c r="Y61" i="16"/>
  <c r="U62" i="16"/>
  <c r="W62" i="16"/>
  <c r="X62" i="16"/>
  <c r="Y62" i="16"/>
  <c r="U63" i="16"/>
  <c r="W63" i="16"/>
  <c r="X63" i="16"/>
  <c r="Y63" i="16"/>
  <c r="U64" i="16"/>
  <c r="W64" i="16"/>
  <c r="X64" i="16"/>
  <c r="Y64" i="16"/>
  <c r="U65" i="16"/>
  <c r="W65" i="16"/>
  <c r="X65" i="16"/>
  <c r="Y65" i="16"/>
  <c r="U66" i="16"/>
  <c r="W66" i="16"/>
  <c r="X66" i="16"/>
  <c r="Y66" i="16"/>
  <c r="U67" i="16"/>
  <c r="W67" i="16"/>
  <c r="X67" i="16"/>
  <c r="Y67" i="16"/>
  <c r="U68" i="16"/>
  <c r="W68" i="16"/>
  <c r="X68" i="16"/>
  <c r="Y68" i="16"/>
  <c r="U69" i="16"/>
  <c r="W69" i="16"/>
  <c r="X69" i="16"/>
  <c r="Y69" i="16"/>
  <c r="U70" i="16"/>
  <c r="W70" i="16"/>
  <c r="X70" i="16"/>
  <c r="Y70" i="16"/>
  <c r="U71" i="16"/>
  <c r="W71" i="16"/>
  <c r="X71" i="16"/>
  <c r="Y71" i="16"/>
  <c r="U72" i="16"/>
  <c r="W72" i="16"/>
  <c r="X72" i="16"/>
  <c r="Y72" i="16"/>
  <c r="U73" i="16"/>
  <c r="W73" i="16"/>
  <c r="X73" i="16"/>
  <c r="Y73" i="16"/>
  <c r="U74" i="16"/>
  <c r="W74" i="16"/>
  <c r="X74" i="16"/>
  <c r="Y74" i="16"/>
  <c r="U75" i="16"/>
  <c r="W75" i="16"/>
  <c r="X75" i="16"/>
  <c r="Y75" i="16"/>
  <c r="U76" i="16"/>
  <c r="W76" i="16"/>
  <c r="X76" i="16"/>
  <c r="Y76" i="16"/>
  <c r="U77" i="16"/>
  <c r="W77" i="16"/>
  <c r="X77" i="16"/>
  <c r="Y77" i="16"/>
  <c r="U78" i="16"/>
  <c r="W78" i="16"/>
  <c r="X78" i="16"/>
  <c r="Y78" i="16"/>
  <c r="U79" i="16"/>
  <c r="W79" i="16"/>
  <c r="X79" i="16"/>
  <c r="Y79" i="16"/>
  <c r="U80" i="16"/>
  <c r="W80" i="16"/>
  <c r="X80" i="16"/>
  <c r="Y80" i="16"/>
  <c r="U81" i="16"/>
  <c r="W81" i="16"/>
  <c r="X81" i="16"/>
  <c r="Y81" i="16"/>
  <c r="U82" i="16"/>
  <c r="W82" i="16"/>
  <c r="X82" i="16"/>
  <c r="Y82" i="16"/>
  <c r="U83" i="16"/>
  <c r="W83" i="16"/>
  <c r="X83" i="16"/>
  <c r="Y83" i="16"/>
  <c r="U84" i="16"/>
  <c r="W84" i="16"/>
  <c r="X84" i="16"/>
  <c r="Y84" i="16"/>
  <c r="U85" i="16"/>
  <c r="W85" i="16"/>
  <c r="X85" i="16"/>
  <c r="Y85" i="16"/>
  <c r="U86" i="16"/>
  <c r="W86" i="16"/>
  <c r="X86" i="16"/>
  <c r="Y86" i="16"/>
  <c r="U87" i="16"/>
  <c r="W87" i="16"/>
  <c r="X87" i="16"/>
  <c r="Y87" i="16"/>
  <c r="U88" i="16"/>
  <c r="W88" i="16"/>
  <c r="X88" i="16"/>
  <c r="Y88" i="16"/>
  <c r="U89" i="16"/>
  <c r="W89" i="16"/>
  <c r="X89" i="16"/>
  <c r="Y89" i="16"/>
  <c r="U90" i="16"/>
  <c r="W90" i="16"/>
  <c r="X90" i="16"/>
  <c r="Y90" i="16"/>
</calcChain>
</file>

<file path=xl/sharedStrings.xml><?xml version="1.0" encoding="utf-8"?>
<sst xmlns="http://schemas.openxmlformats.org/spreadsheetml/2006/main" count="112" uniqueCount="87">
  <si>
    <t>ENERO</t>
  </si>
  <si>
    <t>FEBRERO</t>
  </si>
  <si>
    <t>MARZO</t>
  </si>
  <si>
    <t>ABRIL</t>
  </si>
  <si>
    <t>MAYO</t>
  </si>
  <si>
    <t>JUNIO</t>
  </si>
  <si>
    <t>JULIO</t>
  </si>
  <si>
    <t>AGOSTO</t>
  </si>
  <si>
    <t>UNIDADES</t>
  </si>
  <si>
    <t>Al contado</t>
  </si>
  <si>
    <t>Al mes siguiente</t>
  </si>
  <si>
    <t>A los dos meses</t>
  </si>
  <si>
    <t>COMPRAS</t>
  </si>
  <si>
    <t>Al crédito 60 dias</t>
  </si>
  <si>
    <t>Invesión en propiedad planta y equipo por</t>
  </si>
  <si>
    <t xml:space="preserve">Depreciación a 60 meses </t>
  </si>
  <si>
    <t xml:space="preserve">Gastos recurrentes </t>
  </si>
  <si>
    <t>Sueldos administrativos</t>
  </si>
  <si>
    <t>Gts Mercadeo</t>
  </si>
  <si>
    <t>Limpieza</t>
  </si>
  <si>
    <t>Telecomunicaciones</t>
  </si>
  <si>
    <t>Renta</t>
  </si>
  <si>
    <t>VENTAS</t>
  </si>
  <si>
    <t>Precio venta</t>
  </si>
  <si>
    <t>Costos</t>
  </si>
  <si>
    <t>INGRESOS EFECTIVO</t>
  </si>
  <si>
    <t>EGRESOS EFECTIVO</t>
  </si>
  <si>
    <t>Propiedad, Planta y equipo</t>
  </si>
  <si>
    <t>Intereses</t>
  </si>
  <si>
    <t>Impuestos</t>
  </si>
  <si>
    <t>Saldo meta de efectivo</t>
  </si>
  <si>
    <t>Capital</t>
  </si>
  <si>
    <t>Prestamo</t>
  </si>
  <si>
    <t>Saldo inicial efectivo</t>
  </si>
  <si>
    <t>Saldo final de efectivo</t>
  </si>
  <si>
    <t>Efectivo meta</t>
  </si>
  <si>
    <t>Faltante/excedebte</t>
  </si>
  <si>
    <t>N</t>
  </si>
  <si>
    <t>Rate</t>
  </si>
  <si>
    <t>PV</t>
  </si>
  <si>
    <t>Payment</t>
  </si>
  <si>
    <t>FV</t>
  </si>
  <si>
    <t>Type</t>
  </si>
  <si>
    <t>Plazo de 60 meses</t>
  </si>
  <si>
    <t>Ventas</t>
  </si>
  <si>
    <t>Cto ventas</t>
  </si>
  <si>
    <t>UT Bruta ventas</t>
  </si>
  <si>
    <t>Gastos</t>
  </si>
  <si>
    <t>Depreciación</t>
  </si>
  <si>
    <t>UAII</t>
  </si>
  <si>
    <t xml:space="preserve">UAI </t>
  </si>
  <si>
    <t>Ut NETA</t>
  </si>
  <si>
    <t>Efectivo</t>
  </si>
  <si>
    <t>Inventario</t>
  </si>
  <si>
    <t>Ctas por cobrar</t>
  </si>
  <si>
    <t>Total Activo circulante</t>
  </si>
  <si>
    <t>PPE</t>
  </si>
  <si>
    <t>Depreciacion</t>
  </si>
  <si>
    <t>PPE Neto</t>
  </si>
  <si>
    <t xml:space="preserve">TOTAL ACTIVOS </t>
  </si>
  <si>
    <t>Cts x Pagar</t>
  </si>
  <si>
    <t>PASIVO</t>
  </si>
  <si>
    <t>UT Retenidas</t>
  </si>
  <si>
    <t>CAPITAL</t>
  </si>
  <si>
    <t>PASIVO + CAPITAL</t>
  </si>
  <si>
    <t>capital</t>
  </si>
  <si>
    <t>Saldo final</t>
  </si>
  <si>
    <t>Impuestos del 25% sobre utilidades</t>
  </si>
  <si>
    <t>Total gastos recurrentes</t>
  </si>
  <si>
    <t xml:space="preserve">a una tasa interes mensual del </t>
  </si>
  <si>
    <t>Preparar:</t>
  </si>
  <si>
    <t>1. Presupuesto de capital de trabajo</t>
  </si>
  <si>
    <t>2.  Tabla de amortización del préstamo</t>
  </si>
  <si>
    <t>3.  Estado de Resultados y Balance general de enero a julio</t>
  </si>
  <si>
    <t xml:space="preserve">UNIDADES </t>
  </si>
  <si>
    <t>FCFF</t>
  </si>
  <si>
    <t>VPN</t>
  </si>
  <si>
    <t>E</t>
  </si>
  <si>
    <t>D</t>
  </si>
  <si>
    <t>V</t>
  </si>
  <si>
    <t>Re</t>
  </si>
  <si>
    <t>Rd</t>
  </si>
  <si>
    <t>TC</t>
  </si>
  <si>
    <t>TIRR</t>
  </si>
  <si>
    <r>
      <t>EBIT*(1-t)+ dep- CAPEx- (</t>
    </r>
    <r>
      <rPr>
        <b/>
        <sz val="11"/>
        <color theme="1"/>
        <rFont val="Calibri"/>
        <family val="2"/>
      </rPr>
      <t>∆ working capital</t>
    </r>
    <r>
      <rPr>
        <sz val="11"/>
        <color theme="1"/>
        <rFont val="Calibri"/>
        <family val="2"/>
      </rPr>
      <t xml:space="preserve"> </t>
    </r>
    <r>
      <rPr>
        <sz val="9.8000000000000007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act circ - pasivo cir que no genere intereses)</t>
    </r>
  </si>
  <si>
    <t>Prepetuidad constante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</si>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</sst>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3" formatCode="_-* #,##0.00_-;\-* #,##0.00_-;_-* &quot;-&quot;??_-;_-@_-"/>
    <numFmt numFmtId="164" formatCode="_-* #,##0_-;\-* #,##0_-;_-* &quot;-&quot;??_-;_-@_-"/>
    <numFmt numFmtId="165" formatCode="#,##0.00_ ;[Red]\-#,##0.00\ "/>
    <numFmt numFmtId="166" formatCode="0.000%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8000000000000007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43" fontId="0" fillId="0" borderId="0" xfId="1" applyFont="1"/>
    <xf numFmtId="164" fontId="0" fillId="0" borderId="0" xfId="0" applyNumberFormat="1"/>
    <xf numFmtId="9" fontId="0" fillId="0" borderId="0" xfId="0" applyNumberFormat="1"/>
    <xf numFmtId="43" fontId="0" fillId="0" borderId="0" xfId="0" applyNumberFormat="1"/>
    <xf numFmtId="164" fontId="0" fillId="0" borderId="1" xfId="1" applyNumberFormat="1" applyFont="1" applyBorder="1"/>
    <xf numFmtId="8" fontId="0" fillId="0" borderId="0" xfId="0" applyNumberFormat="1"/>
    <xf numFmtId="43" fontId="0" fillId="2" borderId="0" xfId="0" applyNumberFormat="1" applyFill="1"/>
    <xf numFmtId="0" fontId="2" fillId="3" borderId="0" xfId="0" applyFont="1" applyFill="1"/>
    <xf numFmtId="43" fontId="0" fillId="3" borderId="0" xfId="0" applyNumberFormat="1" applyFill="1"/>
    <xf numFmtId="43" fontId="2" fillId="3" borderId="0" xfId="0" applyNumberFormat="1" applyFont="1" applyFill="1"/>
    <xf numFmtId="0" fontId="2" fillId="0" borderId="0" xfId="0" applyFont="1" applyFill="1"/>
    <xf numFmtId="43" fontId="2" fillId="0" borderId="0" xfId="1" applyFont="1" applyFill="1"/>
    <xf numFmtId="43" fontId="2" fillId="3" borderId="0" xfId="1" applyFont="1" applyFill="1"/>
    <xf numFmtId="43" fontId="0" fillId="3" borderId="2" xfId="1" applyFont="1" applyFill="1" applyBorder="1"/>
    <xf numFmtId="165" fontId="2" fillId="3" borderId="0" xfId="0" applyNumberFormat="1" applyFont="1" applyFill="1"/>
    <xf numFmtId="0" fontId="0" fillId="0" borderId="0" xfId="0" applyFill="1"/>
    <xf numFmtId="0" fontId="0" fillId="0" borderId="0" xfId="0" applyBorder="1"/>
    <xf numFmtId="0" fontId="0" fillId="3" borderId="0" xfId="0" applyFill="1" applyBorder="1"/>
    <xf numFmtId="9" fontId="0" fillId="3" borderId="0" xfId="0" applyNumberFormat="1" applyFill="1" applyBorder="1"/>
    <xf numFmtId="43" fontId="0" fillId="3" borderId="0" xfId="1" applyFont="1" applyFill="1" applyBorder="1"/>
    <xf numFmtId="43" fontId="0" fillId="3" borderId="0" xfId="0" applyNumberFormat="1" applyFill="1" applyBorder="1"/>
    <xf numFmtId="0" fontId="0" fillId="0" borderId="3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2" fillId="3" borderId="7" xfId="0" applyFont="1" applyFill="1" applyBorder="1"/>
    <xf numFmtId="0" fontId="0" fillId="0" borderId="8" xfId="0" applyBorder="1"/>
    <xf numFmtId="0" fontId="0" fillId="3" borderId="7" xfId="0" applyFill="1" applyBorder="1"/>
    <xf numFmtId="0" fontId="0" fillId="3" borderId="9" xfId="0" applyFill="1" applyBorder="1"/>
    <xf numFmtId="43" fontId="0" fillId="3" borderId="10" xfId="1" applyFont="1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 applyAlignment="1">
      <alignment horizontal="center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0" fontId="0" fillId="3" borderId="0" xfId="0" applyNumberFormat="1" applyFill="1" applyBorder="1"/>
    <xf numFmtId="0" fontId="0" fillId="0" borderId="0" xfId="0" applyAlignment="1">
      <alignment horizontal="right"/>
    </xf>
    <xf numFmtId="166" fontId="0" fillId="4" borderId="0" xfId="2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43" fontId="0" fillId="0" borderId="1" xfId="1" applyFont="1" applyBorder="1"/>
    <xf numFmtId="9" fontId="0" fillId="0" borderId="1" xfId="0" applyNumberFormat="1" applyBorder="1"/>
    <xf numFmtId="43" fontId="0" fillId="3" borderId="1" xfId="1" applyFont="1" applyFill="1" applyBorder="1"/>
    <xf numFmtId="43" fontId="0" fillId="0" borderId="1" xfId="0" applyNumberFormat="1" applyBorder="1"/>
    <xf numFmtId="8" fontId="0" fillId="0" borderId="1" xfId="0" applyNumberFormat="1" applyBorder="1"/>
    <xf numFmtId="164" fontId="0" fillId="3" borderId="1" xfId="0" applyNumberFormat="1" applyFill="1" applyBorder="1"/>
    <xf numFmtId="165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0" fillId="0" borderId="1" xfId="0" applyFill="1" applyBorder="1"/>
    <xf numFmtId="43" fontId="0" fillId="0" borderId="0" xfId="0" applyNumberFormat="1" applyFill="1"/>
    <xf numFmtId="0" fontId="5" fillId="0" borderId="0" xfId="0" applyFont="1"/>
    <xf numFmtId="0" fontId="5" fillId="7" borderId="3" xfId="0" applyFont="1" applyFill="1" applyBorder="1"/>
    <xf numFmtId="43" fontId="5" fillId="7" borderId="4" xfId="1" applyFont="1" applyFill="1" applyBorder="1"/>
    <xf numFmtId="43" fontId="5" fillId="7" borderId="17" xfId="1" applyFont="1" applyFill="1" applyBorder="1"/>
    <xf numFmtId="0" fontId="5" fillId="7" borderId="9" xfId="0" applyFont="1" applyFill="1" applyBorder="1"/>
    <xf numFmtId="43" fontId="5" fillId="7" borderId="10" xfId="0" applyNumberFormat="1" applyFont="1" applyFill="1" applyBorder="1"/>
    <xf numFmtId="43" fontId="6" fillId="7" borderId="14" xfId="0" applyNumberFormat="1" applyFont="1" applyFill="1" applyBorder="1" applyAlignment="1">
      <alignment horizontal="right"/>
    </xf>
    <xf numFmtId="167" fontId="6" fillId="7" borderId="14" xfId="0" applyNumberFormat="1" applyFont="1" applyFill="1" applyBorder="1"/>
    <xf numFmtId="43" fontId="5" fillId="7" borderId="11" xfId="0" applyNumberFormat="1" applyFont="1" applyFill="1" applyBorder="1"/>
    <xf numFmtId="0" fontId="2" fillId="4" borderId="3" xfId="0" applyFont="1" applyFill="1" applyBorder="1"/>
    <xf numFmtId="43" fontId="2" fillId="4" borderId="4" xfId="0" applyNumberFormat="1" applyFont="1" applyFill="1" applyBorder="1"/>
    <xf numFmtId="0" fontId="2" fillId="4" borderId="17" xfId="0" applyFont="1" applyFill="1" applyBorder="1"/>
    <xf numFmtId="0" fontId="2" fillId="4" borderId="9" xfId="0" applyFont="1" applyFill="1" applyBorder="1"/>
    <xf numFmtId="43" fontId="2" fillId="4" borderId="10" xfId="0" applyNumberFormat="1" applyFont="1" applyFill="1" applyBorder="1"/>
    <xf numFmtId="0" fontId="2" fillId="2" borderId="3" xfId="0" applyFont="1" applyFill="1" applyBorder="1"/>
    <xf numFmtId="43" fontId="0" fillId="2" borderId="4" xfId="1" applyFont="1" applyFill="1" applyBorder="1"/>
    <xf numFmtId="43" fontId="0" fillId="2" borderId="17" xfId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43" fontId="2" fillId="2" borderId="16" xfId="0" applyNumberFormat="1" applyFont="1" applyFill="1" applyBorder="1"/>
    <xf numFmtId="9" fontId="2" fillId="6" borderId="0" xfId="0" applyNumberFormat="1" applyFont="1" applyFill="1"/>
    <xf numFmtId="10" fontId="2" fillId="6" borderId="0" xfId="0" applyNumberFormat="1" applyFont="1" applyFill="1"/>
    <xf numFmtId="0" fontId="2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6" borderId="1" xfId="0" applyFill="1" applyBorder="1"/>
    <xf numFmtId="10" fontId="0" fillId="0" borderId="0" xfId="0" applyNumberFormat="1"/>
    <xf numFmtId="10" fontId="2" fillId="8" borderId="1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310900</xdr:colOff>
      <xdr:row>77</xdr:row>
      <xdr:rowOff>64214</xdr:rowOff>
    </xdr:from>
    <xdr:to>
      <xdr:col>3</xdr:col>
      <xdr:colOff>529975</xdr:colOff>
      <xdr:row>80</xdr:row>
      <xdr:rowOff>83264</xdr:rowOff>
    </xdr:to>
    <xdr:pic>
      <xdr:nvPicPr>
        <xdr:cNvPr id="2" name="Picture 1" descr="Weighted Average Cost Of Capital (WACC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928" y="14929635"/>
          <a:ext cx="2091968" cy="5969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93"/>
  <sheetViews>
    <sheetView tabSelected="1" topLeftCell="B1" zoomScale="115" zoomScaleNormal="115" workbookViewId="0">
      <pane xSplit="2" ySplit="2" topLeftCell="D54" activePane="bottomRight" state="frozen"/>
      <selection activeCell="B1" sqref="B1"/>
      <selection pane="topRight" activeCell="D1" sqref="D1"/>
      <selection pane="bottomLeft" activeCell="B3" sqref="B3"/>
      <selection pane="bottomRight" activeCell="G74" sqref="G74"/>
    </sheetView>
  </sheetViews>
  <sheetFormatPr defaultRowHeight="15" x14ac:dyDescent="0.25"/>
  <cols>
    <col min="3" max="3" width="19" bestFit="1" customWidth="1"/>
    <col min="4" max="4" width="10.140625" bestFit="1" customWidth="1"/>
    <col min="5" max="5" width="19.140625" customWidth="1"/>
    <col min="6" max="7" width="13.5703125" bestFit="1" customWidth="1"/>
    <col min="8" max="10" width="15.28515625" bestFit="1" customWidth="1"/>
    <col min="11" max="11" width="18" bestFit="1" customWidth="1"/>
    <col min="12" max="12" width="15.28515625" bestFit="1" customWidth="1"/>
    <col min="15" max="15" width="11.28515625" bestFit="1" customWidth="1"/>
    <col min="16" max="16" width="10.85546875" bestFit="1" customWidth="1"/>
    <col min="17" max="17" width="39.42578125" bestFit="1" customWidth="1"/>
    <col min="18" max="18" width="16.28515625" bestFit="1" customWidth="1"/>
    <col min="19" max="19" width="9.28515625" bestFit="1" customWidth="1"/>
    <col min="20" max="20" width="12" bestFit="1" customWidth="1"/>
    <col min="21" max="21" width="15.140625" customWidth="1"/>
    <col min="22" max="24" width="12" bestFit="1" customWidth="1"/>
    <col min="25" max="25" width="17.140625" customWidth="1"/>
    <col min="26" max="26" width="12" bestFit="1" customWidth="1"/>
  </cols>
  <sheetData>
    <row r="1" spans="3:26" ht="15.75" thickBot="1" x14ac:dyDescent="0.3"/>
    <row r="2" spans="3:26" x14ac:dyDescent="0.25">
      <c r="C2" s="40"/>
      <c r="D2" s="40"/>
      <c r="E2" s="50" t="s">
        <v>0</v>
      </c>
      <c r="F2" s="50" t="s">
        <v>1</v>
      </c>
      <c r="G2" s="50" t="s">
        <v>2</v>
      </c>
      <c r="H2" s="50" t="s">
        <v>3</v>
      </c>
      <c r="I2" s="50" t="s">
        <v>4</v>
      </c>
      <c r="J2" s="50" t="s">
        <v>5</v>
      </c>
      <c r="K2" s="50" t="s">
        <v>6</v>
      </c>
      <c r="L2" s="50" t="s">
        <v>7</v>
      </c>
      <c r="Q2" s="22"/>
      <c r="R2" s="33"/>
      <c r="S2" s="23" t="s">
        <v>0</v>
      </c>
      <c r="T2" s="23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3" t="s">
        <v>6</v>
      </c>
      <c r="Z2" s="24" t="s">
        <v>7</v>
      </c>
    </row>
    <row r="3" spans="3:26" ht="15.75" thickBot="1" x14ac:dyDescent="0.3">
      <c r="C3" s="40"/>
      <c r="D3" s="40" t="s">
        <v>8</v>
      </c>
      <c r="E3" s="40"/>
      <c r="F3" s="5">
        <v>128000</v>
      </c>
      <c r="G3" s="5">
        <v>135000</v>
      </c>
      <c r="H3" s="5">
        <v>135000</v>
      </c>
      <c r="I3" s="5">
        <v>140000</v>
      </c>
      <c r="J3" s="5">
        <v>160000</v>
      </c>
      <c r="K3" s="5">
        <v>170000</v>
      </c>
      <c r="L3" s="5">
        <v>170000</v>
      </c>
      <c r="Q3" s="25"/>
      <c r="R3" s="34" t="s">
        <v>74</v>
      </c>
      <c r="S3" s="35">
        <f>E3</f>
        <v>0</v>
      </c>
      <c r="T3" s="35">
        <f t="shared" ref="T3:Z3" si="0">F3</f>
        <v>128000</v>
      </c>
      <c r="U3" s="35">
        <f t="shared" si="0"/>
        <v>135000</v>
      </c>
      <c r="V3" s="35">
        <f t="shared" si="0"/>
        <v>135000</v>
      </c>
      <c r="W3" s="35">
        <f t="shared" si="0"/>
        <v>140000</v>
      </c>
      <c r="X3" s="35">
        <f t="shared" si="0"/>
        <v>160000</v>
      </c>
      <c r="Y3" s="35">
        <f t="shared" si="0"/>
        <v>170000</v>
      </c>
      <c r="Z3" s="36">
        <f t="shared" si="0"/>
        <v>170000</v>
      </c>
    </row>
    <row r="4" spans="3:26" x14ac:dyDescent="0.25">
      <c r="C4" s="51"/>
      <c r="D4" s="40">
        <v>28</v>
      </c>
      <c r="E4" s="40"/>
      <c r="F4" s="41">
        <f>F3*$D$4</f>
        <v>3584000</v>
      </c>
      <c r="G4" s="41">
        <f t="shared" ref="G4:L4" si="1">G3*$D$4</f>
        <v>3780000</v>
      </c>
      <c r="H4" s="41">
        <f t="shared" si="1"/>
        <v>3780000</v>
      </c>
      <c r="I4" s="41">
        <f t="shared" si="1"/>
        <v>3920000</v>
      </c>
      <c r="J4" s="41">
        <f t="shared" si="1"/>
        <v>4480000</v>
      </c>
      <c r="K4" s="41">
        <f t="shared" si="1"/>
        <v>4760000</v>
      </c>
      <c r="L4" s="41">
        <f t="shared" si="1"/>
        <v>4760000</v>
      </c>
      <c r="Q4" s="26" t="s">
        <v>8</v>
      </c>
      <c r="R4" s="18"/>
      <c r="S4" s="17"/>
      <c r="T4" s="17"/>
      <c r="U4" s="17"/>
      <c r="V4" s="17"/>
      <c r="W4" s="17"/>
      <c r="X4" s="17"/>
      <c r="Y4" s="17"/>
      <c r="Z4" s="27"/>
    </row>
    <row r="5" spans="3:26" x14ac:dyDescent="0.25">
      <c r="C5" s="51"/>
      <c r="D5" s="40">
        <v>12</v>
      </c>
      <c r="E5" s="41">
        <f>F3*$D$5</f>
        <v>1536000</v>
      </c>
      <c r="F5" s="41">
        <f t="shared" ref="F5:L5" si="2">G3*$D$5</f>
        <v>1620000</v>
      </c>
      <c r="G5" s="41">
        <f t="shared" si="2"/>
        <v>1620000</v>
      </c>
      <c r="H5" s="41">
        <f t="shared" si="2"/>
        <v>1680000</v>
      </c>
      <c r="I5" s="41">
        <f t="shared" si="2"/>
        <v>1920000</v>
      </c>
      <c r="J5" s="41">
        <f t="shared" si="2"/>
        <v>2040000</v>
      </c>
      <c r="K5" s="41">
        <f t="shared" si="2"/>
        <v>2040000</v>
      </c>
      <c r="L5" s="41">
        <f t="shared" si="2"/>
        <v>0</v>
      </c>
      <c r="Q5" s="28" t="s">
        <v>23</v>
      </c>
      <c r="R5" s="18">
        <f>D4</f>
        <v>28</v>
      </c>
      <c r="S5" s="17"/>
      <c r="T5" s="17"/>
      <c r="U5" s="17"/>
      <c r="V5" s="17"/>
      <c r="W5" s="17"/>
      <c r="X5" s="17"/>
      <c r="Y5" s="17"/>
      <c r="Z5" s="27"/>
    </row>
    <row r="6" spans="3:26" x14ac:dyDescent="0.25">
      <c r="C6" s="40"/>
      <c r="D6" s="40"/>
      <c r="E6" s="40"/>
      <c r="F6" s="40"/>
      <c r="G6" s="40"/>
      <c r="H6" s="40"/>
      <c r="I6" s="40"/>
      <c r="J6" s="40"/>
      <c r="K6" s="40"/>
      <c r="L6" s="40"/>
      <c r="Q6" s="28" t="s">
        <v>24</v>
      </c>
      <c r="R6" s="18">
        <f>D5</f>
        <v>12</v>
      </c>
      <c r="S6" s="17"/>
      <c r="T6" s="17"/>
      <c r="U6" s="17"/>
      <c r="V6" s="17"/>
      <c r="W6" s="17"/>
      <c r="X6" s="17"/>
      <c r="Y6" s="17"/>
      <c r="Z6" s="27"/>
    </row>
    <row r="7" spans="3:26" x14ac:dyDescent="0.25">
      <c r="C7" s="40"/>
      <c r="D7" s="40"/>
      <c r="E7" s="40"/>
      <c r="F7" s="40"/>
      <c r="G7" s="40"/>
      <c r="H7" s="40"/>
      <c r="I7" s="40"/>
      <c r="J7" s="40"/>
      <c r="K7" s="40"/>
      <c r="L7" s="40"/>
      <c r="Q7" s="26" t="s">
        <v>22</v>
      </c>
      <c r="R7" s="18"/>
      <c r="S7" s="17"/>
      <c r="T7" s="17"/>
      <c r="U7" s="17" t="s">
        <v>70</v>
      </c>
      <c r="V7" s="17"/>
      <c r="W7" s="17"/>
      <c r="X7" s="17"/>
      <c r="Y7" s="17"/>
      <c r="Z7" s="27"/>
    </row>
    <row r="8" spans="3:26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Q8" s="28" t="s">
        <v>9</v>
      </c>
      <c r="R8" s="19">
        <f>D11</f>
        <v>0.05</v>
      </c>
      <c r="S8" s="17"/>
      <c r="T8" s="17"/>
      <c r="U8" s="17" t="s">
        <v>71</v>
      </c>
      <c r="V8" s="17"/>
      <c r="W8" s="17"/>
      <c r="X8" s="17"/>
      <c r="Y8" s="17"/>
      <c r="Z8" s="27"/>
    </row>
    <row r="9" spans="3:26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Q9" s="28" t="s">
        <v>10</v>
      </c>
      <c r="R9" s="19">
        <f>D12</f>
        <v>0.9</v>
      </c>
      <c r="S9" s="17"/>
      <c r="T9" s="17"/>
      <c r="U9" s="17" t="s">
        <v>72</v>
      </c>
      <c r="V9" s="17"/>
      <c r="W9" s="17"/>
      <c r="X9" s="17"/>
      <c r="Y9" s="17"/>
      <c r="Z9" s="27"/>
    </row>
    <row r="10" spans="3:26" x14ac:dyDescent="0.25">
      <c r="C10" s="42" t="s">
        <v>25</v>
      </c>
      <c r="D10" s="40"/>
      <c r="E10" s="40"/>
      <c r="F10" s="40"/>
      <c r="G10" s="40"/>
      <c r="H10" s="43"/>
      <c r="I10" s="40"/>
      <c r="J10" s="40"/>
      <c r="K10" s="40"/>
      <c r="L10" s="40"/>
      <c r="Q10" s="28" t="s">
        <v>11</v>
      </c>
      <c r="R10" s="19">
        <f>D13</f>
        <v>0.05</v>
      </c>
      <c r="S10" s="17"/>
      <c r="T10" s="17"/>
      <c r="U10" s="17" t="s">
        <v>73</v>
      </c>
      <c r="V10" s="17"/>
      <c r="W10" s="17"/>
      <c r="X10" s="17"/>
      <c r="Y10" s="17"/>
      <c r="Z10" s="27"/>
    </row>
    <row r="11" spans="3:26" x14ac:dyDescent="0.25">
      <c r="C11" s="40" t="s">
        <v>9</v>
      </c>
      <c r="D11" s="44">
        <v>0.05</v>
      </c>
      <c r="E11" s="40"/>
      <c r="F11" s="41">
        <f t="shared" ref="F11:L11" si="3">F4*$D$11</f>
        <v>179200</v>
      </c>
      <c r="G11" s="41">
        <f t="shared" si="3"/>
        <v>189000</v>
      </c>
      <c r="H11" s="41">
        <f t="shared" si="3"/>
        <v>189000</v>
      </c>
      <c r="I11" s="41">
        <f t="shared" si="3"/>
        <v>196000</v>
      </c>
      <c r="J11" s="41">
        <f t="shared" si="3"/>
        <v>224000</v>
      </c>
      <c r="K11" s="41">
        <f t="shared" si="3"/>
        <v>238000</v>
      </c>
      <c r="L11" s="41">
        <f t="shared" si="3"/>
        <v>238000</v>
      </c>
      <c r="Q11" s="26" t="s">
        <v>12</v>
      </c>
      <c r="R11" s="18"/>
      <c r="S11" s="17"/>
      <c r="T11" s="17"/>
      <c r="U11" s="17"/>
      <c r="V11" s="17"/>
      <c r="W11" s="17"/>
      <c r="X11" s="17"/>
      <c r="Y11" s="17"/>
      <c r="Z11" s="27"/>
    </row>
    <row r="12" spans="3:26" x14ac:dyDescent="0.25">
      <c r="C12" s="40" t="s">
        <v>10</v>
      </c>
      <c r="D12" s="44">
        <v>0.9</v>
      </c>
      <c r="E12" s="40"/>
      <c r="F12" s="40"/>
      <c r="G12" s="41">
        <f t="shared" ref="G12:L12" si="4">F4*$D$12</f>
        <v>3225600</v>
      </c>
      <c r="H12" s="41">
        <f t="shared" si="4"/>
        <v>3402000</v>
      </c>
      <c r="I12" s="41">
        <f t="shared" si="4"/>
        <v>3402000</v>
      </c>
      <c r="J12" s="41">
        <f t="shared" si="4"/>
        <v>3528000</v>
      </c>
      <c r="K12" s="41">
        <f t="shared" si="4"/>
        <v>4032000</v>
      </c>
      <c r="L12" s="41">
        <f t="shared" si="4"/>
        <v>4284000</v>
      </c>
      <c r="Q12" s="28" t="s">
        <v>9</v>
      </c>
      <c r="R12" s="19">
        <f>D17</f>
        <v>0.3</v>
      </c>
      <c r="S12" s="17"/>
      <c r="T12" s="17"/>
      <c r="U12" s="17"/>
      <c r="V12" s="17"/>
      <c r="W12" s="17"/>
      <c r="X12" s="17"/>
      <c r="Y12" s="17"/>
      <c r="Z12" s="27"/>
    </row>
    <row r="13" spans="3:26" x14ac:dyDescent="0.25">
      <c r="C13" s="40" t="s">
        <v>11</v>
      </c>
      <c r="D13" s="44">
        <v>0.05</v>
      </c>
      <c r="E13" s="40"/>
      <c r="F13" s="40"/>
      <c r="G13" s="40"/>
      <c r="H13" s="41">
        <f>F4*$D$13</f>
        <v>179200</v>
      </c>
      <c r="I13" s="41">
        <f>G4*$D$13</f>
        <v>189000</v>
      </c>
      <c r="J13" s="41">
        <f>H4*$D$13</f>
        <v>189000</v>
      </c>
      <c r="K13" s="41">
        <f>I4*$D$13</f>
        <v>196000</v>
      </c>
      <c r="L13" s="41">
        <f>J4*$D$13</f>
        <v>224000</v>
      </c>
      <c r="Q13" s="28" t="s">
        <v>13</v>
      </c>
      <c r="R13" s="19">
        <f>D18</f>
        <v>0.7</v>
      </c>
      <c r="S13" s="17"/>
      <c r="T13" s="17"/>
      <c r="U13" s="17"/>
      <c r="V13" s="17"/>
      <c r="W13" s="17"/>
      <c r="X13" s="17"/>
      <c r="Y13" s="17"/>
      <c r="Z13" s="27"/>
    </row>
    <row r="14" spans="3:26" x14ac:dyDescent="0.25">
      <c r="C14" s="40"/>
      <c r="D14" s="40"/>
      <c r="E14" s="45">
        <f>SUM(E11:E13)</f>
        <v>0</v>
      </c>
      <c r="F14" s="45">
        <f t="shared" ref="F14:L14" si="5">SUM(F11:F13)</f>
        <v>179200</v>
      </c>
      <c r="G14" s="45">
        <f t="shared" si="5"/>
        <v>3414600</v>
      </c>
      <c r="H14" s="45">
        <f t="shared" si="5"/>
        <v>3770200</v>
      </c>
      <c r="I14" s="45">
        <f t="shared" si="5"/>
        <v>3787000</v>
      </c>
      <c r="J14" s="45">
        <f t="shared" si="5"/>
        <v>3941000</v>
      </c>
      <c r="K14" s="45">
        <f t="shared" si="5"/>
        <v>4466000</v>
      </c>
      <c r="L14" s="45">
        <f t="shared" si="5"/>
        <v>4746000</v>
      </c>
      <c r="Q14" s="26" t="s">
        <v>16</v>
      </c>
      <c r="R14" s="18"/>
      <c r="S14" s="17"/>
      <c r="T14" s="17"/>
      <c r="U14" s="17"/>
      <c r="V14" s="17"/>
      <c r="W14" s="17"/>
      <c r="X14" s="17"/>
      <c r="Y14" s="17"/>
      <c r="Z14" s="27"/>
    </row>
    <row r="15" spans="3:26" x14ac:dyDescent="0.25">
      <c r="C15" s="40"/>
      <c r="D15" s="40"/>
      <c r="E15" s="40"/>
      <c r="F15" s="40"/>
      <c r="G15" s="40"/>
      <c r="H15" s="40"/>
      <c r="I15" s="40"/>
      <c r="J15" s="40"/>
      <c r="K15" s="40"/>
      <c r="L15" s="40"/>
      <c r="Q15" s="28" t="s">
        <v>17</v>
      </c>
      <c r="R15" s="20">
        <v>25000</v>
      </c>
      <c r="S15" s="17"/>
      <c r="T15" s="17"/>
      <c r="U15" s="17"/>
      <c r="V15" s="17"/>
      <c r="W15" s="17"/>
      <c r="X15" s="17"/>
      <c r="Y15" s="17"/>
      <c r="Z15" s="27"/>
    </row>
    <row r="16" spans="3:26" x14ac:dyDescent="0.25">
      <c r="C16" s="42" t="s">
        <v>26</v>
      </c>
      <c r="D16" s="40"/>
      <c r="E16" s="40"/>
      <c r="F16" s="40"/>
      <c r="G16" s="40"/>
      <c r="H16" s="40"/>
      <c r="I16" s="40"/>
      <c r="J16" s="40"/>
      <c r="K16" s="40"/>
      <c r="L16" s="40"/>
      <c r="Q16" s="28" t="s">
        <v>18</v>
      </c>
      <c r="R16" s="20">
        <v>18000</v>
      </c>
      <c r="S16" s="17"/>
      <c r="T16" s="17"/>
      <c r="U16" s="17"/>
      <c r="V16" s="17"/>
      <c r="W16" s="17"/>
      <c r="X16" s="17"/>
      <c r="Y16" s="17"/>
      <c r="Z16" s="27"/>
    </row>
    <row r="17" spans="3:26" x14ac:dyDescent="0.25">
      <c r="C17" s="40" t="s">
        <v>9</v>
      </c>
      <c r="D17" s="44">
        <v>0.3</v>
      </c>
      <c r="E17" s="41">
        <f t="shared" ref="E17:L17" si="6">E5*$D$17</f>
        <v>460800</v>
      </c>
      <c r="F17" s="41">
        <f t="shared" si="6"/>
        <v>486000</v>
      </c>
      <c r="G17" s="41">
        <f t="shared" si="6"/>
        <v>486000</v>
      </c>
      <c r="H17" s="41">
        <f t="shared" si="6"/>
        <v>504000</v>
      </c>
      <c r="I17" s="41">
        <f t="shared" si="6"/>
        <v>576000</v>
      </c>
      <c r="J17" s="41">
        <f t="shared" si="6"/>
        <v>612000</v>
      </c>
      <c r="K17" s="41">
        <f t="shared" si="6"/>
        <v>612000</v>
      </c>
      <c r="L17" s="41">
        <f t="shared" si="6"/>
        <v>0</v>
      </c>
      <c r="Q17" s="28" t="s">
        <v>19</v>
      </c>
      <c r="R17" s="20">
        <v>1500</v>
      </c>
      <c r="S17" s="17"/>
      <c r="T17" s="17"/>
      <c r="U17" s="17"/>
      <c r="V17" s="17"/>
      <c r="W17" s="17"/>
      <c r="X17" s="17"/>
      <c r="Y17" s="17"/>
      <c r="Z17" s="27"/>
    </row>
    <row r="18" spans="3:26" x14ac:dyDescent="0.25">
      <c r="C18" s="40" t="s">
        <v>13</v>
      </c>
      <c r="D18" s="44">
        <v>0.7</v>
      </c>
      <c r="E18" s="40"/>
      <c r="F18" s="40"/>
      <c r="G18" s="41">
        <f t="shared" ref="G18:L18" si="7">E5*$D$18</f>
        <v>1075200</v>
      </c>
      <c r="H18" s="41">
        <f t="shared" si="7"/>
        <v>1134000</v>
      </c>
      <c r="I18" s="41">
        <f t="shared" si="7"/>
        <v>1134000</v>
      </c>
      <c r="J18" s="41">
        <f t="shared" si="7"/>
        <v>1176000</v>
      </c>
      <c r="K18" s="41">
        <f t="shared" si="7"/>
        <v>1344000</v>
      </c>
      <c r="L18" s="41">
        <f t="shared" si="7"/>
        <v>1428000</v>
      </c>
      <c r="Q18" s="28" t="s">
        <v>20</v>
      </c>
      <c r="R18" s="20">
        <v>5000</v>
      </c>
      <c r="S18" s="17"/>
      <c r="T18" s="17"/>
      <c r="U18" s="17"/>
      <c r="V18" s="17"/>
      <c r="W18" s="17"/>
      <c r="X18" s="17"/>
      <c r="Y18" s="17"/>
      <c r="Z18" s="27"/>
    </row>
    <row r="19" spans="3:26" x14ac:dyDescent="0.25">
      <c r="C19" s="40" t="str">
        <f>Q14</f>
        <v xml:space="preserve">Gastos recurrentes </v>
      </c>
      <c r="D19" s="40"/>
      <c r="E19" s="46">
        <f>$R$20</f>
        <v>59500</v>
      </c>
      <c r="F19" s="46">
        <f t="shared" ref="F19:K19" si="8">$R$20</f>
        <v>59500</v>
      </c>
      <c r="G19" s="46">
        <f t="shared" si="8"/>
        <v>59500</v>
      </c>
      <c r="H19" s="46">
        <f t="shared" si="8"/>
        <v>59500</v>
      </c>
      <c r="I19" s="46">
        <f t="shared" si="8"/>
        <v>59500</v>
      </c>
      <c r="J19" s="46">
        <f t="shared" si="8"/>
        <v>59500</v>
      </c>
      <c r="K19" s="46">
        <f t="shared" si="8"/>
        <v>59500</v>
      </c>
      <c r="L19" s="40"/>
      <c r="Q19" s="28" t="s">
        <v>21</v>
      </c>
      <c r="R19" s="14">
        <v>10000</v>
      </c>
      <c r="S19" s="17"/>
      <c r="T19" s="17"/>
      <c r="U19" s="17"/>
      <c r="V19" s="17"/>
      <c r="W19" s="17"/>
      <c r="X19" s="17"/>
      <c r="Y19" s="17"/>
      <c r="Z19" s="27"/>
    </row>
    <row r="20" spans="3:26" x14ac:dyDescent="0.25">
      <c r="C20" s="40" t="s">
        <v>27</v>
      </c>
      <c r="D20" s="40"/>
      <c r="E20" s="46">
        <f>R22</f>
        <v>1900000</v>
      </c>
      <c r="F20" s="40"/>
      <c r="G20" s="40"/>
      <c r="H20" s="40"/>
      <c r="I20" s="40"/>
      <c r="J20" s="40"/>
      <c r="K20" s="40"/>
      <c r="L20" s="40"/>
      <c r="Q20" s="28" t="s">
        <v>68</v>
      </c>
      <c r="R20" s="21">
        <f>SUM(R15:R19)</f>
        <v>59500</v>
      </c>
      <c r="S20" s="17"/>
      <c r="T20" s="17"/>
      <c r="U20" s="17"/>
      <c r="V20" s="17"/>
      <c r="W20" s="17"/>
      <c r="X20" s="17"/>
      <c r="Y20" s="17"/>
      <c r="Z20" s="27"/>
    </row>
    <row r="21" spans="3:26" x14ac:dyDescent="0.25">
      <c r="C21" s="40" t="s">
        <v>28</v>
      </c>
      <c r="D21" s="40"/>
      <c r="E21" s="40"/>
      <c r="F21" s="47">
        <f t="shared" ref="F21:L21" si="9">$R$35</f>
        <v>49047.748184489814</v>
      </c>
      <c r="G21" s="47">
        <f t="shared" si="9"/>
        <v>49047.748184489814</v>
      </c>
      <c r="H21" s="47">
        <f t="shared" si="9"/>
        <v>49047.748184489814</v>
      </c>
      <c r="I21" s="47">
        <f t="shared" si="9"/>
        <v>49047.748184489814</v>
      </c>
      <c r="J21" s="47">
        <f t="shared" si="9"/>
        <v>49047.748184489814</v>
      </c>
      <c r="K21" s="47">
        <f t="shared" si="9"/>
        <v>49047.748184489814</v>
      </c>
      <c r="L21" s="47">
        <f t="shared" si="9"/>
        <v>49047.748184489814</v>
      </c>
      <c r="Q21" s="28"/>
      <c r="R21" s="18"/>
      <c r="S21" s="17"/>
      <c r="T21" s="17"/>
      <c r="U21" s="17"/>
      <c r="V21" s="17"/>
      <c r="W21" s="17"/>
      <c r="X21" s="17"/>
      <c r="Y21" s="17"/>
      <c r="Z21" s="27"/>
    </row>
    <row r="22" spans="3:26" x14ac:dyDescent="0.25">
      <c r="C22" s="40" t="s">
        <v>29</v>
      </c>
      <c r="D22" s="40"/>
      <c r="E22" s="40"/>
      <c r="F22" s="46">
        <f>F42</f>
        <v>479733.33333333331</v>
      </c>
      <c r="G22" s="46">
        <f t="shared" ref="G22:L22" si="10">G42</f>
        <v>507803.00675948639</v>
      </c>
      <c r="H22" s="46">
        <f t="shared" si="10"/>
        <v>507874.42202129326</v>
      </c>
      <c r="I22" s="46">
        <f t="shared" si="10"/>
        <v>527947.62266464543</v>
      </c>
      <c r="J22" s="46">
        <f t="shared" si="10"/>
        <v>608022.65332408121</v>
      </c>
      <c r="K22" s="46">
        <f t="shared" si="10"/>
        <v>648099.55975000304</v>
      </c>
      <c r="L22" s="46">
        <f t="shared" si="10"/>
        <v>0</v>
      </c>
      <c r="Q22" s="28" t="s">
        <v>14</v>
      </c>
      <c r="R22" s="20">
        <v>1900000</v>
      </c>
      <c r="S22" s="17"/>
      <c r="T22" s="17"/>
      <c r="U22" s="17"/>
      <c r="V22" s="17"/>
      <c r="W22" s="17"/>
      <c r="X22" s="17"/>
      <c r="Y22" s="17"/>
      <c r="Z22" s="27"/>
    </row>
    <row r="23" spans="3:26" x14ac:dyDescent="0.25">
      <c r="C23" s="40"/>
      <c r="D23" s="40"/>
      <c r="E23" s="48">
        <f>SUM(E17:E22)</f>
        <v>2420300</v>
      </c>
      <c r="F23" s="48">
        <f t="shared" ref="F23:L23" si="11">SUM(F17:F22)</f>
        <v>1074281.081517823</v>
      </c>
      <c r="G23" s="48">
        <f t="shared" si="11"/>
        <v>2177550.7549439762</v>
      </c>
      <c r="H23" s="48">
        <f t="shared" si="11"/>
        <v>2254422.1702057831</v>
      </c>
      <c r="I23" s="48">
        <f t="shared" si="11"/>
        <v>2346495.3708491353</v>
      </c>
      <c r="J23" s="48">
        <f t="shared" si="11"/>
        <v>2504570.4015085711</v>
      </c>
      <c r="K23" s="48">
        <f t="shared" si="11"/>
        <v>2712647.3079344928</v>
      </c>
      <c r="L23" s="48">
        <f t="shared" si="11"/>
        <v>1477047.7481844898</v>
      </c>
      <c r="O23" s="9">
        <f>R22/60</f>
        <v>31666.666666666668</v>
      </c>
      <c r="Q23" s="28" t="s">
        <v>15</v>
      </c>
      <c r="R23" s="18"/>
      <c r="S23" s="17"/>
      <c r="T23" s="17"/>
      <c r="U23" s="17"/>
      <c r="V23" s="17"/>
      <c r="W23" s="17"/>
      <c r="X23" s="17"/>
      <c r="Y23" s="17"/>
      <c r="Z23" s="27"/>
    </row>
    <row r="24" spans="3:26" x14ac:dyDescent="0.25">
      <c r="C24" s="40"/>
      <c r="D24" s="40"/>
      <c r="E24" s="40"/>
      <c r="F24" s="40"/>
      <c r="G24" s="40"/>
      <c r="H24" s="40"/>
      <c r="I24" s="40"/>
      <c r="J24" s="40"/>
      <c r="K24" s="40"/>
      <c r="L24" s="40"/>
      <c r="Q24" s="28" t="s">
        <v>67</v>
      </c>
      <c r="R24" s="18"/>
      <c r="S24" s="17"/>
      <c r="T24" s="17"/>
      <c r="U24" s="17"/>
      <c r="V24" s="17"/>
      <c r="W24" s="17"/>
      <c r="X24" s="17"/>
      <c r="Y24" s="17"/>
      <c r="Z24" s="27"/>
    </row>
    <row r="25" spans="3:26" x14ac:dyDescent="0.25">
      <c r="C25" s="40" t="s">
        <v>33</v>
      </c>
      <c r="D25" s="40"/>
      <c r="E25" s="46">
        <f>R26+R27</f>
        <v>3416000</v>
      </c>
      <c r="F25" s="46">
        <f>E26</f>
        <v>995700</v>
      </c>
      <c r="G25" s="46">
        <f t="shared" ref="G25:L25" si="12">F26</f>
        <v>100618.91848217696</v>
      </c>
      <c r="H25" s="46">
        <f t="shared" si="12"/>
        <v>1337668.1635382008</v>
      </c>
      <c r="I25" s="46">
        <f t="shared" si="12"/>
        <v>2853445.9933324177</v>
      </c>
      <c r="J25" s="46">
        <f t="shared" si="12"/>
        <v>4293950.6224832824</v>
      </c>
      <c r="K25" s="46">
        <f t="shared" si="12"/>
        <v>5730380.2209747117</v>
      </c>
      <c r="L25" s="46">
        <f t="shared" si="12"/>
        <v>7483732.9130402189</v>
      </c>
      <c r="Q25" s="28" t="s">
        <v>30</v>
      </c>
      <c r="R25" s="20">
        <f>E27</f>
        <v>100000</v>
      </c>
      <c r="S25" s="17"/>
      <c r="T25" s="17"/>
      <c r="U25" s="17"/>
      <c r="V25" s="17"/>
      <c r="W25" s="17"/>
      <c r="X25" s="17"/>
      <c r="Y25" s="17"/>
      <c r="Z25" s="27"/>
    </row>
    <row r="26" spans="3:26" x14ac:dyDescent="0.25">
      <c r="C26" s="40" t="s">
        <v>34</v>
      </c>
      <c r="D26" s="40"/>
      <c r="E26" s="46">
        <f>E14-E23+E25</f>
        <v>995700</v>
      </c>
      <c r="F26" s="46">
        <f t="shared" ref="F26:L26" si="13">F14-F23+F25</f>
        <v>100618.91848217696</v>
      </c>
      <c r="G26" s="46">
        <f t="shared" si="13"/>
        <v>1337668.1635382008</v>
      </c>
      <c r="H26" s="46">
        <f t="shared" si="13"/>
        <v>2853445.9933324177</v>
      </c>
      <c r="I26" s="46">
        <f t="shared" si="13"/>
        <v>4293950.6224832824</v>
      </c>
      <c r="J26" s="46">
        <f t="shared" si="13"/>
        <v>5730380.2209747117</v>
      </c>
      <c r="K26" s="46">
        <f t="shared" si="13"/>
        <v>7483732.9130402189</v>
      </c>
      <c r="L26" s="46">
        <f t="shared" si="13"/>
        <v>10752685.16485573</v>
      </c>
      <c r="Q26" s="28" t="s">
        <v>31</v>
      </c>
      <c r="R26" s="20">
        <v>1900000</v>
      </c>
      <c r="S26" s="17"/>
      <c r="T26" s="17"/>
      <c r="U26" s="17"/>
      <c r="V26" s="17"/>
      <c r="W26" s="17"/>
      <c r="X26" s="17"/>
      <c r="Y26" s="17"/>
      <c r="Z26" s="27"/>
    </row>
    <row r="27" spans="3:26" x14ac:dyDescent="0.25">
      <c r="C27" s="40" t="s">
        <v>35</v>
      </c>
      <c r="D27" s="40"/>
      <c r="E27" s="46">
        <v>100000</v>
      </c>
      <c r="F27" s="46">
        <f t="shared" ref="F27:L27" si="14">$R$25</f>
        <v>100000</v>
      </c>
      <c r="G27" s="46">
        <f t="shared" si="14"/>
        <v>100000</v>
      </c>
      <c r="H27" s="46">
        <f t="shared" si="14"/>
        <v>100000</v>
      </c>
      <c r="I27" s="46">
        <f t="shared" si="14"/>
        <v>100000</v>
      </c>
      <c r="J27" s="46">
        <f t="shared" si="14"/>
        <v>100000</v>
      </c>
      <c r="K27" s="46">
        <f t="shared" si="14"/>
        <v>100000</v>
      </c>
      <c r="L27" s="46">
        <f t="shared" si="14"/>
        <v>100000</v>
      </c>
      <c r="Q27" s="28" t="s">
        <v>32</v>
      </c>
      <c r="R27" s="20">
        <v>1516000</v>
      </c>
      <c r="S27" s="17"/>
      <c r="T27" s="17"/>
      <c r="U27" s="17"/>
      <c r="V27" s="17"/>
      <c r="W27" s="17"/>
      <c r="X27" s="17"/>
      <c r="Y27" s="17"/>
      <c r="Z27" s="27"/>
    </row>
    <row r="28" spans="3:26" x14ac:dyDescent="0.25">
      <c r="C28" s="40"/>
      <c r="D28" s="40"/>
      <c r="E28" s="40"/>
      <c r="F28" s="40"/>
      <c r="G28" s="40"/>
      <c r="H28" s="40"/>
      <c r="I28" s="40"/>
      <c r="J28" s="40"/>
      <c r="K28" s="40"/>
      <c r="L28" s="40"/>
      <c r="Q28" s="28" t="s">
        <v>69</v>
      </c>
      <c r="R28" s="37">
        <v>2.5000000000000001E-2</v>
      </c>
      <c r="S28" s="17"/>
      <c r="T28" s="17"/>
      <c r="U28" s="17"/>
      <c r="V28" s="17"/>
      <c r="W28" s="17"/>
      <c r="X28" s="17"/>
      <c r="Y28" s="17"/>
      <c r="Z28" s="27"/>
    </row>
    <row r="29" spans="3:26" ht="15.75" thickBot="1" x14ac:dyDescent="0.3">
      <c r="C29" s="40" t="s">
        <v>36</v>
      </c>
      <c r="D29" s="40"/>
      <c r="E29" s="49">
        <f>E26-E27</f>
        <v>895700</v>
      </c>
      <c r="F29" s="49">
        <f t="shared" ref="F29:L29" si="15">F26-F27</f>
        <v>618.91848217695951</v>
      </c>
      <c r="G29" s="49">
        <f t="shared" si="15"/>
        <v>1237668.1635382008</v>
      </c>
      <c r="H29" s="49">
        <f t="shared" si="15"/>
        <v>2753445.9933324177</v>
      </c>
      <c r="I29" s="49">
        <f t="shared" si="15"/>
        <v>4193950.6224832824</v>
      </c>
      <c r="J29" s="49">
        <f t="shared" si="15"/>
        <v>5630380.2209747117</v>
      </c>
      <c r="K29" s="49">
        <f t="shared" si="15"/>
        <v>7383732.9130402189</v>
      </c>
      <c r="L29" s="49">
        <f t="shared" si="15"/>
        <v>10652685.16485573</v>
      </c>
      <c r="Q29" s="29" t="s">
        <v>43</v>
      </c>
      <c r="R29" s="30"/>
      <c r="S29" s="31"/>
      <c r="T29" s="17"/>
      <c r="U29" s="17"/>
      <c r="V29" s="17"/>
      <c r="W29" s="17"/>
      <c r="X29" s="17"/>
      <c r="Y29" s="17"/>
      <c r="Z29" s="32"/>
    </row>
    <row r="30" spans="3:26" x14ac:dyDescent="0.25">
      <c r="T30" s="78"/>
      <c r="U30" s="78" t="s">
        <v>32</v>
      </c>
      <c r="V30" s="78" t="s">
        <v>40</v>
      </c>
      <c r="W30" s="78" t="s">
        <v>28</v>
      </c>
      <c r="X30" s="78" t="s">
        <v>65</v>
      </c>
      <c r="Y30" s="78" t="s">
        <v>66</v>
      </c>
    </row>
    <row r="31" spans="3:26" x14ac:dyDescent="0.25">
      <c r="T31" s="40">
        <v>1</v>
      </c>
      <c r="U31" s="46">
        <f>R27</f>
        <v>1516000</v>
      </c>
      <c r="V31" s="47">
        <f t="shared" ref="V31:V90" si="16">$R$35</f>
        <v>49047.748184489814</v>
      </c>
      <c r="W31" s="46">
        <f t="shared" ref="W31:W34" si="17">U31*$R$33</f>
        <v>37900</v>
      </c>
      <c r="X31" s="47">
        <f>V31-W31</f>
        <v>11147.748184489814</v>
      </c>
      <c r="Y31" s="46">
        <f>U31-X31</f>
        <v>1504852.2518155102</v>
      </c>
    </row>
    <row r="32" spans="3:26" x14ac:dyDescent="0.25">
      <c r="Q32" t="s">
        <v>37</v>
      </c>
      <c r="R32" s="1">
        <v>60</v>
      </c>
      <c r="T32" s="40">
        <v>2</v>
      </c>
      <c r="U32" s="46">
        <f>Y31</f>
        <v>1504852.2518155102</v>
      </c>
      <c r="V32" s="47">
        <f t="shared" si="16"/>
        <v>49047.748184489814</v>
      </c>
      <c r="W32" s="46">
        <f t="shared" si="17"/>
        <v>37621.30629538776</v>
      </c>
      <c r="X32" s="47">
        <f t="shared" ref="X32:X34" si="18">V32-W32</f>
        <v>11426.441889102054</v>
      </c>
      <c r="Y32" s="46">
        <f t="shared" ref="Y32:Y34" si="19">U32-X32</f>
        <v>1493425.8099264081</v>
      </c>
    </row>
    <row r="33" spans="2:25" x14ac:dyDescent="0.25">
      <c r="Q33" t="s">
        <v>38</v>
      </c>
      <c r="R33" s="79">
        <f>R28</f>
        <v>2.5000000000000001E-2</v>
      </c>
      <c r="T33" s="40">
        <v>3</v>
      </c>
      <c r="U33" s="46">
        <f t="shared" ref="U33:U34" si="20">Y32</f>
        <v>1493425.8099264081</v>
      </c>
      <c r="V33" s="47">
        <f t="shared" si="16"/>
        <v>49047.748184489814</v>
      </c>
      <c r="W33" s="46">
        <f t="shared" si="17"/>
        <v>37335.645248160203</v>
      </c>
      <c r="X33" s="47">
        <f t="shared" si="18"/>
        <v>11712.102936329611</v>
      </c>
      <c r="Y33" s="46">
        <f t="shared" si="19"/>
        <v>1481713.7069900786</v>
      </c>
    </row>
    <row r="34" spans="2:25" x14ac:dyDescent="0.25">
      <c r="C34" t="s">
        <v>44</v>
      </c>
      <c r="E34" s="1">
        <f>E3*$D$4</f>
        <v>0</v>
      </c>
      <c r="F34" s="1">
        <f t="shared" ref="F34:K34" si="21">F3*$D$4</f>
        <v>3584000</v>
      </c>
      <c r="G34" s="1">
        <f t="shared" si="21"/>
        <v>3780000</v>
      </c>
      <c r="H34" s="1">
        <f t="shared" si="21"/>
        <v>3780000</v>
      </c>
      <c r="I34" s="1">
        <f t="shared" si="21"/>
        <v>3920000</v>
      </c>
      <c r="J34" s="1">
        <f t="shared" si="21"/>
        <v>4480000</v>
      </c>
      <c r="K34" s="1">
        <f t="shared" si="21"/>
        <v>4760000</v>
      </c>
      <c r="Q34" t="s">
        <v>39</v>
      </c>
      <c r="R34" s="4">
        <f>R27*-1</f>
        <v>-1516000</v>
      </c>
      <c r="T34" s="40">
        <v>4</v>
      </c>
      <c r="U34" s="46">
        <f t="shared" si="20"/>
        <v>1481713.7069900786</v>
      </c>
      <c r="V34" s="47">
        <f t="shared" si="16"/>
        <v>49047.748184489814</v>
      </c>
      <c r="W34" s="46">
        <f t="shared" si="17"/>
        <v>37042.842674751962</v>
      </c>
      <c r="X34" s="47">
        <f t="shared" si="18"/>
        <v>12004.905509737851</v>
      </c>
      <c r="Y34" s="46">
        <f t="shared" si="19"/>
        <v>1469708.8014803408</v>
      </c>
    </row>
    <row r="35" spans="2:25" x14ac:dyDescent="0.25">
      <c r="C35" t="s">
        <v>45</v>
      </c>
      <c r="E35" s="1">
        <f>E3*$D$5</f>
        <v>0</v>
      </c>
      <c r="F35" s="1">
        <f t="shared" ref="F35:K35" si="22">F3*$D$5</f>
        <v>1536000</v>
      </c>
      <c r="G35" s="1">
        <f t="shared" si="22"/>
        <v>1620000</v>
      </c>
      <c r="H35" s="1">
        <f t="shared" si="22"/>
        <v>1620000</v>
      </c>
      <c r="I35" s="1">
        <f t="shared" si="22"/>
        <v>1680000</v>
      </c>
      <c r="J35" s="1">
        <f t="shared" si="22"/>
        <v>1920000</v>
      </c>
      <c r="K35" s="1">
        <f t="shared" si="22"/>
        <v>2040000</v>
      </c>
      <c r="Q35" t="s">
        <v>40</v>
      </c>
      <c r="R35" s="6">
        <f>PMT(R33,R32,R34,R36,R37)</f>
        <v>49047.748184489814</v>
      </c>
      <c r="T35" s="40">
        <v>5</v>
      </c>
      <c r="U35" s="46">
        <f t="shared" ref="U35:U90" si="23">Y34</f>
        <v>1469708.8014803408</v>
      </c>
      <c r="V35" s="47">
        <f t="shared" si="16"/>
        <v>49047.748184489814</v>
      </c>
      <c r="W35" s="46">
        <f t="shared" ref="W35:W90" si="24">U35*$R$33</f>
        <v>36742.720037008519</v>
      </c>
      <c r="X35" s="47">
        <f t="shared" ref="X35:X90" si="25">V35-W35</f>
        <v>12305.028147481295</v>
      </c>
      <c r="Y35" s="46">
        <f t="shared" ref="Y35:Y90" si="26">U35-X35</f>
        <v>1457403.7733328594</v>
      </c>
    </row>
    <row r="36" spans="2:25" x14ac:dyDescent="0.25">
      <c r="C36" t="s">
        <v>46</v>
      </c>
      <c r="E36" s="1">
        <f>E34-E35</f>
        <v>0</v>
      </c>
      <c r="F36" s="1">
        <f t="shared" ref="F36:K36" si="27">F34-F35</f>
        <v>2048000</v>
      </c>
      <c r="G36" s="1">
        <f t="shared" si="27"/>
        <v>2160000</v>
      </c>
      <c r="H36" s="1">
        <f t="shared" si="27"/>
        <v>2160000</v>
      </c>
      <c r="I36" s="1">
        <f t="shared" si="27"/>
        <v>2240000</v>
      </c>
      <c r="J36" s="1">
        <f t="shared" si="27"/>
        <v>2560000</v>
      </c>
      <c r="K36" s="1">
        <f t="shared" si="27"/>
        <v>2720000</v>
      </c>
      <c r="Q36" t="s">
        <v>41</v>
      </c>
      <c r="T36" s="40">
        <v>6</v>
      </c>
      <c r="U36" s="46">
        <f t="shared" si="23"/>
        <v>1457403.7733328594</v>
      </c>
      <c r="V36" s="47">
        <f t="shared" si="16"/>
        <v>49047.748184489814</v>
      </c>
      <c r="W36" s="46">
        <f t="shared" si="24"/>
        <v>36435.094333321489</v>
      </c>
      <c r="X36" s="47">
        <f t="shared" si="25"/>
        <v>12612.653851168325</v>
      </c>
      <c r="Y36" s="46">
        <f t="shared" si="26"/>
        <v>1444791.1194816912</v>
      </c>
    </row>
    <row r="37" spans="2:25" x14ac:dyDescent="0.25">
      <c r="C37" t="s">
        <v>47</v>
      </c>
      <c r="E37" s="1">
        <f>E19</f>
        <v>59500</v>
      </c>
      <c r="F37" s="1">
        <f t="shared" ref="F37:K37" si="28">F19</f>
        <v>59500</v>
      </c>
      <c r="G37" s="1">
        <f t="shared" si="28"/>
        <v>59500</v>
      </c>
      <c r="H37" s="1">
        <f t="shared" si="28"/>
        <v>59500</v>
      </c>
      <c r="I37" s="1">
        <f t="shared" si="28"/>
        <v>59500</v>
      </c>
      <c r="J37" s="1">
        <f t="shared" si="28"/>
        <v>59500</v>
      </c>
      <c r="K37" s="1">
        <f t="shared" si="28"/>
        <v>59500</v>
      </c>
      <c r="Q37" t="s">
        <v>42</v>
      </c>
      <c r="R37">
        <v>0</v>
      </c>
      <c r="T37" s="40">
        <v>7</v>
      </c>
      <c r="U37" s="46">
        <f t="shared" si="23"/>
        <v>1444791.1194816912</v>
      </c>
      <c r="V37" s="47">
        <f t="shared" si="16"/>
        <v>49047.748184489814</v>
      </c>
      <c r="W37" s="46">
        <f t="shared" si="24"/>
        <v>36119.777987042282</v>
      </c>
      <c r="X37" s="47">
        <f t="shared" si="25"/>
        <v>12927.970197447532</v>
      </c>
      <c r="Y37" s="46">
        <f t="shared" si="26"/>
        <v>1431863.1492842436</v>
      </c>
    </row>
    <row r="38" spans="2:25" x14ac:dyDescent="0.25">
      <c r="C38" t="s">
        <v>48</v>
      </c>
      <c r="E38" s="4">
        <f t="shared" ref="E38:K38" si="29">$O$23</f>
        <v>31666.666666666668</v>
      </c>
      <c r="F38" s="4">
        <f t="shared" si="29"/>
        <v>31666.666666666668</v>
      </c>
      <c r="G38" s="4">
        <f t="shared" si="29"/>
        <v>31666.666666666668</v>
      </c>
      <c r="H38" s="4">
        <f t="shared" si="29"/>
        <v>31666.666666666668</v>
      </c>
      <c r="I38" s="4">
        <f t="shared" si="29"/>
        <v>31666.666666666668</v>
      </c>
      <c r="J38" s="4">
        <f t="shared" si="29"/>
        <v>31666.666666666668</v>
      </c>
      <c r="K38" s="4">
        <f t="shared" si="29"/>
        <v>31666.666666666668</v>
      </c>
      <c r="T38" s="40">
        <v>8</v>
      </c>
      <c r="U38" s="46">
        <f t="shared" si="23"/>
        <v>1431863.1492842436</v>
      </c>
      <c r="V38" s="47">
        <f t="shared" si="16"/>
        <v>49047.748184489814</v>
      </c>
      <c r="W38" s="46">
        <f t="shared" si="24"/>
        <v>35796.578732106093</v>
      </c>
      <c r="X38" s="47">
        <f t="shared" si="25"/>
        <v>13251.169452383721</v>
      </c>
      <c r="Y38" s="46">
        <f t="shared" si="26"/>
        <v>1418611.9798318599</v>
      </c>
    </row>
    <row r="39" spans="2:25" x14ac:dyDescent="0.25">
      <c r="C39" s="16" t="s">
        <v>49</v>
      </c>
      <c r="D39" s="16"/>
      <c r="E39" s="52">
        <f>E36-E37-E38</f>
        <v>-91166.666666666672</v>
      </c>
      <c r="F39" s="52">
        <f t="shared" ref="F39:K39" si="30">F36-F37-F38</f>
        <v>1956833.3333333333</v>
      </c>
      <c r="G39" s="52">
        <f t="shared" si="30"/>
        <v>2068833.3333333333</v>
      </c>
      <c r="H39" s="52">
        <f t="shared" si="30"/>
        <v>2068833.3333333333</v>
      </c>
      <c r="I39" s="52">
        <f t="shared" si="30"/>
        <v>2148833.3333333335</v>
      </c>
      <c r="J39" s="52">
        <f t="shared" si="30"/>
        <v>2468833.3333333335</v>
      </c>
      <c r="K39" s="52">
        <f t="shared" si="30"/>
        <v>2628833.3333333335</v>
      </c>
      <c r="T39" s="40">
        <v>9</v>
      </c>
      <c r="U39" s="46">
        <f t="shared" si="23"/>
        <v>1418611.9798318599</v>
      </c>
      <c r="V39" s="47">
        <f t="shared" si="16"/>
        <v>49047.748184489814</v>
      </c>
      <c r="W39" s="46">
        <f t="shared" si="24"/>
        <v>35465.299495796498</v>
      </c>
      <c r="X39" s="47">
        <f t="shared" si="25"/>
        <v>13582.448688693315</v>
      </c>
      <c r="Y39" s="46">
        <f t="shared" si="26"/>
        <v>1405029.5311431666</v>
      </c>
    </row>
    <row r="40" spans="2:25" x14ac:dyDescent="0.25">
      <c r="C40" t="s">
        <v>28</v>
      </c>
      <c r="F40" s="4">
        <f>W31</f>
        <v>37900</v>
      </c>
      <c r="G40" s="4">
        <f>W32</f>
        <v>37621.30629538776</v>
      </c>
      <c r="H40" s="4">
        <f>W33</f>
        <v>37335.645248160203</v>
      </c>
      <c r="I40" s="4">
        <f>W34</f>
        <v>37042.842674751962</v>
      </c>
      <c r="J40" s="4">
        <f>W35</f>
        <v>36742.720037008519</v>
      </c>
      <c r="K40" s="4">
        <f>W36</f>
        <v>36435.094333321489</v>
      </c>
      <c r="T40" s="40">
        <v>10</v>
      </c>
      <c r="U40" s="46">
        <f t="shared" si="23"/>
        <v>1405029.5311431666</v>
      </c>
      <c r="V40" s="47">
        <f t="shared" si="16"/>
        <v>49047.748184489814</v>
      </c>
      <c r="W40" s="46">
        <f t="shared" si="24"/>
        <v>35125.738278579163</v>
      </c>
      <c r="X40" s="47">
        <f t="shared" si="25"/>
        <v>13922.009905910651</v>
      </c>
      <c r="Y40" s="46">
        <f t="shared" si="26"/>
        <v>1391107.521237256</v>
      </c>
    </row>
    <row r="41" spans="2:25" x14ac:dyDescent="0.25">
      <c r="C41" t="s">
        <v>50</v>
      </c>
      <c r="E41" s="4">
        <f>E39-E40</f>
        <v>-91166.666666666672</v>
      </c>
      <c r="F41" s="4">
        <f t="shared" ref="F41:K41" si="31">F39-F40</f>
        <v>1918933.3333333333</v>
      </c>
      <c r="G41" s="4">
        <f t="shared" si="31"/>
        <v>2031212.0270379456</v>
      </c>
      <c r="H41" s="4">
        <f t="shared" si="31"/>
        <v>2031497.688085173</v>
      </c>
      <c r="I41" s="4">
        <f t="shared" si="31"/>
        <v>2111790.4906585817</v>
      </c>
      <c r="J41" s="4">
        <f t="shared" si="31"/>
        <v>2432090.6132963249</v>
      </c>
      <c r="K41" s="4">
        <f t="shared" si="31"/>
        <v>2592398.2390000122</v>
      </c>
      <c r="T41" s="40">
        <v>11</v>
      </c>
      <c r="U41" s="46">
        <f t="shared" si="23"/>
        <v>1391107.521237256</v>
      </c>
      <c r="V41" s="47">
        <f t="shared" si="16"/>
        <v>49047.748184489814</v>
      </c>
      <c r="W41" s="46">
        <f t="shared" si="24"/>
        <v>34777.6880309314</v>
      </c>
      <c r="X41" s="47">
        <f t="shared" si="25"/>
        <v>14270.060153558414</v>
      </c>
      <c r="Y41" s="46">
        <f t="shared" si="26"/>
        <v>1376837.4610836976</v>
      </c>
    </row>
    <row r="42" spans="2:25" x14ac:dyDescent="0.25">
      <c r="B42" s="3">
        <v>0.25</v>
      </c>
      <c r="C42" t="s">
        <v>29</v>
      </c>
      <c r="F42" s="4">
        <f>F41*$B$42</f>
        <v>479733.33333333331</v>
      </c>
      <c r="G42" s="4">
        <f t="shared" ref="G42:K42" si="32">G41*$B$42</f>
        <v>507803.00675948639</v>
      </c>
      <c r="H42" s="4">
        <f t="shared" si="32"/>
        <v>507874.42202129326</v>
      </c>
      <c r="I42" s="4">
        <f t="shared" si="32"/>
        <v>527947.62266464543</v>
      </c>
      <c r="J42" s="4">
        <f t="shared" si="32"/>
        <v>608022.65332408121</v>
      </c>
      <c r="K42" s="4">
        <f t="shared" si="32"/>
        <v>648099.55975000304</v>
      </c>
      <c r="T42" s="40">
        <v>12</v>
      </c>
      <c r="U42" s="46">
        <f t="shared" si="23"/>
        <v>1376837.4610836976</v>
      </c>
      <c r="V42" s="47">
        <f t="shared" si="16"/>
        <v>49047.748184489814</v>
      </c>
      <c r="W42" s="46">
        <f t="shared" si="24"/>
        <v>34420.936527092439</v>
      </c>
      <c r="X42" s="47">
        <f t="shared" si="25"/>
        <v>14626.811657397375</v>
      </c>
      <c r="Y42" s="46">
        <f t="shared" si="26"/>
        <v>1362210.6494263003</v>
      </c>
    </row>
    <row r="43" spans="2:25" x14ac:dyDescent="0.25">
      <c r="C43" s="8" t="s">
        <v>51</v>
      </c>
      <c r="D43" s="8"/>
      <c r="E43" s="15">
        <f>E41-E42</f>
        <v>-91166.666666666672</v>
      </c>
      <c r="F43" s="15">
        <f>F41-F42</f>
        <v>1439200</v>
      </c>
      <c r="G43" s="15">
        <f t="shared" ref="G43:K43" si="33">G41-G42</f>
        <v>1523409.0202784592</v>
      </c>
      <c r="H43" s="15">
        <f t="shared" si="33"/>
        <v>1523623.2660638797</v>
      </c>
      <c r="I43" s="15">
        <f t="shared" si="33"/>
        <v>1583842.8679939364</v>
      </c>
      <c r="J43" s="15">
        <f t="shared" si="33"/>
        <v>1824067.9599722438</v>
      </c>
      <c r="K43" s="15">
        <f t="shared" si="33"/>
        <v>1944298.6792500091</v>
      </c>
      <c r="T43" s="40">
        <v>13</v>
      </c>
      <c r="U43" s="46">
        <f t="shared" si="23"/>
        <v>1362210.6494263003</v>
      </c>
      <c r="V43" s="47">
        <f t="shared" si="16"/>
        <v>49047.748184489814</v>
      </c>
      <c r="W43" s="46">
        <f t="shared" si="24"/>
        <v>34055.266235657509</v>
      </c>
      <c r="X43" s="47">
        <f t="shared" si="25"/>
        <v>14992.481948832305</v>
      </c>
      <c r="Y43" s="46">
        <f t="shared" si="26"/>
        <v>1347218.167477468</v>
      </c>
    </row>
    <row r="44" spans="2:25" x14ac:dyDescent="0.25">
      <c r="T44" s="40">
        <v>14</v>
      </c>
      <c r="U44" s="46">
        <f t="shared" si="23"/>
        <v>1347218.167477468</v>
      </c>
      <c r="V44" s="47">
        <f t="shared" si="16"/>
        <v>49047.748184489814</v>
      </c>
      <c r="W44" s="46">
        <f t="shared" si="24"/>
        <v>33680.454186936702</v>
      </c>
      <c r="X44" s="47">
        <f t="shared" si="25"/>
        <v>15367.293997553112</v>
      </c>
      <c r="Y44" s="46">
        <f t="shared" si="26"/>
        <v>1331850.8734799149</v>
      </c>
    </row>
    <row r="45" spans="2:25" x14ac:dyDescent="0.25">
      <c r="T45" s="40">
        <v>15</v>
      </c>
      <c r="U45" s="46">
        <f t="shared" si="23"/>
        <v>1331850.8734799149</v>
      </c>
      <c r="V45" s="47">
        <f t="shared" si="16"/>
        <v>49047.748184489814</v>
      </c>
      <c r="W45" s="46">
        <f t="shared" si="24"/>
        <v>33296.271836997876</v>
      </c>
      <c r="X45" s="47">
        <f t="shared" si="25"/>
        <v>15751.476347491938</v>
      </c>
      <c r="Y45" s="46">
        <f t="shared" si="26"/>
        <v>1316099.397132423</v>
      </c>
    </row>
    <row r="46" spans="2:25" x14ac:dyDescent="0.25">
      <c r="C46" s="53" t="s">
        <v>52</v>
      </c>
      <c r="E46" s="4">
        <f>E26</f>
        <v>995700</v>
      </c>
      <c r="F46" s="4">
        <f t="shared" ref="F46:K46" si="34">F26</f>
        <v>100618.91848217696</v>
      </c>
      <c r="G46" s="4">
        <f t="shared" si="34"/>
        <v>1337668.1635382008</v>
      </c>
      <c r="H46" s="4">
        <f t="shared" si="34"/>
        <v>2853445.9933324177</v>
      </c>
      <c r="I46" s="4">
        <f t="shared" si="34"/>
        <v>4293950.6224832824</v>
      </c>
      <c r="J46" s="4">
        <f t="shared" si="34"/>
        <v>5730380.2209747117</v>
      </c>
      <c r="K46" s="4">
        <f t="shared" si="34"/>
        <v>7483732.9130402189</v>
      </c>
      <c r="T46" s="40">
        <v>16</v>
      </c>
      <c r="U46" s="46">
        <f t="shared" si="23"/>
        <v>1316099.397132423</v>
      </c>
      <c r="V46" s="47">
        <f t="shared" si="16"/>
        <v>49047.748184489814</v>
      </c>
      <c r="W46" s="46">
        <f t="shared" si="24"/>
        <v>32902.48492831058</v>
      </c>
      <c r="X46" s="47">
        <f t="shared" si="25"/>
        <v>16145.263256179234</v>
      </c>
      <c r="Y46" s="46">
        <f t="shared" si="26"/>
        <v>1299954.1338762438</v>
      </c>
    </row>
    <row r="47" spans="2:25" x14ac:dyDescent="0.25">
      <c r="C47" s="53" t="s">
        <v>53</v>
      </c>
      <c r="E47" s="2">
        <f>E5</f>
        <v>1536000</v>
      </c>
      <c r="F47" s="2">
        <f>(E47+F5)-F35</f>
        <v>1620000</v>
      </c>
      <c r="G47" s="2">
        <f t="shared" ref="G47:K47" si="35">(F47+G5)-G35</f>
        <v>1620000</v>
      </c>
      <c r="H47" s="2">
        <f t="shared" si="35"/>
        <v>1680000</v>
      </c>
      <c r="I47" s="2">
        <f t="shared" si="35"/>
        <v>1920000</v>
      </c>
      <c r="J47" s="2">
        <f t="shared" si="35"/>
        <v>2040000</v>
      </c>
      <c r="K47" s="2">
        <f t="shared" si="35"/>
        <v>2040000</v>
      </c>
      <c r="T47" s="40">
        <v>17</v>
      </c>
      <c r="U47" s="46">
        <f t="shared" si="23"/>
        <v>1299954.1338762438</v>
      </c>
      <c r="V47" s="47">
        <f t="shared" si="16"/>
        <v>49047.748184489814</v>
      </c>
      <c r="W47" s="46">
        <f t="shared" si="24"/>
        <v>32498.853346906097</v>
      </c>
      <c r="X47" s="47">
        <f t="shared" si="25"/>
        <v>16548.894837583717</v>
      </c>
      <c r="Y47" s="46">
        <f t="shared" si="26"/>
        <v>1283405.2390386602</v>
      </c>
    </row>
    <row r="48" spans="2:25" x14ac:dyDescent="0.25">
      <c r="C48" s="53" t="s">
        <v>54</v>
      </c>
      <c r="F48" s="2">
        <f>F4*($D$12+$D$13)</f>
        <v>3404800.0000000005</v>
      </c>
      <c r="G48" s="2">
        <f>F48+(G4*($D$12+$D$13))-G12</f>
        <v>3770200.0000000009</v>
      </c>
      <c r="H48" s="2">
        <f>G48+(H4*($D$12+$D$13))-H13-H12</f>
        <v>3780000.0000000019</v>
      </c>
      <c r="I48" s="2">
        <f>H48+(I4*($D$12+$D$13))-I13-I12</f>
        <v>3913000.0000000019</v>
      </c>
      <c r="J48" s="2">
        <f>I48+(J4*($D$12+$D$13))-J13-J12</f>
        <v>4452000.0000000019</v>
      </c>
      <c r="K48" s="2">
        <f t="shared" ref="K48" si="36">J48+(K4*($D$12+$D$13))-K13-K12</f>
        <v>4746000.0000000019</v>
      </c>
      <c r="T48" s="40">
        <v>18</v>
      </c>
      <c r="U48" s="46">
        <f t="shared" si="23"/>
        <v>1283405.2390386602</v>
      </c>
      <c r="V48" s="47">
        <f t="shared" si="16"/>
        <v>49047.748184489814</v>
      </c>
      <c r="W48" s="46">
        <f t="shared" si="24"/>
        <v>32085.130975966506</v>
      </c>
      <c r="X48" s="47">
        <f t="shared" si="25"/>
        <v>16962.617208523308</v>
      </c>
      <c r="Y48" s="46">
        <f t="shared" si="26"/>
        <v>1266442.621830137</v>
      </c>
    </row>
    <row r="49" spans="3:25" x14ac:dyDescent="0.25">
      <c r="C49" s="53" t="s">
        <v>55</v>
      </c>
      <c r="E49" s="4">
        <f>SUM(E46:E48)</f>
        <v>2531700</v>
      </c>
      <c r="F49" s="4">
        <f t="shared" ref="F49:K49" si="37">SUM(F46:F48)</f>
        <v>5125418.918482177</v>
      </c>
      <c r="G49" s="4">
        <f t="shared" si="37"/>
        <v>6727868.1635382017</v>
      </c>
      <c r="H49" s="4">
        <f t="shared" si="37"/>
        <v>8313445.9933324195</v>
      </c>
      <c r="I49" s="4">
        <f t="shared" si="37"/>
        <v>10126950.622483283</v>
      </c>
      <c r="J49" s="4">
        <f t="shared" si="37"/>
        <v>12222380.220974714</v>
      </c>
      <c r="K49" s="4">
        <f t="shared" si="37"/>
        <v>14269732.913040221</v>
      </c>
      <c r="T49" s="40">
        <v>19</v>
      </c>
      <c r="U49" s="46">
        <f t="shared" si="23"/>
        <v>1266442.621830137</v>
      </c>
      <c r="V49" s="47">
        <f t="shared" si="16"/>
        <v>49047.748184489814</v>
      </c>
      <c r="W49" s="46">
        <f t="shared" si="24"/>
        <v>31661.065545753427</v>
      </c>
      <c r="X49" s="47">
        <f t="shared" si="25"/>
        <v>17386.682638736387</v>
      </c>
      <c r="Y49" s="46">
        <f t="shared" si="26"/>
        <v>1249055.9391914005</v>
      </c>
    </row>
    <row r="50" spans="3:25" x14ac:dyDescent="0.25">
      <c r="C50" t="s">
        <v>56</v>
      </c>
      <c r="E50" s="4">
        <f>$E$20</f>
        <v>1900000</v>
      </c>
      <c r="F50" s="4">
        <f t="shared" ref="F50:K50" si="38">$E$20</f>
        <v>1900000</v>
      </c>
      <c r="G50" s="4">
        <f t="shared" si="38"/>
        <v>1900000</v>
      </c>
      <c r="H50" s="4">
        <f t="shared" si="38"/>
        <v>1900000</v>
      </c>
      <c r="I50" s="4">
        <f t="shared" si="38"/>
        <v>1900000</v>
      </c>
      <c r="J50" s="4">
        <f t="shared" si="38"/>
        <v>1900000</v>
      </c>
      <c r="K50" s="4">
        <f t="shared" si="38"/>
        <v>1900000</v>
      </c>
      <c r="T50" s="40">
        <v>20</v>
      </c>
      <c r="U50" s="46">
        <f t="shared" si="23"/>
        <v>1249055.9391914005</v>
      </c>
      <c r="V50" s="47">
        <f t="shared" si="16"/>
        <v>49047.748184489814</v>
      </c>
      <c r="W50" s="46">
        <f t="shared" si="24"/>
        <v>31226.398479785013</v>
      </c>
      <c r="X50" s="47">
        <f t="shared" si="25"/>
        <v>17821.3497047048</v>
      </c>
      <c r="Y50" s="46">
        <f t="shared" si="26"/>
        <v>1231234.5894866958</v>
      </c>
    </row>
    <row r="51" spans="3:25" x14ac:dyDescent="0.25">
      <c r="C51" t="s">
        <v>57</v>
      </c>
      <c r="E51" s="4">
        <f>E38</f>
        <v>31666.666666666668</v>
      </c>
      <c r="F51" s="4">
        <f>E51+$E$51</f>
        <v>63333.333333333336</v>
      </c>
      <c r="G51" s="4">
        <f>F51+$E$51</f>
        <v>95000</v>
      </c>
      <c r="H51" s="4">
        <f>G51+$E$51</f>
        <v>126666.66666666667</v>
      </c>
      <c r="I51" s="4">
        <f t="shared" ref="I51:K51" si="39">H51+$E$51</f>
        <v>158333.33333333334</v>
      </c>
      <c r="J51" s="4">
        <f t="shared" si="39"/>
        <v>190000</v>
      </c>
      <c r="K51" s="4">
        <f t="shared" si="39"/>
        <v>221666.66666666666</v>
      </c>
      <c r="T51" s="40">
        <v>21</v>
      </c>
      <c r="U51" s="46">
        <f t="shared" si="23"/>
        <v>1231234.5894866958</v>
      </c>
      <c r="V51" s="47">
        <f t="shared" si="16"/>
        <v>49047.748184489814</v>
      </c>
      <c r="W51" s="46">
        <f t="shared" si="24"/>
        <v>30780.864737167398</v>
      </c>
      <c r="X51" s="47">
        <f t="shared" si="25"/>
        <v>18266.883447322416</v>
      </c>
      <c r="Y51" s="46">
        <f t="shared" si="26"/>
        <v>1212967.7060393733</v>
      </c>
    </row>
    <row r="52" spans="3:25" x14ac:dyDescent="0.25">
      <c r="C52" t="s">
        <v>58</v>
      </c>
      <c r="E52" s="4">
        <f>E50-E51</f>
        <v>1868333.3333333333</v>
      </c>
      <c r="F52" s="4">
        <f t="shared" ref="F52:K52" si="40">F50-F51</f>
        <v>1836666.6666666667</v>
      </c>
      <c r="G52" s="4">
        <f t="shared" si="40"/>
        <v>1805000</v>
      </c>
      <c r="H52" s="4">
        <f t="shared" si="40"/>
        <v>1773333.3333333333</v>
      </c>
      <c r="I52" s="4">
        <f t="shared" si="40"/>
        <v>1741666.6666666667</v>
      </c>
      <c r="J52" s="4">
        <f t="shared" si="40"/>
        <v>1710000</v>
      </c>
      <c r="K52" s="4">
        <f t="shared" si="40"/>
        <v>1678333.3333333333</v>
      </c>
      <c r="T52" s="40">
        <v>22</v>
      </c>
      <c r="U52" s="46">
        <f t="shared" si="23"/>
        <v>1212967.7060393733</v>
      </c>
      <c r="V52" s="47">
        <f t="shared" si="16"/>
        <v>49047.748184489814</v>
      </c>
      <c r="W52" s="46">
        <f t="shared" si="24"/>
        <v>30324.192650984332</v>
      </c>
      <c r="X52" s="47">
        <f t="shared" si="25"/>
        <v>18723.555533505481</v>
      </c>
      <c r="Y52" s="46">
        <f t="shared" si="26"/>
        <v>1194244.1505058678</v>
      </c>
    </row>
    <row r="53" spans="3:25" x14ac:dyDescent="0.25">
      <c r="C53" s="8" t="s">
        <v>59</v>
      </c>
      <c r="D53" s="8"/>
      <c r="E53" s="10">
        <f>E49+E52</f>
        <v>4400033.333333333</v>
      </c>
      <c r="F53" s="10">
        <f t="shared" ref="F53:K53" si="41">F49+F52</f>
        <v>6962085.5851488439</v>
      </c>
      <c r="G53" s="10">
        <f t="shared" si="41"/>
        <v>8532868.1635382026</v>
      </c>
      <c r="H53" s="10">
        <f t="shared" si="41"/>
        <v>10086779.326665753</v>
      </c>
      <c r="I53" s="10">
        <f t="shared" si="41"/>
        <v>11868617.289149949</v>
      </c>
      <c r="J53" s="10">
        <f t="shared" si="41"/>
        <v>13932380.220974714</v>
      </c>
      <c r="K53" s="10">
        <f t="shared" si="41"/>
        <v>15948066.246373555</v>
      </c>
      <c r="T53" s="40">
        <v>23</v>
      </c>
      <c r="U53" s="46">
        <f t="shared" si="23"/>
        <v>1194244.1505058678</v>
      </c>
      <c r="V53" s="47">
        <f t="shared" si="16"/>
        <v>49047.748184489814</v>
      </c>
      <c r="W53" s="46">
        <f t="shared" si="24"/>
        <v>29856.103762646697</v>
      </c>
      <c r="X53" s="47">
        <f t="shared" si="25"/>
        <v>19191.644421843117</v>
      </c>
      <c r="Y53" s="46">
        <f t="shared" si="26"/>
        <v>1175052.5060840247</v>
      </c>
    </row>
    <row r="54" spans="3:25" x14ac:dyDescent="0.25">
      <c r="T54" s="40">
        <v>24</v>
      </c>
      <c r="U54" s="46">
        <f t="shared" si="23"/>
        <v>1175052.5060840247</v>
      </c>
      <c r="V54" s="47">
        <f t="shared" si="16"/>
        <v>49047.748184489814</v>
      </c>
      <c r="W54" s="46">
        <f t="shared" si="24"/>
        <v>29376.31265210062</v>
      </c>
      <c r="X54" s="47">
        <f t="shared" si="25"/>
        <v>19671.435532389194</v>
      </c>
      <c r="Y54" s="46">
        <f t="shared" si="26"/>
        <v>1155381.0705516355</v>
      </c>
    </row>
    <row r="55" spans="3:25" x14ac:dyDescent="0.25">
      <c r="T55" s="40">
        <v>25</v>
      </c>
      <c r="U55" s="46">
        <f t="shared" si="23"/>
        <v>1155381.0705516355</v>
      </c>
      <c r="V55" s="47">
        <f t="shared" si="16"/>
        <v>49047.748184489814</v>
      </c>
      <c r="W55" s="46">
        <f t="shared" si="24"/>
        <v>28884.526763790887</v>
      </c>
      <c r="X55" s="47">
        <f t="shared" si="25"/>
        <v>20163.221420698927</v>
      </c>
      <c r="Y55" s="46">
        <f t="shared" si="26"/>
        <v>1135217.8491309364</v>
      </c>
    </row>
    <row r="56" spans="3:25" x14ac:dyDescent="0.25">
      <c r="C56" s="53" t="s">
        <v>60</v>
      </c>
      <c r="E56" s="1">
        <f>E5*$D$18</f>
        <v>1075200</v>
      </c>
      <c r="F56" s="1">
        <f>(F5*$D$18)+E56-F18</f>
        <v>2209200</v>
      </c>
      <c r="G56" s="1">
        <f>(G5*$D$18)+F56-G18</f>
        <v>2268000</v>
      </c>
      <c r="H56" s="1">
        <f t="shared" ref="H56:K56" si="42">(H5*$D$18)+G56-H18</f>
        <v>2310000</v>
      </c>
      <c r="I56" s="1">
        <f t="shared" si="42"/>
        <v>2520000</v>
      </c>
      <c r="J56" s="1">
        <f t="shared" si="42"/>
        <v>2772000</v>
      </c>
      <c r="K56" s="1">
        <f t="shared" si="42"/>
        <v>2856000</v>
      </c>
      <c r="T56" s="40">
        <v>26</v>
      </c>
      <c r="U56" s="46">
        <f t="shared" si="23"/>
        <v>1135217.8491309364</v>
      </c>
      <c r="V56" s="47">
        <f t="shared" si="16"/>
        <v>49047.748184489814</v>
      </c>
      <c r="W56" s="46">
        <f t="shared" si="24"/>
        <v>28380.446228273413</v>
      </c>
      <c r="X56" s="47">
        <f t="shared" si="25"/>
        <v>20667.301956216401</v>
      </c>
      <c r="Y56" s="46">
        <f t="shared" si="26"/>
        <v>1114550.5471747201</v>
      </c>
    </row>
    <row r="57" spans="3:25" x14ac:dyDescent="0.25">
      <c r="C57" t="s">
        <v>32</v>
      </c>
      <c r="E57" s="1">
        <f>U31</f>
        <v>1516000</v>
      </c>
      <c r="F57" s="1">
        <f>U32</f>
        <v>1504852.2518155102</v>
      </c>
      <c r="G57" s="1">
        <f>U33</f>
        <v>1493425.8099264081</v>
      </c>
      <c r="H57" s="1">
        <f>U34</f>
        <v>1481713.7069900786</v>
      </c>
      <c r="I57" s="1">
        <f>U35</f>
        <v>1469708.8014803408</v>
      </c>
      <c r="J57" s="1">
        <f>U36</f>
        <v>1457403.7733328594</v>
      </c>
      <c r="K57" s="1">
        <f>U37</f>
        <v>1444791.1194816912</v>
      </c>
      <c r="T57" s="40">
        <v>27</v>
      </c>
      <c r="U57" s="46">
        <f t="shared" si="23"/>
        <v>1114550.5471747201</v>
      </c>
      <c r="V57" s="47">
        <f t="shared" si="16"/>
        <v>49047.748184489814</v>
      </c>
      <c r="W57" s="46">
        <f t="shared" si="24"/>
        <v>27863.763679368003</v>
      </c>
      <c r="X57" s="47">
        <f t="shared" si="25"/>
        <v>21183.984505121811</v>
      </c>
      <c r="Y57" s="46">
        <f t="shared" si="26"/>
        <v>1093366.5626695983</v>
      </c>
    </row>
    <row r="58" spans="3:25" x14ac:dyDescent="0.25">
      <c r="C58" s="11" t="s">
        <v>61</v>
      </c>
      <c r="D58" s="11"/>
      <c r="E58" s="12">
        <f>SUM(E56:E57)</f>
        <v>2591200</v>
      </c>
      <c r="F58" s="12">
        <f t="shared" ref="F58:K58" si="43">SUM(F56:F57)</f>
        <v>3714052.25181551</v>
      </c>
      <c r="G58" s="12">
        <f t="shared" si="43"/>
        <v>3761425.8099264083</v>
      </c>
      <c r="H58" s="12">
        <f t="shared" si="43"/>
        <v>3791713.7069900786</v>
      </c>
      <c r="I58" s="12">
        <f t="shared" si="43"/>
        <v>3989708.8014803408</v>
      </c>
      <c r="J58" s="12">
        <f t="shared" si="43"/>
        <v>4229403.7733328594</v>
      </c>
      <c r="K58" s="12">
        <f t="shared" si="43"/>
        <v>4300791.1194816912</v>
      </c>
      <c r="T58" s="40">
        <v>28</v>
      </c>
      <c r="U58" s="46">
        <f t="shared" si="23"/>
        <v>1093366.5626695983</v>
      </c>
      <c r="V58" s="47">
        <f t="shared" si="16"/>
        <v>49047.748184489814</v>
      </c>
      <c r="W58" s="46">
        <f t="shared" si="24"/>
        <v>27334.164066739959</v>
      </c>
      <c r="X58" s="47">
        <f t="shared" si="25"/>
        <v>21713.584117749855</v>
      </c>
      <c r="Y58" s="46">
        <f t="shared" si="26"/>
        <v>1071652.9785518483</v>
      </c>
    </row>
    <row r="59" spans="3:25" x14ac:dyDescent="0.25">
      <c r="C59" t="s">
        <v>31</v>
      </c>
      <c r="E59" s="1">
        <f t="shared" ref="E59:K59" si="44">$R$26</f>
        <v>1900000</v>
      </c>
      <c r="F59" s="1">
        <f t="shared" si="44"/>
        <v>1900000</v>
      </c>
      <c r="G59" s="1">
        <f t="shared" si="44"/>
        <v>1900000</v>
      </c>
      <c r="H59" s="1">
        <f t="shared" si="44"/>
        <v>1900000</v>
      </c>
      <c r="I59" s="1">
        <f t="shared" si="44"/>
        <v>1900000</v>
      </c>
      <c r="J59" s="1">
        <f t="shared" si="44"/>
        <v>1900000</v>
      </c>
      <c r="K59" s="1">
        <f t="shared" si="44"/>
        <v>1900000</v>
      </c>
      <c r="T59" s="40">
        <v>29</v>
      </c>
      <c r="U59" s="46">
        <f t="shared" si="23"/>
        <v>1071652.9785518483</v>
      </c>
      <c r="V59" s="47">
        <f t="shared" si="16"/>
        <v>49047.748184489814</v>
      </c>
      <c r="W59" s="46">
        <f t="shared" si="24"/>
        <v>26791.324463796209</v>
      </c>
      <c r="X59" s="47">
        <f t="shared" si="25"/>
        <v>22256.423720693605</v>
      </c>
      <c r="Y59" s="46">
        <f t="shared" si="26"/>
        <v>1049396.5548311546</v>
      </c>
    </row>
    <row r="60" spans="3:25" x14ac:dyDescent="0.25">
      <c r="C60" t="s">
        <v>62</v>
      </c>
      <c r="E60" s="1">
        <f>E43</f>
        <v>-91166.666666666672</v>
      </c>
      <c r="F60" s="1">
        <f>E60+F43</f>
        <v>1348033.3333333333</v>
      </c>
      <c r="G60" s="1">
        <f t="shared" ref="G60:K60" si="45">F60+G43</f>
        <v>2871442.3536117924</v>
      </c>
      <c r="H60" s="1">
        <f t="shared" si="45"/>
        <v>4395065.6196756717</v>
      </c>
      <c r="I60" s="1">
        <f t="shared" si="45"/>
        <v>5978908.4876696076</v>
      </c>
      <c r="J60" s="1">
        <f t="shared" si="45"/>
        <v>7802976.4476418514</v>
      </c>
      <c r="K60" s="1">
        <f t="shared" si="45"/>
        <v>9747275.1268918607</v>
      </c>
      <c r="T60" s="40">
        <v>30</v>
      </c>
      <c r="U60" s="46">
        <f t="shared" si="23"/>
        <v>1049396.5548311546</v>
      </c>
      <c r="V60" s="47">
        <f t="shared" si="16"/>
        <v>49047.748184489814</v>
      </c>
      <c r="W60" s="46">
        <f t="shared" si="24"/>
        <v>26234.913870778866</v>
      </c>
      <c r="X60" s="47">
        <f t="shared" si="25"/>
        <v>22812.834313710948</v>
      </c>
      <c r="Y60" s="46">
        <f t="shared" si="26"/>
        <v>1026583.7205174437</v>
      </c>
    </row>
    <row r="61" spans="3:25" x14ac:dyDescent="0.25">
      <c r="C61" s="11" t="s">
        <v>63</v>
      </c>
      <c r="D61" s="11"/>
      <c r="E61" s="12">
        <f>SUM(E59:E60)</f>
        <v>1808833.3333333333</v>
      </c>
      <c r="F61" s="12">
        <f t="shared" ref="F61:K61" si="46">SUM(F59:F60)</f>
        <v>3248033.333333333</v>
      </c>
      <c r="G61" s="12">
        <f t="shared" si="46"/>
        <v>4771442.3536117924</v>
      </c>
      <c r="H61" s="12">
        <f t="shared" si="46"/>
        <v>6295065.6196756717</v>
      </c>
      <c r="I61" s="12">
        <f t="shared" si="46"/>
        <v>7878908.4876696076</v>
      </c>
      <c r="J61" s="12">
        <f t="shared" si="46"/>
        <v>9702976.4476418514</v>
      </c>
      <c r="K61" s="12">
        <f t="shared" si="46"/>
        <v>11647275.126891861</v>
      </c>
      <c r="T61" s="40">
        <v>31</v>
      </c>
      <c r="U61" s="46">
        <f t="shared" si="23"/>
        <v>1026583.7205174437</v>
      </c>
      <c r="V61" s="47">
        <f t="shared" si="16"/>
        <v>49047.748184489814</v>
      </c>
      <c r="W61" s="46">
        <f t="shared" si="24"/>
        <v>25664.593012936093</v>
      </c>
      <c r="X61" s="47">
        <f t="shared" si="25"/>
        <v>23383.155171553721</v>
      </c>
      <c r="Y61" s="46">
        <f t="shared" si="26"/>
        <v>1003200.56534589</v>
      </c>
    </row>
    <row r="62" spans="3:25" x14ac:dyDescent="0.25">
      <c r="C62" s="8" t="s">
        <v>64</v>
      </c>
      <c r="D62" s="8"/>
      <c r="E62" s="13">
        <f t="shared" ref="E62:K62" si="47">E58+E61</f>
        <v>4400033.333333333</v>
      </c>
      <c r="F62" s="13">
        <f t="shared" si="47"/>
        <v>6962085.585148843</v>
      </c>
      <c r="G62" s="13">
        <f t="shared" si="47"/>
        <v>8532868.1635382008</v>
      </c>
      <c r="H62" s="13">
        <f t="shared" si="47"/>
        <v>10086779.32666575</v>
      </c>
      <c r="I62" s="13">
        <f t="shared" si="47"/>
        <v>11868617.289149947</v>
      </c>
      <c r="J62" s="13">
        <f t="shared" si="47"/>
        <v>13932380.22097471</v>
      </c>
      <c r="K62" s="13">
        <f t="shared" si="47"/>
        <v>15948066.246373553</v>
      </c>
      <c r="T62" s="40">
        <v>32</v>
      </c>
      <c r="U62" s="46">
        <f t="shared" si="23"/>
        <v>1003200.56534589</v>
      </c>
      <c r="V62" s="47">
        <f t="shared" si="16"/>
        <v>49047.748184489814</v>
      </c>
      <c r="W62" s="46">
        <f t="shared" si="24"/>
        <v>25080.014133647252</v>
      </c>
      <c r="X62" s="47">
        <f t="shared" si="25"/>
        <v>23967.734050842562</v>
      </c>
      <c r="Y62" s="46">
        <f t="shared" si="26"/>
        <v>979232.83129504742</v>
      </c>
    </row>
    <row r="63" spans="3:25" x14ac:dyDescent="0.25">
      <c r="T63" s="40">
        <v>33</v>
      </c>
      <c r="U63" s="46">
        <f t="shared" si="23"/>
        <v>979232.83129504742</v>
      </c>
      <c r="V63" s="47">
        <f t="shared" si="16"/>
        <v>49047.748184489814</v>
      </c>
      <c r="W63" s="46">
        <f t="shared" si="24"/>
        <v>24480.820782376188</v>
      </c>
      <c r="X63" s="47">
        <f t="shared" si="25"/>
        <v>24566.927402113626</v>
      </c>
      <c r="Y63" s="46">
        <f t="shared" si="26"/>
        <v>954665.90389293374</v>
      </c>
    </row>
    <row r="64" spans="3:25" x14ac:dyDescent="0.25">
      <c r="E64" s="7">
        <f>E53-E62</f>
        <v>0</v>
      </c>
      <c r="F64" s="7">
        <f t="shared" ref="F64:K64" si="48">F53-F62</f>
        <v>0</v>
      </c>
      <c r="G64" s="7">
        <f t="shared" si="48"/>
        <v>0</v>
      </c>
      <c r="H64" s="7">
        <f t="shared" si="48"/>
        <v>0</v>
      </c>
      <c r="I64" s="7">
        <f t="shared" si="48"/>
        <v>0</v>
      </c>
      <c r="J64" s="7">
        <f t="shared" si="48"/>
        <v>0</v>
      </c>
      <c r="K64" s="7">
        <f t="shared" si="48"/>
        <v>0</v>
      </c>
      <c r="T64" s="40">
        <v>34</v>
      </c>
      <c r="U64" s="46">
        <f t="shared" si="23"/>
        <v>954665.90389293374</v>
      </c>
      <c r="V64" s="47">
        <f t="shared" si="16"/>
        <v>49047.748184489814</v>
      </c>
      <c r="W64" s="46">
        <f t="shared" si="24"/>
        <v>23866.647597323346</v>
      </c>
      <c r="X64" s="47">
        <f t="shared" si="25"/>
        <v>25181.100587166467</v>
      </c>
      <c r="Y64" s="46">
        <f t="shared" si="26"/>
        <v>929484.80330576724</v>
      </c>
    </row>
    <row r="65" spans="4:25" x14ac:dyDescent="0.25">
      <c r="T65" s="40">
        <v>35</v>
      </c>
      <c r="U65" s="46">
        <f t="shared" si="23"/>
        <v>929484.80330576724</v>
      </c>
      <c r="V65" s="47">
        <f t="shared" si="16"/>
        <v>49047.748184489814</v>
      </c>
      <c r="W65" s="46">
        <f t="shared" si="24"/>
        <v>23237.120082644182</v>
      </c>
      <c r="X65" s="47">
        <f t="shared" si="25"/>
        <v>25810.628101845632</v>
      </c>
      <c r="Y65" s="46">
        <f t="shared" si="26"/>
        <v>903674.17520392162</v>
      </c>
    </row>
    <row r="66" spans="4:25" x14ac:dyDescent="0.25">
      <c r="T66" s="40">
        <v>36</v>
      </c>
      <c r="U66" s="46">
        <f t="shared" si="23"/>
        <v>903674.17520392162</v>
      </c>
      <c r="V66" s="47">
        <f t="shared" si="16"/>
        <v>49047.748184489814</v>
      </c>
      <c r="W66" s="46">
        <f t="shared" si="24"/>
        <v>22591.854380098041</v>
      </c>
      <c r="X66" s="47">
        <f t="shared" si="25"/>
        <v>26455.893804391773</v>
      </c>
      <c r="Y66" s="46">
        <f t="shared" si="26"/>
        <v>877218.28139952989</v>
      </c>
    </row>
    <row r="67" spans="4:25" x14ac:dyDescent="0.25">
      <c r="T67" s="40">
        <v>37</v>
      </c>
      <c r="U67" s="46">
        <f t="shared" si="23"/>
        <v>877218.28139952989</v>
      </c>
      <c r="V67" s="47">
        <f t="shared" si="16"/>
        <v>49047.748184489814</v>
      </c>
      <c r="W67" s="46">
        <f t="shared" si="24"/>
        <v>21930.457034988249</v>
      </c>
      <c r="X67" s="47">
        <f t="shared" si="25"/>
        <v>27117.291149501565</v>
      </c>
      <c r="Y67" s="46">
        <f t="shared" si="26"/>
        <v>850100.99025002832</v>
      </c>
    </row>
    <row r="68" spans="4:25" x14ac:dyDescent="0.25">
      <c r="D68" s="38" t="s">
        <v>75</v>
      </c>
      <c r="E68" t="s">
        <v>84</v>
      </c>
      <c r="T68" s="40">
        <v>38</v>
      </c>
      <c r="U68" s="46">
        <f t="shared" si="23"/>
        <v>850100.99025002832</v>
      </c>
      <c r="V68" s="47">
        <f t="shared" si="16"/>
        <v>49047.748184489814</v>
      </c>
      <c r="W68" s="46">
        <f t="shared" si="24"/>
        <v>21252.52475625071</v>
      </c>
      <c r="X68" s="47">
        <f t="shared" si="25"/>
        <v>27795.223428239104</v>
      </c>
      <c r="Y68" s="46">
        <f t="shared" si="26"/>
        <v>822305.76682178921</v>
      </c>
    </row>
    <row r="69" spans="4:25" ht="15.75" thickBot="1" x14ac:dyDescent="0.3">
      <c r="E69" s="1"/>
      <c r="T69" s="40">
        <v>39</v>
      </c>
      <c r="U69" s="46">
        <f t="shared" si="23"/>
        <v>822305.76682178921</v>
      </c>
      <c r="V69" s="47">
        <f t="shared" si="16"/>
        <v>49047.748184489814</v>
      </c>
      <c r="W69" s="46">
        <f t="shared" si="24"/>
        <v>20557.644170544732</v>
      </c>
      <c r="X69" s="47">
        <f t="shared" si="25"/>
        <v>28490.104013945082</v>
      </c>
      <c r="Y69" s="46">
        <f t="shared" si="26"/>
        <v>793815.66280784411</v>
      </c>
    </row>
    <row r="70" spans="4:25" x14ac:dyDescent="0.25">
      <c r="D70" s="62" t="s">
        <v>75</v>
      </c>
      <c r="E70" s="63">
        <f>(E39*(1-0.25))+E38-E50-(E49-E56)</f>
        <v>-3393208.333333333</v>
      </c>
      <c r="F70" s="63">
        <f>(F38*(1-0.25))+F39-((F49-F56)-(E49-E56))</f>
        <v>520864.4148511563</v>
      </c>
      <c r="G70" s="63">
        <f t="shared" ref="G70:J70" si="49">(G38*(1-0.25))+G39-(G49-G56-(F49-F56))</f>
        <v>548934.0882773085</v>
      </c>
      <c r="H70" s="63">
        <f t="shared" si="49"/>
        <v>549005.50353911542</v>
      </c>
      <c r="I70" s="63">
        <f t="shared" si="49"/>
        <v>569078.70418246975</v>
      </c>
      <c r="J70" s="63">
        <f t="shared" si="49"/>
        <v>649153.73484190321</v>
      </c>
      <c r="K70" s="63">
        <f>(K38*(1-0.25))+K39-(K49-K56-(J49-J56))</f>
        <v>689230.64126782632</v>
      </c>
      <c r="L70" s="64"/>
      <c r="T70" s="40">
        <v>40</v>
      </c>
      <c r="U70" s="46">
        <f t="shared" si="23"/>
        <v>793815.66280784411</v>
      </c>
      <c r="V70" s="47">
        <f t="shared" si="16"/>
        <v>49047.748184489814</v>
      </c>
      <c r="W70" s="46">
        <f t="shared" si="24"/>
        <v>19845.391570196105</v>
      </c>
      <c r="X70" s="47">
        <f t="shared" si="25"/>
        <v>29202.356614293709</v>
      </c>
      <c r="Y70" s="46">
        <f t="shared" si="26"/>
        <v>764613.30619355035</v>
      </c>
    </row>
    <row r="71" spans="4:25" ht="15.75" thickBot="1" x14ac:dyDescent="0.3">
      <c r="D71" s="65"/>
      <c r="E71" s="66"/>
      <c r="F71" s="66"/>
      <c r="G71" s="66"/>
      <c r="H71" s="66"/>
      <c r="I71" s="66"/>
      <c r="J71" s="66"/>
      <c r="K71" s="66">
        <f>K70/L71</f>
        <v>827076769.52139151</v>
      </c>
      <c r="L71" s="80">
        <f>1%/12</f>
        <v>8.3333333333333339E-4</v>
      </c>
      <c r="M71" t="s">
        <v>85</v>
      </c>
      <c r="T71" s="40">
        <v>41</v>
      </c>
      <c r="U71" s="46">
        <f t="shared" si="23"/>
        <v>764613.30619355035</v>
      </c>
      <c r="V71" s="47">
        <f t="shared" si="16"/>
        <v>49047.748184489814</v>
      </c>
      <c r="W71" s="46">
        <f t="shared" si="24"/>
        <v>19115.332654838759</v>
      </c>
      <c r="X71" s="47">
        <f t="shared" si="25"/>
        <v>29932.415529651054</v>
      </c>
      <c r="Y71" s="46">
        <f t="shared" si="26"/>
        <v>734680.89066389925</v>
      </c>
    </row>
    <row r="72" spans="4:25" ht="15.75" thickBot="1" x14ac:dyDescent="0.3">
      <c r="E72" s="4"/>
      <c r="F72" s="4"/>
      <c r="G72" s="4"/>
      <c r="H72" s="4"/>
      <c r="I72" s="4"/>
      <c r="J72" s="4"/>
      <c r="K72" s="4"/>
      <c r="T72" s="40">
        <v>42</v>
      </c>
      <c r="U72" s="46">
        <f t="shared" si="23"/>
        <v>734680.89066389925</v>
      </c>
      <c r="V72" s="47">
        <f t="shared" si="16"/>
        <v>49047.748184489814</v>
      </c>
      <c r="W72" s="46">
        <f t="shared" si="24"/>
        <v>18367.022266597483</v>
      </c>
      <c r="X72" s="47">
        <f t="shared" si="25"/>
        <v>30680.72591789233</v>
      </c>
      <c r="Y72" s="46">
        <f t="shared" si="26"/>
        <v>704000.16474600695</v>
      </c>
    </row>
    <row r="73" spans="4:25" x14ac:dyDescent="0.25">
      <c r="D73" s="54" t="s">
        <v>76</v>
      </c>
      <c r="E73" s="55">
        <f t="shared" ref="E73:J73" si="50">(E70/((1+$G$74)^E81))</f>
        <v>-1333781.3393898127</v>
      </c>
      <c r="F73" s="55">
        <f t="shared" si="50"/>
        <v>80477.210028722038</v>
      </c>
      <c r="G73" s="55">
        <f t="shared" si="50"/>
        <v>33338.22990458805</v>
      </c>
      <c r="H73" s="55">
        <f t="shared" si="50"/>
        <v>13106.090017166369</v>
      </c>
      <c r="I73" s="55">
        <f t="shared" si="50"/>
        <v>5340.0201337188255</v>
      </c>
      <c r="J73" s="55">
        <f t="shared" si="50"/>
        <v>2394.3753497013477</v>
      </c>
      <c r="K73" s="56">
        <f>(K71/((1+$G$74)^K81))</f>
        <v>1199125.4142994969</v>
      </c>
      <c r="T73" s="40">
        <v>43</v>
      </c>
      <c r="U73" s="46">
        <f t="shared" si="23"/>
        <v>704000.16474600695</v>
      </c>
      <c r="V73" s="47">
        <f t="shared" si="16"/>
        <v>49047.748184489814</v>
      </c>
      <c r="W73" s="46">
        <f t="shared" si="24"/>
        <v>17600.004118650173</v>
      </c>
      <c r="X73" s="47">
        <f t="shared" si="25"/>
        <v>31447.744065839641</v>
      </c>
      <c r="Y73" s="46">
        <f t="shared" si="26"/>
        <v>672552.42068016727</v>
      </c>
    </row>
    <row r="74" spans="4:25" ht="15.75" thickBot="1" x14ac:dyDescent="0.3">
      <c r="D74" s="57"/>
      <c r="E74" s="58">
        <f>SUM(E73:K73)</f>
        <v>3.4358096309006214E-4</v>
      </c>
      <c r="F74" s="59" t="s">
        <v>83</v>
      </c>
      <c r="G74" s="60">
        <v>1.5440514371611178</v>
      </c>
      <c r="H74" s="58"/>
      <c r="I74" s="58"/>
      <c r="J74" s="58"/>
      <c r="K74" s="61"/>
      <c r="T74" s="40">
        <v>44</v>
      </c>
      <c r="U74" s="46">
        <f t="shared" si="23"/>
        <v>672552.42068016727</v>
      </c>
      <c r="V74" s="47">
        <f t="shared" si="16"/>
        <v>49047.748184489814</v>
      </c>
      <c r="W74" s="46">
        <f t="shared" si="24"/>
        <v>16813.810517004182</v>
      </c>
      <c r="X74" s="47">
        <f t="shared" si="25"/>
        <v>32233.937667485632</v>
      </c>
      <c r="Y74" s="46">
        <f t="shared" si="26"/>
        <v>640318.48301268159</v>
      </c>
    </row>
    <row r="75" spans="4:25" ht="15.75" thickBot="1" x14ac:dyDescent="0.3">
      <c r="E75" s="4"/>
      <c r="F75" s="4"/>
      <c r="G75" s="4"/>
      <c r="H75" s="4"/>
      <c r="I75" s="4"/>
      <c r="J75" s="4"/>
      <c r="K75" s="4"/>
      <c r="T75" s="40">
        <v>45</v>
      </c>
      <c r="U75" s="46">
        <f t="shared" si="23"/>
        <v>640318.48301268159</v>
      </c>
      <c r="V75" s="47">
        <f t="shared" si="16"/>
        <v>49047.748184489814</v>
      </c>
      <c r="W75" s="46">
        <f t="shared" si="24"/>
        <v>16007.96207531704</v>
      </c>
      <c r="X75" s="47">
        <f t="shared" si="25"/>
        <v>33039.786109172775</v>
      </c>
      <c r="Y75" s="46">
        <f t="shared" si="26"/>
        <v>607278.69690350886</v>
      </c>
    </row>
    <row r="76" spans="4:25" ht="15.75" thickBot="1" x14ac:dyDescent="0.3">
      <c r="D76" s="67" t="s">
        <v>76</v>
      </c>
      <c r="E76" s="68">
        <f t="shared" ref="E76:J76" si="51">(E70/((1+E82)^E81))</f>
        <v>-3334466.409173531</v>
      </c>
      <c r="F76" s="68">
        <f t="shared" si="51"/>
        <v>503273.6042754135</v>
      </c>
      <c r="G76" s="68">
        <f t="shared" si="51"/>
        <v>521612.70665931568</v>
      </c>
      <c r="H76" s="68">
        <f t="shared" si="51"/>
        <v>513079.00422143936</v>
      </c>
      <c r="I76" s="68">
        <f t="shared" si="51"/>
        <v>523094.28355282062</v>
      </c>
      <c r="J76" s="68">
        <f t="shared" si="51"/>
        <v>586919.92109902587</v>
      </c>
      <c r="K76" s="69">
        <f>(K71/((1+K82)^K81))</f>
        <v>735543444.43060696</v>
      </c>
      <c r="T76" s="40">
        <v>46</v>
      </c>
      <c r="U76" s="46">
        <f t="shared" si="23"/>
        <v>607278.69690350886</v>
      </c>
      <c r="V76" s="47">
        <f t="shared" si="16"/>
        <v>49047.748184489814</v>
      </c>
      <c r="W76" s="46">
        <f t="shared" si="24"/>
        <v>15181.967422587722</v>
      </c>
      <c r="X76" s="47">
        <f t="shared" si="25"/>
        <v>33865.78076190209</v>
      </c>
      <c r="Y76" s="46">
        <f t="shared" si="26"/>
        <v>573412.91614160675</v>
      </c>
    </row>
    <row r="77" spans="4:25" ht="15.75" thickBot="1" x14ac:dyDescent="0.3">
      <c r="D77" s="70"/>
      <c r="E77" s="73">
        <f>SUM(E76:K76)</f>
        <v>734856957.54124141</v>
      </c>
      <c r="F77" s="71"/>
      <c r="G77" s="71"/>
      <c r="H77" s="71"/>
      <c r="I77" s="71"/>
      <c r="J77" s="71"/>
      <c r="K77" s="72"/>
      <c r="T77" s="40">
        <v>47</v>
      </c>
      <c r="U77" s="46">
        <f t="shared" si="23"/>
        <v>573412.91614160675</v>
      </c>
      <c r="V77" s="47">
        <f t="shared" si="16"/>
        <v>49047.748184489814</v>
      </c>
      <c r="W77" s="46">
        <f t="shared" si="24"/>
        <v>14335.322903540169</v>
      </c>
      <c r="X77" s="47">
        <f t="shared" si="25"/>
        <v>34712.425280949647</v>
      </c>
      <c r="Y77" s="46">
        <f t="shared" si="26"/>
        <v>538700.49086065707</v>
      </c>
    </row>
    <row r="78" spans="4:25" x14ac:dyDescent="0.25">
      <c r="T78" s="40">
        <v>48</v>
      </c>
      <c r="U78" s="46">
        <f t="shared" si="23"/>
        <v>538700.49086065707</v>
      </c>
      <c r="V78" s="47">
        <f t="shared" si="16"/>
        <v>49047.748184489814</v>
      </c>
      <c r="W78" s="46">
        <f t="shared" si="24"/>
        <v>13467.512271516427</v>
      </c>
      <c r="X78" s="47">
        <f t="shared" si="25"/>
        <v>35580.235912973389</v>
      </c>
      <c r="Y78" s="46">
        <f t="shared" si="26"/>
        <v>503120.25494768366</v>
      </c>
    </row>
    <row r="79" spans="4:25" x14ac:dyDescent="0.25">
      <c r="T79" s="40">
        <v>49</v>
      </c>
      <c r="U79" s="46">
        <f t="shared" si="23"/>
        <v>503120.25494768366</v>
      </c>
      <c r="V79" s="47">
        <f t="shared" si="16"/>
        <v>49047.748184489814</v>
      </c>
      <c r="W79" s="46">
        <f t="shared" si="24"/>
        <v>12578.006373692093</v>
      </c>
      <c r="X79" s="47">
        <f t="shared" si="25"/>
        <v>36469.741810797721</v>
      </c>
      <c r="Y79" s="46">
        <f t="shared" si="26"/>
        <v>466650.51313688594</v>
      </c>
    </row>
    <row r="80" spans="4:25" x14ac:dyDescent="0.25">
      <c r="T80" s="40">
        <v>50</v>
      </c>
      <c r="U80" s="46">
        <f t="shared" si="23"/>
        <v>466650.51313688594</v>
      </c>
      <c r="V80" s="47">
        <f t="shared" si="16"/>
        <v>49047.748184489814</v>
      </c>
      <c r="W80" s="46">
        <f t="shared" si="24"/>
        <v>11666.26282842215</v>
      </c>
      <c r="X80" s="47">
        <f t="shared" si="25"/>
        <v>37381.485356067664</v>
      </c>
      <c r="Y80" s="46">
        <f t="shared" si="26"/>
        <v>429269.02778081829</v>
      </c>
    </row>
    <row r="81" spans="3:25" x14ac:dyDescent="0.25">
      <c r="E81">
        <v>1</v>
      </c>
      <c r="F81">
        <v>2</v>
      </c>
      <c r="G81">
        <v>3</v>
      </c>
      <c r="H81">
        <v>4</v>
      </c>
      <c r="I81">
        <v>5</v>
      </c>
      <c r="J81">
        <v>6</v>
      </c>
      <c r="K81">
        <v>7</v>
      </c>
      <c r="T81" s="40">
        <v>51</v>
      </c>
      <c r="U81" s="46">
        <f t="shared" si="23"/>
        <v>429269.02778081829</v>
      </c>
      <c r="V81" s="47">
        <f t="shared" si="16"/>
        <v>49047.748184489814</v>
      </c>
      <c r="W81" s="46">
        <f t="shared" si="24"/>
        <v>10731.725694520457</v>
      </c>
      <c r="X81" s="47">
        <f t="shared" si="25"/>
        <v>38316.022489969357</v>
      </c>
      <c r="Y81" s="46">
        <f t="shared" si="26"/>
        <v>390953.0052908489</v>
      </c>
    </row>
    <row r="82" spans="3:25" x14ac:dyDescent="0.25">
      <c r="E82" s="39">
        <f>((E83/E85)*$D$87)+((E84/E85)*$D$88*(1-0.25))</f>
        <v>1.7616588968536434E-2</v>
      </c>
      <c r="F82" s="39">
        <f t="shared" ref="F82:K82" si="52">((F83/F85)*$D$87)+((F84/F85)*$D$88*(1-0.25))</f>
        <v>1.7326288869175629E-2</v>
      </c>
      <c r="G82" s="39">
        <f t="shared" si="52"/>
        <v>1.7163293840529309E-2</v>
      </c>
      <c r="H82" s="39">
        <f t="shared" si="52"/>
        <v>1.7063605222663064E-2</v>
      </c>
      <c r="I82" s="39">
        <f t="shared" si="52"/>
        <v>1.6994190325162244E-2</v>
      </c>
      <c r="J82" s="39">
        <f t="shared" si="52"/>
        <v>1.693872351428229E-2</v>
      </c>
      <c r="K82" s="39">
        <f t="shared" si="52"/>
        <v>1.6896575486426414E-2</v>
      </c>
      <c r="L82" s="39"/>
      <c r="T82" s="40">
        <v>52</v>
      </c>
      <c r="U82" s="46">
        <f t="shared" si="23"/>
        <v>390953.0052908489</v>
      </c>
      <c r="V82" s="47">
        <f t="shared" si="16"/>
        <v>49047.748184489814</v>
      </c>
      <c r="W82" s="46">
        <f t="shared" si="24"/>
        <v>9773.8251322712222</v>
      </c>
      <c r="X82" s="47">
        <f t="shared" si="25"/>
        <v>39273.92305221859</v>
      </c>
      <c r="Y82" s="46">
        <f t="shared" si="26"/>
        <v>351679.08223863033</v>
      </c>
    </row>
    <row r="83" spans="3:25" x14ac:dyDescent="0.25">
      <c r="C83" s="77" t="s">
        <v>77</v>
      </c>
      <c r="E83" s="4">
        <f>E61</f>
        <v>1808833.3333333333</v>
      </c>
      <c r="F83" s="4">
        <f t="shared" ref="F83:L83" si="53">F61</f>
        <v>3248033.333333333</v>
      </c>
      <c r="G83" s="4">
        <f t="shared" si="53"/>
        <v>4771442.3536117924</v>
      </c>
      <c r="H83" s="4">
        <f t="shared" si="53"/>
        <v>6295065.6196756717</v>
      </c>
      <c r="I83" s="4">
        <f t="shared" si="53"/>
        <v>7878908.4876696076</v>
      </c>
      <c r="J83" s="4">
        <f t="shared" si="53"/>
        <v>9702976.4476418514</v>
      </c>
      <c r="K83" s="4">
        <f t="shared" si="53"/>
        <v>11647275.126891861</v>
      </c>
      <c r="L83" s="4">
        <f t="shared" si="53"/>
        <v>0</v>
      </c>
      <c r="T83" s="40">
        <v>53</v>
      </c>
      <c r="U83" s="46">
        <f t="shared" si="23"/>
        <v>351679.08223863033</v>
      </c>
      <c r="V83" s="47">
        <f t="shared" si="16"/>
        <v>49047.748184489814</v>
      </c>
      <c r="W83" s="46">
        <f t="shared" si="24"/>
        <v>8791.9770559657591</v>
      </c>
      <c r="X83" s="47">
        <f t="shared" si="25"/>
        <v>40255.771128524051</v>
      </c>
      <c r="Y83" s="46">
        <f t="shared" si="26"/>
        <v>311423.3111101063</v>
      </c>
    </row>
    <row r="84" spans="3:25" x14ac:dyDescent="0.25">
      <c r="C84" s="77" t="s">
        <v>78</v>
      </c>
      <c r="E84" s="4">
        <f>E57</f>
        <v>1516000</v>
      </c>
      <c r="F84" s="4">
        <f t="shared" ref="F84:L84" si="54">F57</f>
        <v>1504852.2518155102</v>
      </c>
      <c r="G84" s="4">
        <f t="shared" si="54"/>
        <v>1493425.8099264081</v>
      </c>
      <c r="H84" s="4">
        <f t="shared" si="54"/>
        <v>1481713.7069900786</v>
      </c>
      <c r="I84" s="4">
        <f t="shared" si="54"/>
        <v>1469708.8014803408</v>
      </c>
      <c r="J84" s="4">
        <f t="shared" si="54"/>
        <v>1457403.7733328594</v>
      </c>
      <c r="K84" s="4">
        <f t="shared" si="54"/>
        <v>1444791.1194816912</v>
      </c>
      <c r="L84" s="4">
        <f t="shared" si="54"/>
        <v>0</v>
      </c>
      <c r="T84" s="40">
        <v>54</v>
      </c>
      <c r="U84" s="46">
        <f t="shared" si="23"/>
        <v>311423.3111101063</v>
      </c>
      <c r="V84" s="47">
        <f t="shared" si="16"/>
        <v>49047.748184489814</v>
      </c>
      <c r="W84" s="46">
        <f t="shared" si="24"/>
        <v>7785.5827777526574</v>
      </c>
      <c r="X84" s="47">
        <f t="shared" si="25"/>
        <v>41262.165406737156</v>
      </c>
      <c r="Y84" s="46">
        <f t="shared" si="26"/>
        <v>270161.14570336917</v>
      </c>
    </row>
    <row r="85" spans="3:25" x14ac:dyDescent="0.25">
      <c r="C85" s="77" t="s">
        <v>79</v>
      </c>
      <c r="E85" s="4">
        <f>E61+E57</f>
        <v>3324833.333333333</v>
      </c>
      <c r="F85" s="4">
        <f t="shared" ref="F85:L85" si="55">F61+F57</f>
        <v>4752885.585148843</v>
      </c>
      <c r="G85" s="4">
        <f t="shared" si="55"/>
        <v>6264868.1635382008</v>
      </c>
      <c r="H85" s="4">
        <f t="shared" si="55"/>
        <v>7776779.3266657498</v>
      </c>
      <c r="I85" s="4">
        <f t="shared" si="55"/>
        <v>9348617.2891499475</v>
      </c>
      <c r="J85" s="4">
        <f t="shared" si="55"/>
        <v>11160380.22097471</v>
      </c>
      <c r="K85" s="4">
        <f t="shared" si="55"/>
        <v>13092066.246373553</v>
      </c>
      <c r="L85" s="4">
        <f t="shared" si="55"/>
        <v>0</v>
      </c>
      <c r="T85" s="40">
        <v>55</v>
      </c>
      <c r="U85" s="46">
        <f t="shared" si="23"/>
        <v>270161.14570336917</v>
      </c>
      <c r="V85" s="47">
        <f t="shared" si="16"/>
        <v>49047.748184489814</v>
      </c>
      <c r="W85" s="46">
        <f t="shared" si="24"/>
        <v>6754.0286425842296</v>
      </c>
      <c r="X85" s="47">
        <f t="shared" si="25"/>
        <v>42293.719541905586</v>
      </c>
      <c r="Y85" s="46">
        <f t="shared" si="26"/>
        <v>227867.42616146358</v>
      </c>
    </row>
    <row r="86" spans="3:25" x14ac:dyDescent="0.25">
      <c r="T86" s="40">
        <v>56</v>
      </c>
      <c r="U86" s="46">
        <f t="shared" si="23"/>
        <v>227867.42616146358</v>
      </c>
      <c r="V86" s="47">
        <f t="shared" si="16"/>
        <v>49047.748184489814</v>
      </c>
      <c r="W86" s="46">
        <f t="shared" si="24"/>
        <v>5696.6856540365898</v>
      </c>
      <c r="X86" s="47">
        <f t="shared" si="25"/>
        <v>43351.062530453222</v>
      </c>
      <c r="Y86" s="46">
        <f t="shared" si="26"/>
        <v>184516.36363101035</v>
      </c>
    </row>
    <row r="87" spans="3:25" x14ac:dyDescent="0.25">
      <c r="C87" s="76" t="s">
        <v>80</v>
      </c>
      <c r="D87" s="75">
        <f>20%/12</f>
        <v>1.6666666666666666E-2</v>
      </c>
      <c r="E87" t="s">
        <v>86</v>
      </c>
      <c r="T87" s="40">
        <v>57</v>
      </c>
      <c r="U87" s="46">
        <f t="shared" si="23"/>
        <v>184516.36363101035</v>
      </c>
      <c r="V87" s="47">
        <f t="shared" si="16"/>
        <v>49047.748184489814</v>
      </c>
      <c r="W87" s="46">
        <f t="shared" si="24"/>
        <v>4612.9090907752588</v>
      </c>
      <c r="X87" s="47">
        <f t="shared" si="25"/>
        <v>44434.839093714552</v>
      </c>
      <c r="Y87" s="46">
        <f t="shared" si="26"/>
        <v>140081.5245372958</v>
      </c>
    </row>
    <row r="88" spans="3:25" x14ac:dyDescent="0.25">
      <c r="C88" s="76" t="s">
        <v>81</v>
      </c>
      <c r="D88" s="75">
        <f>R28</f>
        <v>2.5000000000000001E-2</v>
      </c>
      <c r="E88" t="s">
        <v>86</v>
      </c>
      <c r="T88" s="40">
        <v>58</v>
      </c>
      <c r="U88" s="46">
        <f t="shared" si="23"/>
        <v>140081.5245372958</v>
      </c>
      <c r="V88" s="47">
        <f t="shared" si="16"/>
        <v>49047.748184489814</v>
      </c>
      <c r="W88" s="46">
        <f t="shared" si="24"/>
        <v>3502.0381134323952</v>
      </c>
      <c r="X88" s="47">
        <f t="shared" si="25"/>
        <v>45545.710071057416</v>
      </c>
      <c r="Y88" s="46">
        <f t="shared" si="26"/>
        <v>94535.814466238386</v>
      </c>
    </row>
    <row r="89" spans="3:25" x14ac:dyDescent="0.25">
      <c r="C89" s="76" t="s">
        <v>82</v>
      </c>
      <c r="D89" s="74">
        <v>0.25</v>
      </c>
      <c r="T89" s="40">
        <v>59</v>
      </c>
      <c r="U89" s="46">
        <f t="shared" si="23"/>
        <v>94535.814466238386</v>
      </c>
      <c r="V89" s="47">
        <f t="shared" si="16"/>
        <v>49047.748184489814</v>
      </c>
      <c r="W89" s="46">
        <f t="shared" si="24"/>
        <v>2363.3953616559597</v>
      </c>
      <c r="X89" s="47">
        <f t="shared" si="25"/>
        <v>46684.352822833855</v>
      </c>
      <c r="Y89" s="46">
        <f t="shared" si="26"/>
        <v>47851.461643404531</v>
      </c>
    </row>
    <row r="90" spans="3:25" x14ac:dyDescent="0.25">
      <c r="T90" s="40">
        <v>60</v>
      </c>
      <c r="U90" s="46">
        <f t="shared" si="23"/>
        <v>47851.461643404531</v>
      </c>
      <c r="V90" s="47">
        <f t="shared" si="16"/>
        <v>49047.748184489814</v>
      </c>
      <c r="W90" s="46">
        <f t="shared" si="24"/>
        <v>1196.2865410851134</v>
      </c>
      <c r="X90" s="47">
        <f t="shared" si="25"/>
        <v>47851.461643404698</v>
      </c>
      <c r="Y90" s="46">
        <f t="shared" si="26"/>
        <v>-1.673470251262188E-10</v>
      </c>
    </row>
    <row r="91" spans="3:25" x14ac:dyDescent="0.25">
      <c r="U91" s="4"/>
      <c r="V91" s="6"/>
      <c r="W91" s="4"/>
      <c r="X91" s="6"/>
      <c r="Y91" s="4"/>
    </row>
    <row r="92" spans="3:25" x14ac:dyDescent="0.25">
      <c r="U92" s="4"/>
      <c r="V92" s="6"/>
      <c r="W92" s="4"/>
      <c r="X92" s="6"/>
      <c r="Y92" s="4"/>
    </row>
    <row r="93" spans="3:25" x14ac:dyDescent="0.25">
      <c r="U93" s="4"/>
      <c r="V93" s="6"/>
      <c r="W93" s="4"/>
      <c r="X93" s="6"/>
      <c r="Y93" s="4"/>
    </row>
  </sheetData>
  <pageMargins left="0.7" right="0.7" top="0.75" bottom="0.75" header="0.3" footer="0.3"/>
  <pageSetup scale="33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cp:lastPrinted>2020-11-11T21:36:07Z</cp:lastPrinted>
  <dcterms:created xsi:type="dcterms:W3CDTF">2020-11-08T14:08:15Z</dcterms:created>
  <dcterms:modified xsi:type="dcterms:W3CDTF">2020-11-23T00:29:32Z</dcterms:modified>
</cp:coreProperties>
</file>