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8a7588fd4d2e66/Isa/02 Universidad/Financiera II/2021 Fin II/2021 Clases Virtuales/"/>
    </mc:Choice>
  </mc:AlternateContent>
  <xr:revisionPtr revIDLastSave="0" documentId="8_{17BF6628-4F03-B044-B28D-880258AA404D}" xr6:coauthVersionLast="46" xr6:coauthVersionMax="46" xr10:uidLastSave="{00000000-0000-0000-0000-000000000000}"/>
  <bookViews>
    <workbookView xWindow="0" yWindow="0" windowWidth="28800" windowHeight="18000" activeTab="1" xr2:uid="{A737F93A-3869-ED4F-94F8-1A3B5208BD91}"/>
  </bookViews>
  <sheets>
    <sheet name="P. Istmo" sheetId="1" r:id="rId1"/>
    <sheet name="Jugos Prep.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C24" i="2"/>
  <c r="F26" i="2"/>
  <c r="E26" i="2"/>
  <c r="F25" i="2"/>
  <c r="D26" i="2"/>
  <c r="E25" i="2"/>
  <c r="D25" i="2"/>
  <c r="C25" i="2"/>
  <c r="F24" i="2"/>
  <c r="E24" i="2"/>
  <c r="D24" i="2"/>
  <c r="F23" i="2"/>
  <c r="E23" i="2"/>
  <c r="D23" i="2"/>
  <c r="C23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C10" i="2"/>
  <c r="B31" i="1"/>
  <c r="B30" i="1"/>
  <c r="C22" i="1"/>
  <c r="G26" i="1"/>
  <c r="G28" i="1"/>
  <c r="F28" i="1"/>
  <c r="E28" i="1"/>
  <c r="D28" i="1"/>
  <c r="B28" i="1"/>
  <c r="B27" i="1"/>
  <c r="H14" i="1"/>
  <c r="H13" i="1"/>
  <c r="H11" i="1"/>
  <c r="B26" i="1"/>
  <c r="G25" i="1"/>
  <c r="F25" i="1"/>
  <c r="E25" i="1"/>
  <c r="D25" i="1"/>
  <c r="C25" i="1"/>
  <c r="G24" i="1"/>
  <c r="F24" i="1"/>
  <c r="E24" i="1"/>
  <c r="D24" i="1"/>
  <c r="C24" i="1"/>
  <c r="K9" i="1"/>
  <c r="K8" i="1"/>
  <c r="I9" i="1"/>
  <c r="H9" i="1"/>
  <c r="G19" i="1"/>
  <c r="F19" i="1"/>
  <c r="F22" i="1" s="1"/>
  <c r="F23" i="1" s="1"/>
  <c r="E19" i="1"/>
  <c r="E22" i="1" s="1"/>
  <c r="E23" i="1" s="1"/>
  <c r="D19" i="1"/>
  <c r="D22" i="1" s="1"/>
  <c r="D23" i="1" s="1"/>
  <c r="C19" i="1"/>
  <c r="C23" i="1"/>
  <c r="C28" i="1" s="1"/>
  <c r="G18" i="1"/>
  <c r="G23" i="1"/>
  <c r="G22" i="1"/>
  <c r="E21" i="1"/>
  <c r="D21" i="1"/>
  <c r="C21" i="1"/>
  <c r="E20" i="1"/>
  <c r="F20" i="1" s="1"/>
  <c r="G20" i="1" s="1"/>
  <c r="D20" i="1"/>
  <c r="C20" i="1"/>
  <c r="F18" i="1"/>
  <c r="E18" i="1"/>
  <c r="D18" i="1"/>
  <c r="C18" i="1"/>
  <c r="E17" i="1"/>
  <c r="F17" i="1"/>
  <c r="G17" i="1"/>
  <c r="D17" i="1"/>
  <c r="C17" i="1"/>
  <c r="E11" i="1"/>
  <c r="B3" i="1"/>
</calcChain>
</file>

<file path=xl/sharedStrings.xml><?xml version="1.0" encoding="utf-8"?>
<sst xmlns="http://schemas.openxmlformats.org/spreadsheetml/2006/main" count="68" uniqueCount="48">
  <si>
    <t>PAPELERA DEL ISTMO</t>
  </si>
  <si>
    <t>Ks</t>
  </si>
  <si>
    <t>Krf</t>
  </si>
  <si>
    <t>Km</t>
  </si>
  <si>
    <t>B</t>
  </si>
  <si>
    <t>Ks = Krf + B(Km - Krf)</t>
  </si>
  <si>
    <t>Inversión Inicial</t>
  </si>
  <si>
    <t>Máquina Nueva</t>
  </si>
  <si>
    <t>Inversión</t>
  </si>
  <si>
    <t>Deprec.</t>
  </si>
  <si>
    <t>años</t>
  </si>
  <si>
    <t>VM año 5</t>
  </si>
  <si>
    <t>s/ valor orig.</t>
  </si>
  <si>
    <t>Remodelación</t>
  </si>
  <si>
    <t>Amort.</t>
  </si>
  <si>
    <t>An. Marginal</t>
  </si>
  <si>
    <t>Ventas</t>
  </si>
  <si>
    <t>Costo Ventas</t>
  </si>
  <si>
    <t>Ut. Bruta</t>
  </si>
  <si>
    <t>Gts. Op.</t>
  </si>
  <si>
    <t>Amort. Remod.</t>
  </si>
  <si>
    <t>UAISR</t>
  </si>
  <si>
    <t>UN</t>
  </si>
  <si>
    <t>Gt. Op</t>
  </si>
  <si>
    <t>Actual</t>
  </si>
  <si>
    <t>Maq. Nueva</t>
  </si>
  <si>
    <t>Consol.</t>
  </si>
  <si>
    <t>año 5</t>
  </si>
  <si>
    <t>VM</t>
  </si>
  <si>
    <t>VL</t>
  </si>
  <si>
    <t>Gan. Cap.</t>
  </si>
  <si>
    <t>Imp.</t>
  </si>
  <si>
    <t>FCN</t>
  </si>
  <si>
    <t>VPN</t>
  </si>
  <si>
    <t>TIR</t>
  </si>
  <si>
    <t>Si conviene porque tiene VPN positivo.</t>
  </si>
  <si>
    <t>JUGOS PREPARADOS</t>
  </si>
  <si>
    <t>Td</t>
  </si>
  <si>
    <t>VM año 4</t>
  </si>
  <si>
    <t>Maq. Actual</t>
  </si>
  <si>
    <t>VM año 0</t>
  </si>
  <si>
    <t>VL año 0</t>
  </si>
  <si>
    <t>(2 deprec. de 70,000)</t>
  </si>
  <si>
    <t>Capital Trabajo</t>
  </si>
  <si>
    <t>Inv. Año 0</t>
  </si>
  <si>
    <t>Escenario Nuevo (Consolidado Actual + Proyecto)</t>
  </si>
  <si>
    <t>Gts. Adm.</t>
  </si>
  <si>
    <t>ANALISIS MARGINAL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</si>
</sst>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1" applyFont="1"/>
    <xf numFmtId="9" fontId="0" fillId="0" borderId="0" xfId="2" applyFont="1"/>
    <xf numFmtId="43" fontId="0" fillId="2" borderId="0" xfId="1" applyFont="1" applyFill="1"/>
    <xf numFmtId="164" fontId="0" fillId="2" borderId="0" xfId="2" applyNumberFormat="1" applyFont="1" applyFill="1"/>
    <xf numFmtId="43" fontId="2" fillId="0" borderId="0" xfId="1" applyFont="1"/>
    <xf numFmtId="9" fontId="0" fillId="0" borderId="0" xfId="1" applyNumberFormat="1" applyFont="1"/>
    <xf numFmtId="43" fontId="0" fillId="0" borderId="1" xfId="1" applyFont="1" applyBorder="1"/>
    <xf numFmtId="0" fontId="2" fillId="0" borderId="0" xfId="1" applyNumberFormat="1" applyFont="1" applyAlignment="1">
      <alignment horizontal="center"/>
    </xf>
    <xf numFmtId="43" fontId="0" fillId="0" borderId="2" xfId="1" applyFont="1" applyBorder="1"/>
    <xf numFmtId="9" fontId="0" fillId="0" borderId="0" xfId="1" applyNumberFormat="1" applyFont="1" applyAlignment="1">
      <alignment horizontal="center"/>
    </xf>
    <xf numFmtId="43" fontId="0" fillId="3" borderId="3" xfId="1" applyFont="1" applyFill="1" applyBorder="1"/>
    <xf numFmtId="43" fontId="0" fillId="3" borderId="2" xfId="1" applyFont="1" applyFill="1" applyBorder="1"/>
    <xf numFmtId="43" fontId="0" fillId="3" borderId="4" xfId="1" applyFont="1" applyFill="1" applyBorder="1"/>
    <xf numFmtId="43" fontId="0" fillId="3" borderId="5" xfId="1" applyFont="1" applyFill="1" applyBorder="1"/>
    <xf numFmtId="43" fontId="0" fillId="3" borderId="0" xfId="1" applyFont="1" applyFill="1" applyBorder="1"/>
    <xf numFmtId="43" fontId="0" fillId="3" borderId="6" xfId="1" applyFont="1" applyFill="1" applyBorder="1"/>
    <xf numFmtId="43" fontId="0" fillId="3" borderId="7" xfId="1" applyFont="1" applyFill="1" applyBorder="1"/>
    <xf numFmtId="43" fontId="0" fillId="3" borderId="1" xfId="1" applyFont="1" applyFill="1" applyBorder="1"/>
    <xf numFmtId="9" fontId="0" fillId="3" borderId="1" xfId="2" applyFont="1" applyFill="1" applyBorder="1" applyAlignment="1">
      <alignment horizontal="center"/>
    </xf>
    <xf numFmtId="9" fontId="0" fillId="3" borderId="1" xfId="1" applyNumberFormat="1" applyFont="1" applyFill="1" applyBorder="1" applyAlignment="1">
      <alignment horizontal="center"/>
    </xf>
    <xf numFmtId="43" fontId="0" fillId="3" borderId="8" xfId="1" applyFont="1" applyFill="1" applyBorder="1"/>
    <xf numFmtId="43" fontId="0" fillId="4" borderId="0" xfId="1" applyFont="1" applyFill="1"/>
    <xf numFmtId="43" fontId="0" fillId="5" borderId="0" xfId="1" applyFont="1" applyFill="1"/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6" borderId="0" xfId="1" applyFont="1" applyFill="1"/>
    <xf numFmtId="9" fontId="0" fillId="6" borderId="1" xfId="1" applyNumberFormat="1" applyFont="1" applyFill="1" applyBorder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73CF-1C97-8348-970B-7C95C1A0A312}">
  <dimension ref="A1:K31"/>
  <sheetViews>
    <sheetView topLeftCell="A10" zoomScale="170" zoomScaleNormal="170" workbookViewId="0">
      <selection activeCell="C31" sqref="C31"/>
    </sheetView>
  </sheetViews>
  <sheetFormatPr baseColWidth="10" defaultRowHeight="16" x14ac:dyDescent="0.2"/>
  <cols>
    <col min="1" max="1" width="15" style="1" customWidth="1"/>
    <col min="2" max="2" width="13" style="1" bestFit="1" customWidth="1"/>
    <col min="3" max="3" width="11.5" style="1" bestFit="1" customWidth="1"/>
    <col min="4" max="4" width="12.5" style="1" customWidth="1"/>
    <col min="5" max="6" width="11.5" style="1" bestFit="1" customWidth="1"/>
    <col min="7" max="8" width="13" style="1" bestFit="1" customWidth="1"/>
    <col min="9" max="9" width="11.5" style="1" bestFit="1" customWidth="1"/>
    <col min="10" max="10" width="10.83203125" style="1"/>
    <col min="11" max="11" width="13" style="1" bestFit="1" customWidth="1"/>
    <col min="12" max="16384" width="10.83203125" style="1"/>
  </cols>
  <sheetData>
    <row r="1" spans="1:11" x14ac:dyDescent="0.2">
      <c r="A1" s="5" t="s">
        <v>0</v>
      </c>
    </row>
    <row r="3" spans="1:11" x14ac:dyDescent="0.2">
      <c r="A3" s="3" t="s">
        <v>1</v>
      </c>
      <c r="B3" s="4">
        <f>+B4+(B6*(B5-B4))</f>
        <v>0.192</v>
      </c>
      <c r="D3" s="3" t="s">
        <v>5</v>
      </c>
      <c r="E3" s="3"/>
    </row>
    <row r="4" spans="1:11" x14ac:dyDescent="0.2">
      <c r="A4" s="1" t="s">
        <v>2</v>
      </c>
      <c r="B4" s="2">
        <v>0.08</v>
      </c>
    </row>
    <row r="5" spans="1:11" x14ac:dyDescent="0.2">
      <c r="A5" s="1" t="s">
        <v>3</v>
      </c>
      <c r="B5" s="2">
        <v>0.16</v>
      </c>
    </row>
    <row r="6" spans="1:11" x14ac:dyDescent="0.2">
      <c r="A6" s="1" t="s">
        <v>4</v>
      </c>
      <c r="B6" s="1">
        <v>1.4</v>
      </c>
    </row>
    <row r="7" spans="1:11" x14ac:dyDescent="0.2">
      <c r="F7" s="11"/>
      <c r="G7" s="12" t="s">
        <v>24</v>
      </c>
      <c r="H7" s="12"/>
      <c r="I7" s="12" t="s">
        <v>25</v>
      </c>
      <c r="J7" s="12"/>
      <c r="K7" s="13" t="s">
        <v>26</v>
      </c>
    </row>
    <row r="8" spans="1:11" x14ac:dyDescent="0.2">
      <c r="A8" s="5" t="s">
        <v>6</v>
      </c>
      <c r="F8" s="14" t="s">
        <v>16</v>
      </c>
      <c r="G8" s="15">
        <v>3500000</v>
      </c>
      <c r="H8" s="15"/>
      <c r="I8" s="15">
        <v>700000</v>
      </c>
      <c r="J8" s="15"/>
      <c r="K8" s="16">
        <f>+G8+I8</f>
        <v>4200000</v>
      </c>
    </row>
    <row r="9" spans="1:11" x14ac:dyDescent="0.2">
      <c r="A9" s="1" t="s">
        <v>7</v>
      </c>
      <c r="B9" s="1" t="s">
        <v>8</v>
      </c>
      <c r="C9" s="22">
        <v>900000</v>
      </c>
      <c r="F9" s="17" t="s">
        <v>23</v>
      </c>
      <c r="G9" s="18">
        <v>105000</v>
      </c>
      <c r="H9" s="19">
        <f>+G9/G8</f>
        <v>0.03</v>
      </c>
      <c r="I9" s="18">
        <f>+I8*J9</f>
        <v>7000</v>
      </c>
      <c r="J9" s="20">
        <v>0.01</v>
      </c>
      <c r="K9" s="21">
        <f>+G9+I9</f>
        <v>112000</v>
      </c>
    </row>
    <row r="10" spans="1:11" x14ac:dyDescent="0.2">
      <c r="B10" s="1" t="s">
        <v>9</v>
      </c>
      <c r="C10" s="23">
        <v>5</v>
      </c>
      <c r="D10" s="1" t="s">
        <v>10</v>
      </c>
      <c r="H10" s="24" t="s">
        <v>27</v>
      </c>
    </row>
    <row r="11" spans="1:11" x14ac:dyDescent="0.2">
      <c r="A11" s="7"/>
      <c r="B11" s="7" t="s">
        <v>11</v>
      </c>
      <c r="C11" s="27">
        <v>0.2</v>
      </c>
      <c r="D11" s="7" t="s">
        <v>12</v>
      </c>
      <c r="E11" s="7">
        <f>+C11*C9</f>
        <v>180000</v>
      </c>
      <c r="G11" s="25" t="s">
        <v>28</v>
      </c>
      <c r="H11" s="1">
        <f>+E11</f>
        <v>180000</v>
      </c>
    </row>
    <row r="12" spans="1:11" x14ac:dyDescent="0.2">
      <c r="A12" s="1" t="s">
        <v>13</v>
      </c>
      <c r="B12" s="1" t="s">
        <v>8</v>
      </c>
      <c r="C12" s="22">
        <v>200000</v>
      </c>
      <c r="G12" s="25" t="s">
        <v>29</v>
      </c>
      <c r="H12" s="1">
        <v>0</v>
      </c>
    </row>
    <row r="13" spans="1:11" x14ac:dyDescent="0.2">
      <c r="B13" s="1" t="s">
        <v>14</v>
      </c>
      <c r="C13" s="23">
        <v>3</v>
      </c>
      <c r="D13" s="1" t="s">
        <v>10</v>
      </c>
      <c r="G13" s="25" t="s">
        <v>30</v>
      </c>
      <c r="H13" s="9">
        <f>+SUM(H11:H12)</f>
        <v>180000</v>
      </c>
    </row>
    <row r="14" spans="1:11" x14ac:dyDescent="0.2">
      <c r="G14" s="25" t="s">
        <v>31</v>
      </c>
      <c r="H14" s="1">
        <f>-H13*I14</f>
        <v>-18000</v>
      </c>
      <c r="I14" s="6">
        <v>0.1</v>
      </c>
    </row>
    <row r="15" spans="1:11" x14ac:dyDescent="0.2">
      <c r="A15" s="5" t="s">
        <v>15</v>
      </c>
    </row>
    <row r="16" spans="1:11" x14ac:dyDescent="0.2">
      <c r="B16" s="8">
        <v>0</v>
      </c>
      <c r="C16" s="8">
        <v>1</v>
      </c>
      <c r="D16" s="8">
        <v>2</v>
      </c>
      <c r="E16" s="8">
        <v>3</v>
      </c>
      <c r="F16" s="8">
        <v>4</v>
      </c>
      <c r="G16" s="8">
        <v>5</v>
      </c>
    </row>
    <row r="17" spans="1:8" x14ac:dyDescent="0.2">
      <c r="A17" s="1" t="s">
        <v>16</v>
      </c>
      <c r="C17" s="1">
        <f>3500000*$H$17</f>
        <v>700000</v>
      </c>
      <c r="D17" s="1">
        <f>3780000*$H$17</f>
        <v>756000</v>
      </c>
      <c r="E17" s="1">
        <f>4082400*$H$17</f>
        <v>816480</v>
      </c>
      <c r="F17" s="1">
        <f>4408990*$H$17</f>
        <v>881798</v>
      </c>
      <c r="G17" s="1">
        <f>4761710*$H$17</f>
        <v>952342</v>
      </c>
      <c r="H17" s="6">
        <v>0.2</v>
      </c>
    </row>
    <row r="18" spans="1:8" x14ac:dyDescent="0.2">
      <c r="A18" s="1" t="s">
        <v>18</v>
      </c>
      <c r="C18" s="9">
        <f>+C17*$H$18</f>
        <v>350000</v>
      </c>
      <c r="D18" s="9">
        <f t="shared" ref="D18:G18" si="0">+D17*$H$18</f>
        <v>378000</v>
      </c>
      <c r="E18" s="9">
        <f t="shared" si="0"/>
        <v>408240</v>
      </c>
      <c r="F18" s="9">
        <f t="shared" si="0"/>
        <v>440899</v>
      </c>
      <c r="G18" s="9">
        <f>+G17*$H$18</f>
        <v>476171</v>
      </c>
      <c r="H18" s="6">
        <v>0.5</v>
      </c>
    </row>
    <row r="19" spans="1:8" x14ac:dyDescent="0.2">
      <c r="A19" s="1" t="s">
        <v>19</v>
      </c>
      <c r="C19" s="1">
        <f>-C17*$H$19</f>
        <v>-7000</v>
      </c>
      <c r="D19" s="1">
        <f t="shared" ref="D19:G19" si="1">-D17*$H$19</f>
        <v>-7560</v>
      </c>
      <c r="E19" s="1">
        <f t="shared" si="1"/>
        <v>-8164.8</v>
      </c>
      <c r="F19" s="1">
        <f t="shared" si="1"/>
        <v>-8817.98</v>
      </c>
      <c r="G19" s="1">
        <f t="shared" si="1"/>
        <v>-9523.42</v>
      </c>
      <c r="H19" s="6">
        <v>0.01</v>
      </c>
    </row>
    <row r="20" spans="1:8" x14ac:dyDescent="0.2">
      <c r="A20" s="1" t="s">
        <v>9</v>
      </c>
      <c r="C20" s="23">
        <f>-C9/C10</f>
        <v>-180000</v>
      </c>
      <c r="D20" s="23">
        <f>+C20</f>
        <v>-180000</v>
      </c>
      <c r="E20" s="23">
        <f t="shared" ref="E20:G20" si="2">+D20</f>
        <v>-180000</v>
      </c>
      <c r="F20" s="23">
        <f t="shared" si="2"/>
        <v>-180000</v>
      </c>
      <c r="G20" s="23">
        <f t="shared" si="2"/>
        <v>-180000</v>
      </c>
    </row>
    <row r="21" spans="1:8" x14ac:dyDescent="0.2">
      <c r="A21" s="1" t="s">
        <v>20</v>
      </c>
      <c r="C21" s="23">
        <f>-C12/C13</f>
        <v>-66666.666666666672</v>
      </c>
      <c r="D21" s="23">
        <f>+C21</f>
        <v>-66666.666666666672</v>
      </c>
      <c r="E21" s="23">
        <f>+D21</f>
        <v>-66666.666666666672</v>
      </c>
      <c r="F21" s="1">
        <v>0</v>
      </c>
      <c r="G21" s="1">
        <v>0</v>
      </c>
    </row>
    <row r="22" spans="1:8" x14ac:dyDescent="0.2">
      <c r="A22" s="1" t="s">
        <v>21</v>
      </c>
      <c r="C22" s="9">
        <f>+SUM(C18:C21)</f>
        <v>96333.333333333328</v>
      </c>
      <c r="D22" s="9">
        <f t="shared" ref="D22:G22" si="3">+SUM(D18:D21)</f>
        <v>123773.33333333333</v>
      </c>
      <c r="E22" s="9">
        <f t="shared" si="3"/>
        <v>153408.53333333333</v>
      </c>
      <c r="F22" s="9">
        <f t="shared" si="3"/>
        <v>252081.02000000002</v>
      </c>
      <c r="G22" s="9">
        <f>+SUM(G18:G21)</f>
        <v>286647.58</v>
      </c>
    </row>
    <row r="23" spans="1:8" x14ac:dyDescent="0.2">
      <c r="A23" s="1" t="s">
        <v>22</v>
      </c>
      <c r="C23" s="9">
        <f>+C22*(1-$H$23)</f>
        <v>72250</v>
      </c>
      <c r="D23" s="9">
        <f t="shared" ref="D23:G23" si="4">+D22*(1-$H$23)</f>
        <v>92830</v>
      </c>
      <c r="E23" s="9">
        <f t="shared" si="4"/>
        <v>115056.4</v>
      </c>
      <c r="F23" s="9">
        <f t="shared" si="4"/>
        <v>189060.76500000001</v>
      </c>
      <c r="G23" s="9">
        <f>+G22*(1-$H$23)</f>
        <v>214985.685</v>
      </c>
      <c r="H23" s="6">
        <v>0.25</v>
      </c>
    </row>
    <row r="24" spans="1:8" x14ac:dyDescent="0.2">
      <c r="A24" s="1" t="s">
        <v>9</v>
      </c>
      <c r="C24" s="23">
        <f>-C20</f>
        <v>180000</v>
      </c>
      <c r="D24" s="23">
        <f t="shared" ref="D24:G24" si="5">-D20</f>
        <v>180000</v>
      </c>
      <c r="E24" s="23">
        <f t="shared" si="5"/>
        <v>180000</v>
      </c>
      <c r="F24" s="23">
        <f t="shared" si="5"/>
        <v>180000</v>
      </c>
      <c r="G24" s="23">
        <f t="shared" si="5"/>
        <v>180000</v>
      </c>
    </row>
    <row r="25" spans="1:8" x14ac:dyDescent="0.2">
      <c r="A25" s="1" t="s">
        <v>20</v>
      </c>
      <c r="C25" s="23">
        <f>-C21</f>
        <v>66666.666666666672</v>
      </c>
      <c r="D25" s="23">
        <f t="shared" ref="D25:G25" si="6">-D21</f>
        <v>66666.666666666672</v>
      </c>
      <c r="E25" s="23">
        <f t="shared" si="6"/>
        <v>66666.666666666672</v>
      </c>
      <c r="F25" s="1">
        <f t="shared" si="6"/>
        <v>0</v>
      </c>
      <c r="G25" s="1">
        <f t="shared" si="6"/>
        <v>0</v>
      </c>
    </row>
    <row r="26" spans="1:8" x14ac:dyDescent="0.2">
      <c r="A26" s="1" t="s">
        <v>25</v>
      </c>
      <c r="B26" s="22">
        <f>-C9</f>
        <v>-900000</v>
      </c>
      <c r="G26" s="26">
        <f>+H11+H14</f>
        <v>162000</v>
      </c>
    </row>
    <row r="27" spans="1:8" x14ac:dyDescent="0.2">
      <c r="A27" s="1" t="s">
        <v>13</v>
      </c>
      <c r="B27" s="22">
        <f>-C12</f>
        <v>-200000</v>
      </c>
    </row>
    <row r="28" spans="1:8" x14ac:dyDescent="0.2">
      <c r="A28" s="1" t="s">
        <v>32</v>
      </c>
      <c r="B28" s="9">
        <f>+SUM(B23:B27)</f>
        <v>-1100000</v>
      </c>
      <c r="C28" s="9">
        <f t="shared" ref="C28:G28" si="7">+SUM(C23:C27)</f>
        <v>318916.66666666669</v>
      </c>
      <c r="D28" s="9">
        <f t="shared" si="7"/>
        <v>339496.66666666669</v>
      </c>
      <c r="E28" s="9">
        <f t="shared" si="7"/>
        <v>361723.06666666671</v>
      </c>
      <c r="F28" s="9">
        <f t="shared" si="7"/>
        <v>369060.76500000001</v>
      </c>
      <c r="G28" s="9">
        <f t="shared" si="7"/>
        <v>556985.68500000006</v>
      </c>
    </row>
    <row r="30" spans="1:8" x14ac:dyDescent="0.2">
      <c r="A30" s="1" t="s">
        <v>33</v>
      </c>
      <c r="B30" s="1">
        <f>+NPV(B3,C28:G28)+B28</f>
        <v>34317.837152660126</v>
      </c>
      <c r="C30" s="1" t="s">
        <v>35</v>
      </c>
    </row>
    <row r="31" spans="1:8" x14ac:dyDescent="0.2">
      <c r="A31" s="1" t="s">
        <v>34</v>
      </c>
      <c r="B31" s="28">
        <f>+IRR(B28:G28)</f>
        <v>0.20480306380341684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95CA-7A60-6540-87EB-2173B1BE0ACC}">
  <dimension ref="A1:F26"/>
  <sheetViews>
    <sheetView tabSelected="1" zoomScale="160" zoomScaleNormal="160" workbookViewId="0">
      <selection activeCell="C27" sqref="C27"/>
    </sheetView>
  </sheetViews>
  <sheetFormatPr baseColWidth="10" defaultRowHeight="16" x14ac:dyDescent="0.2"/>
  <cols>
    <col min="1" max="1" width="15" style="1" customWidth="1"/>
    <col min="2" max="2" width="11" style="1" bestFit="1" customWidth="1"/>
    <col min="3" max="6" width="13.1640625" style="1" bestFit="1" customWidth="1"/>
    <col min="7" max="16384" width="10.83203125" style="1"/>
  </cols>
  <sheetData>
    <row r="1" spans="1:6" x14ac:dyDescent="0.2">
      <c r="A1" s="5" t="s">
        <v>36</v>
      </c>
    </row>
    <row r="3" spans="1:6" x14ac:dyDescent="0.2">
      <c r="A3" s="1" t="s">
        <v>37</v>
      </c>
      <c r="B3" s="2">
        <v>0.23</v>
      </c>
    </row>
    <row r="5" spans="1:6" x14ac:dyDescent="0.2">
      <c r="A5" s="5" t="s">
        <v>6</v>
      </c>
    </row>
    <row r="6" spans="1:6" x14ac:dyDescent="0.2">
      <c r="A6" s="1" t="s">
        <v>25</v>
      </c>
      <c r="B6" s="1" t="s">
        <v>8</v>
      </c>
      <c r="C6" s="1">
        <v>1000000</v>
      </c>
    </row>
    <row r="7" spans="1:6" x14ac:dyDescent="0.2">
      <c r="B7" s="1" t="s">
        <v>9</v>
      </c>
      <c r="C7" s="1">
        <v>5</v>
      </c>
      <c r="D7" s="1" t="s">
        <v>10</v>
      </c>
    </row>
    <row r="8" spans="1:6" x14ac:dyDescent="0.2">
      <c r="A8" s="7"/>
      <c r="B8" s="7" t="s">
        <v>38</v>
      </c>
      <c r="C8" s="7">
        <v>250000</v>
      </c>
      <c r="D8" s="7"/>
    </row>
    <row r="9" spans="1:6" x14ac:dyDescent="0.2">
      <c r="A9" s="1" t="s">
        <v>39</v>
      </c>
      <c r="B9" s="1" t="s">
        <v>40</v>
      </c>
      <c r="C9" s="1">
        <v>150000</v>
      </c>
    </row>
    <row r="10" spans="1:6" x14ac:dyDescent="0.2">
      <c r="A10" s="7"/>
      <c r="B10" s="7" t="s">
        <v>41</v>
      </c>
      <c r="C10" s="7">
        <f>70000*2</f>
        <v>140000</v>
      </c>
      <c r="D10" s="7" t="s">
        <v>42</v>
      </c>
    </row>
    <row r="11" spans="1:6" x14ac:dyDescent="0.2">
      <c r="A11" s="1" t="s">
        <v>43</v>
      </c>
      <c r="B11" s="1" t="s">
        <v>44</v>
      </c>
      <c r="C11" s="1">
        <v>300000</v>
      </c>
    </row>
    <row r="13" spans="1:6" x14ac:dyDescent="0.2">
      <c r="A13" s="5" t="s">
        <v>45</v>
      </c>
    </row>
    <row r="14" spans="1:6" x14ac:dyDescent="0.2">
      <c r="C14" s="8">
        <v>1</v>
      </c>
      <c r="D14" s="8">
        <v>2</v>
      </c>
      <c r="E14" s="8">
        <v>3</v>
      </c>
      <c r="F14" s="8">
        <v>4</v>
      </c>
    </row>
    <row r="15" spans="1:6" x14ac:dyDescent="0.2">
      <c r="A15" s="1" t="s">
        <v>16</v>
      </c>
      <c r="B15" s="10">
        <v>0.15</v>
      </c>
      <c r="C15" s="1">
        <f>3400000*(1+$B$15)</f>
        <v>3909999.9999999995</v>
      </c>
      <c r="D15" s="1">
        <f>3740000*(1+$B$15)</f>
        <v>4301000</v>
      </c>
      <c r="E15" s="1">
        <f>4114000*(1+$B$15)</f>
        <v>4731100</v>
      </c>
      <c r="F15" s="1">
        <f>4525400*(1+$B$15)</f>
        <v>5204210</v>
      </c>
    </row>
    <row r="16" spans="1:6" x14ac:dyDescent="0.2">
      <c r="A16" s="1" t="s">
        <v>17</v>
      </c>
      <c r="B16" s="10">
        <v>0.65</v>
      </c>
      <c r="C16" s="1">
        <f>-C15*$B$16</f>
        <v>-2541500</v>
      </c>
      <c r="D16" s="1">
        <f t="shared" ref="D16:F16" si="0">-D15*$B$16</f>
        <v>-2795650</v>
      </c>
      <c r="E16" s="1">
        <f t="shared" si="0"/>
        <v>-3075215</v>
      </c>
      <c r="F16" s="1">
        <f t="shared" si="0"/>
        <v>-3382736.5</v>
      </c>
    </row>
    <row r="17" spans="1:6" x14ac:dyDescent="0.2">
      <c r="A17" s="1" t="s">
        <v>46</v>
      </c>
      <c r="B17" s="10">
        <v>0.05</v>
      </c>
      <c r="C17" s="1">
        <f>-C15*$B$17</f>
        <v>-195500</v>
      </c>
      <c r="D17" s="1">
        <f t="shared" ref="D17:F17" si="1">-D15*$B$17</f>
        <v>-215050</v>
      </c>
      <c r="E17" s="1">
        <f t="shared" si="1"/>
        <v>-236555</v>
      </c>
      <c r="F17" s="1">
        <f t="shared" si="1"/>
        <v>-260210.5</v>
      </c>
    </row>
    <row r="18" spans="1:6" x14ac:dyDescent="0.2">
      <c r="A18" s="1" t="s">
        <v>19</v>
      </c>
      <c r="B18" s="10">
        <v>0.09</v>
      </c>
      <c r="C18" s="1">
        <f>-C15*$B$18</f>
        <v>-351899.99999999994</v>
      </c>
      <c r="D18" s="1">
        <f t="shared" ref="D18:F18" si="2">-D15*$B$18</f>
        <v>-387090</v>
      </c>
      <c r="E18" s="1">
        <f t="shared" si="2"/>
        <v>-425799</v>
      </c>
      <c r="F18" s="1">
        <f t="shared" si="2"/>
        <v>-468378.89999999997</v>
      </c>
    </row>
    <row r="19" spans="1:6" x14ac:dyDescent="0.2">
      <c r="A19" s="1" t="s">
        <v>9</v>
      </c>
      <c r="C19" s="1">
        <f>-C6/C7</f>
        <v>-200000</v>
      </c>
      <c r="D19" s="1">
        <f>+C19</f>
        <v>-200000</v>
      </c>
      <c r="E19" s="1">
        <f>+D19</f>
        <v>-200000</v>
      </c>
      <c r="F19" s="1">
        <f>+E19</f>
        <v>-200000</v>
      </c>
    </row>
    <row r="21" spans="1:6" x14ac:dyDescent="0.2">
      <c r="A21" s="5" t="s">
        <v>47</v>
      </c>
    </row>
    <row r="22" spans="1:6" x14ac:dyDescent="0.2">
      <c r="B22" s="8">
        <v>0</v>
      </c>
      <c r="C22" s="8">
        <v>1</v>
      </c>
      <c r="D22" s="8">
        <v>2</v>
      </c>
      <c r="E22" s="8">
        <v>3</v>
      </c>
      <c r="F22" s="8">
        <v>4</v>
      </c>
    </row>
    <row r="23" spans="1:6" x14ac:dyDescent="0.2">
      <c r="A23" s="1" t="s">
        <v>16</v>
      </c>
      <c r="C23" s="1">
        <f>+C15-3400000</f>
        <v>509999.99999999953</v>
      </c>
      <c r="D23" s="1">
        <f>+D15-3740000</f>
        <v>561000</v>
      </c>
      <c r="E23" s="1">
        <f>+E15-4114000</f>
        <v>617100</v>
      </c>
      <c r="F23" s="1">
        <f>+F15-4525400</f>
        <v>678810</v>
      </c>
    </row>
    <row r="24" spans="1:6" x14ac:dyDescent="0.2">
      <c r="A24" s="1" t="s">
        <v>17</v>
      </c>
      <c r="C24" s="1">
        <f>+C16+2380000</f>
        <v>-161500</v>
      </c>
      <c r="D24" s="1">
        <f>+D16+2618000</f>
        <v>-177650</v>
      </c>
      <c r="E24" s="1">
        <f>+E16+2879800</f>
        <v>-195415</v>
      </c>
      <c r="F24" s="1">
        <f>+F16+3167800</f>
        <v>-214936.5</v>
      </c>
    </row>
    <row r="25" spans="1:6" x14ac:dyDescent="0.2">
      <c r="A25" s="1" t="s">
        <v>46</v>
      </c>
      <c r="C25" s="1">
        <f>+C17+170000</f>
        <v>-25500</v>
      </c>
      <c r="D25" s="1">
        <f>+D17+187000</f>
        <v>-28050</v>
      </c>
      <c r="E25" s="1">
        <f>+E17+205700</f>
        <v>-30855</v>
      </c>
      <c r="F25" s="1">
        <f>+F17+226270</f>
        <v>-33940.5</v>
      </c>
    </row>
    <row r="26" spans="1:6" x14ac:dyDescent="0.2">
      <c r="A26" s="1" t="s">
        <v>19</v>
      </c>
      <c r="C26" s="1">
        <f>+C18+340000</f>
        <v>-11899.999999999942</v>
      </c>
      <c r="D26" s="1">
        <f>+D18+374000</f>
        <v>-13090</v>
      </c>
      <c r="E26" s="1">
        <f>+E18+411400</f>
        <v>-14399</v>
      </c>
      <c r="F26" s="1">
        <f>+F18+452540</f>
        <v>-15838.899999999965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P. Istmo</vt:lpstr>
      <vt:lpstr>Jugos Prep.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2021-02-23T16:01:38Z</dcterms:created>
  <dcterms:modified xsi:type="dcterms:W3CDTF">2021-02-23T17:25:33Z</dcterms:modified>
</cp:coreProperties>
</file>