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0" documentId="8_{BD5DB7EE-E184-3D4C-815E-4064A150BCC0}" xr6:coauthVersionLast="46" xr6:coauthVersionMax="46" xr10:uidLastSave="{00000000-0000-0000-0000-000000000000}"/>
  <bookViews>
    <workbookView xWindow="0" yWindow="0" windowWidth="28800" windowHeight="18000" activeTab="2" xr2:uid="{A737F93A-3869-ED4F-94F8-1A3B5208BD91}"/>
  </bookViews>
  <sheets>
    <sheet name="P. Istmo" sheetId="1" r:id="rId1"/>
    <sheet name="Jugos Prep." sheetId="2" r:id="rId2"/>
    <sheet name="Comex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E36" i="3"/>
  <c r="D36" i="3"/>
  <c r="C36" i="3"/>
  <c r="B36" i="3"/>
  <c r="B35" i="3"/>
  <c r="G9" i="3"/>
  <c r="G8" i="3"/>
  <c r="G7" i="3"/>
  <c r="E34" i="3"/>
  <c r="B34" i="3"/>
  <c r="E33" i="3"/>
  <c r="D33" i="3"/>
  <c r="C33" i="3"/>
  <c r="E32" i="3"/>
  <c r="E31" i="3"/>
  <c r="D31" i="3"/>
  <c r="D32" i="3" s="1"/>
  <c r="C32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C9" i="3"/>
  <c r="E19" i="3"/>
  <c r="D19" i="3"/>
  <c r="C19" i="3"/>
  <c r="K17" i="3"/>
  <c r="J17" i="3"/>
  <c r="I17" i="3"/>
  <c r="E17" i="3"/>
  <c r="D17" i="3"/>
  <c r="C17" i="3"/>
  <c r="K16" i="3"/>
  <c r="J16" i="3"/>
  <c r="I16" i="3"/>
  <c r="E16" i="3"/>
  <c r="D16" i="3"/>
  <c r="C16" i="3"/>
  <c r="K15" i="3"/>
  <c r="J15" i="3"/>
  <c r="I15" i="3"/>
  <c r="E15" i="3"/>
  <c r="D15" i="3"/>
  <c r="C15" i="3"/>
  <c r="E14" i="3"/>
  <c r="D14" i="3"/>
  <c r="C14" i="3"/>
  <c r="C31" i="2"/>
  <c r="C35" i="2"/>
  <c r="B38" i="2"/>
  <c r="B37" i="2"/>
  <c r="F35" i="2"/>
  <c r="E35" i="2"/>
  <c r="D35" i="2"/>
  <c r="B35" i="2"/>
  <c r="F34" i="2"/>
  <c r="B34" i="2"/>
  <c r="B33" i="2"/>
  <c r="H8" i="2"/>
  <c r="H7" i="2"/>
  <c r="H6" i="2"/>
  <c r="H5" i="2"/>
  <c r="F32" i="2"/>
  <c r="G8" i="2"/>
  <c r="G7" i="2"/>
  <c r="G6" i="2"/>
  <c r="G5" i="2"/>
  <c r="D32" i="2"/>
  <c r="C32" i="2"/>
  <c r="F31" i="2"/>
  <c r="E31" i="2"/>
  <c r="D31" i="2"/>
  <c r="F30" i="2"/>
  <c r="F29" i="2"/>
  <c r="E29" i="2"/>
  <c r="E30" i="2" s="1"/>
  <c r="D29" i="2"/>
  <c r="D30" i="2" s="1"/>
  <c r="C30" i="2"/>
  <c r="C29" i="2"/>
  <c r="F27" i="2"/>
  <c r="E27" i="2"/>
  <c r="D27" i="2"/>
  <c r="C27" i="2"/>
  <c r="C23" i="2"/>
  <c r="C19" i="2"/>
  <c r="D19" i="2"/>
  <c r="E19" i="2" s="1"/>
  <c r="F19" i="2" s="1"/>
  <c r="F15" i="2"/>
  <c r="F23" i="2" s="1"/>
  <c r="E15" i="2"/>
  <c r="E23" i="2" s="1"/>
  <c r="D15" i="2"/>
  <c r="D23" i="2" s="1"/>
  <c r="C15" i="2"/>
  <c r="C10" i="2"/>
  <c r="B27" i="1"/>
  <c r="B26" i="1"/>
  <c r="B28" i="1" s="1"/>
  <c r="G25" i="1"/>
  <c r="F25" i="1"/>
  <c r="K9" i="1"/>
  <c r="K8" i="1"/>
  <c r="I9" i="1"/>
  <c r="H9" i="1"/>
  <c r="F19" i="1"/>
  <c r="C19" i="1"/>
  <c r="C21" i="1"/>
  <c r="C25" i="1" s="1"/>
  <c r="D20" i="1"/>
  <c r="E20" i="1" s="1"/>
  <c r="C20" i="1"/>
  <c r="C24" i="1" s="1"/>
  <c r="E18" i="1"/>
  <c r="D18" i="1"/>
  <c r="E17" i="1"/>
  <c r="E19" i="1" s="1"/>
  <c r="F17" i="1"/>
  <c r="F18" i="1" s="1"/>
  <c r="G17" i="1"/>
  <c r="G19" i="1" s="1"/>
  <c r="D17" i="1"/>
  <c r="D19" i="1" s="1"/>
  <c r="C17" i="1"/>
  <c r="C18" i="1" s="1"/>
  <c r="C22" i="1" s="1"/>
  <c r="C23" i="1" s="1"/>
  <c r="C28" i="1" s="1"/>
  <c r="E11" i="1"/>
  <c r="H11" i="1" s="1"/>
  <c r="B3" i="1"/>
  <c r="F20" i="1" l="1"/>
  <c r="E24" i="1"/>
  <c r="H13" i="1"/>
  <c r="H14" i="1" s="1"/>
  <c r="G26" i="1" s="1"/>
  <c r="D21" i="1"/>
  <c r="G18" i="1"/>
  <c r="D24" i="1"/>
  <c r="C16" i="2"/>
  <c r="C24" i="2" s="1"/>
  <c r="C17" i="2"/>
  <c r="C25" i="2" s="1"/>
  <c r="C18" i="2"/>
  <c r="C26" i="2" s="1"/>
  <c r="F22" i="1"/>
  <c r="F23" i="1" s="1"/>
  <c r="D16" i="2"/>
  <c r="D24" i="2" s="1"/>
  <c r="D17" i="2"/>
  <c r="D25" i="2" s="1"/>
  <c r="D18" i="2"/>
  <c r="D26" i="2" s="1"/>
  <c r="E16" i="2"/>
  <c r="E24" i="2" s="1"/>
  <c r="E17" i="2"/>
  <c r="E25" i="2" s="1"/>
  <c r="E18" i="2"/>
  <c r="E26" i="2" s="1"/>
  <c r="F16" i="2"/>
  <c r="F24" i="2" s="1"/>
  <c r="F17" i="2"/>
  <c r="F25" i="2" s="1"/>
  <c r="F18" i="2"/>
  <c r="F26" i="2" s="1"/>
  <c r="E21" i="1" l="1"/>
  <c r="D25" i="1"/>
  <c r="D22" i="1"/>
  <c r="D23" i="1" s="1"/>
  <c r="D28" i="1" s="1"/>
  <c r="G20" i="1"/>
  <c r="G24" i="1" s="1"/>
  <c r="F24" i="1"/>
  <c r="F28" i="1" s="1"/>
  <c r="G22" i="1"/>
  <c r="G23" i="1" s="1"/>
  <c r="G28" i="1" s="1"/>
  <c r="B30" i="1" l="1"/>
  <c r="E25" i="1"/>
  <c r="E22" i="1"/>
  <c r="E23" i="1" s="1"/>
  <c r="E28" i="1" s="1"/>
  <c r="B31" i="1" s="1"/>
</calcChain>
</file>

<file path=xl/sharedStrings.xml><?xml version="1.0" encoding="utf-8"?>
<sst xmlns="http://schemas.openxmlformats.org/spreadsheetml/2006/main" count="138" uniqueCount="74">
  <si>
    <t>PAPELERA DEL ISTMO</t>
  </si>
  <si>
    <t>Ks</t>
  </si>
  <si>
    <t>Krf</t>
  </si>
  <si>
    <t>Km</t>
  </si>
  <si>
    <t>B</t>
  </si>
  <si>
    <t>Ks = Krf + B(Km - Krf)</t>
  </si>
  <si>
    <t>Inversión Inicial</t>
  </si>
  <si>
    <t>Máquina Nueva</t>
  </si>
  <si>
    <t>Inversión</t>
  </si>
  <si>
    <t>Deprec.</t>
  </si>
  <si>
    <t>años</t>
  </si>
  <si>
    <t>VM año 5</t>
  </si>
  <si>
    <t>s/ valor orig.</t>
  </si>
  <si>
    <t>Remodelación</t>
  </si>
  <si>
    <t>Amort.</t>
  </si>
  <si>
    <t>An. Marginal</t>
  </si>
  <si>
    <t>Ventas</t>
  </si>
  <si>
    <t>Costo Ventas</t>
  </si>
  <si>
    <t>Ut. Bruta</t>
  </si>
  <si>
    <t>Gts. Op.</t>
  </si>
  <si>
    <t>Amort. Remod.</t>
  </si>
  <si>
    <t>UAISR</t>
  </si>
  <si>
    <t>UN</t>
  </si>
  <si>
    <t>Gt. Op</t>
  </si>
  <si>
    <t>Actual</t>
  </si>
  <si>
    <t>Maq. Nueva</t>
  </si>
  <si>
    <t>Consol.</t>
  </si>
  <si>
    <t>año 5</t>
  </si>
  <si>
    <t>VM</t>
  </si>
  <si>
    <t>VL</t>
  </si>
  <si>
    <t>Gan. Cap.</t>
  </si>
  <si>
    <t>Imp.</t>
  </si>
  <si>
    <t>FCN</t>
  </si>
  <si>
    <t>VPN</t>
  </si>
  <si>
    <t>TIR</t>
  </si>
  <si>
    <t>Si conviene porque tiene VPN positivo.</t>
  </si>
  <si>
    <t>JUGOS PREPARADOS</t>
  </si>
  <si>
    <t>Td</t>
  </si>
  <si>
    <t>VM año 4</t>
  </si>
  <si>
    <t>Maq. Actual</t>
  </si>
  <si>
    <t>VM año 0</t>
  </si>
  <si>
    <t>VL año 0</t>
  </si>
  <si>
    <t>(2 deprec. de 70,000)</t>
  </si>
  <si>
    <t>Capital Trabajo</t>
  </si>
  <si>
    <t>Inv. Año 0</t>
  </si>
  <si>
    <t>Escenario Nuevo (Consolidado Actual + Proyecto)</t>
  </si>
  <si>
    <t>Gts. Adm.</t>
  </si>
  <si>
    <t>ANALISIS MARGINAL</t>
  </si>
  <si>
    <t>Deprec. Nueva</t>
  </si>
  <si>
    <t>Depreci. Actual</t>
  </si>
  <si>
    <t xml:space="preserve">Deprec.  </t>
  </si>
  <si>
    <t>(2 cuotas, año 1 y año 2)</t>
  </si>
  <si>
    <t>año 4</t>
  </si>
  <si>
    <t>Gan. Capital</t>
  </si>
  <si>
    <t>año 0</t>
  </si>
  <si>
    <t>Si es rentable porque tiene VPN positivo.</t>
  </si>
  <si>
    <t>COMESTIBLES EXOTICOS</t>
  </si>
  <si>
    <t>Inventario</t>
  </si>
  <si>
    <t>Camiones actuales</t>
  </si>
  <si>
    <t>(2 años deprec. Q200K)</t>
  </si>
  <si>
    <t>Proyección</t>
  </si>
  <si>
    <t>Escenario Nuevo</t>
  </si>
  <si>
    <t>Escenario Actual</t>
  </si>
  <si>
    <t>Mg. Bruto</t>
  </si>
  <si>
    <t>Gts. Operat.</t>
  </si>
  <si>
    <t>Gts. Personal</t>
  </si>
  <si>
    <t>Comisiones</t>
  </si>
  <si>
    <t>Gts. Distribución</t>
  </si>
  <si>
    <t>(este servicio actualmente no lo tienen contratado)</t>
  </si>
  <si>
    <t>Inventario (CT)</t>
  </si>
  <si>
    <t>(CT = capital de trabajo)</t>
  </si>
  <si>
    <t>Perd. Cap.</t>
  </si>
  <si>
    <t>Camiones Actuales</t>
  </si>
  <si>
    <t>No conviene vender los camiones y contratar a DISMER porque el VPN es negativo.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</si>
</sst>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43" fontId="0" fillId="0" borderId="0" xfId="1" applyFont="1"/>
    <xf numFmtId="9" fontId="0" fillId="0" borderId="0" xfId="2" applyFont="1"/>
    <xf numFmtId="43" fontId="0" fillId="2" borderId="0" xfId="1" applyFont="1" applyFill="1"/>
    <xf numFmtId="164" fontId="0" fillId="2" borderId="0" xfId="2" applyNumberFormat="1" applyFont="1" applyFill="1"/>
    <xf numFmtId="43" fontId="2" fillId="0" borderId="0" xfId="1" applyFont="1"/>
    <xf numFmtId="9" fontId="0" fillId="0" borderId="0" xfId="1" applyNumberFormat="1" applyFont="1"/>
    <xf numFmtId="43" fontId="0" fillId="0" borderId="1" xfId="1" applyFont="1" applyBorder="1"/>
    <xf numFmtId="0" fontId="2" fillId="0" borderId="0" xfId="1" applyNumberFormat="1" applyFont="1" applyAlignment="1">
      <alignment horizontal="center"/>
    </xf>
    <xf numFmtId="43" fontId="0" fillId="0" borderId="2" xfId="1" applyFont="1" applyBorder="1"/>
    <xf numFmtId="9" fontId="0" fillId="0" borderId="0" xfId="1" applyNumberFormat="1" applyFont="1" applyAlignment="1">
      <alignment horizontal="center"/>
    </xf>
    <xf numFmtId="43" fontId="0" fillId="3" borderId="3" xfId="1" applyFont="1" applyFill="1" applyBorder="1"/>
    <xf numFmtId="43" fontId="0" fillId="3" borderId="2" xfId="1" applyFont="1" applyFill="1" applyBorder="1"/>
    <xf numFmtId="43" fontId="0" fillId="3" borderId="4" xfId="1" applyFont="1" applyFill="1" applyBorder="1"/>
    <xf numFmtId="43" fontId="0" fillId="3" borderId="5" xfId="1" applyFont="1" applyFill="1" applyBorder="1"/>
    <xf numFmtId="43" fontId="0" fillId="3" borderId="0" xfId="1" applyFont="1" applyFill="1" applyBorder="1"/>
    <xf numFmtId="43" fontId="0" fillId="3" borderId="6" xfId="1" applyFont="1" applyFill="1" applyBorder="1"/>
    <xf numFmtId="43" fontId="0" fillId="3" borderId="7" xfId="1" applyFont="1" applyFill="1" applyBorder="1"/>
    <xf numFmtId="43" fontId="0" fillId="3" borderId="1" xfId="1" applyFont="1" applyFill="1" applyBorder="1"/>
    <xf numFmtId="9" fontId="0" fillId="3" borderId="1" xfId="2" applyFon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43" fontId="0" fillId="3" borderId="8" xfId="1" applyFont="1" applyFill="1" applyBorder="1"/>
    <xf numFmtId="43" fontId="0" fillId="4" borderId="0" xfId="1" applyFont="1" applyFill="1"/>
    <xf numFmtId="43" fontId="0" fillId="5" borderId="0" xfId="1" applyFont="1" applyFill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6" borderId="0" xfId="1" applyFont="1" applyFill="1"/>
    <xf numFmtId="9" fontId="0" fillId="6" borderId="1" xfId="1" applyNumberFormat="1" applyFont="1" applyFill="1" applyBorder="1"/>
    <xf numFmtId="164" fontId="0" fillId="0" borderId="0" xfId="1" applyNumberFormat="1" applyFont="1"/>
    <xf numFmtId="43" fontId="0" fillId="5" borderId="1" xfId="1" applyFont="1" applyFill="1" applyBorder="1"/>
    <xf numFmtId="43" fontId="1" fillId="0" borderId="0" xfId="1" applyFont="1" applyBorder="1"/>
    <xf numFmtId="43" fontId="0" fillId="0" borderId="9" xfId="1" applyFont="1" applyBorder="1"/>
    <xf numFmtId="43" fontId="0" fillId="0" borderId="0" xfId="1" applyFont="1" applyAlignment="1">
      <alignment horizontal="center"/>
    </xf>
    <xf numFmtId="43" fontId="0" fillId="4" borderId="1" xfId="1" applyFont="1" applyFill="1" applyBorder="1"/>
    <xf numFmtId="43" fontId="3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73CF-1C97-8348-970B-7C95C1A0A312}">
  <dimension ref="A1:K31"/>
  <sheetViews>
    <sheetView topLeftCell="A10" zoomScale="170" zoomScaleNormal="170" workbookViewId="0">
      <selection activeCell="C31" sqref="C31"/>
    </sheetView>
  </sheetViews>
  <sheetFormatPr baseColWidth="10" defaultRowHeight="16" x14ac:dyDescent="0.2"/>
  <cols>
    <col min="1" max="1" width="15" style="1" customWidth="1"/>
    <col min="2" max="2" width="13" style="1" bestFit="1" customWidth="1"/>
    <col min="3" max="3" width="11.5" style="1" bestFit="1" customWidth="1"/>
    <col min="4" max="4" width="12.5" style="1" customWidth="1"/>
    <col min="5" max="6" width="11.5" style="1" bestFit="1" customWidth="1"/>
    <col min="7" max="8" width="13" style="1" bestFit="1" customWidth="1"/>
    <col min="9" max="9" width="11.5" style="1" bestFit="1" customWidth="1"/>
    <col min="10" max="10" width="10.83203125" style="1"/>
    <col min="11" max="11" width="13" style="1" bestFit="1" customWidth="1"/>
    <col min="12" max="16384" width="10.83203125" style="1"/>
  </cols>
  <sheetData>
    <row r="1" spans="1:11" x14ac:dyDescent="0.2">
      <c r="A1" s="5" t="s">
        <v>0</v>
      </c>
    </row>
    <row r="3" spans="1:11" x14ac:dyDescent="0.2">
      <c r="A3" s="3" t="s">
        <v>1</v>
      </c>
      <c r="B3" s="4">
        <f>+B4+(B6*(B5-B4))</f>
        <v>0.192</v>
      </c>
      <c r="D3" s="3" t="s">
        <v>5</v>
      </c>
      <c r="E3" s="3"/>
    </row>
    <row r="4" spans="1:11" x14ac:dyDescent="0.2">
      <c r="A4" s="1" t="s">
        <v>2</v>
      </c>
      <c r="B4" s="2">
        <v>0.08</v>
      </c>
    </row>
    <row r="5" spans="1:11" x14ac:dyDescent="0.2">
      <c r="A5" s="1" t="s">
        <v>3</v>
      </c>
      <c r="B5" s="2">
        <v>0.16</v>
      </c>
    </row>
    <row r="6" spans="1:11" x14ac:dyDescent="0.2">
      <c r="A6" s="1" t="s">
        <v>4</v>
      </c>
      <c r="B6" s="1">
        <v>1.4</v>
      </c>
    </row>
    <row r="7" spans="1:11" x14ac:dyDescent="0.2">
      <c r="F7" s="11"/>
      <c r="G7" s="12" t="s">
        <v>24</v>
      </c>
      <c r="H7" s="12"/>
      <c r="I7" s="12" t="s">
        <v>25</v>
      </c>
      <c r="J7" s="12"/>
      <c r="K7" s="13" t="s">
        <v>26</v>
      </c>
    </row>
    <row r="8" spans="1:11" x14ac:dyDescent="0.2">
      <c r="A8" s="5" t="s">
        <v>6</v>
      </c>
      <c r="F8" s="14" t="s">
        <v>16</v>
      </c>
      <c r="G8" s="15">
        <v>3500000</v>
      </c>
      <c r="H8" s="15"/>
      <c r="I8" s="15">
        <v>700000</v>
      </c>
      <c r="J8" s="15"/>
      <c r="K8" s="16">
        <f>+G8+I8</f>
        <v>4200000</v>
      </c>
    </row>
    <row r="9" spans="1:11" x14ac:dyDescent="0.2">
      <c r="A9" s="1" t="s">
        <v>7</v>
      </c>
      <c r="B9" s="1" t="s">
        <v>8</v>
      </c>
      <c r="C9" s="22">
        <v>900000</v>
      </c>
      <c r="F9" s="17" t="s">
        <v>23</v>
      </c>
      <c r="G9" s="18">
        <v>105000</v>
      </c>
      <c r="H9" s="19">
        <f>+G9/G8</f>
        <v>0.03</v>
      </c>
      <c r="I9" s="18">
        <f>+I8*J9</f>
        <v>7000</v>
      </c>
      <c r="J9" s="20">
        <v>0.01</v>
      </c>
      <c r="K9" s="21">
        <f>+G9+I9</f>
        <v>112000</v>
      </c>
    </row>
    <row r="10" spans="1:11" x14ac:dyDescent="0.2">
      <c r="B10" s="1" t="s">
        <v>9</v>
      </c>
      <c r="C10" s="23">
        <v>5</v>
      </c>
      <c r="D10" s="1" t="s">
        <v>10</v>
      </c>
      <c r="H10" s="24" t="s">
        <v>27</v>
      </c>
    </row>
    <row r="11" spans="1:11" x14ac:dyDescent="0.2">
      <c r="A11" s="7"/>
      <c r="B11" s="7" t="s">
        <v>11</v>
      </c>
      <c r="C11" s="27">
        <v>0.2</v>
      </c>
      <c r="D11" s="7" t="s">
        <v>12</v>
      </c>
      <c r="E11" s="7">
        <f>+C11*C9</f>
        <v>180000</v>
      </c>
      <c r="G11" s="25" t="s">
        <v>28</v>
      </c>
      <c r="H11" s="1">
        <f>+E11</f>
        <v>180000</v>
      </c>
    </row>
    <row r="12" spans="1:11" x14ac:dyDescent="0.2">
      <c r="A12" s="1" t="s">
        <v>13</v>
      </c>
      <c r="B12" s="1" t="s">
        <v>8</v>
      </c>
      <c r="C12" s="22">
        <v>200000</v>
      </c>
      <c r="G12" s="25" t="s">
        <v>29</v>
      </c>
      <c r="H12" s="1">
        <v>0</v>
      </c>
    </row>
    <row r="13" spans="1:11" x14ac:dyDescent="0.2">
      <c r="B13" s="1" t="s">
        <v>14</v>
      </c>
      <c r="C13" s="23">
        <v>3</v>
      </c>
      <c r="D13" s="1" t="s">
        <v>10</v>
      </c>
      <c r="G13" s="25" t="s">
        <v>30</v>
      </c>
      <c r="H13" s="9">
        <f>+SUM(H11:H12)</f>
        <v>180000</v>
      </c>
    </row>
    <row r="14" spans="1:11" x14ac:dyDescent="0.2">
      <c r="G14" s="25" t="s">
        <v>31</v>
      </c>
      <c r="H14" s="1">
        <f>-H13*I14</f>
        <v>-18000</v>
      </c>
      <c r="I14" s="6">
        <v>0.1</v>
      </c>
    </row>
    <row r="15" spans="1:11" x14ac:dyDescent="0.2">
      <c r="A15" s="5" t="s">
        <v>15</v>
      </c>
    </row>
    <row r="16" spans="1:11" x14ac:dyDescent="0.2">
      <c r="B16" s="8">
        <v>0</v>
      </c>
      <c r="C16" s="8">
        <v>1</v>
      </c>
      <c r="D16" s="8">
        <v>2</v>
      </c>
      <c r="E16" s="8">
        <v>3</v>
      </c>
      <c r="F16" s="8">
        <v>4</v>
      </c>
      <c r="G16" s="8">
        <v>5</v>
      </c>
    </row>
    <row r="17" spans="1:8" x14ac:dyDescent="0.2">
      <c r="A17" s="1" t="s">
        <v>16</v>
      </c>
      <c r="C17" s="1">
        <f>3500000*$H$17</f>
        <v>700000</v>
      </c>
      <c r="D17" s="1">
        <f>3780000*$H$17</f>
        <v>756000</v>
      </c>
      <c r="E17" s="1">
        <f>4082400*$H$17</f>
        <v>816480</v>
      </c>
      <c r="F17" s="1">
        <f>4408990*$H$17</f>
        <v>881798</v>
      </c>
      <c r="G17" s="1">
        <f>4761710*$H$17</f>
        <v>952342</v>
      </c>
      <c r="H17" s="6">
        <v>0.2</v>
      </c>
    </row>
    <row r="18" spans="1:8" x14ac:dyDescent="0.2">
      <c r="A18" s="1" t="s">
        <v>18</v>
      </c>
      <c r="C18" s="9">
        <f>+C17*$H$18</f>
        <v>350000</v>
      </c>
      <c r="D18" s="9">
        <f t="shared" ref="D18:F18" si="0">+D17*$H$18</f>
        <v>378000</v>
      </c>
      <c r="E18" s="9">
        <f t="shared" si="0"/>
        <v>408240</v>
      </c>
      <c r="F18" s="9">
        <f t="shared" si="0"/>
        <v>440899</v>
      </c>
      <c r="G18" s="9">
        <f>+G17*$H$18</f>
        <v>476171</v>
      </c>
      <c r="H18" s="6">
        <v>0.5</v>
      </c>
    </row>
    <row r="19" spans="1:8" x14ac:dyDescent="0.2">
      <c r="A19" s="1" t="s">
        <v>19</v>
      </c>
      <c r="C19" s="1">
        <f>-C17*$H$19</f>
        <v>-7000</v>
      </c>
      <c r="D19" s="1">
        <f t="shared" ref="D19:G19" si="1">-D17*$H$19</f>
        <v>-7560</v>
      </c>
      <c r="E19" s="1">
        <f t="shared" si="1"/>
        <v>-8164.8</v>
      </c>
      <c r="F19" s="1">
        <f t="shared" si="1"/>
        <v>-8817.98</v>
      </c>
      <c r="G19" s="1">
        <f t="shared" si="1"/>
        <v>-9523.42</v>
      </c>
      <c r="H19" s="6">
        <v>0.01</v>
      </c>
    </row>
    <row r="20" spans="1:8" x14ac:dyDescent="0.2">
      <c r="A20" s="1" t="s">
        <v>9</v>
      </c>
      <c r="C20" s="23">
        <f>-C9/C10</f>
        <v>-180000</v>
      </c>
      <c r="D20" s="23">
        <f>+C20</f>
        <v>-180000</v>
      </c>
      <c r="E20" s="23">
        <f t="shared" ref="E20:G20" si="2">+D20</f>
        <v>-180000</v>
      </c>
      <c r="F20" s="23">
        <f t="shared" si="2"/>
        <v>-180000</v>
      </c>
      <c r="G20" s="23">
        <f t="shared" si="2"/>
        <v>-180000</v>
      </c>
    </row>
    <row r="21" spans="1:8" x14ac:dyDescent="0.2">
      <c r="A21" s="1" t="s">
        <v>20</v>
      </c>
      <c r="C21" s="23">
        <f>-C12/C13</f>
        <v>-66666.666666666672</v>
      </c>
      <c r="D21" s="23">
        <f>+C21</f>
        <v>-66666.666666666672</v>
      </c>
      <c r="E21" s="23">
        <f>+D21</f>
        <v>-66666.666666666672</v>
      </c>
      <c r="F21" s="1">
        <v>0</v>
      </c>
      <c r="G21" s="1">
        <v>0</v>
      </c>
    </row>
    <row r="22" spans="1:8" x14ac:dyDescent="0.2">
      <c r="A22" s="1" t="s">
        <v>21</v>
      </c>
      <c r="C22" s="9">
        <f>+SUM(C18:C21)</f>
        <v>96333.333333333328</v>
      </c>
      <c r="D22" s="9">
        <f t="shared" ref="D22:F22" si="3">+SUM(D18:D21)</f>
        <v>123773.33333333333</v>
      </c>
      <c r="E22" s="9">
        <f t="shared" si="3"/>
        <v>153408.53333333333</v>
      </c>
      <c r="F22" s="9">
        <f t="shared" si="3"/>
        <v>252081.02000000002</v>
      </c>
      <c r="G22" s="9">
        <f>+SUM(G18:G21)</f>
        <v>286647.58</v>
      </c>
    </row>
    <row r="23" spans="1:8" x14ac:dyDescent="0.2">
      <c r="A23" s="1" t="s">
        <v>22</v>
      </c>
      <c r="C23" s="9">
        <f>+C22*(1-$H$23)</f>
        <v>72250</v>
      </c>
      <c r="D23" s="9">
        <f t="shared" ref="D23:F23" si="4">+D22*(1-$H$23)</f>
        <v>92830</v>
      </c>
      <c r="E23" s="9">
        <f t="shared" si="4"/>
        <v>115056.4</v>
      </c>
      <c r="F23" s="9">
        <f t="shared" si="4"/>
        <v>189060.76500000001</v>
      </c>
      <c r="G23" s="9">
        <f>+G22*(1-$H$23)</f>
        <v>214985.685</v>
      </c>
      <c r="H23" s="6">
        <v>0.25</v>
      </c>
    </row>
    <row r="24" spans="1:8" x14ac:dyDescent="0.2">
      <c r="A24" s="1" t="s">
        <v>9</v>
      </c>
      <c r="C24" s="23">
        <f>-C20</f>
        <v>180000</v>
      </c>
      <c r="D24" s="23">
        <f t="shared" ref="D24:G24" si="5">-D20</f>
        <v>180000</v>
      </c>
      <c r="E24" s="23">
        <f t="shared" si="5"/>
        <v>180000</v>
      </c>
      <c r="F24" s="23">
        <f t="shared" si="5"/>
        <v>180000</v>
      </c>
      <c r="G24" s="23">
        <f t="shared" si="5"/>
        <v>180000</v>
      </c>
    </row>
    <row r="25" spans="1:8" x14ac:dyDescent="0.2">
      <c r="A25" s="1" t="s">
        <v>20</v>
      </c>
      <c r="C25" s="23">
        <f>-C21</f>
        <v>66666.666666666672</v>
      </c>
      <c r="D25" s="23">
        <f t="shared" ref="D25:G25" si="6">-D21</f>
        <v>66666.666666666672</v>
      </c>
      <c r="E25" s="23">
        <f t="shared" si="6"/>
        <v>66666.666666666672</v>
      </c>
      <c r="F25" s="1">
        <f t="shared" si="6"/>
        <v>0</v>
      </c>
      <c r="G25" s="1">
        <f t="shared" si="6"/>
        <v>0</v>
      </c>
    </row>
    <row r="26" spans="1:8" x14ac:dyDescent="0.2">
      <c r="A26" s="1" t="s">
        <v>25</v>
      </c>
      <c r="B26" s="22">
        <f>-C9</f>
        <v>-900000</v>
      </c>
      <c r="G26" s="26">
        <f>+H11+H14</f>
        <v>162000</v>
      </c>
    </row>
    <row r="27" spans="1:8" x14ac:dyDescent="0.2">
      <c r="A27" s="1" t="s">
        <v>13</v>
      </c>
      <c r="B27" s="22">
        <f>-C12</f>
        <v>-200000</v>
      </c>
    </row>
    <row r="28" spans="1:8" x14ac:dyDescent="0.2">
      <c r="A28" s="1" t="s">
        <v>32</v>
      </c>
      <c r="B28" s="9">
        <f>+SUM(B23:B27)</f>
        <v>-1100000</v>
      </c>
      <c r="C28" s="9">
        <f t="shared" ref="C28:G28" si="7">+SUM(C23:C27)</f>
        <v>318916.66666666669</v>
      </c>
      <c r="D28" s="9">
        <f t="shared" si="7"/>
        <v>339496.66666666669</v>
      </c>
      <c r="E28" s="9">
        <f t="shared" si="7"/>
        <v>361723.06666666671</v>
      </c>
      <c r="F28" s="9">
        <f t="shared" si="7"/>
        <v>369060.76500000001</v>
      </c>
      <c r="G28" s="9">
        <f t="shared" si="7"/>
        <v>556985.68500000006</v>
      </c>
    </row>
    <row r="30" spans="1:8" x14ac:dyDescent="0.2">
      <c r="A30" s="1" t="s">
        <v>33</v>
      </c>
      <c r="B30" s="1">
        <f>+NPV(B3,C28:G28)+B28</f>
        <v>34317.837152660126</v>
      </c>
      <c r="C30" s="1" t="s">
        <v>35</v>
      </c>
    </row>
    <row r="31" spans="1:8" x14ac:dyDescent="0.2">
      <c r="A31" s="1" t="s">
        <v>34</v>
      </c>
      <c r="B31" s="28">
        <f>+IRR(B28:G28)</f>
        <v>0.20480306380341684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95CA-7A60-6540-87EB-2173B1BE0ACC}">
  <dimension ref="A1:H38"/>
  <sheetViews>
    <sheetView topLeftCell="A15" zoomScale="160" zoomScaleNormal="160" workbookViewId="0">
      <selection activeCell="C32" sqref="C32"/>
    </sheetView>
  </sheetViews>
  <sheetFormatPr baseColWidth="10" defaultRowHeight="16" x14ac:dyDescent="0.2"/>
  <cols>
    <col min="1" max="1" width="15" style="1" customWidth="1"/>
    <col min="2" max="2" width="11.6640625" style="1" bestFit="1" customWidth="1"/>
    <col min="3" max="6" width="13.1640625" style="1" bestFit="1" customWidth="1"/>
    <col min="7" max="8" width="11.6640625" style="1" bestFit="1" customWidth="1"/>
    <col min="9" max="16384" width="10.83203125" style="1"/>
  </cols>
  <sheetData>
    <row r="1" spans="1:8" x14ac:dyDescent="0.2">
      <c r="A1" s="5" t="s">
        <v>36</v>
      </c>
    </row>
    <row r="3" spans="1:8" x14ac:dyDescent="0.2">
      <c r="A3" s="1" t="s">
        <v>37</v>
      </c>
      <c r="B3" s="2">
        <v>0.23</v>
      </c>
    </row>
    <row r="4" spans="1:8" x14ac:dyDescent="0.2">
      <c r="G4" s="32" t="s">
        <v>52</v>
      </c>
      <c r="H4" s="32" t="s">
        <v>54</v>
      </c>
    </row>
    <row r="5" spans="1:8" x14ac:dyDescent="0.2">
      <c r="A5" s="5" t="s">
        <v>6</v>
      </c>
      <c r="F5" s="25" t="s">
        <v>28</v>
      </c>
      <c r="G5" s="1">
        <f>+C8</f>
        <v>250000</v>
      </c>
      <c r="H5" s="1">
        <f>+C9</f>
        <v>150000</v>
      </c>
    </row>
    <row r="6" spans="1:8" x14ac:dyDescent="0.2">
      <c r="A6" s="1" t="s">
        <v>25</v>
      </c>
      <c r="B6" s="22" t="s">
        <v>8</v>
      </c>
      <c r="C6" s="22">
        <v>1000000</v>
      </c>
      <c r="D6" s="22" t="s">
        <v>51</v>
      </c>
      <c r="F6" s="25" t="s">
        <v>29</v>
      </c>
      <c r="G6" s="1">
        <f>-C6/C7</f>
        <v>-200000</v>
      </c>
      <c r="H6" s="1">
        <f>-C10</f>
        <v>-140000</v>
      </c>
    </row>
    <row r="7" spans="1:8" x14ac:dyDescent="0.2">
      <c r="B7" s="3" t="s">
        <v>9</v>
      </c>
      <c r="C7" s="3">
        <v>5</v>
      </c>
      <c r="D7" s="3" t="s">
        <v>10</v>
      </c>
      <c r="F7" s="25" t="s">
        <v>53</v>
      </c>
      <c r="G7" s="9">
        <f>+SUM(G5:G6)</f>
        <v>50000</v>
      </c>
      <c r="H7" s="9">
        <f>+SUM(H5:H6)</f>
        <v>10000</v>
      </c>
    </row>
    <row r="8" spans="1:8" x14ac:dyDescent="0.2">
      <c r="A8" s="7"/>
      <c r="B8" s="33" t="s">
        <v>38</v>
      </c>
      <c r="C8" s="33">
        <v>250000</v>
      </c>
      <c r="D8" s="7"/>
      <c r="F8" s="25" t="s">
        <v>31</v>
      </c>
      <c r="G8" s="9">
        <f>-G7*G9</f>
        <v>-5000</v>
      </c>
      <c r="H8" s="9">
        <f>-H7*G9</f>
        <v>-1000</v>
      </c>
    </row>
    <row r="9" spans="1:8" x14ac:dyDescent="0.2">
      <c r="A9" s="1" t="s">
        <v>39</v>
      </c>
      <c r="B9" s="22" t="s">
        <v>40</v>
      </c>
      <c r="C9" s="22">
        <v>150000</v>
      </c>
      <c r="F9" s="25"/>
      <c r="G9" s="6">
        <v>0.1</v>
      </c>
    </row>
    <row r="10" spans="1:8" x14ac:dyDescent="0.2">
      <c r="A10" s="7"/>
      <c r="B10" s="33" t="s">
        <v>41</v>
      </c>
      <c r="C10" s="33">
        <f>70000*2</f>
        <v>140000</v>
      </c>
      <c r="D10" s="29" t="s">
        <v>42</v>
      </c>
      <c r="E10" s="23"/>
    </row>
    <row r="11" spans="1:8" x14ac:dyDescent="0.2">
      <c r="A11" s="1" t="s">
        <v>43</v>
      </c>
      <c r="B11" s="22" t="s">
        <v>44</v>
      </c>
      <c r="C11" s="22">
        <v>300000</v>
      </c>
    </row>
    <row r="13" spans="1:8" x14ac:dyDescent="0.2">
      <c r="A13" s="5" t="s">
        <v>45</v>
      </c>
    </row>
    <row r="14" spans="1:8" x14ac:dyDescent="0.2">
      <c r="C14" s="8">
        <v>1</v>
      </c>
      <c r="D14" s="8">
        <v>2</v>
      </c>
      <c r="E14" s="8">
        <v>3</v>
      </c>
      <c r="F14" s="8">
        <v>4</v>
      </c>
    </row>
    <row r="15" spans="1:8" x14ac:dyDescent="0.2">
      <c r="A15" s="1" t="s">
        <v>16</v>
      </c>
      <c r="B15" s="10">
        <v>0.15</v>
      </c>
      <c r="C15" s="1">
        <f>3400000*(1+$B$15)</f>
        <v>3909999.9999999995</v>
      </c>
      <c r="D15" s="1">
        <f>3740000*(1+$B$15)</f>
        <v>4301000</v>
      </c>
      <c r="E15" s="1">
        <f>4114000*(1+$B$15)</f>
        <v>4731100</v>
      </c>
      <c r="F15" s="1">
        <f>4525400*(1+$B$15)</f>
        <v>5204210</v>
      </c>
    </row>
    <row r="16" spans="1:8" x14ac:dyDescent="0.2">
      <c r="A16" s="1" t="s">
        <v>17</v>
      </c>
      <c r="B16" s="10">
        <v>0.65</v>
      </c>
      <c r="C16" s="1">
        <f>-C15*$B$16</f>
        <v>-2541500</v>
      </c>
      <c r="D16" s="1">
        <f t="shared" ref="D16:F16" si="0">-D15*$B$16</f>
        <v>-2795650</v>
      </c>
      <c r="E16" s="1">
        <f t="shared" si="0"/>
        <v>-3075215</v>
      </c>
      <c r="F16" s="1">
        <f t="shared" si="0"/>
        <v>-3382736.5</v>
      </c>
    </row>
    <row r="17" spans="1:7" x14ac:dyDescent="0.2">
      <c r="A17" s="1" t="s">
        <v>46</v>
      </c>
      <c r="B17" s="10">
        <v>0.05</v>
      </c>
      <c r="C17" s="1">
        <f>-C15*$B$17</f>
        <v>-195500</v>
      </c>
      <c r="D17" s="1">
        <f t="shared" ref="D17:F17" si="1">-D15*$B$17</f>
        <v>-215050</v>
      </c>
      <c r="E17" s="1">
        <f t="shared" si="1"/>
        <v>-236555</v>
      </c>
      <c r="F17" s="1">
        <f t="shared" si="1"/>
        <v>-260210.5</v>
      </c>
    </row>
    <row r="18" spans="1:7" x14ac:dyDescent="0.2">
      <c r="A18" s="1" t="s">
        <v>19</v>
      </c>
      <c r="B18" s="10">
        <v>0.09</v>
      </c>
      <c r="C18" s="1">
        <f>-C15*$B$18</f>
        <v>-351899.99999999994</v>
      </c>
      <c r="D18" s="1">
        <f t="shared" ref="D18:F18" si="2">-D15*$B$18</f>
        <v>-387090</v>
      </c>
      <c r="E18" s="1">
        <f t="shared" si="2"/>
        <v>-425799</v>
      </c>
      <c r="F18" s="1">
        <f t="shared" si="2"/>
        <v>-468378.89999999997</v>
      </c>
    </row>
    <row r="19" spans="1:7" x14ac:dyDescent="0.2">
      <c r="A19" s="3" t="s">
        <v>9</v>
      </c>
      <c r="B19" s="3"/>
      <c r="C19" s="3">
        <f>-C6/C7</f>
        <v>-200000</v>
      </c>
      <c r="D19" s="3">
        <f>+C19</f>
        <v>-200000</v>
      </c>
      <c r="E19" s="3">
        <f>+D19</f>
        <v>-200000</v>
      </c>
      <c r="F19" s="3">
        <f>+E19</f>
        <v>-200000</v>
      </c>
    </row>
    <row r="21" spans="1:7" x14ac:dyDescent="0.2">
      <c r="A21" s="5" t="s">
        <v>47</v>
      </c>
    </row>
    <row r="22" spans="1:7" x14ac:dyDescent="0.2">
      <c r="B22" s="8">
        <v>0</v>
      </c>
      <c r="C22" s="8">
        <v>1</v>
      </c>
      <c r="D22" s="8">
        <v>2</v>
      </c>
      <c r="E22" s="8">
        <v>3</v>
      </c>
      <c r="F22" s="8">
        <v>4</v>
      </c>
    </row>
    <row r="23" spans="1:7" x14ac:dyDescent="0.2">
      <c r="A23" s="1" t="s">
        <v>16</v>
      </c>
      <c r="C23" s="1">
        <f>+C15-3400000</f>
        <v>509999.99999999953</v>
      </c>
      <c r="D23" s="1">
        <f>+D15-3740000</f>
        <v>561000</v>
      </c>
      <c r="E23" s="1">
        <f>+E15-4114000</f>
        <v>617100</v>
      </c>
      <c r="F23" s="1">
        <f>+F15-4525400</f>
        <v>678810</v>
      </c>
    </row>
    <row r="24" spans="1:7" x14ac:dyDescent="0.2">
      <c r="A24" s="1" t="s">
        <v>17</v>
      </c>
      <c r="C24" s="1">
        <f>+C16+2380000</f>
        <v>-161500</v>
      </c>
      <c r="D24" s="1">
        <f>+D16+2618000</f>
        <v>-177650</v>
      </c>
      <c r="E24" s="1">
        <f>+E16+2879800</f>
        <v>-195415</v>
      </c>
      <c r="F24" s="1">
        <f>+F16+3167800</f>
        <v>-214936.5</v>
      </c>
    </row>
    <row r="25" spans="1:7" x14ac:dyDescent="0.2">
      <c r="A25" s="1" t="s">
        <v>46</v>
      </c>
      <c r="C25" s="1">
        <f>+C17+170000</f>
        <v>-25500</v>
      </c>
      <c r="D25" s="1">
        <f>+D17+187000</f>
        <v>-28050</v>
      </c>
      <c r="E25" s="1">
        <f>+E17+205700</f>
        <v>-30855</v>
      </c>
      <c r="F25" s="1">
        <f>+F17+226270</f>
        <v>-33940.5</v>
      </c>
    </row>
    <row r="26" spans="1:7" x14ac:dyDescent="0.2">
      <c r="A26" s="1" t="s">
        <v>19</v>
      </c>
      <c r="C26" s="1">
        <f>+C18+340000</f>
        <v>-11899.999999999942</v>
      </c>
      <c r="D26" s="1">
        <f>+D18+374000</f>
        <v>-13090</v>
      </c>
      <c r="E26" s="1">
        <f>+E18+411400</f>
        <v>-14399</v>
      </c>
      <c r="F26" s="1">
        <f>+F18+452540</f>
        <v>-15838.899999999965</v>
      </c>
    </row>
    <row r="27" spans="1:7" x14ac:dyDescent="0.2">
      <c r="A27" s="3" t="s">
        <v>48</v>
      </c>
      <c r="B27" s="3"/>
      <c r="C27" s="3">
        <f>+C19</f>
        <v>-200000</v>
      </c>
      <c r="D27" s="3">
        <f t="shared" ref="D27:F27" si="3">+D19</f>
        <v>-200000</v>
      </c>
      <c r="E27" s="3">
        <f t="shared" si="3"/>
        <v>-200000</v>
      </c>
      <c r="F27" s="3">
        <f t="shared" si="3"/>
        <v>-200000</v>
      </c>
    </row>
    <row r="28" spans="1:7" x14ac:dyDescent="0.2">
      <c r="A28" s="23" t="s">
        <v>49</v>
      </c>
      <c r="B28" s="23"/>
      <c r="C28" s="29">
        <v>70000</v>
      </c>
      <c r="D28" s="23">
        <v>70000</v>
      </c>
      <c r="E28" s="23"/>
      <c r="F28" s="23"/>
    </row>
    <row r="29" spans="1:7" x14ac:dyDescent="0.2">
      <c r="A29" s="1" t="s">
        <v>21</v>
      </c>
      <c r="C29" s="7">
        <f>+SUM(C23:C28)</f>
        <v>181099.99999999959</v>
      </c>
      <c r="D29" s="31">
        <f t="shared" ref="D29:F29" si="4">+SUM(D23:D28)</f>
        <v>212210</v>
      </c>
      <c r="E29" s="31">
        <f t="shared" si="4"/>
        <v>176431</v>
      </c>
      <c r="F29" s="31">
        <f>+SUM(F23:F28)</f>
        <v>214094.10000000003</v>
      </c>
    </row>
    <row r="30" spans="1:7" x14ac:dyDescent="0.2">
      <c r="A30" s="1" t="s">
        <v>22</v>
      </c>
      <c r="C30" s="30">
        <f>+C29*(1-$G$30)</f>
        <v>124958.99999999971</v>
      </c>
      <c r="D30" s="30">
        <f t="shared" ref="D30:F30" si="5">+D29*(1-$G$30)</f>
        <v>146424.9</v>
      </c>
      <c r="E30" s="30">
        <f t="shared" si="5"/>
        <v>121737.38999999998</v>
      </c>
      <c r="F30" s="30">
        <f>+F29*(1-$G$30)</f>
        <v>147724.929</v>
      </c>
      <c r="G30" s="6">
        <v>0.31</v>
      </c>
    </row>
    <row r="31" spans="1:7" x14ac:dyDescent="0.2">
      <c r="A31" s="1" t="s">
        <v>50</v>
      </c>
      <c r="C31" s="1">
        <f>-SUM(C27:C28)</f>
        <v>130000</v>
      </c>
      <c r="D31" s="1">
        <f t="shared" ref="D31:F31" si="6">-SUM(D27:D28)</f>
        <v>130000</v>
      </c>
      <c r="E31" s="1">
        <f t="shared" si="6"/>
        <v>200000</v>
      </c>
      <c r="F31" s="1">
        <f t="shared" si="6"/>
        <v>200000</v>
      </c>
    </row>
    <row r="32" spans="1:7" x14ac:dyDescent="0.2">
      <c r="A32" s="1" t="s">
        <v>25</v>
      </c>
      <c r="C32" s="1">
        <f>-C6/2</f>
        <v>-500000</v>
      </c>
      <c r="D32" s="1">
        <f>+C32</f>
        <v>-500000</v>
      </c>
      <c r="F32" s="1">
        <f>+G5+G8</f>
        <v>245000</v>
      </c>
    </row>
    <row r="33" spans="1:6" x14ac:dyDescent="0.2">
      <c r="A33" s="1" t="s">
        <v>39</v>
      </c>
      <c r="B33" s="1">
        <f>+H5+H8</f>
        <v>149000</v>
      </c>
    </row>
    <row r="34" spans="1:6" x14ac:dyDescent="0.2">
      <c r="A34" s="1" t="s">
        <v>43</v>
      </c>
      <c r="B34" s="1">
        <f>-C11</f>
        <v>-300000</v>
      </c>
      <c r="F34" s="1">
        <f>-B34</f>
        <v>300000</v>
      </c>
    </row>
    <row r="35" spans="1:6" x14ac:dyDescent="0.2">
      <c r="A35" s="1" t="s">
        <v>32</v>
      </c>
      <c r="B35" s="9">
        <f>+SUM(B30:B34)</f>
        <v>-151000</v>
      </c>
      <c r="C35" s="9">
        <f>+SUM(C30:C34)</f>
        <v>-245041.00000000029</v>
      </c>
      <c r="D35" s="9">
        <f t="shared" ref="C35:F35" si="7">+SUM(D30:D34)</f>
        <v>-223575.09999999998</v>
      </c>
      <c r="E35" s="9">
        <f t="shared" si="7"/>
        <v>321737.39</v>
      </c>
      <c r="F35" s="9">
        <f t="shared" si="7"/>
        <v>892724.929</v>
      </c>
    </row>
    <row r="37" spans="1:6" x14ac:dyDescent="0.2">
      <c r="A37" s="1" t="s">
        <v>33</v>
      </c>
      <c r="B37" s="1">
        <f>+NPV(B3,C35:F35)+B35</f>
        <v>64926.293122104747</v>
      </c>
      <c r="C37" s="1" t="s">
        <v>55</v>
      </c>
    </row>
    <row r="38" spans="1:6" x14ac:dyDescent="0.2">
      <c r="A38" s="1" t="s">
        <v>34</v>
      </c>
      <c r="B38" s="6">
        <f>+IRR(B35:F35)</f>
        <v>0.28694033424439636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A445-11F2-5744-8905-384F738C304A}">
  <dimension ref="A1:L39"/>
  <sheetViews>
    <sheetView tabSelected="1" zoomScale="160" zoomScaleNormal="160" workbookViewId="0">
      <selection activeCell="B38" sqref="B38"/>
    </sheetView>
  </sheetViews>
  <sheetFormatPr baseColWidth="10" defaultRowHeight="16" x14ac:dyDescent="0.2"/>
  <cols>
    <col min="1" max="1" width="17.5" style="1" customWidth="1"/>
    <col min="2" max="2" width="11.6640625" style="1" bestFit="1" customWidth="1"/>
    <col min="3" max="5" width="13.1640625" style="1" bestFit="1" customWidth="1"/>
    <col min="6" max="6" width="10.83203125" style="1"/>
    <col min="7" max="7" width="16" style="1" bestFit="1" customWidth="1"/>
    <col min="8" max="8" width="10.83203125" style="1"/>
    <col min="9" max="11" width="13.1640625" style="1" bestFit="1" customWidth="1"/>
    <col min="12" max="16384" width="10.83203125" style="1"/>
  </cols>
  <sheetData>
    <row r="1" spans="1:11" x14ac:dyDescent="0.2">
      <c r="A1" s="5" t="s">
        <v>56</v>
      </c>
    </row>
    <row r="3" spans="1:11" x14ac:dyDescent="0.2">
      <c r="A3" s="1" t="s">
        <v>37</v>
      </c>
      <c r="B3" s="2">
        <v>0.35</v>
      </c>
    </row>
    <row r="5" spans="1:11" x14ac:dyDescent="0.2">
      <c r="A5" s="5" t="s">
        <v>6</v>
      </c>
    </row>
    <row r="6" spans="1:11" x14ac:dyDescent="0.2">
      <c r="A6" s="1" t="s">
        <v>43</v>
      </c>
      <c r="G6" s="24" t="s">
        <v>54</v>
      </c>
    </row>
    <row r="7" spans="1:11" x14ac:dyDescent="0.2">
      <c r="A7" s="7" t="s">
        <v>57</v>
      </c>
      <c r="B7" s="7" t="s">
        <v>44</v>
      </c>
      <c r="C7" s="7">
        <v>150000</v>
      </c>
      <c r="D7" s="7"/>
      <c r="E7" s="7"/>
      <c r="F7" s="25" t="s">
        <v>28</v>
      </c>
      <c r="G7" s="1">
        <f>+C8</f>
        <v>50000</v>
      </c>
    </row>
    <row r="8" spans="1:11" x14ac:dyDescent="0.2">
      <c r="A8" s="1" t="s">
        <v>58</v>
      </c>
      <c r="B8" s="1" t="s">
        <v>40</v>
      </c>
      <c r="C8" s="1">
        <v>50000</v>
      </c>
      <c r="F8" s="25" t="s">
        <v>29</v>
      </c>
      <c r="G8" s="1">
        <f>-C9</f>
        <v>-400000</v>
      </c>
    </row>
    <row r="9" spans="1:11" x14ac:dyDescent="0.2">
      <c r="A9" s="7"/>
      <c r="B9" s="7" t="s">
        <v>41</v>
      </c>
      <c r="C9" s="7">
        <f>-SUM(I20:J20)</f>
        <v>400000</v>
      </c>
      <c r="D9" s="7" t="s">
        <v>59</v>
      </c>
      <c r="E9" s="7"/>
      <c r="F9" s="25" t="s">
        <v>71</v>
      </c>
      <c r="G9" s="9">
        <f>+SUM(G7:G8)</f>
        <v>-350000</v>
      </c>
    </row>
    <row r="10" spans="1:11" x14ac:dyDescent="0.2">
      <c r="F10" s="25" t="s">
        <v>31</v>
      </c>
      <c r="G10" s="1">
        <v>0</v>
      </c>
    </row>
    <row r="12" spans="1:11" x14ac:dyDescent="0.2">
      <c r="A12" s="5" t="s">
        <v>60</v>
      </c>
    </row>
    <row r="13" spans="1:11" x14ac:dyDescent="0.2">
      <c r="A13" s="7" t="s">
        <v>61</v>
      </c>
      <c r="C13" s="8">
        <v>1</v>
      </c>
      <c r="D13" s="8">
        <v>2</v>
      </c>
      <c r="E13" s="8">
        <v>3</v>
      </c>
      <c r="G13" s="7" t="s">
        <v>62</v>
      </c>
      <c r="I13" s="8">
        <v>1</v>
      </c>
      <c r="J13" s="8">
        <v>2</v>
      </c>
      <c r="K13" s="8">
        <v>3</v>
      </c>
    </row>
    <row r="14" spans="1:11" x14ac:dyDescent="0.2">
      <c r="A14" s="1" t="s">
        <v>16</v>
      </c>
      <c r="B14" s="6">
        <v>0.1</v>
      </c>
      <c r="C14" s="1">
        <f>+I14*(1+$B$14)</f>
        <v>3300000.0000000005</v>
      </c>
      <c r="D14" s="1">
        <f>+J14*(1+$B$14)</f>
        <v>3531000.0000000005</v>
      </c>
      <c r="E14" s="1">
        <f>+K14*(1+$B$14)</f>
        <v>3778170.0000000005</v>
      </c>
      <c r="G14" s="1" t="s">
        <v>16</v>
      </c>
      <c r="I14" s="1">
        <v>3000000</v>
      </c>
      <c r="J14" s="1">
        <v>3210000</v>
      </c>
      <c r="K14" s="1">
        <v>3434700</v>
      </c>
    </row>
    <row r="15" spans="1:11" x14ac:dyDescent="0.2">
      <c r="A15" s="1" t="s">
        <v>63</v>
      </c>
      <c r="B15" s="6">
        <v>0.45</v>
      </c>
      <c r="C15" s="9">
        <f>+C14*$B$15</f>
        <v>1485000.0000000002</v>
      </c>
      <c r="D15" s="9">
        <f t="shared" ref="D15:E15" si="0">+D14*$B$15</f>
        <v>1588950.0000000002</v>
      </c>
      <c r="E15" s="9">
        <f t="shared" si="0"/>
        <v>1700176.5000000002</v>
      </c>
      <c r="G15" s="1" t="s">
        <v>63</v>
      </c>
      <c r="H15" s="6">
        <v>0.45</v>
      </c>
      <c r="I15" s="9">
        <f>+I14*$H$15</f>
        <v>1350000</v>
      </c>
      <c r="J15" s="9">
        <f t="shared" ref="J15:K15" si="1">+J14*$H$15</f>
        <v>1444500</v>
      </c>
      <c r="K15" s="9">
        <f t="shared" si="1"/>
        <v>1545615</v>
      </c>
    </row>
    <row r="16" spans="1:11" x14ac:dyDescent="0.2">
      <c r="A16" s="1" t="s">
        <v>64</v>
      </c>
      <c r="B16" s="6">
        <v>7.0000000000000007E-2</v>
      </c>
      <c r="C16" s="1">
        <f>-C14*$B$16</f>
        <v>-231000.00000000006</v>
      </c>
      <c r="D16" s="1">
        <f t="shared" ref="D16:E16" si="2">-D14*$B$16</f>
        <v>-247170.00000000006</v>
      </c>
      <c r="E16" s="1">
        <f t="shared" si="2"/>
        <v>-264471.90000000008</v>
      </c>
      <c r="G16" s="1" t="s">
        <v>64</v>
      </c>
      <c r="H16" s="6">
        <v>0.1</v>
      </c>
      <c r="I16" s="1">
        <f>-I14*$H$16</f>
        <v>-300000</v>
      </c>
      <c r="J16" s="1">
        <f t="shared" ref="J16:K16" si="3">-J14*$H$16</f>
        <v>-321000</v>
      </c>
      <c r="K16" s="1">
        <f t="shared" si="3"/>
        <v>-343470</v>
      </c>
    </row>
    <row r="17" spans="1:12" x14ac:dyDescent="0.2">
      <c r="A17" s="1" t="s">
        <v>65</v>
      </c>
      <c r="B17" s="6">
        <v>0.1</v>
      </c>
      <c r="C17" s="1">
        <f>-C14*$B$17</f>
        <v>-330000.00000000006</v>
      </c>
      <c r="D17" s="1">
        <f t="shared" ref="D17:E17" si="4">-D14*$B$17</f>
        <v>-353100.00000000006</v>
      </c>
      <c r="E17" s="1">
        <f t="shared" si="4"/>
        <v>-377817.00000000006</v>
      </c>
      <c r="G17" s="1" t="s">
        <v>65</v>
      </c>
      <c r="H17" s="6">
        <v>0.15</v>
      </c>
      <c r="I17" s="1">
        <f>-I14*$H$17</f>
        <v>-450000</v>
      </c>
      <c r="J17" s="1">
        <f t="shared" ref="J17:K17" si="5">-J14*$H$17</f>
        <v>-481500</v>
      </c>
      <c r="K17" s="1">
        <f t="shared" si="5"/>
        <v>-515205</v>
      </c>
    </row>
    <row r="18" spans="1:12" x14ac:dyDescent="0.2">
      <c r="A18" s="1" t="s">
        <v>66</v>
      </c>
      <c r="C18" s="1">
        <v>0</v>
      </c>
      <c r="D18" s="1">
        <v>0</v>
      </c>
      <c r="E18" s="1">
        <v>0</v>
      </c>
      <c r="G18" s="1" t="s">
        <v>66</v>
      </c>
      <c r="I18" s="1">
        <v>-60000</v>
      </c>
      <c r="J18" s="1">
        <v>-64200</v>
      </c>
      <c r="K18" s="1">
        <v>-68690</v>
      </c>
    </row>
    <row r="19" spans="1:12" x14ac:dyDescent="0.2">
      <c r="A19" s="1" t="s">
        <v>67</v>
      </c>
      <c r="B19" s="6">
        <v>0.09</v>
      </c>
      <c r="C19" s="1">
        <f>-C14*$B$19</f>
        <v>-297000.00000000006</v>
      </c>
      <c r="D19" s="1">
        <f t="shared" ref="D19:E19" si="6">-D14*$B$19</f>
        <v>-317790.00000000006</v>
      </c>
      <c r="E19" s="1">
        <f t="shared" si="6"/>
        <v>-340035.30000000005</v>
      </c>
      <c r="G19" s="1" t="s">
        <v>67</v>
      </c>
      <c r="I19" s="1">
        <v>0</v>
      </c>
      <c r="J19" s="1">
        <v>0</v>
      </c>
      <c r="K19" s="1">
        <v>0</v>
      </c>
      <c r="L19" s="1" t="s">
        <v>68</v>
      </c>
    </row>
    <row r="20" spans="1:12" x14ac:dyDescent="0.2">
      <c r="A20" s="1" t="s">
        <v>9</v>
      </c>
      <c r="C20" s="1">
        <v>0</v>
      </c>
      <c r="D20" s="1">
        <v>0</v>
      </c>
      <c r="E20" s="1">
        <v>0</v>
      </c>
      <c r="G20" s="1" t="s">
        <v>9</v>
      </c>
      <c r="I20" s="1">
        <v>-200000</v>
      </c>
      <c r="J20" s="1">
        <v>-200000</v>
      </c>
    </row>
    <row r="22" spans="1:12" x14ac:dyDescent="0.2">
      <c r="A22" s="34" t="s">
        <v>15</v>
      </c>
    </row>
    <row r="23" spans="1:12" x14ac:dyDescent="0.2">
      <c r="B23" s="8">
        <v>0</v>
      </c>
      <c r="C23" s="8">
        <v>1</v>
      </c>
      <c r="D23" s="8">
        <v>2</v>
      </c>
      <c r="E23" s="8">
        <v>3</v>
      </c>
    </row>
    <row r="24" spans="1:12" x14ac:dyDescent="0.2">
      <c r="A24" s="1" t="s">
        <v>16</v>
      </c>
      <c r="C24" s="1">
        <f>+C14-I14</f>
        <v>300000.00000000047</v>
      </c>
      <c r="D24" s="1">
        <f t="shared" ref="D24:E24" si="7">+D14-J14</f>
        <v>321000.00000000047</v>
      </c>
      <c r="E24" s="1">
        <f>+E14-K14</f>
        <v>343470.00000000047</v>
      </c>
    </row>
    <row r="25" spans="1:12" x14ac:dyDescent="0.2">
      <c r="A25" s="1" t="s">
        <v>63</v>
      </c>
      <c r="C25" s="9">
        <f>+C15-I15</f>
        <v>135000.00000000023</v>
      </c>
      <c r="D25" s="9">
        <f t="shared" ref="D25:E25" si="8">+D15-J15</f>
        <v>144450.00000000023</v>
      </c>
      <c r="E25" s="9">
        <f t="shared" si="8"/>
        <v>154561.50000000023</v>
      </c>
    </row>
    <row r="26" spans="1:12" x14ac:dyDescent="0.2">
      <c r="A26" s="1" t="s">
        <v>64</v>
      </c>
      <c r="C26" s="1">
        <f>+C16-I16</f>
        <v>68999.999999999942</v>
      </c>
      <c r="D26" s="1">
        <f t="shared" ref="D26:E26" si="9">+D16-J16</f>
        <v>73829.999999999942</v>
      </c>
      <c r="E26" s="1">
        <f>+E16-K16</f>
        <v>78998.099999999919</v>
      </c>
    </row>
    <row r="27" spans="1:12" x14ac:dyDescent="0.2">
      <c r="A27" s="1" t="s">
        <v>65</v>
      </c>
      <c r="C27" s="1">
        <f>+C17-I17</f>
        <v>119999.99999999994</v>
      </c>
      <c r="D27" s="1">
        <f t="shared" ref="D27:E27" si="10">+D17-J17</f>
        <v>128399.99999999994</v>
      </c>
      <c r="E27" s="1">
        <f>+E17-K17</f>
        <v>137387.99999999994</v>
      </c>
    </row>
    <row r="28" spans="1:12" x14ac:dyDescent="0.2">
      <c r="A28" s="1" t="s">
        <v>66</v>
      </c>
      <c r="C28" s="1">
        <f>+C18-I18</f>
        <v>60000</v>
      </c>
      <c r="D28" s="1">
        <f t="shared" ref="D28:E28" si="11">+D18-J18</f>
        <v>64200</v>
      </c>
      <c r="E28" s="1">
        <f t="shared" si="11"/>
        <v>68690</v>
      </c>
    </row>
    <row r="29" spans="1:12" x14ac:dyDescent="0.2">
      <c r="A29" s="1" t="s">
        <v>67</v>
      </c>
      <c r="C29" s="1">
        <f>+C19</f>
        <v>-297000.00000000006</v>
      </c>
      <c r="D29" s="1">
        <f t="shared" ref="D29:E29" si="12">+D19</f>
        <v>-317790.00000000006</v>
      </c>
      <c r="E29" s="1">
        <f t="shared" si="12"/>
        <v>-340035.30000000005</v>
      </c>
    </row>
    <row r="30" spans="1:12" x14ac:dyDescent="0.2">
      <c r="A30" s="1" t="s">
        <v>9</v>
      </c>
      <c r="C30" s="1">
        <f>+C20-I20</f>
        <v>200000</v>
      </c>
      <c r="D30" s="1">
        <f t="shared" ref="D30:E30" si="13">+D20-J20</f>
        <v>200000</v>
      </c>
      <c r="E30" s="1">
        <f t="shared" si="13"/>
        <v>0</v>
      </c>
    </row>
    <row r="31" spans="1:12" x14ac:dyDescent="0.2">
      <c r="A31" s="1" t="s">
        <v>21</v>
      </c>
      <c r="C31" s="9">
        <f>+SUM(C25:C30)</f>
        <v>287000.00000000006</v>
      </c>
      <c r="D31" s="9">
        <f t="shared" ref="D31:E31" si="14">+SUM(D25:D30)</f>
        <v>293090.00000000006</v>
      </c>
      <c r="E31" s="9">
        <f>+SUM(E25:E30)</f>
        <v>99602.300000000047</v>
      </c>
    </row>
    <row r="32" spans="1:12" x14ac:dyDescent="0.2">
      <c r="A32" s="1" t="s">
        <v>22</v>
      </c>
      <c r="C32" s="9">
        <f>+C31*(1-$F$32)</f>
        <v>198030.00000000003</v>
      </c>
      <c r="D32" s="9">
        <f t="shared" ref="D32:E32" si="15">+D31*(1-$F$32)</f>
        <v>202232.10000000003</v>
      </c>
      <c r="E32" s="9">
        <f>+E31*(1-$F$32)</f>
        <v>68725.587000000029</v>
      </c>
      <c r="F32" s="6">
        <v>0.31</v>
      </c>
    </row>
    <row r="33" spans="1:6" x14ac:dyDescent="0.2">
      <c r="A33" s="1" t="s">
        <v>9</v>
      </c>
      <c r="C33" s="1">
        <f>-C30</f>
        <v>-200000</v>
      </c>
      <c r="D33" s="1">
        <f t="shared" ref="D33:E33" si="16">-D30</f>
        <v>-200000</v>
      </c>
      <c r="E33" s="1">
        <f t="shared" si="16"/>
        <v>0</v>
      </c>
    </row>
    <row r="34" spans="1:6" x14ac:dyDescent="0.2">
      <c r="A34" s="1" t="s">
        <v>69</v>
      </c>
      <c r="B34" s="1">
        <f>-C7</f>
        <v>-150000</v>
      </c>
      <c r="E34" s="1">
        <f>-B34</f>
        <v>150000</v>
      </c>
      <c r="F34" s="1" t="s">
        <v>70</v>
      </c>
    </row>
    <row r="35" spans="1:6" x14ac:dyDescent="0.2">
      <c r="A35" s="1" t="s">
        <v>72</v>
      </c>
      <c r="B35" s="1">
        <f>+G7</f>
        <v>50000</v>
      </c>
    </row>
    <row r="36" spans="1:6" x14ac:dyDescent="0.2">
      <c r="A36" s="1" t="s">
        <v>32</v>
      </c>
      <c r="B36" s="9">
        <f>+SUM(B32:B35)</f>
        <v>-100000</v>
      </c>
      <c r="C36" s="9">
        <f t="shared" ref="C36:E36" si="17">+SUM(C32:C35)</f>
        <v>-1969.9999999999709</v>
      </c>
      <c r="D36" s="9">
        <f t="shared" si="17"/>
        <v>2232.1000000000349</v>
      </c>
      <c r="E36" s="9">
        <f t="shared" si="17"/>
        <v>218725.58700000003</v>
      </c>
    </row>
    <row r="38" spans="1:6" x14ac:dyDescent="0.2">
      <c r="A38" s="1" t="s">
        <v>33</v>
      </c>
      <c r="B38" s="1">
        <f>+NPV(B3,C36:E36)+B36</f>
        <v>-11335.224508459054</v>
      </c>
      <c r="C38" s="1" t="s">
        <v>73</v>
      </c>
    </row>
    <row r="39" spans="1:6" x14ac:dyDescent="0.2">
      <c r="A39" s="1" t="s">
        <v>34</v>
      </c>
      <c r="B39" s="28">
        <f>+IRR(B36:E36)</f>
        <v>0.29724458778166496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P. Istmo</vt:lpstr>
      <vt:lpstr>Jugos Prep.</vt:lpstr>
      <vt:lpstr>Comexo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 Rosales</cp:lastModifiedBy>
  <dcterms:created xsi:type="dcterms:W3CDTF">2021-02-23T16:01:38Z</dcterms:created>
  <dcterms:modified xsi:type="dcterms:W3CDTF">2021-02-25T17:17:18Z</dcterms:modified>
</cp:coreProperties>
</file>