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__UFM-Cursos___\3_1\adminfin2\"/>
    </mc:Choice>
  </mc:AlternateContent>
  <xr:revisionPtr revIDLastSave="0" documentId="13_ncr:1_{BEA102D7-669F-48AA-97ED-7E72972B5F72}" xr6:coauthVersionLast="46" xr6:coauthVersionMax="46" xr10:uidLastSave="{00000000-0000-0000-0000-000000000000}"/>
  <bookViews>
    <workbookView xWindow="15045" yWindow="2685" windowWidth="13755" windowHeight="11355" activeTab="2" xr2:uid="{00000000-000D-0000-FFFF-FFFF00000000}"/>
  </bookViews>
  <sheets>
    <sheet name="IndustriaFutura" sheetId="1" r:id="rId1"/>
    <sheet name="PapeleraDelItsmo" sheetId="2" r:id="rId2"/>
    <sheet name="JugosPrepar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3" l="1"/>
  <c r="B47" i="3"/>
  <c r="D42" i="3"/>
  <c r="C42" i="3"/>
  <c r="D45" i="3"/>
  <c r="B43" i="3"/>
  <c r="B45" i="3"/>
  <c r="C45" i="3"/>
  <c r="E45" i="3"/>
  <c r="F45" i="3"/>
  <c r="C41" i="3"/>
  <c r="F44" i="3"/>
  <c r="B44" i="3"/>
  <c r="F42" i="3"/>
  <c r="F7" i="3"/>
  <c r="F6" i="3"/>
  <c r="F5" i="3"/>
  <c r="E9" i="3"/>
  <c r="E8" i="3"/>
  <c r="C37" i="3"/>
  <c r="D41" i="3"/>
  <c r="E41" i="3"/>
  <c r="F41" i="3"/>
  <c r="B41" i="3"/>
  <c r="C40" i="3"/>
  <c r="D40" i="3"/>
  <c r="E40" i="3"/>
  <c r="F40" i="3"/>
  <c r="C39" i="3"/>
  <c r="D39" i="3"/>
  <c r="E39" i="3"/>
  <c r="F39" i="3"/>
  <c r="B39" i="3"/>
  <c r="B40" i="3" s="1"/>
  <c r="C38" i="3"/>
  <c r="D38" i="3"/>
  <c r="E38" i="3"/>
  <c r="F38" i="3"/>
  <c r="B38" i="3"/>
  <c r="E37" i="3"/>
  <c r="F37" i="3"/>
  <c r="D37" i="3"/>
  <c r="F18" i="3"/>
  <c r="F36" i="3"/>
  <c r="D36" i="3"/>
  <c r="E36" i="3"/>
  <c r="C36" i="3"/>
  <c r="D35" i="3"/>
  <c r="E35" i="3"/>
  <c r="F35" i="3"/>
  <c r="D18" i="3"/>
  <c r="E18" i="3"/>
  <c r="C18" i="3"/>
  <c r="D17" i="3"/>
  <c r="E17" i="3"/>
  <c r="F17" i="3"/>
  <c r="C17" i="3"/>
  <c r="C35" i="3"/>
  <c r="D34" i="3"/>
  <c r="E34" i="3"/>
  <c r="F34" i="3"/>
  <c r="C34" i="3"/>
  <c r="D33" i="3"/>
  <c r="E33" i="3"/>
  <c r="F33" i="3"/>
  <c r="C33" i="3"/>
  <c r="D19" i="3"/>
  <c r="E19" i="3"/>
  <c r="F19" i="3"/>
  <c r="C19" i="3"/>
  <c r="E15" i="3"/>
  <c r="F15" i="3"/>
  <c r="D15" i="3"/>
  <c r="C15" i="3"/>
  <c r="B30" i="2"/>
  <c r="B29" i="2"/>
  <c r="C27" i="2"/>
  <c r="D27" i="2"/>
  <c r="E27" i="2"/>
  <c r="F27" i="2"/>
  <c r="G27" i="2"/>
  <c r="B27" i="2"/>
  <c r="B26" i="2"/>
  <c r="G25" i="2"/>
  <c r="B25" i="2"/>
  <c r="D24" i="2"/>
  <c r="E24" i="2"/>
  <c r="F24" i="2"/>
  <c r="G24" i="2"/>
  <c r="C24" i="2"/>
  <c r="D23" i="2"/>
  <c r="E23" i="2"/>
  <c r="F23" i="2"/>
  <c r="G23" i="2"/>
  <c r="C23" i="2"/>
  <c r="D19" i="2"/>
  <c r="D20" i="2" s="1"/>
  <c r="E19" i="2"/>
  <c r="E20" i="2" s="1"/>
  <c r="C19" i="2"/>
  <c r="C18" i="2"/>
  <c r="C20" i="2"/>
  <c r="F20" i="2"/>
  <c r="G20" i="2"/>
  <c r="G18" i="2"/>
  <c r="F18" i="2"/>
  <c r="E18" i="2"/>
  <c r="D18" i="2"/>
  <c r="C17" i="2"/>
  <c r="G15" i="2"/>
  <c r="G16" i="2" s="1"/>
  <c r="E15" i="2"/>
  <c r="E16" i="2" s="1"/>
  <c r="F15" i="2"/>
  <c r="F16" i="2" s="1"/>
  <c r="D15" i="2"/>
  <c r="D16" i="2" s="1"/>
  <c r="C15" i="2"/>
  <c r="C16" i="2" s="1"/>
  <c r="B20" i="2"/>
  <c r="B21" i="2" s="1"/>
  <c r="C7" i="2"/>
  <c r="G6" i="2" s="1"/>
  <c r="G7" i="2" s="1"/>
  <c r="B3" i="2"/>
  <c r="B25" i="1"/>
  <c r="B24" i="1"/>
  <c r="C22" i="1"/>
  <c r="D22" i="1"/>
  <c r="E22" i="1"/>
  <c r="F22" i="1"/>
  <c r="G22" i="1"/>
  <c r="B22" i="1"/>
  <c r="G21" i="1"/>
  <c r="B21" i="1"/>
  <c r="D20" i="1"/>
  <c r="E20" i="1"/>
  <c r="C20" i="1"/>
  <c r="D19" i="1"/>
  <c r="E19" i="1"/>
  <c r="F19" i="1"/>
  <c r="G19" i="1"/>
  <c r="C19" i="1"/>
  <c r="D18" i="1"/>
  <c r="E18" i="1"/>
  <c r="F18" i="1"/>
  <c r="G18" i="1"/>
  <c r="C18" i="1"/>
  <c r="C17" i="1"/>
  <c r="D17" i="1"/>
  <c r="E17" i="1"/>
  <c r="F17" i="1"/>
  <c r="G17" i="1"/>
  <c r="C15" i="1"/>
  <c r="D15" i="1"/>
  <c r="E15" i="1"/>
  <c r="F15" i="1"/>
  <c r="G15" i="1"/>
  <c r="G14" i="1"/>
  <c r="D16" i="1"/>
  <c r="E16" i="1"/>
  <c r="C16" i="1"/>
  <c r="D14" i="1"/>
  <c r="E14" i="1"/>
  <c r="F14" i="1"/>
  <c r="C14" i="1"/>
  <c r="D13" i="1"/>
  <c r="E13" i="1"/>
  <c r="F13" i="1"/>
  <c r="G13" i="1"/>
  <c r="C13" i="1"/>
  <c r="G6" i="1"/>
  <c r="G5" i="1"/>
  <c r="F16" i="3" l="1"/>
  <c r="C32" i="3"/>
  <c r="F32" i="3"/>
  <c r="E32" i="3"/>
  <c r="D32" i="3"/>
  <c r="E16" i="3"/>
  <c r="C16" i="3"/>
  <c r="D16" i="3"/>
  <c r="G17" i="2"/>
  <c r="F17" i="2"/>
  <c r="B22" i="2"/>
  <c r="E17" i="2"/>
  <c r="D17" i="2"/>
  <c r="G21" i="2" l="1"/>
  <c r="G22" i="2" s="1"/>
  <c r="C21" i="2"/>
  <c r="C22" i="2" s="1"/>
  <c r="F21" i="2"/>
  <c r="F22" i="2" s="1"/>
  <c r="D21" i="2"/>
  <c r="D22" i="2" s="1"/>
  <c r="E21" i="2"/>
  <c r="E22" i="2"/>
</calcChain>
</file>

<file path=xl/sharedStrings.xml><?xml version="1.0" encoding="utf-8"?>
<sst xmlns="http://schemas.openxmlformats.org/spreadsheetml/2006/main" count="100" uniqueCount="53">
  <si>
    <t>Ventas actuales</t>
  </si>
  <si>
    <t>Ventas adicionales</t>
  </si>
  <si>
    <t>Eq. Nuevo</t>
  </si>
  <si>
    <t>Inversión</t>
  </si>
  <si>
    <t>Depreciación</t>
  </si>
  <si>
    <t>años, linea recta</t>
  </si>
  <si>
    <t>VM año 5</t>
  </si>
  <si>
    <t>VL año 5</t>
  </si>
  <si>
    <t>Impuesto</t>
  </si>
  <si>
    <t>Ganancia</t>
  </si>
  <si>
    <t>Td</t>
  </si>
  <si>
    <t>Análisis Marginal</t>
  </si>
  <si>
    <t>Ventas</t>
  </si>
  <si>
    <t>Margen Bruto</t>
  </si>
  <si>
    <t>Costos fijos</t>
  </si>
  <si>
    <t>Depreciación Eq. Nuevo</t>
  </si>
  <si>
    <t>UAISR</t>
  </si>
  <si>
    <t>ISR</t>
  </si>
  <si>
    <t>UN</t>
  </si>
  <si>
    <t>FCN</t>
  </si>
  <si>
    <t>TIR</t>
  </si>
  <si>
    <t>VPN</t>
  </si>
  <si>
    <t>No invertir.</t>
  </si>
  <si>
    <t>Maquina N.</t>
  </si>
  <si>
    <t>Remodelación</t>
  </si>
  <si>
    <t>Amortización</t>
  </si>
  <si>
    <t>Depreciación.</t>
  </si>
  <si>
    <t>Analisis Marginal</t>
  </si>
  <si>
    <t>Utilidad Bruta</t>
  </si>
  <si>
    <t>Costos operativos</t>
  </si>
  <si>
    <t>Amort</t>
  </si>
  <si>
    <t>Remodelacion</t>
  </si>
  <si>
    <t>Si invertir, Td &lt;= TIR &amp; VPN &gt; 0</t>
  </si>
  <si>
    <t>Depreciacion</t>
  </si>
  <si>
    <t>VM año 4</t>
  </si>
  <si>
    <t>Maquina A.</t>
  </si>
  <si>
    <t>VM año 0</t>
  </si>
  <si>
    <t>Capital de trabajo</t>
  </si>
  <si>
    <t>Inversión Año 0</t>
  </si>
  <si>
    <t>Escenario Nuevo</t>
  </si>
  <si>
    <t>Costo de ventas</t>
  </si>
  <si>
    <t>Gts de admin</t>
  </si>
  <si>
    <t>Gts operativos</t>
  </si>
  <si>
    <t>Análisis marginal</t>
  </si>
  <si>
    <t>Costo de venta</t>
  </si>
  <si>
    <t>Gts admin</t>
  </si>
  <si>
    <t>Actual</t>
  </si>
  <si>
    <t>utilidad bruta</t>
  </si>
  <si>
    <t>Maq N.</t>
  </si>
  <si>
    <t>Maq A.</t>
  </si>
  <si>
    <t>VL año 0</t>
  </si>
  <si>
    <t>VL año 4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</si>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</sst>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71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9" fontId="0" fillId="0" borderId="0" xfId="1" applyNumberFormat="1" applyFont="1"/>
    <xf numFmtId="0" fontId="0" fillId="0" borderId="0" xfId="1" applyNumberFormat="1" applyFont="1"/>
    <xf numFmtId="43" fontId="0" fillId="0" borderId="1" xfId="1" applyFont="1" applyBorder="1"/>
    <xf numFmtId="9" fontId="0" fillId="0" borderId="1" xfId="1" applyNumberFormat="1" applyFont="1" applyBorder="1"/>
    <xf numFmtId="43" fontId="0" fillId="0" borderId="0" xfId="1" applyFont="1" applyBorder="1"/>
    <xf numFmtId="8" fontId="0" fillId="0" borderId="0" xfId="1" applyNumberFormat="1" applyFont="1"/>
    <xf numFmtId="171" fontId="0" fillId="0" borderId="0" xfId="0" applyNumberFormat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43" fontId="0" fillId="0" borderId="0" xfId="0" applyNumberFormat="1"/>
    <xf numFmtId="0" fontId="2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0</xdr:rowOff>
    </xdr:from>
    <xdr:to>
      <xdr:col>18</xdr:col>
      <xdr:colOff>382076</xdr:colOff>
      <xdr:row>29</xdr:row>
      <xdr:rowOff>140489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BD91E4-DCAF-4C6E-8716-54ED8F0B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0"/>
          <a:ext cx="6135176" cy="5664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6"/>
  <sheetViews>
    <sheetView workbookViewId="0">
      <selection activeCell="G28" sqref="G28"/>
    </sheetView>
  </sheetViews>
  <sheetFormatPr defaultRowHeight="15" x14ac:dyDescent="0.25"/>
  <cols>
    <col min="1" max="1" width="19.28515625" style="1" customWidth="1"/>
    <col min="2" max="2" width="12.28515625" style="1" bestFit="1" customWidth="1"/>
    <col min="3" max="4" width="11.5703125" style="1" bestFit="1" customWidth="1"/>
    <col min="5" max="6" width="13.28515625" style="1" bestFit="1" customWidth="1"/>
    <col min="7" max="7" width="11.5703125" style="1" bestFit="1" customWidth="1"/>
    <col min="8" max="8" width="11.28515625" style="1" bestFit="1" customWidth="1"/>
    <col min="9" max="16384" width="9.140625" style="1"/>
  </cols>
  <sheetData>
    <row r="2" spans="1:8" x14ac:dyDescent="0.25">
      <c r="A2" s="1" t="s">
        <v>10</v>
      </c>
      <c r="B2" s="2">
        <v>0.25</v>
      </c>
    </row>
    <row r="4" spans="1:8" x14ac:dyDescent="0.25">
      <c r="A4" s="1" t="s">
        <v>2</v>
      </c>
      <c r="B4" s="1" t="s">
        <v>3</v>
      </c>
      <c r="C4" s="1">
        <v>250000</v>
      </c>
      <c r="F4" s="1" t="s">
        <v>7</v>
      </c>
      <c r="G4" s="1">
        <v>0</v>
      </c>
    </row>
    <row r="5" spans="1:8" x14ac:dyDescent="0.25">
      <c r="B5" s="1" t="s">
        <v>4</v>
      </c>
      <c r="C5" s="1">
        <v>3</v>
      </c>
      <c r="D5" s="1" t="s">
        <v>5</v>
      </c>
      <c r="F5" s="1" t="s">
        <v>9</v>
      </c>
      <c r="G5" s="1">
        <f>C6-G4</f>
        <v>120000</v>
      </c>
    </row>
    <row r="6" spans="1:8" x14ac:dyDescent="0.25">
      <c r="B6" s="1" t="s">
        <v>6</v>
      </c>
      <c r="C6" s="1">
        <v>120000</v>
      </c>
      <c r="F6" s="1" t="s">
        <v>8</v>
      </c>
      <c r="G6" s="1">
        <f>G5*10%</f>
        <v>12000</v>
      </c>
    </row>
    <row r="8" spans="1:8" x14ac:dyDescent="0.25">
      <c r="A8" s="1" t="s">
        <v>0</v>
      </c>
      <c r="B8" s="1">
        <v>780000</v>
      </c>
      <c r="C8" s="1">
        <v>850000</v>
      </c>
      <c r="D8" s="1">
        <v>926718</v>
      </c>
      <c r="E8" s="1">
        <v>1010123</v>
      </c>
      <c r="F8" s="1">
        <v>1101034</v>
      </c>
    </row>
    <row r="9" spans="1:8" x14ac:dyDescent="0.25">
      <c r="A9" s="1" t="s">
        <v>1</v>
      </c>
      <c r="B9" s="1">
        <v>250000</v>
      </c>
      <c r="C9" s="1">
        <v>272500</v>
      </c>
      <c r="D9" s="1">
        <v>297025</v>
      </c>
      <c r="E9" s="1">
        <v>323757</v>
      </c>
      <c r="F9" s="1">
        <v>352895</v>
      </c>
    </row>
    <row r="11" spans="1:8" x14ac:dyDescent="0.25">
      <c r="A11" s="1" t="s">
        <v>11</v>
      </c>
    </row>
    <row r="12" spans="1:8" x14ac:dyDescent="0.25"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</row>
    <row r="13" spans="1:8" x14ac:dyDescent="0.25">
      <c r="A13" s="1" t="s">
        <v>12</v>
      </c>
      <c r="C13" s="1">
        <f>B9</f>
        <v>250000</v>
      </c>
      <c r="D13" s="1">
        <f>C9</f>
        <v>272500</v>
      </c>
      <c r="E13" s="1">
        <f>D9</f>
        <v>297025</v>
      </c>
      <c r="F13" s="1">
        <f>E9</f>
        <v>323757</v>
      </c>
      <c r="G13" s="1">
        <f>F9</f>
        <v>352895</v>
      </c>
    </row>
    <row r="14" spans="1:8" x14ac:dyDescent="0.25">
      <c r="A14" s="1" t="s">
        <v>13</v>
      </c>
      <c r="C14" s="4">
        <f>C13*$H$14</f>
        <v>150000</v>
      </c>
      <c r="D14" s="4">
        <f>D13*$H$14</f>
        <v>163500</v>
      </c>
      <c r="E14" s="4">
        <f>E13*$H$14</f>
        <v>178215</v>
      </c>
      <c r="F14" s="4">
        <f>F13*$H$14</f>
        <v>194254.19999999998</v>
      </c>
      <c r="G14" s="4">
        <f>G13*$H$14</f>
        <v>211737</v>
      </c>
      <c r="H14" s="5">
        <v>0.6</v>
      </c>
    </row>
    <row r="15" spans="1:8" x14ac:dyDescent="0.25">
      <c r="A15" s="1" t="s">
        <v>14</v>
      </c>
      <c r="C15" s="6">
        <f t="shared" ref="C15:F15" si="0">$H$15</f>
        <v>-90000</v>
      </c>
      <c r="D15" s="6">
        <f t="shared" si="0"/>
        <v>-90000</v>
      </c>
      <c r="E15" s="6">
        <f t="shared" si="0"/>
        <v>-90000</v>
      </c>
      <c r="F15" s="6">
        <f t="shared" si="0"/>
        <v>-90000</v>
      </c>
      <c r="G15" s="6">
        <f>$H$15</f>
        <v>-90000</v>
      </c>
      <c r="H15" s="6">
        <v>-90000</v>
      </c>
    </row>
    <row r="16" spans="1:8" x14ac:dyDescent="0.25">
      <c r="A16" s="1" t="s">
        <v>15</v>
      </c>
      <c r="C16" s="6">
        <f>-$C$4/$C$5</f>
        <v>-83333.333333333328</v>
      </c>
      <c r="D16" s="6">
        <f t="shared" ref="D16:E16" si="1">-$C$4/$C$5</f>
        <v>-83333.333333333328</v>
      </c>
      <c r="E16" s="6">
        <f t="shared" si="1"/>
        <v>-83333.333333333328</v>
      </c>
      <c r="F16" s="6"/>
      <c r="G16" s="6"/>
      <c r="H16" s="6"/>
    </row>
    <row r="17" spans="1:8" x14ac:dyDescent="0.25">
      <c r="A17" s="1" t="s">
        <v>16</v>
      </c>
      <c r="C17" s="4">
        <f>SUM(C14:C16)</f>
        <v>-23333.333333333328</v>
      </c>
      <c r="D17" s="4">
        <f t="shared" ref="D17:G17" si="2">SUM(D14:D16)</f>
        <v>-9833.3333333333285</v>
      </c>
      <c r="E17" s="4">
        <f t="shared" si="2"/>
        <v>4881.6666666666715</v>
      </c>
      <c r="F17" s="4">
        <f t="shared" si="2"/>
        <v>104254.19999999998</v>
      </c>
      <c r="G17" s="4">
        <f t="shared" si="2"/>
        <v>121737</v>
      </c>
      <c r="H17" s="4"/>
    </row>
    <row r="18" spans="1:8" x14ac:dyDescent="0.25">
      <c r="A18" s="1" t="s">
        <v>17</v>
      </c>
      <c r="C18" s="1">
        <f>-C17*$H$18</f>
        <v>5833.3333333333321</v>
      </c>
      <c r="D18" s="1">
        <f t="shared" ref="D18:G18" si="3">-D17*$H$18</f>
        <v>2458.3333333333321</v>
      </c>
      <c r="E18" s="1">
        <f t="shared" si="3"/>
        <v>-1220.4166666666679</v>
      </c>
      <c r="F18" s="1">
        <f t="shared" si="3"/>
        <v>-26063.549999999996</v>
      </c>
      <c r="G18" s="1">
        <f t="shared" si="3"/>
        <v>-30434.25</v>
      </c>
      <c r="H18" s="2">
        <v>0.25</v>
      </c>
    </row>
    <row r="19" spans="1:8" x14ac:dyDescent="0.25">
      <c r="A19" s="1" t="s">
        <v>18</v>
      </c>
      <c r="C19" s="4">
        <f>SUM(C17:C18)</f>
        <v>-17499.999999999996</v>
      </c>
      <c r="D19" s="4">
        <f t="shared" ref="D19:G19" si="4">SUM(D17:D18)</f>
        <v>-7374.9999999999964</v>
      </c>
      <c r="E19" s="4">
        <f t="shared" si="4"/>
        <v>3661.2500000000036</v>
      </c>
      <c r="F19" s="4">
        <f t="shared" si="4"/>
        <v>78190.649999999994</v>
      </c>
      <c r="G19" s="4">
        <f t="shared" si="4"/>
        <v>91302.75</v>
      </c>
      <c r="H19" s="4"/>
    </row>
    <row r="20" spans="1:8" x14ac:dyDescent="0.25">
      <c r="A20" s="1" t="s">
        <v>4</v>
      </c>
      <c r="C20" s="1">
        <f>-C16</f>
        <v>83333.333333333328</v>
      </c>
      <c r="D20" s="1">
        <f t="shared" ref="D20:E20" si="5">-D16</f>
        <v>83333.333333333328</v>
      </c>
      <c r="E20" s="1">
        <f t="shared" si="5"/>
        <v>83333.333333333328</v>
      </c>
    </row>
    <row r="21" spans="1:8" x14ac:dyDescent="0.25">
      <c r="A21" s="1" t="s">
        <v>2</v>
      </c>
      <c r="B21" s="1">
        <f>-C4</f>
        <v>-250000</v>
      </c>
      <c r="G21" s="1">
        <f>G5-G6</f>
        <v>108000</v>
      </c>
    </row>
    <row r="22" spans="1:8" x14ac:dyDescent="0.25">
      <c r="A22" s="1" t="s">
        <v>19</v>
      </c>
      <c r="B22" s="1">
        <f>SUM(B19:B21)</f>
        <v>-250000</v>
      </c>
      <c r="C22" s="1">
        <f t="shared" ref="C22:G22" si="6">SUM(C19:C21)</f>
        <v>65833.333333333328</v>
      </c>
      <c r="D22" s="1">
        <f t="shared" si="6"/>
        <v>75958.333333333328</v>
      </c>
      <c r="E22" s="1">
        <f t="shared" si="6"/>
        <v>86994.583333333328</v>
      </c>
      <c r="F22" s="1">
        <f t="shared" si="6"/>
        <v>78190.649999999994</v>
      </c>
      <c r="G22" s="1">
        <f t="shared" si="6"/>
        <v>199302.75</v>
      </c>
    </row>
    <row r="24" spans="1:8" x14ac:dyDescent="0.25">
      <c r="A24" s="1" t="s">
        <v>20</v>
      </c>
      <c r="B24" s="2">
        <f>IRR(B22:G22)</f>
        <v>0.23866050441053899</v>
      </c>
    </row>
    <row r="25" spans="1:8" x14ac:dyDescent="0.25">
      <c r="A25" s="1" t="s">
        <v>21</v>
      </c>
      <c r="B25" s="7">
        <f>NPV(B2,C22:G22)+B22</f>
        <v>-6844.3579733333609</v>
      </c>
    </row>
    <row r="26" spans="1:8" x14ac:dyDescent="0.25">
      <c r="B26" s="1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6F5-802F-414F-9761-83BC4DB10AA5}">
  <dimension ref="A3:H31"/>
  <sheetViews>
    <sheetView workbookViewId="0">
      <selection activeCell="B32" sqref="B32"/>
    </sheetView>
  </sheetViews>
  <sheetFormatPr defaultRowHeight="15" x14ac:dyDescent="0.25"/>
  <cols>
    <col min="1" max="1" width="21.85546875" customWidth="1"/>
    <col min="2" max="2" width="14" bestFit="1" customWidth="1"/>
    <col min="3" max="7" width="12.28515625" bestFit="1" customWidth="1"/>
  </cols>
  <sheetData>
    <row r="3" spans="1:8" x14ac:dyDescent="0.25">
      <c r="A3" t="s">
        <v>10</v>
      </c>
      <c r="B3" s="8">
        <f>8%+(1.4*(16%-8%))</f>
        <v>0.192</v>
      </c>
    </row>
    <row r="5" spans="1:8" x14ac:dyDescent="0.25">
      <c r="A5" t="s">
        <v>23</v>
      </c>
      <c r="B5" t="s">
        <v>3</v>
      </c>
      <c r="C5" s="9">
        <v>900000</v>
      </c>
      <c r="F5" t="s">
        <v>7</v>
      </c>
      <c r="G5">
        <v>0</v>
      </c>
    </row>
    <row r="6" spans="1:8" x14ac:dyDescent="0.25">
      <c r="B6" t="s">
        <v>26</v>
      </c>
      <c r="C6">
        <v>5</v>
      </c>
      <c r="D6" t="s">
        <v>5</v>
      </c>
      <c r="F6" t="s">
        <v>9</v>
      </c>
      <c r="G6">
        <f>C7-G5</f>
        <v>180000</v>
      </c>
    </row>
    <row r="7" spans="1:8" x14ac:dyDescent="0.25">
      <c r="B7" t="s">
        <v>6</v>
      </c>
      <c r="C7">
        <f>C5*20%</f>
        <v>180000</v>
      </c>
      <c r="F7" t="s">
        <v>8</v>
      </c>
      <c r="G7">
        <f>G6*10%</f>
        <v>18000</v>
      </c>
    </row>
    <row r="9" spans="1:8" x14ac:dyDescent="0.25">
      <c r="A9" t="s">
        <v>24</v>
      </c>
      <c r="B9" t="s">
        <v>3</v>
      </c>
      <c r="C9" s="9">
        <v>200000</v>
      </c>
    </row>
    <row r="10" spans="1:8" x14ac:dyDescent="0.25">
      <c r="B10" t="s">
        <v>25</v>
      </c>
      <c r="C10">
        <v>3</v>
      </c>
      <c r="D10" t="s">
        <v>5</v>
      </c>
    </row>
    <row r="13" spans="1:8" x14ac:dyDescent="0.25">
      <c r="A13" t="s">
        <v>27</v>
      </c>
    </row>
    <row r="14" spans="1:8" x14ac:dyDescent="0.25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</row>
    <row r="15" spans="1:8" x14ac:dyDescent="0.25">
      <c r="A15" t="s">
        <v>12</v>
      </c>
      <c r="B15" s="1"/>
      <c r="C15" s="1">
        <f>3500*$H$15*1000</f>
        <v>700000</v>
      </c>
      <c r="D15" s="1">
        <f>3780*H15*1000</f>
        <v>756000</v>
      </c>
      <c r="E15" s="1">
        <f>4082.4*$H$15*1000</f>
        <v>816480</v>
      </c>
      <c r="F15" s="1">
        <f>4408.99*H15*1000</f>
        <v>881798</v>
      </c>
      <c r="G15" s="1">
        <f>4761.71*H15*1000</f>
        <v>952342.00000000012</v>
      </c>
      <c r="H15" s="10">
        <v>0.2</v>
      </c>
    </row>
    <row r="16" spans="1:8" x14ac:dyDescent="0.25">
      <c r="A16" t="s">
        <v>28</v>
      </c>
      <c r="B16" s="1"/>
      <c r="C16" s="11">
        <f>C15*$H$16</f>
        <v>350000</v>
      </c>
      <c r="D16" s="11">
        <f t="shared" ref="D16:G16" si="0">D15*$H$16</f>
        <v>378000</v>
      </c>
      <c r="E16" s="11">
        <f t="shared" si="0"/>
        <v>408240</v>
      </c>
      <c r="F16" s="11">
        <f t="shared" si="0"/>
        <v>440899</v>
      </c>
      <c r="G16" s="11">
        <f t="shared" si="0"/>
        <v>476171.00000000006</v>
      </c>
      <c r="H16" s="10">
        <v>0.5</v>
      </c>
    </row>
    <row r="17" spans="1:8" x14ac:dyDescent="0.25">
      <c r="A17" t="s">
        <v>29</v>
      </c>
      <c r="B17" s="1"/>
      <c r="C17" s="1">
        <f>-C15*$H$17</f>
        <v>-7000</v>
      </c>
      <c r="D17" s="1">
        <f t="shared" ref="D17:G17" si="1">-D15*$H$17</f>
        <v>-7560</v>
      </c>
      <c r="E17" s="1">
        <f t="shared" si="1"/>
        <v>-8164.8</v>
      </c>
      <c r="F17" s="1">
        <f t="shared" si="1"/>
        <v>-8817.98</v>
      </c>
      <c r="G17" s="1">
        <f t="shared" si="1"/>
        <v>-9523.4200000000019</v>
      </c>
      <c r="H17" s="10">
        <v>0.01</v>
      </c>
    </row>
    <row r="18" spans="1:8" x14ac:dyDescent="0.25">
      <c r="A18" t="s">
        <v>4</v>
      </c>
      <c r="B18" s="1"/>
      <c r="C18" s="1">
        <f>-$C$5/$C$6</f>
        <v>-180000</v>
      </c>
      <c r="D18" s="1">
        <f>-$C$5/$C$6</f>
        <v>-180000</v>
      </c>
      <c r="E18" s="1">
        <f>-$C$5/$C$6</f>
        <v>-180000</v>
      </c>
      <c r="F18" s="1">
        <f>-$C$5/$C$6</f>
        <v>-180000</v>
      </c>
      <c r="G18" s="1">
        <f>-$C$5/$C$6</f>
        <v>-180000</v>
      </c>
    </row>
    <row r="19" spans="1:8" x14ac:dyDescent="0.25">
      <c r="A19" t="s">
        <v>30</v>
      </c>
      <c r="B19" s="1"/>
      <c r="C19" s="1">
        <f>-$C$9/$C$10</f>
        <v>-66666.666666666672</v>
      </c>
      <c r="D19" s="1">
        <f t="shared" ref="D19:E19" si="2">-$C$9/$C$10</f>
        <v>-66666.666666666672</v>
      </c>
      <c r="E19" s="1">
        <f t="shared" si="2"/>
        <v>-66666.666666666672</v>
      </c>
      <c r="F19" s="1"/>
      <c r="G19" s="1"/>
    </row>
    <row r="20" spans="1:8" x14ac:dyDescent="0.25">
      <c r="A20" s="13" t="s">
        <v>16</v>
      </c>
      <c r="B20" s="14">
        <f>SUM(B16:B18)</f>
        <v>0</v>
      </c>
      <c r="C20" s="14">
        <f>SUM(C16:C19)</f>
        <v>96333.333333333328</v>
      </c>
      <c r="D20" s="14">
        <f t="shared" ref="D20:G20" si="3">SUM(D16:D19)</f>
        <v>123773.33333333333</v>
      </c>
      <c r="E20" s="14">
        <f t="shared" si="3"/>
        <v>153408.53333333333</v>
      </c>
      <c r="F20" s="14">
        <f t="shared" si="3"/>
        <v>252081.02000000002</v>
      </c>
      <c r="G20" s="14">
        <f t="shared" si="3"/>
        <v>286647.58000000007</v>
      </c>
    </row>
    <row r="21" spans="1:8" x14ac:dyDescent="0.25">
      <c r="A21" t="s">
        <v>17</v>
      </c>
      <c r="B21" s="1">
        <f>-B20*$H$21</f>
        <v>0</v>
      </c>
      <c r="C21" s="1">
        <f t="shared" ref="C21:G21" si="4">-C20*$H$21</f>
        <v>-24083.333333333332</v>
      </c>
      <c r="D21" s="1">
        <f t="shared" si="4"/>
        <v>-30943.333333333332</v>
      </c>
      <c r="E21" s="1">
        <f t="shared" si="4"/>
        <v>-38352.133333333331</v>
      </c>
      <c r="F21" s="1">
        <f t="shared" si="4"/>
        <v>-63020.255000000005</v>
      </c>
      <c r="G21" s="1">
        <f t="shared" si="4"/>
        <v>-71661.895000000019</v>
      </c>
      <c r="H21" s="10">
        <v>0.25</v>
      </c>
    </row>
    <row r="22" spans="1:8" x14ac:dyDescent="0.25">
      <c r="A22" t="s">
        <v>18</v>
      </c>
      <c r="B22" s="12">
        <f>SUM(B20:B21)</f>
        <v>0</v>
      </c>
      <c r="C22" s="12">
        <f t="shared" ref="C22:G22" si="5">SUM(C20:C21)</f>
        <v>72250</v>
      </c>
      <c r="D22" s="12">
        <f t="shared" si="5"/>
        <v>92830</v>
      </c>
      <c r="E22" s="12">
        <f t="shared" si="5"/>
        <v>115056.4</v>
      </c>
      <c r="F22" s="12">
        <f t="shared" si="5"/>
        <v>189060.76500000001</v>
      </c>
      <c r="G22" s="12">
        <f t="shared" si="5"/>
        <v>214985.68500000006</v>
      </c>
    </row>
    <row r="23" spans="1:8" x14ac:dyDescent="0.25">
      <c r="A23" t="s">
        <v>4</v>
      </c>
      <c r="C23" s="12">
        <f>-C18</f>
        <v>180000</v>
      </c>
      <c r="D23" s="12">
        <f t="shared" ref="D23:G23" si="6">-D18</f>
        <v>180000</v>
      </c>
      <c r="E23" s="12">
        <f t="shared" si="6"/>
        <v>180000</v>
      </c>
      <c r="F23" s="12">
        <f t="shared" si="6"/>
        <v>180000</v>
      </c>
      <c r="G23" s="12">
        <f t="shared" si="6"/>
        <v>180000</v>
      </c>
    </row>
    <row r="24" spans="1:8" x14ac:dyDescent="0.25">
      <c r="A24" t="s">
        <v>30</v>
      </c>
      <c r="C24" s="12">
        <f>-C19</f>
        <v>66666.666666666672</v>
      </c>
      <c r="D24" s="12">
        <f t="shared" ref="D24:G24" si="7">-D19</f>
        <v>66666.666666666672</v>
      </c>
      <c r="E24" s="12">
        <f t="shared" si="7"/>
        <v>66666.666666666672</v>
      </c>
      <c r="F24" s="12">
        <f t="shared" si="7"/>
        <v>0</v>
      </c>
      <c r="G24" s="12">
        <f t="shared" si="7"/>
        <v>0</v>
      </c>
    </row>
    <row r="25" spans="1:8" x14ac:dyDescent="0.25">
      <c r="A25" t="s">
        <v>23</v>
      </c>
      <c r="B25" s="9">
        <f>-C5</f>
        <v>-900000</v>
      </c>
      <c r="G25">
        <f>G6-G7</f>
        <v>162000</v>
      </c>
    </row>
    <row r="26" spans="1:8" x14ac:dyDescent="0.25">
      <c r="A26" t="s">
        <v>31</v>
      </c>
      <c r="B26" s="9">
        <f>-C9</f>
        <v>-200000</v>
      </c>
    </row>
    <row r="27" spans="1:8" x14ac:dyDescent="0.25">
      <c r="A27" t="s">
        <v>19</v>
      </c>
      <c r="B27" s="12">
        <f>SUM(B22:B26)</f>
        <v>-1100000</v>
      </c>
      <c r="C27" s="12">
        <f t="shared" ref="C27:G27" si="8">SUM(C22:C26)</f>
        <v>318916.66666666669</v>
      </c>
      <c r="D27" s="12">
        <f t="shared" si="8"/>
        <v>339496.66666666669</v>
      </c>
      <c r="E27" s="12">
        <f t="shared" si="8"/>
        <v>361723.06666666671</v>
      </c>
      <c r="F27" s="12">
        <f t="shared" si="8"/>
        <v>369060.76500000001</v>
      </c>
      <c r="G27" s="12">
        <f t="shared" si="8"/>
        <v>556985.68500000006</v>
      </c>
    </row>
    <row r="29" spans="1:8" x14ac:dyDescent="0.25">
      <c r="A29" t="s">
        <v>21</v>
      </c>
      <c r="B29" s="12">
        <f>NPV(B3,C27:G27)+B27</f>
        <v>34317.837152660126</v>
      </c>
    </row>
    <row r="30" spans="1:8" x14ac:dyDescent="0.25">
      <c r="A30" t="s">
        <v>20</v>
      </c>
      <c r="B30" s="10">
        <f>IRR(B27:G27)</f>
        <v>0.20480306380341684</v>
      </c>
    </row>
    <row r="31" spans="1:8" x14ac:dyDescent="0.25">
      <c r="B3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4092-C330-4CF5-B42E-1532166FD446}">
  <dimension ref="A3:G48"/>
  <sheetViews>
    <sheetView tabSelected="1" topLeftCell="A28" workbookViewId="0">
      <selection activeCell="D49" sqref="D49"/>
    </sheetView>
  </sheetViews>
  <sheetFormatPr defaultRowHeight="15" x14ac:dyDescent="0.25"/>
  <cols>
    <col min="1" max="1" width="18.28515625" style="1" bestFit="1" customWidth="1"/>
    <col min="2" max="2" width="13.5703125" style="1" customWidth="1"/>
    <col min="3" max="3" width="14" style="1" bestFit="1" customWidth="1"/>
    <col min="4" max="4" width="17" style="1" bestFit="1" customWidth="1"/>
    <col min="5" max="6" width="14" style="1" bestFit="1" customWidth="1"/>
    <col min="7" max="16384" width="9.140625" style="1"/>
  </cols>
  <sheetData>
    <row r="3" spans="1:7" x14ac:dyDescent="0.25">
      <c r="A3" s="1" t="s">
        <v>10</v>
      </c>
      <c r="B3" s="1">
        <v>0.23</v>
      </c>
    </row>
    <row r="5" spans="1:7" x14ac:dyDescent="0.25">
      <c r="A5" s="1" t="s">
        <v>23</v>
      </c>
      <c r="B5" s="1" t="s">
        <v>3</v>
      </c>
      <c r="C5" s="1">
        <v>1000000</v>
      </c>
      <c r="E5" s="1" t="s">
        <v>51</v>
      </c>
      <c r="F5" s="1">
        <f>C5-(C5/C6)*4</f>
        <v>200000</v>
      </c>
    </row>
    <row r="6" spans="1:7" x14ac:dyDescent="0.25">
      <c r="B6" s="1" t="s">
        <v>33</v>
      </c>
      <c r="C6" s="1">
        <v>5</v>
      </c>
      <c r="D6" s="1" t="s">
        <v>5</v>
      </c>
      <c r="E6" s="1" t="s">
        <v>9</v>
      </c>
      <c r="F6" s="1">
        <f>C7-F5</f>
        <v>50000</v>
      </c>
    </row>
    <row r="7" spans="1:7" x14ac:dyDescent="0.25">
      <c r="B7" s="1" t="s">
        <v>34</v>
      </c>
      <c r="C7" s="1">
        <v>250000</v>
      </c>
      <c r="E7" s="1" t="s">
        <v>8</v>
      </c>
      <c r="F7" s="1">
        <f>F6*10%</f>
        <v>5000</v>
      </c>
    </row>
    <row r="8" spans="1:7" x14ac:dyDescent="0.25">
      <c r="A8" s="1" t="s">
        <v>35</v>
      </c>
      <c r="B8" s="1" t="s">
        <v>36</v>
      </c>
      <c r="C8" s="1">
        <v>150000</v>
      </c>
      <c r="D8" s="1" t="s">
        <v>9</v>
      </c>
      <c r="E8" s="1">
        <f>C8-C9</f>
        <v>10000</v>
      </c>
    </row>
    <row r="9" spans="1:7" x14ac:dyDescent="0.25">
      <c r="B9" s="1" t="s">
        <v>50</v>
      </c>
      <c r="C9" s="1">
        <v>140000</v>
      </c>
      <c r="D9" s="1" t="s">
        <v>8</v>
      </c>
      <c r="E9" s="1">
        <f>E8*10%</f>
        <v>1000</v>
      </c>
    </row>
    <row r="10" spans="1:7" x14ac:dyDescent="0.25">
      <c r="A10" s="1" t="s">
        <v>37</v>
      </c>
      <c r="B10" s="1" t="s">
        <v>38</v>
      </c>
      <c r="C10" s="1">
        <v>300000</v>
      </c>
    </row>
    <row r="13" spans="1:7" x14ac:dyDescent="0.25">
      <c r="A13" s="1" t="s">
        <v>39</v>
      </c>
    </row>
    <row r="14" spans="1:7" x14ac:dyDescent="0.25">
      <c r="B14" s="3">
        <v>0</v>
      </c>
      <c r="C14" s="3">
        <v>1</v>
      </c>
      <c r="D14" s="3">
        <v>2</v>
      </c>
      <c r="E14" s="3">
        <v>3</v>
      </c>
      <c r="F14" s="3">
        <v>4</v>
      </c>
    </row>
    <row r="15" spans="1:7" x14ac:dyDescent="0.25">
      <c r="A15" s="1" t="s">
        <v>12</v>
      </c>
      <c r="C15" s="1">
        <f>3400000*(1+$G$15)</f>
        <v>3909999.9999999995</v>
      </c>
      <c r="D15" s="1">
        <f>3740000*(1+G15)</f>
        <v>4301000</v>
      </c>
      <c r="E15" s="1">
        <f>4114*1000*(1+G15)</f>
        <v>4731100</v>
      </c>
      <c r="F15" s="1">
        <f>4525.4*1000*(1+G15)</f>
        <v>5204210</v>
      </c>
      <c r="G15" s="2">
        <v>0.15</v>
      </c>
    </row>
    <row r="16" spans="1:7" x14ac:dyDescent="0.25">
      <c r="A16" s="1" t="s">
        <v>40</v>
      </c>
      <c r="C16" s="1">
        <f>-$G$16*C15</f>
        <v>-2541500</v>
      </c>
      <c r="D16" s="1">
        <f>-$G$16*D15</f>
        <v>-2795650</v>
      </c>
      <c r="E16" s="1">
        <f>-$G$16*E15</f>
        <v>-3075215</v>
      </c>
      <c r="F16" s="1">
        <f>-$G$16*F15</f>
        <v>-3382736.5</v>
      </c>
      <c r="G16" s="2">
        <v>0.65</v>
      </c>
    </row>
    <row r="17" spans="1:7" x14ac:dyDescent="0.25">
      <c r="A17" s="1" t="s">
        <v>41</v>
      </c>
      <c r="C17" s="1">
        <f>-C15*$G$17</f>
        <v>-195500</v>
      </c>
      <c r="D17" s="1">
        <f t="shared" ref="D17:F17" si="0">-D15*$G$17</f>
        <v>-215050</v>
      </c>
      <c r="E17" s="1">
        <f t="shared" si="0"/>
        <v>-236555</v>
      </c>
      <c r="F17" s="1">
        <f t="shared" si="0"/>
        <v>-260210.5</v>
      </c>
      <c r="G17" s="2">
        <v>0.05</v>
      </c>
    </row>
    <row r="18" spans="1:7" x14ac:dyDescent="0.25">
      <c r="A18" s="1" t="s">
        <v>42</v>
      </c>
      <c r="C18" s="1">
        <f>-C15*$G$18</f>
        <v>-351899.99999999994</v>
      </c>
      <c r="D18" s="1">
        <f t="shared" ref="D18:F18" si="1">-D15*$G$18</f>
        <v>-387090</v>
      </c>
      <c r="E18" s="1">
        <f t="shared" si="1"/>
        <v>-425799</v>
      </c>
      <c r="F18" s="1">
        <f>-F15*$G$18</f>
        <v>-468378.89999999997</v>
      </c>
      <c r="G18" s="2">
        <v>0.09</v>
      </c>
    </row>
    <row r="19" spans="1:7" x14ac:dyDescent="0.25">
      <c r="A19" s="1" t="s">
        <v>26</v>
      </c>
      <c r="C19" s="1">
        <f>-$C$5/$C$6</f>
        <v>-200000</v>
      </c>
      <c r="D19" s="1">
        <f t="shared" ref="D19:F19" si="2">-$C$5/$C$6</f>
        <v>-200000</v>
      </c>
      <c r="E19" s="1">
        <f t="shared" si="2"/>
        <v>-200000</v>
      </c>
      <c r="F19" s="1">
        <f t="shared" si="2"/>
        <v>-200000</v>
      </c>
    </row>
    <row r="21" spans="1:7" x14ac:dyDescent="0.25">
      <c r="A21" s="1" t="s">
        <v>46</v>
      </c>
    </row>
    <row r="22" spans="1:7" x14ac:dyDescent="0.25">
      <c r="A22" s="1" t="s">
        <v>0</v>
      </c>
      <c r="C22" s="1">
        <v>3400000</v>
      </c>
      <c r="D22" s="1">
        <v>3740000</v>
      </c>
      <c r="E22" s="1">
        <v>4114000</v>
      </c>
      <c r="F22" s="1">
        <v>4525000.4000000004</v>
      </c>
    </row>
    <row r="23" spans="1:7" x14ac:dyDescent="0.25">
      <c r="A23" s="1" t="s">
        <v>44</v>
      </c>
      <c r="C23" s="1">
        <v>-2380000</v>
      </c>
      <c r="D23" s="1">
        <v>-2618000</v>
      </c>
      <c r="E23" s="1">
        <v>-2879000.8</v>
      </c>
      <c r="F23" s="1">
        <v>-3167000.78</v>
      </c>
    </row>
    <row r="24" spans="1:7" x14ac:dyDescent="0.25">
      <c r="A24" s="1" t="s">
        <v>45</v>
      </c>
      <c r="C24" s="1">
        <v>-170000</v>
      </c>
      <c r="D24" s="1">
        <v>-187000</v>
      </c>
      <c r="E24" s="1">
        <v>-205000.7</v>
      </c>
      <c r="F24" s="1">
        <v>-226000.27</v>
      </c>
    </row>
    <row r="25" spans="1:7" x14ac:dyDescent="0.25">
      <c r="A25" s="1" t="s">
        <v>42</v>
      </c>
      <c r="C25" s="1">
        <v>-340000</v>
      </c>
      <c r="D25" s="1">
        <v>-374000</v>
      </c>
      <c r="E25" s="1">
        <v>-411000.4</v>
      </c>
      <c r="F25" s="1">
        <v>-452000.54</v>
      </c>
    </row>
    <row r="26" spans="1:7" x14ac:dyDescent="0.25">
      <c r="A26" s="1" t="s">
        <v>33</v>
      </c>
      <c r="C26" s="1">
        <v>-70000</v>
      </c>
      <c r="D26" s="1">
        <v>-70000</v>
      </c>
    </row>
    <row r="30" spans="1:7" x14ac:dyDescent="0.25">
      <c r="A30" s="1" t="s">
        <v>43</v>
      </c>
    </row>
    <row r="31" spans="1:7" x14ac:dyDescent="0.25">
      <c r="B31" s="3">
        <v>0</v>
      </c>
      <c r="C31" s="3">
        <v>1</v>
      </c>
      <c r="D31" s="3">
        <v>2</v>
      </c>
      <c r="E31" s="3">
        <v>3</v>
      </c>
      <c r="F31" s="3">
        <v>4</v>
      </c>
    </row>
    <row r="32" spans="1:7" x14ac:dyDescent="0.25">
      <c r="A32" s="1" t="s">
        <v>12</v>
      </c>
      <c r="C32" s="1">
        <f>C15-C22</f>
        <v>509999.99999999953</v>
      </c>
      <c r="D32" s="1">
        <f t="shared" ref="D32:F32" si="3">D15-D22</f>
        <v>561000</v>
      </c>
      <c r="E32" s="1">
        <f t="shared" si="3"/>
        <v>617100</v>
      </c>
      <c r="F32" s="1">
        <f t="shared" si="3"/>
        <v>679209.59999999963</v>
      </c>
    </row>
    <row r="33" spans="1:7" x14ac:dyDescent="0.25">
      <c r="A33" s="1" t="s">
        <v>40</v>
      </c>
      <c r="C33" s="1">
        <f>C16-C23</f>
        <v>-161500</v>
      </c>
      <c r="D33" s="1">
        <f t="shared" ref="D33:F33" si="4">D16-D23</f>
        <v>-177650</v>
      </c>
      <c r="E33" s="1">
        <f t="shared" si="4"/>
        <v>-196214.20000000019</v>
      </c>
      <c r="F33" s="1">
        <f t="shared" si="4"/>
        <v>-215735.7200000002</v>
      </c>
    </row>
    <row r="34" spans="1:7" x14ac:dyDescent="0.25">
      <c r="A34" s="4" t="s">
        <v>47</v>
      </c>
      <c r="B34" s="4"/>
      <c r="C34" s="4">
        <f>SUM(C32:C33)</f>
        <v>348499.99999999953</v>
      </c>
      <c r="D34" s="4">
        <f t="shared" ref="D34:F34" si="5">SUM(D32:D33)</f>
        <v>383350</v>
      </c>
      <c r="E34" s="4">
        <f t="shared" si="5"/>
        <v>420885.79999999981</v>
      </c>
      <c r="F34" s="4">
        <f t="shared" si="5"/>
        <v>463473.87999999942</v>
      </c>
    </row>
    <row r="35" spans="1:7" x14ac:dyDescent="0.25">
      <c r="A35" s="1" t="s">
        <v>45</v>
      </c>
      <c r="C35" s="1">
        <f>C17-C24</f>
        <v>-25500</v>
      </c>
      <c r="D35" s="1">
        <f t="shared" ref="D35:F35" si="6">D17-D24</f>
        <v>-28050</v>
      </c>
      <c r="E35" s="1">
        <f t="shared" si="6"/>
        <v>-31554.299999999988</v>
      </c>
      <c r="F35" s="1">
        <f t="shared" si="6"/>
        <v>-34210.23000000001</v>
      </c>
    </row>
    <row r="36" spans="1:7" x14ac:dyDescent="0.25">
      <c r="A36" s="1" t="s">
        <v>42</v>
      </c>
      <c r="C36" s="1">
        <f>C18-C25</f>
        <v>-11899.999999999942</v>
      </c>
      <c r="D36" s="1">
        <f t="shared" ref="D36:F36" si="7">D18-D25</f>
        <v>-13090</v>
      </c>
      <c r="E36" s="1">
        <f t="shared" si="7"/>
        <v>-14798.599999999977</v>
      </c>
      <c r="F36" s="1">
        <f>F18-F25</f>
        <v>-16378.359999999986</v>
      </c>
    </row>
    <row r="37" spans="1:7" x14ac:dyDescent="0.25">
      <c r="A37" s="1" t="s">
        <v>33</v>
      </c>
      <c r="C37" s="1">
        <f>C19-C26</f>
        <v>-130000</v>
      </c>
      <c r="D37" s="1">
        <f>D19-D26</f>
        <v>-130000</v>
      </c>
      <c r="E37" s="1">
        <f>E19-E26</f>
        <v>-200000</v>
      </c>
      <c r="F37" s="1">
        <f>F19-F26</f>
        <v>-200000</v>
      </c>
    </row>
    <row r="38" spans="1:7" x14ac:dyDescent="0.25">
      <c r="A38" s="4" t="s">
        <v>16</v>
      </c>
      <c r="B38" s="4">
        <f>SUM(B34:B37)</f>
        <v>0</v>
      </c>
      <c r="C38" s="4">
        <f t="shared" ref="C38:F38" si="8">SUM(C34:C37)</f>
        <v>181099.99999999959</v>
      </c>
      <c r="D38" s="4">
        <f t="shared" si="8"/>
        <v>212210</v>
      </c>
      <c r="E38" s="4">
        <f t="shared" si="8"/>
        <v>174532.89999999985</v>
      </c>
      <c r="F38" s="4">
        <f t="shared" si="8"/>
        <v>212885.28999999946</v>
      </c>
    </row>
    <row r="39" spans="1:7" x14ac:dyDescent="0.25">
      <c r="A39" s="1" t="s">
        <v>17</v>
      </c>
      <c r="B39" s="1">
        <f>-B38*$G$39</f>
        <v>0</v>
      </c>
      <c r="C39" s="1">
        <f t="shared" ref="C39:F39" si="9">-C38*$G$39</f>
        <v>-45274.999999999898</v>
      </c>
      <c r="D39" s="1">
        <f t="shared" si="9"/>
        <v>-53052.5</v>
      </c>
      <c r="E39" s="1">
        <f t="shared" si="9"/>
        <v>-43633.224999999962</v>
      </c>
      <c r="F39" s="1">
        <f t="shared" si="9"/>
        <v>-53221.322499999864</v>
      </c>
      <c r="G39" s="2">
        <v>0.25</v>
      </c>
    </row>
    <row r="40" spans="1:7" x14ac:dyDescent="0.25">
      <c r="A40" s="4" t="s">
        <v>18</v>
      </c>
      <c r="B40" s="4">
        <f>SUM(B38:B39)</f>
        <v>0</v>
      </c>
      <c r="C40" s="4">
        <f t="shared" ref="C40:F40" si="10">SUM(C38:C39)</f>
        <v>135824.99999999971</v>
      </c>
      <c r="D40" s="4">
        <f t="shared" si="10"/>
        <v>159157.5</v>
      </c>
      <c r="E40" s="4">
        <f t="shared" si="10"/>
        <v>130899.67499999989</v>
      </c>
      <c r="F40" s="4">
        <f t="shared" si="10"/>
        <v>159663.96749999959</v>
      </c>
    </row>
    <row r="41" spans="1:7" x14ac:dyDescent="0.25">
      <c r="A41" s="1" t="s">
        <v>33</v>
      </c>
      <c r="B41" s="1">
        <f>-B37</f>
        <v>0</v>
      </c>
      <c r="C41" s="1">
        <f>-C37</f>
        <v>130000</v>
      </c>
      <c r="D41" s="1">
        <f t="shared" ref="C41:F41" si="11">-D37</f>
        <v>130000</v>
      </c>
      <c r="E41" s="1">
        <f t="shared" si="11"/>
        <v>200000</v>
      </c>
      <c r="F41" s="1">
        <f t="shared" si="11"/>
        <v>200000</v>
      </c>
    </row>
    <row r="42" spans="1:7" x14ac:dyDescent="0.25">
      <c r="A42" s="1" t="s">
        <v>48</v>
      </c>
      <c r="C42" s="1">
        <f>-$C$5/2</f>
        <v>-500000</v>
      </c>
      <c r="D42" s="1">
        <f>-$C$5/2</f>
        <v>-500000</v>
      </c>
      <c r="F42" s="1">
        <f>F6-F7</f>
        <v>45000</v>
      </c>
    </row>
    <row r="43" spans="1:7" x14ac:dyDescent="0.25">
      <c r="A43" s="1" t="s">
        <v>49</v>
      </c>
      <c r="B43" s="1">
        <f>C9+E8-E9</f>
        <v>149000</v>
      </c>
    </row>
    <row r="44" spans="1:7" x14ac:dyDescent="0.25">
      <c r="A44" s="1" t="s">
        <v>37</v>
      </c>
      <c r="B44" s="1">
        <f>-C10</f>
        <v>-300000</v>
      </c>
      <c r="F44" s="1">
        <f>C10</f>
        <v>300000</v>
      </c>
    </row>
    <row r="45" spans="1:7" x14ac:dyDescent="0.25">
      <c r="A45" s="1" t="s">
        <v>19</v>
      </c>
      <c r="B45" s="1">
        <f>SUM(B40:B44)</f>
        <v>-151000</v>
      </c>
      <c r="C45" s="1">
        <f t="shared" ref="C45:F45" si="12">SUM(C40:C44)</f>
        <v>-234175.00000000029</v>
      </c>
      <c r="D45" s="1">
        <f t="shared" si="12"/>
        <v>-210842.5</v>
      </c>
      <c r="E45" s="1">
        <f t="shared" si="12"/>
        <v>330899.67499999987</v>
      </c>
      <c r="F45" s="1">
        <f t="shared" si="12"/>
        <v>704663.96749999956</v>
      </c>
    </row>
    <row r="47" spans="1:7" x14ac:dyDescent="0.25">
      <c r="A47" s="1" t="s">
        <v>52</v>
      </c>
      <c r="B47" s="1">
        <f>NPV(B3,C45:F45)+B45</f>
        <v>4936.7633758052834</v>
      </c>
    </row>
    <row r="48" spans="1:7" x14ac:dyDescent="0.25">
      <c r="A48" s="1" t="s">
        <v>20</v>
      </c>
      <c r="B48" s="2">
        <f>IRR(B45:F45)</f>
        <v>0.23473541234856343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IndustriaFutura</vt:lpstr>
      <vt:lpstr>PapeleraDelItsmo</vt:lpstr>
      <vt:lpstr>JugosPreparados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2021-03-11T15:54:57Z</dcterms:modified>
</cp:coreProperties>
</file>