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___UFM-Cursos___\3_1\adminfin2\PARCIAL\"/>
    </mc:Choice>
  </mc:AlternateContent>
  <xr:revisionPtr revIDLastSave="0" documentId="13_ncr:1_{7E8F8FDD-6E05-42FE-8D86-B1BB0F1A7487}" xr6:coauthVersionLast="46" xr6:coauthVersionMax="46" xr10:uidLastSave="{00000000-0000-0000-0000-000000000000}"/>
  <bookViews>
    <workbookView xWindow="11505" yWindow="4020" windowWidth="13755" windowHeight="113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 s="1"/>
  <c r="B117" i="1" s="1"/>
  <c r="C117" i="1" s="1"/>
  <c r="C20" i="1"/>
  <c r="C21" i="1"/>
  <c r="D21" i="1" s="1"/>
  <c r="B119" i="1" s="1"/>
  <c r="C119" i="1" s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18" i="1"/>
  <c r="D18" i="1" s="1"/>
  <c r="B116" i="1" s="1"/>
  <c r="C116" i="1" s="1"/>
  <c r="D116" i="1" s="1"/>
  <c r="K246" i="1"/>
  <c r="K245" i="1"/>
  <c r="K244" i="1"/>
  <c r="K243" i="1"/>
  <c r="K242" i="1"/>
  <c r="K241" i="1"/>
  <c r="K240" i="1"/>
  <c r="P17" i="1"/>
  <c r="P61" i="1"/>
  <c r="P63" i="1" s="1"/>
  <c r="C93" i="1" s="1"/>
  <c r="J240" i="1"/>
  <c r="E107" i="1"/>
  <c r="E108" i="1"/>
  <c r="E109" i="1"/>
  <c r="H246" i="1"/>
  <c r="D270" i="1"/>
  <c r="D273" i="1" s="1"/>
  <c r="D272" i="1"/>
  <c r="B270" i="1"/>
  <c r="C270" i="1"/>
  <c r="E270" i="1"/>
  <c r="E269" i="1"/>
  <c r="E268" i="1"/>
  <c r="D237" i="1"/>
  <c r="B264" i="1"/>
  <c r="B258" i="1"/>
  <c r="B252" i="1"/>
  <c r="B246" i="1"/>
  <c r="E241" i="1"/>
  <c r="C242" i="1" s="1"/>
  <c r="D242" i="1" s="1"/>
  <c r="C241" i="1"/>
  <c r="D241" i="1" s="1"/>
  <c r="E240" i="1"/>
  <c r="D240" i="1"/>
  <c r="D21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163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162" i="1"/>
  <c r="C115" i="1"/>
  <c r="B115" i="1"/>
  <c r="B114" i="1"/>
  <c r="A144" i="1"/>
  <c r="A145" i="1"/>
  <c r="A146" i="1"/>
  <c r="A147" i="1"/>
  <c r="A148" i="1"/>
  <c r="A149" i="1"/>
  <c r="A150" i="1"/>
  <c r="A151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14" i="1"/>
  <c r="D109" i="1"/>
  <c r="C109" i="1"/>
  <c r="D108" i="1"/>
  <c r="C108" i="1"/>
  <c r="D107" i="1"/>
  <c r="C107" i="1"/>
  <c r="D106" i="1"/>
  <c r="C86" i="1"/>
  <c r="C85" i="1"/>
  <c r="C84" i="1"/>
  <c r="E91" i="1"/>
  <c r="E92" i="1"/>
  <c r="E90" i="1"/>
  <c r="D93" i="1"/>
  <c r="D92" i="1"/>
  <c r="D91" i="1"/>
  <c r="D90" i="1"/>
  <c r="E89" i="1"/>
  <c r="P62" i="1"/>
  <c r="E85" i="1" s="1"/>
  <c r="C91" i="1"/>
  <c r="C92" i="1"/>
  <c r="E84" i="1"/>
  <c r="E86" i="1"/>
  <c r="D86" i="1"/>
  <c r="D85" i="1"/>
  <c r="D84" i="1"/>
  <c r="D83" i="1"/>
  <c r="P58" i="1"/>
  <c r="V70" i="1"/>
  <c r="V68" i="1"/>
  <c r="V67" i="1"/>
  <c r="K70" i="1"/>
  <c r="K69" i="1"/>
  <c r="K68" i="1"/>
  <c r="D13" i="1"/>
  <c r="C13" i="1"/>
  <c r="B13" i="1"/>
  <c r="V17" i="1"/>
  <c r="Q19" i="1"/>
  <c r="Q20" i="1"/>
  <c r="Q21" i="1"/>
  <c r="Q22" i="1"/>
  <c r="Q23" i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O59" i="1"/>
  <c r="P59" i="1" s="1"/>
  <c r="Q18" i="1"/>
  <c r="Q17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18" i="1"/>
  <c r="O11" i="1"/>
  <c r="L19" i="1"/>
  <c r="L20" i="1"/>
  <c r="L21" i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18" i="1"/>
  <c r="I65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18" i="1"/>
  <c r="J65" i="1"/>
  <c r="J59" i="1"/>
  <c r="J53" i="1"/>
  <c r="J47" i="1"/>
  <c r="J41" i="1"/>
  <c r="J35" i="1"/>
  <c r="J29" i="1"/>
  <c r="J23" i="1"/>
  <c r="K17" i="1"/>
  <c r="L17" i="1"/>
  <c r="I13" i="1"/>
  <c r="D17" i="1"/>
  <c r="B53" i="1"/>
  <c r="B47" i="1"/>
  <c r="B41" i="1"/>
  <c r="B35" i="1"/>
  <c r="B29" i="1"/>
  <c r="B23" i="1"/>
  <c r="E19" i="1"/>
  <c r="E20" i="1"/>
  <c r="E21" i="1"/>
  <c r="E22" i="1"/>
  <c r="E23" i="1" s="1"/>
  <c r="E18" i="1"/>
  <c r="D20" i="1"/>
  <c r="B118" i="1" s="1"/>
  <c r="C118" i="1" s="1"/>
  <c r="D22" i="1"/>
  <c r="B120" i="1" s="1"/>
  <c r="C120" i="1" s="1"/>
  <c r="E17" i="1"/>
  <c r="D117" i="1" l="1"/>
  <c r="D118" i="1" s="1"/>
  <c r="D119" i="1" s="1"/>
  <c r="D120" i="1" s="1"/>
  <c r="E242" i="1"/>
  <c r="E243" i="1" s="1"/>
  <c r="E244" i="1" s="1"/>
  <c r="E24" i="1"/>
  <c r="D24" i="1"/>
  <c r="B122" i="1" s="1"/>
  <c r="C122" i="1" s="1"/>
  <c r="D23" i="1"/>
  <c r="B121" i="1" s="1"/>
  <c r="C121" i="1" s="1"/>
  <c r="D121" i="1" l="1"/>
  <c r="D122" i="1" s="1"/>
  <c r="C244" i="1"/>
  <c r="D244" i="1" s="1"/>
  <c r="C243" i="1"/>
  <c r="D243" i="1" s="1"/>
  <c r="E245" i="1"/>
  <c r="C245" i="1"/>
  <c r="D245" i="1" s="1"/>
  <c r="E25" i="1"/>
  <c r="D25" i="1"/>
  <c r="B123" i="1" l="1"/>
  <c r="C123" i="1" s="1"/>
  <c r="D123" i="1" s="1"/>
  <c r="C246" i="1"/>
  <c r="D246" i="1" s="1"/>
  <c r="E246" i="1"/>
  <c r="E26" i="1"/>
  <c r="D26" i="1"/>
  <c r="B124" i="1" s="1"/>
  <c r="C124" i="1" s="1"/>
  <c r="D124" i="1" l="1"/>
  <c r="E247" i="1"/>
  <c r="C247" i="1"/>
  <c r="D247" i="1" s="1"/>
  <c r="E27" i="1"/>
  <c r="D27" i="1"/>
  <c r="B125" i="1" l="1"/>
  <c r="C125" i="1" s="1"/>
  <c r="D125" i="1" s="1"/>
  <c r="E248" i="1"/>
  <c r="C248" i="1"/>
  <c r="D248" i="1" s="1"/>
  <c r="E28" i="1"/>
  <c r="D28" i="1"/>
  <c r="B126" i="1" s="1"/>
  <c r="C126" i="1" s="1"/>
  <c r="D126" i="1" l="1"/>
  <c r="E249" i="1"/>
  <c r="C249" i="1"/>
  <c r="D249" i="1" s="1"/>
  <c r="E29" i="1"/>
  <c r="D29" i="1"/>
  <c r="B127" i="1" l="1"/>
  <c r="C127" i="1" s="1"/>
  <c r="D127" i="1" s="1"/>
  <c r="C250" i="1"/>
  <c r="D250" i="1" s="1"/>
  <c r="E250" i="1"/>
  <c r="E30" i="1"/>
  <c r="D30" i="1"/>
  <c r="B128" i="1" l="1"/>
  <c r="C128" i="1" s="1"/>
  <c r="D128" i="1" s="1"/>
  <c r="E251" i="1"/>
  <c r="C251" i="1"/>
  <c r="D251" i="1" s="1"/>
  <c r="E31" i="1"/>
  <c r="D31" i="1"/>
  <c r="B129" i="1" s="1"/>
  <c r="C129" i="1" s="1"/>
  <c r="D129" i="1" l="1"/>
  <c r="E252" i="1"/>
  <c r="C252" i="1"/>
  <c r="D252" i="1" s="1"/>
  <c r="E32" i="1"/>
  <c r="D32" i="1"/>
  <c r="B130" i="1" s="1"/>
  <c r="C130" i="1" s="1"/>
  <c r="D130" i="1" s="1"/>
  <c r="E253" i="1" l="1"/>
  <c r="C253" i="1"/>
  <c r="D253" i="1" s="1"/>
  <c r="E33" i="1"/>
  <c r="D33" i="1"/>
  <c r="B131" i="1" s="1"/>
  <c r="C131" i="1" s="1"/>
  <c r="D131" i="1" s="1"/>
  <c r="E254" i="1" l="1"/>
  <c r="C254" i="1"/>
  <c r="D254" i="1" s="1"/>
  <c r="E34" i="1"/>
  <c r="D34" i="1"/>
  <c r="B132" i="1" s="1"/>
  <c r="C132" i="1" s="1"/>
  <c r="D132" i="1" s="1"/>
  <c r="E255" i="1" l="1"/>
  <c r="C255" i="1"/>
  <c r="D255" i="1" s="1"/>
  <c r="E35" i="1"/>
  <c r="D35" i="1"/>
  <c r="B133" i="1" s="1"/>
  <c r="C133" i="1" s="1"/>
  <c r="D133" i="1" s="1"/>
  <c r="E256" i="1" l="1"/>
  <c r="C256" i="1"/>
  <c r="D256" i="1" s="1"/>
  <c r="E36" i="1"/>
  <c r="D36" i="1"/>
  <c r="B134" i="1" s="1"/>
  <c r="C134" i="1" s="1"/>
  <c r="D134" i="1" s="1"/>
  <c r="E257" i="1" l="1"/>
  <c r="C257" i="1"/>
  <c r="D257" i="1" s="1"/>
  <c r="E37" i="1"/>
  <c r="D37" i="1"/>
  <c r="B135" i="1" s="1"/>
  <c r="C135" i="1" s="1"/>
  <c r="D135" i="1" s="1"/>
  <c r="E258" i="1" l="1"/>
  <c r="C258" i="1"/>
  <c r="D258" i="1" s="1"/>
  <c r="D38" i="1"/>
  <c r="B136" i="1" s="1"/>
  <c r="C136" i="1" s="1"/>
  <c r="D136" i="1" s="1"/>
  <c r="E38" i="1"/>
  <c r="E259" i="1" l="1"/>
  <c r="C259" i="1"/>
  <c r="D259" i="1" s="1"/>
  <c r="D39" i="1"/>
  <c r="B137" i="1" s="1"/>
  <c r="C137" i="1" s="1"/>
  <c r="D137" i="1" s="1"/>
  <c r="E39" i="1"/>
  <c r="E260" i="1" l="1"/>
  <c r="C260" i="1"/>
  <c r="D260" i="1" s="1"/>
  <c r="E40" i="1"/>
  <c r="D40" i="1"/>
  <c r="B138" i="1" s="1"/>
  <c r="C138" i="1" s="1"/>
  <c r="D138" i="1" s="1"/>
  <c r="C261" i="1" l="1"/>
  <c r="D261" i="1" s="1"/>
  <c r="E261" i="1"/>
  <c r="E41" i="1"/>
  <c r="D41" i="1"/>
  <c r="B139" i="1" s="1"/>
  <c r="C139" i="1" s="1"/>
  <c r="D139" i="1" s="1"/>
  <c r="E262" i="1" l="1"/>
  <c r="C262" i="1"/>
  <c r="D262" i="1" s="1"/>
  <c r="E42" i="1"/>
  <c r="D42" i="1"/>
  <c r="B140" i="1" s="1"/>
  <c r="C140" i="1" s="1"/>
  <c r="D140" i="1" s="1"/>
  <c r="E263" i="1" l="1"/>
  <c r="C263" i="1"/>
  <c r="D263" i="1" s="1"/>
  <c r="E43" i="1"/>
  <c r="D43" i="1"/>
  <c r="B141" i="1" s="1"/>
  <c r="C141" i="1" s="1"/>
  <c r="D141" i="1" s="1"/>
  <c r="E264" i="1" l="1"/>
  <c r="C264" i="1"/>
  <c r="D264" i="1" s="1"/>
  <c r="E44" i="1"/>
  <c r="D44" i="1"/>
  <c r="B142" i="1" s="1"/>
  <c r="C142" i="1" s="1"/>
  <c r="D142" i="1" s="1"/>
  <c r="C265" i="1" l="1"/>
  <c r="D265" i="1" s="1"/>
  <c r="E265" i="1"/>
  <c r="D45" i="1"/>
  <c r="B143" i="1" s="1"/>
  <c r="C143" i="1" s="1"/>
  <c r="D143" i="1" s="1"/>
  <c r="E45" i="1"/>
  <c r="E266" i="1" l="1"/>
  <c r="C266" i="1"/>
  <c r="D266" i="1" s="1"/>
  <c r="E46" i="1"/>
  <c r="D46" i="1"/>
  <c r="B144" i="1" s="1"/>
  <c r="C144" i="1" s="1"/>
  <c r="D144" i="1" s="1"/>
  <c r="E267" i="1" l="1"/>
  <c r="C267" i="1"/>
  <c r="D267" i="1" s="1"/>
  <c r="E47" i="1"/>
  <c r="D47" i="1"/>
  <c r="B145" i="1" s="1"/>
  <c r="C145" i="1" s="1"/>
  <c r="D145" i="1" s="1"/>
  <c r="C268" i="1" l="1"/>
  <c r="D268" i="1" s="1"/>
  <c r="E48" i="1"/>
  <c r="D48" i="1"/>
  <c r="B146" i="1" s="1"/>
  <c r="C146" i="1" s="1"/>
  <c r="D146" i="1" s="1"/>
  <c r="C269" i="1" l="1"/>
  <c r="D269" i="1" s="1"/>
  <c r="E49" i="1"/>
  <c r="D49" i="1"/>
  <c r="B147" i="1" s="1"/>
  <c r="C147" i="1" s="1"/>
  <c r="D147" i="1" s="1"/>
  <c r="E50" i="1" l="1"/>
  <c r="D50" i="1"/>
  <c r="B148" i="1" s="1"/>
  <c r="C148" i="1" s="1"/>
  <c r="D148" i="1" s="1"/>
  <c r="E51" i="1" l="1"/>
  <c r="D51" i="1"/>
  <c r="B149" i="1" s="1"/>
  <c r="C149" i="1" s="1"/>
  <c r="D149" i="1" s="1"/>
  <c r="E52" i="1" l="1"/>
  <c r="D52" i="1"/>
  <c r="B150" i="1" s="1"/>
  <c r="C150" i="1" s="1"/>
  <c r="D150" i="1" s="1"/>
  <c r="I241" i="1" l="1"/>
  <c r="J241" i="1" s="1"/>
  <c r="E53" i="1"/>
  <c r="D53" i="1"/>
  <c r="B151" i="1" l="1"/>
  <c r="C151" i="1" s="1"/>
  <c r="D151" i="1" s="1"/>
  <c r="D153" i="1" s="1"/>
  <c r="D154" i="1" s="1"/>
  <c r="D57" i="1"/>
  <c r="B222" i="1"/>
  <c r="B223" i="1" s="1"/>
  <c r="D56" i="1"/>
  <c r="D58" i="1" s="1"/>
  <c r="C90" i="1" s="1"/>
  <c r="I242" i="1"/>
  <c r="J242" i="1" s="1"/>
  <c r="C106" i="1" l="1"/>
  <c r="E106" i="1" s="1"/>
  <c r="C83" i="1"/>
  <c r="E83" i="1" s="1"/>
  <c r="I243" i="1"/>
  <c r="J243" i="1" s="1"/>
  <c r="I244" i="1" l="1"/>
  <c r="J244" i="1" s="1"/>
  <c r="I245" i="1" l="1"/>
  <c r="J245" i="1" s="1"/>
  <c r="I246" i="1" l="1"/>
  <c r="J246" i="1" s="1"/>
  <c r="J249" i="1" l="1"/>
  <c r="J248" i="1"/>
</calcChain>
</file>

<file path=xl/sharedStrings.xml><?xml version="1.0" encoding="utf-8"?>
<sst xmlns="http://schemas.openxmlformats.org/spreadsheetml/2006/main" count="149" uniqueCount="66">
  <si>
    <t>Inv Max</t>
  </si>
  <si>
    <t>Ks</t>
  </si>
  <si>
    <t>anual</t>
  </si>
  <si>
    <t>cap mensual</t>
  </si>
  <si>
    <t>Pagaré uniqlo</t>
  </si>
  <si>
    <t>P0</t>
  </si>
  <si>
    <t>Int</t>
  </si>
  <si>
    <t>pagos trimestrales</t>
  </si>
  <si>
    <t>dividido en</t>
  </si>
  <si>
    <t>VF</t>
  </si>
  <si>
    <t>Plazo</t>
  </si>
  <si>
    <t>3 años</t>
  </si>
  <si>
    <t>cap</t>
  </si>
  <si>
    <t>semestrales</t>
  </si>
  <si>
    <t>Acciones Amazon</t>
  </si>
  <si>
    <t>num acciones</t>
  </si>
  <si>
    <t>por accion</t>
  </si>
  <si>
    <t>plazo</t>
  </si>
  <si>
    <t>4 años</t>
  </si>
  <si>
    <t>P1</t>
  </si>
  <si>
    <t>div</t>
  </si>
  <si>
    <t>semestral</t>
  </si>
  <si>
    <t>CDP Minfin</t>
  </si>
  <si>
    <t>cero cupón</t>
  </si>
  <si>
    <t>3.5 años</t>
  </si>
  <si>
    <t>Proyecto Brickell City Centre</t>
  </si>
  <si>
    <t>PERIODO</t>
  </si>
  <si>
    <t>CAP</t>
  </si>
  <si>
    <t>INT</t>
  </si>
  <si>
    <t>FC</t>
  </si>
  <si>
    <t>SALDO</t>
  </si>
  <si>
    <t>PERIODO=</t>
  </si>
  <si>
    <t>MES</t>
  </si>
  <si>
    <t>DIV</t>
  </si>
  <si>
    <t>VPN</t>
  </si>
  <si>
    <t>TIR</t>
  </si>
  <si>
    <t>AN EQ</t>
  </si>
  <si>
    <t>*tir modificada por flujos no convensionales</t>
  </si>
  <si>
    <t>TIR MODIFICADA</t>
  </si>
  <si>
    <t>No se puede</t>
  </si>
  <si>
    <t>Puesto a que la suma de los desembolsos es aproxiamadamente 26 millones, y la inversión máxima es 15 millones, los proyectos son mutuamente excluyentes por lo que se deben comparar utilizando los siguientes criterios: que tir &gt;= Ts y que la anualidad equivalente sea alta respecto de los demás proyectos, no todos se podrán realizar.</t>
  </si>
  <si>
    <t>proyecto</t>
  </si>
  <si>
    <t>uniqlo</t>
  </si>
  <si>
    <t>amazon</t>
  </si>
  <si>
    <t>muffin</t>
  </si>
  <si>
    <t>brickell</t>
  </si>
  <si>
    <t>tir</t>
  </si>
  <si>
    <t>Ts</t>
  </si>
  <si>
    <t>?</t>
  </si>
  <si>
    <t>An eq</t>
  </si>
  <si>
    <t>Realizar Uniqlo y Brickel, los demás proyectos no son rentables y exceden la inversión inicial.</t>
  </si>
  <si>
    <t>Cuando se tiene fondos no limitados significa que son proyectos independientes y para eso únicamente se deben ver en cuáles el tir es mayor o igual al costo de oportunidad.</t>
  </si>
  <si>
    <t>por preferencia</t>
  </si>
  <si>
    <t>PRD UNIQLO</t>
  </si>
  <si>
    <t>VP</t>
  </si>
  <si>
    <t>PRD DE MESES</t>
  </si>
  <si>
    <t>PRD AÑOS</t>
  </si>
  <si>
    <t>TASA DE CRUCE</t>
  </si>
  <si>
    <t>AMAZON</t>
  </si>
  <si>
    <t>BRICKEL</t>
  </si>
  <si>
    <t>dif</t>
  </si>
  <si>
    <t>Daría lo mismo invertir en los dos si la tasa fuese 7%.</t>
  </si>
  <si>
    <t>PRECIO</t>
  </si>
  <si>
    <t>Tendría que ser a un precio de 97%</t>
  </si>
  <si>
    <t>El rendimiento mientras mantuvo la inversion es del 15.78%</t>
  </si>
  <si>
    <t>Para la persona que lo compró el rendimiento es negativo y pierde.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</si>
</sst>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4" fontId="0" fillId="0" borderId="0" xfId="0" applyNumberFormat="1"/>
    <xf numFmtId="4" fontId="3" fillId="0" borderId="0" xfId="0" applyNumberFormat="1" applyFont="1"/>
    <xf numFmtId="10" fontId="0" fillId="0" borderId="0" xfId="0" applyNumberFormat="1"/>
    <xf numFmtId="0" fontId="2" fillId="0" borderId="0" xfId="0" applyFont="1"/>
    <xf numFmtId="3" fontId="0" fillId="0" borderId="0" xfId="0" applyNumberFormat="1"/>
    <xf numFmtId="9" fontId="0" fillId="0" borderId="0" xfId="0" applyNumberFormat="1"/>
    <xf numFmtId="43" fontId="0" fillId="0" borderId="0" xfId="1" applyFont="1"/>
    <xf numFmtId="4" fontId="4" fillId="0" borderId="0" xfId="0" applyNumberFormat="1" applyFont="1"/>
    <xf numFmtId="3" fontId="5" fillId="0" borderId="0" xfId="0" applyNumberFormat="1" applyFont="1"/>
    <xf numFmtId="3" fontId="4" fillId="0" borderId="0" xfId="0" applyNumberFormat="1" applyFont="1"/>
    <xf numFmtId="43" fontId="0" fillId="0" borderId="0" xfId="0" applyNumberFormat="1"/>
    <xf numFmtId="4" fontId="2" fillId="0" borderId="0" xfId="0" applyNumberFormat="1" applyFont="1"/>
    <xf numFmtId="43" fontId="2" fillId="0" borderId="0" xfId="0" applyNumberFormat="1" applyFont="1"/>
    <xf numFmtId="8" fontId="0" fillId="0" borderId="0" xfId="0" applyNumberFormat="1"/>
    <xf numFmtId="9" fontId="0" fillId="0" borderId="0" xfId="2" applyFont="1"/>
    <xf numFmtId="8" fontId="2" fillId="0" borderId="0" xfId="0" applyNumberFormat="1" applyFont="1"/>
    <xf numFmtId="10" fontId="2" fillId="0" borderId="0" xfId="2" applyNumberFormat="1" applyFont="1"/>
    <xf numFmtId="0" fontId="2" fillId="2" borderId="0" xfId="0" applyFont="1" applyFill="1"/>
    <xf numFmtId="0" fontId="0" fillId="2" borderId="0" xfId="0" applyFill="1"/>
    <xf numFmtId="43" fontId="0" fillId="2" borderId="0" xfId="1" applyFont="1" applyFill="1"/>
    <xf numFmtId="0" fontId="0" fillId="0" borderId="0" xfId="0" applyFill="1"/>
    <xf numFmtId="4" fontId="0" fillId="2" borderId="0" xfId="0" applyNumberFormat="1" applyFill="1"/>
    <xf numFmtId="0" fontId="0" fillId="0" borderId="0" xfId="0" applyFont="1" applyFill="1"/>
    <xf numFmtId="0" fontId="0" fillId="0" borderId="0" xfId="0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72</xdr:row>
      <xdr:rowOff>0</xdr:rowOff>
    </xdr:from>
    <xdr:to>
      <xdr:col>8</xdr:col>
      <xdr:colOff>601145</xdr:colOff>
      <xdr:row>74</xdr:row>
      <xdr:rowOff>66737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7BF4BD-278C-461C-9950-3FCD830ED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754100"/>
          <a:ext cx="7668695" cy="4477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9</xdr:col>
      <xdr:colOff>96335</xdr:colOff>
      <xdr:row>98</xdr:row>
      <xdr:rowOff>47685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364E4F-2162-4BF3-8D1B-F5FF1E06D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326100"/>
          <a:ext cx="7773485" cy="428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38100</xdr:rowOff>
    </xdr:from>
    <xdr:to>
      <xdr:col>6</xdr:col>
      <xdr:colOff>162723</xdr:colOff>
      <xdr:row>111</xdr:row>
      <xdr:rowOff>66706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1CFD95-7704-4C18-83DD-13FDDFF2D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1031200"/>
          <a:ext cx="5715798" cy="219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9</xdr:col>
      <xdr:colOff>20124</xdr:colOff>
      <xdr:row>158</xdr:row>
      <xdr:rowOff>57211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4EC116-65DA-496F-936A-44620E141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9756100"/>
          <a:ext cx="7697274" cy="4382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215</xdr:row>
      <xdr:rowOff>142875</xdr:rowOff>
    </xdr:from>
    <xdr:to>
      <xdr:col>8</xdr:col>
      <xdr:colOff>591619</xdr:colOff>
      <xdr:row>218</xdr:row>
      <xdr:rowOff>76270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F5E688-9F8D-4FBF-AD3B-EA1604195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1138475"/>
          <a:ext cx="7659169" cy="5048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9</xdr:col>
      <xdr:colOff>20124</xdr:colOff>
      <xdr:row>229</xdr:row>
      <xdr:rowOff>66764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C2A12C-8977-4063-A006-A1232DD4B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3091100"/>
          <a:ext cx="7697274" cy="638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276"/>
  <sheetViews>
    <sheetView tabSelected="1" topLeftCell="A10" zoomScale="81" workbookViewId="0">
      <selection activeCell="E24" sqref="E24"/>
    </sheetView>
  </sheetViews>
  <sheetFormatPr defaultRowHeight="15" x14ac:dyDescent="0.25"/>
  <cols>
    <col min="2" max="3" width="14.28515625" bestFit="1" customWidth="1"/>
    <col min="4" max="4" width="17.140625" customWidth="1"/>
    <col min="5" max="5" width="19.28515625" customWidth="1"/>
    <col min="8" max="8" width="13.5703125" customWidth="1"/>
    <col min="10" max="10" width="12.85546875" bestFit="1" customWidth="1"/>
    <col min="11" max="11" width="17.7109375" customWidth="1"/>
    <col min="15" max="15" width="13.5703125" bestFit="1" customWidth="1"/>
    <col min="16" max="16" width="13.28515625" bestFit="1" customWidth="1"/>
    <col min="17" max="17" width="12.42578125" bestFit="1" customWidth="1"/>
    <col min="18" max="18" width="11.7109375" bestFit="1" customWidth="1"/>
    <col min="21" max="21" width="15.28515625" customWidth="1"/>
    <col min="22" max="22" width="15.7109375" customWidth="1"/>
    <col min="24" max="24" width="12.42578125" bestFit="1" customWidth="1"/>
    <col min="25" max="25" width="11.7109375" bestFit="1" customWidth="1"/>
  </cols>
  <sheetData>
    <row r="2" spans="1:25" ht="15.75" x14ac:dyDescent="0.25">
      <c r="A2" t="s">
        <v>0</v>
      </c>
      <c r="B2" s="2">
        <v>15000000</v>
      </c>
    </row>
    <row r="3" spans="1:25" x14ac:dyDescent="0.25">
      <c r="A3" t="s">
        <v>1</v>
      </c>
      <c r="B3" s="3">
        <v>8.5000000000000006E-2</v>
      </c>
      <c r="C3" t="s">
        <v>2</v>
      </c>
      <c r="D3" s="4" t="s">
        <v>3</v>
      </c>
      <c r="F3" t="s">
        <v>31</v>
      </c>
      <c r="G3" t="s">
        <v>32</v>
      </c>
      <c r="H3">
        <v>12</v>
      </c>
    </row>
    <row r="6" spans="1:25" x14ac:dyDescent="0.25">
      <c r="A6" s="4" t="s">
        <v>4</v>
      </c>
      <c r="H6" s="4" t="s">
        <v>14</v>
      </c>
      <c r="N6" s="4" t="s">
        <v>22</v>
      </c>
      <c r="P6" t="s">
        <v>23</v>
      </c>
      <c r="U6" s="4" t="s">
        <v>25</v>
      </c>
    </row>
    <row r="7" spans="1:25" ht="15.75" x14ac:dyDescent="0.25">
      <c r="A7" t="s">
        <v>5</v>
      </c>
      <c r="B7" s="3">
        <v>1.0465</v>
      </c>
      <c r="H7" t="s">
        <v>15</v>
      </c>
      <c r="I7" s="5">
        <v>75000</v>
      </c>
      <c r="N7" t="s">
        <v>9</v>
      </c>
      <c r="O7" s="2">
        <v>8500000</v>
      </c>
      <c r="U7" t="s">
        <v>17</v>
      </c>
      <c r="V7" t="s">
        <v>18</v>
      </c>
    </row>
    <row r="8" spans="1:25" ht="15.75" x14ac:dyDescent="0.25">
      <c r="A8" t="s">
        <v>6</v>
      </c>
      <c r="B8" s="3">
        <v>0.12720000000000001</v>
      </c>
      <c r="C8" t="s">
        <v>2</v>
      </c>
      <c r="D8" t="s">
        <v>8</v>
      </c>
      <c r="E8" t="s">
        <v>7</v>
      </c>
      <c r="H8" t="s">
        <v>5</v>
      </c>
      <c r="I8">
        <v>85</v>
      </c>
      <c r="J8" t="s">
        <v>16</v>
      </c>
      <c r="N8" t="s">
        <v>17</v>
      </c>
      <c r="O8" t="s">
        <v>24</v>
      </c>
      <c r="U8" t="s">
        <v>9</v>
      </c>
      <c r="V8" s="2">
        <v>6200000</v>
      </c>
    </row>
    <row r="9" spans="1:25" ht="15.75" x14ac:dyDescent="0.25">
      <c r="A9" t="s">
        <v>9</v>
      </c>
      <c r="B9" s="2">
        <v>6750000</v>
      </c>
      <c r="H9" t="s">
        <v>17</v>
      </c>
      <c r="I9" t="s">
        <v>18</v>
      </c>
      <c r="N9" t="s">
        <v>5</v>
      </c>
      <c r="O9" s="6">
        <v>0.77</v>
      </c>
    </row>
    <row r="10" spans="1:25" x14ac:dyDescent="0.25">
      <c r="A10" t="s">
        <v>10</v>
      </c>
      <c r="B10" t="s">
        <v>11</v>
      </c>
      <c r="H10" t="s">
        <v>19</v>
      </c>
      <c r="I10">
        <v>95.3</v>
      </c>
      <c r="J10" t="s">
        <v>16</v>
      </c>
    </row>
    <row r="11" spans="1:25" x14ac:dyDescent="0.25">
      <c r="A11" t="s">
        <v>12</v>
      </c>
      <c r="B11" t="s">
        <v>13</v>
      </c>
      <c r="H11" t="s">
        <v>20</v>
      </c>
      <c r="I11">
        <v>2.7</v>
      </c>
      <c r="J11" t="s">
        <v>21</v>
      </c>
      <c r="K11" t="s">
        <v>16</v>
      </c>
      <c r="O11">
        <f>3.5*12</f>
        <v>42</v>
      </c>
    </row>
    <row r="13" spans="1:25" x14ac:dyDescent="0.25">
      <c r="B13" s="12">
        <f>B2</f>
        <v>15000000</v>
      </c>
      <c r="C13" s="13">
        <f>-D17-K17-P17-V17</f>
        <v>26183875</v>
      </c>
      <c r="D13" s="4" t="str">
        <f>IF(C13&lt;=B13,"Complementarios","Mutuamente excluyentes")</f>
        <v>Mutuamente excluyentes</v>
      </c>
      <c r="I13">
        <f>4*12</f>
        <v>48</v>
      </c>
    </row>
    <row r="16" spans="1:25" x14ac:dyDescent="0.25">
      <c r="A16" t="s">
        <v>26</v>
      </c>
      <c r="B16" t="s">
        <v>27</v>
      </c>
      <c r="C16" t="s">
        <v>28</v>
      </c>
      <c r="D16" t="s">
        <v>29</v>
      </c>
      <c r="E16" t="s">
        <v>30</v>
      </c>
      <c r="H16" s="4" t="s">
        <v>26</v>
      </c>
      <c r="I16" s="4" t="s">
        <v>27</v>
      </c>
      <c r="J16" s="4" t="s">
        <v>33</v>
      </c>
      <c r="K16" s="4" t="s">
        <v>29</v>
      </c>
      <c r="L16" s="4" t="s">
        <v>30</v>
      </c>
      <c r="N16" s="4" t="s">
        <v>26</v>
      </c>
      <c r="O16" s="4" t="s">
        <v>27</v>
      </c>
      <c r="P16" s="4" t="s">
        <v>29</v>
      </c>
      <c r="Q16" s="4" t="s">
        <v>30</v>
      </c>
      <c r="U16" s="4" t="s">
        <v>26</v>
      </c>
      <c r="V16" s="4" t="s">
        <v>29</v>
      </c>
      <c r="W16" s="4"/>
      <c r="Y16" s="4"/>
    </row>
    <row r="17" spans="1:25" x14ac:dyDescent="0.25">
      <c r="A17">
        <v>0</v>
      </c>
      <c r="D17">
        <f>-B7*B9</f>
        <v>-7063875</v>
      </c>
      <c r="E17" s="1">
        <f>B9</f>
        <v>6750000</v>
      </c>
      <c r="H17">
        <v>0</v>
      </c>
      <c r="K17">
        <f>-I7*I8</f>
        <v>-6375000</v>
      </c>
      <c r="L17">
        <f>I7*I10</f>
        <v>7147500</v>
      </c>
      <c r="N17">
        <v>0</v>
      </c>
      <c r="P17" s="1">
        <f>-O7*O9</f>
        <v>-6545000</v>
      </c>
      <c r="Q17" s="1">
        <f>O7</f>
        <v>8500000</v>
      </c>
      <c r="U17">
        <v>0</v>
      </c>
      <c r="V17" s="7">
        <f>-V8</f>
        <v>-6200000</v>
      </c>
      <c r="Y17" s="1"/>
    </row>
    <row r="18" spans="1:25" x14ac:dyDescent="0.25">
      <c r="A18">
        <v>1</v>
      </c>
      <c r="C18">
        <f t="shared" ref="C18:C24" si="0">E17*$B$8/$H$3</f>
        <v>71550</v>
      </c>
      <c r="D18">
        <f>SUM(B18:C18)</f>
        <v>71550</v>
      </c>
      <c r="E18" s="1">
        <f>E17-B18</f>
        <v>6750000</v>
      </c>
      <c r="H18">
        <v>1</v>
      </c>
      <c r="K18">
        <f>SUM(I18:J18)</f>
        <v>0</v>
      </c>
      <c r="L18">
        <f>L17-I18</f>
        <v>7147500</v>
      </c>
      <c r="N18">
        <v>1</v>
      </c>
      <c r="P18">
        <f t="shared" ref="P18:P59" si="1">SUM(O18:O18)</f>
        <v>0</v>
      </c>
      <c r="Q18" s="1">
        <f>Q17-O18</f>
        <v>8500000</v>
      </c>
      <c r="U18">
        <v>1</v>
      </c>
      <c r="V18" s="7">
        <v>0</v>
      </c>
    </row>
    <row r="19" spans="1:25" x14ac:dyDescent="0.25">
      <c r="A19">
        <v>2</v>
      </c>
      <c r="C19">
        <f t="shared" si="0"/>
        <v>71550</v>
      </c>
      <c r="D19">
        <f t="shared" ref="D19:D53" si="2">SUM(B19:C19)</f>
        <v>71550</v>
      </c>
      <c r="E19" s="1">
        <f t="shared" ref="E19:E53" si="3">E18-B19</f>
        <v>6750000</v>
      </c>
      <c r="H19">
        <v>2</v>
      </c>
      <c r="K19">
        <f t="shared" ref="K19:K65" si="4">SUM(I19:J19)</f>
        <v>0</v>
      </c>
      <c r="L19">
        <f t="shared" ref="L19:L65" si="5">L18-I19</f>
        <v>7147500</v>
      </c>
      <c r="N19">
        <v>2</v>
      </c>
      <c r="P19">
        <f t="shared" si="1"/>
        <v>0</v>
      </c>
      <c r="Q19" s="1">
        <f t="shared" ref="Q19:Q59" si="6">Q18-O19</f>
        <v>8500000</v>
      </c>
      <c r="U19">
        <v>2</v>
      </c>
      <c r="V19" s="7">
        <v>0</v>
      </c>
    </row>
    <row r="20" spans="1:25" x14ac:dyDescent="0.25">
      <c r="A20">
        <v>3</v>
      </c>
      <c r="C20">
        <f t="shared" si="0"/>
        <v>71550</v>
      </c>
      <c r="D20">
        <f t="shared" si="2"/>
        <v>71550</v>
      </c>
      <c r="E20" s="1">
        <f t="shared" si="3"/>
        <v>6750000</v>
      </c>
      <c r="H20">
        <v>3</v>
      </c>
      <c r="K20">
        <f t="shared" si="4"/>
        <v>0</v>
      </c>
      <c r="L20">
        <f t="shared" si="5"/>
        <v>7147500</v>
      </c>
      <c r="N20">
        <v>3</v>
      </c>
      <c r="P20">
        <f t="shared" si="1"/>
        <v>0</v>
      </c>
      <c r="Q20" s="1">
        <f t="shared" si="6"/>
        <v>8500000</v>
      </c>
      <c r="U20">
        <v>3</v>
      </c>
      <c r="V20" s="7">
        <v>0</v>
      </c>
    </row>
    <row r="21" spans="1:25" x14ac:dyDescent="0.25">
      <c r="A21">
        <v>4</v>
      </c>
      <c r="C21">
        <f t="shared" si="0"/>
        <v>71550</v>
      </c>
      <c r="D21">
        <f t="shared" si="2"/>
        <v>71550</v>
      </c>
      <c r="E21" s="1">
        <f t="shared" si="3"/>
        <v>6750000</v>
      </c>
      <c r="H21">
        <v>4</v>
      </c>
      <c r="K21">
        <f t="shared" si="4"/>
        <v>0</v>
      </c>
      <c r="L21">
        <f t="shared" si="5"/>
        <v>7147500</v>
      </c>
      <c r="N21">
        <v>4</v>
      </c>
      <c r="P21">
        <f t="shared" si="1"/>
        <v>0</v>
      </c>
      <c r="Q21" s="1">
        <f t="shared" si="6"/>
        <v>8500000</v>
      </c>
      <c r="U21">
        <v>4</v>
      </c>
      <c r="V21" s="7">
        <v>0</v>
      </c>
    </row>
    <row r="22" spans="1:25" x14ac:dyDescent="0.25">
      <c r="A22">
        <v>5</v>
      </c>
      <c r="C22">
        <f t="shared" si="0"/>
        <v>71550</v>
      </c>
      <c r="D22">
        <f t="shared" si="2"/>
        <v>71550</v>
      </c>
      <c r="E22" s="1">
        <f t="shared" si="3"/>
        <v>6750000</v>
      </c>
      <c r="H22">
        <v>5</v>
      </c>
      <c r="K22">
        <f t="shared" si="4"/>
        <v>0</v>
      </c>
      <c r="L22">
        <f t="shared" si="5"/>
        <v>7147500</v>
      </c>
      <c r="N22">
        <v>5</v>
      </c>
      <c r="P22">
        <f t="shared" si="1"/>
        <v>0</v>
      </c>
      <c r="Q22" s="1">
        <f t="shared" si="6"/>
        <v>8500000</v>
      </c>
      <c r="U22">
        <v>5</v>
      </c>
      <c r="V22" s="7">
        <v>0</v>
      </c>
    </row>
    <row r="23" spans="1:25" x14ac:dyDescent="0.25">
      <c r="A23">
        <v>6</v>
      </c>
      <c r="B23">
        <f>$B$9/6</f>
        <v>1125000</v>
      </c>
      <c r="C23">
        <f t="shared" si="0"/>
        <v>71550</v>
      </c>
      <c r="D23">
        <f t="shared" si="2"/>
        <v>1196550</v>
      </c>
      <c r="E23" s="1">
        <f t="shared" si="3"/>
        <v>5625000</v>
      </c>
      <c r="H23">
        <v>6</v>
      </c>
      <c r="J23">
        <f>$I$11*$I$7</f>
        <v>202500</v>
      </c>
      <c r="K23">
        <f t="shared" si="4"/>
        <v>202500</v>
      </c>
      <c r="L23">
        <f t="shared" si="5"/>
        <v>7147500</v>
      </c>
      <c r="N23">
        <v>6</v>
      </c>
      <c r="P23">
        <f t="shared" si="1"/>
        <v>0</v>
      </c>
      <c r="Q23" s="1">
        <f t="shared" si="6"/>
        <v>8500000</v>
      </c>
      <c r="U23">
        <v>6</v>
      </c>
      <c r="V23" s="7">
        <v>885000</v>
      </c>
    </row>
    <row r="24" spans="1:25" x14ac:dyDescent="0.25">
      <c r="A24">
        <v>7</v>
      </c>
      <c r="C24">
        <f t="shared" si="0"/>
        <v>59625</v>
      </c>
      <c r="D24">
        <f t="shared" si="2"/>
        <v>59625</v>
      </c>
      <c r="E24" s="1">
        <f t="shared" si="3"/>
        <v>5625000</v>
      </c>
      <c r="H24">
        <v>7</v>
      </c>
      <c r="K24">
        <f t="shared" si="4"/>
        <v>0</v>
      </c>
      <c r="L24">
        <f t="shared" si="5"/>
        <v>7147500</v>
      </c>
      <c r="N24">
        <v>7</v>
      </c>
      <c r="P24">
        <f t="shared" si="1"/>
        <v>0</v>
      </c>
      <c r="Q24" s="1">
        <f t="shared" si="6"/>
        <v>8500000</v>
      </c>
      <c r="U24">
        <v>7</v>
      </c>
      <c r="V24" s="7">
        <v>0</v>
      </c>
    </row>
    <row r="25" spans="1:25" x14ac:dyDescent="0.25">
      <c r="A25">
        <v>8</v>
      </c>
      <c r="C25">
        <f t="shared" ref="C25:C53" si="7">E24*$B$8/$H$3</f>
        <v>59625</v>
      </c>
      <c r="D25">
        <f t="shared" si="2"/>
        <v>59625</v>
      </c>
      <c r="E25" s="1">
        <f t="shared" si="3"/>
        <v>5625000</v>
      </c>
      <c r="H25">
        <v>8</v>
      </c>
      <c r="K25">
        <f t="shared" si="4"/>
        <v>0</v>
      </c>
      <c r="L25">
        <f t="shared" si="5"/>
        <v>7147500</v>
      </c>
      <c r="N25">
        <v>8</v>
      </c>
      <c r="P25">
        <f t="shared" si="1"/>
        <v>0</v>
      </c>
      <c r="Q25" s="1">
        <f t="shared" si="6"/>
        <v>8500000</v>
      </c>
      <c r="U25">
        <v>8</v>
      </c>
      <c r="V25" s="7">
        <v>0</v>
      </c>
    </row>
    <row r="26" spans="1:25" x14ac:dyDescent="0.25">
      <c r="A26">
        <v>9</v>
      </c>
      <c r="C26">
        <f t="shared" si="7"/>
        <v>59625</v>
      </c>
      <c r="D26">
        <f t="shared" si="2"/>
        <v>59625</v>
      </c>
      <c r="E26" s="1">
        <f t="shared" si="3"/>
        <v>5625000</v>
      </c>
      <c r="H26">
        <v>9</v>
      </c>
      <c r="K26">
        <f t="shared" si="4"/>
        <v>0</v>
      </c>
      <c r="L26">
        <f t="shared" si="5"/>
        <v>7147500</v>
      </c>
      <c r="N26">
        <v>9</v>
      </c>
      <c r="P26">
        <f t="shared" si="1"/>
        <v>0</v>
      </c>
      <c r="Q26" s="1">
        <f t="shared" si="6"/>
        <v>8500000</v>
      </c>
      <c r="U26">
        <v>9</v>
      </c>
      <c r="V26" s="7">
        <v>0</v>
      </c>
    </row>
    <row r="27" spans="1:25" x14ac:dyDescent="0.25">
      <c r="A27">
        <v>10</v>
      </c>
      <c r="C27">
        <f t="shared" si="7"/>
        <v>59625</v>
      </c>
      <c r="D27">
        <f t="shared" si="2"/>
        <v>59625</v>
      </c>
      <c r="E27" s="1">
        <f t="shared" si="3"/>
        <v>5625000</v>
      </c>
      <c r="H27">
        <v>10</v>
      </c>
      <c r="K27">
        <f t="shared" si="4"/>
        <v>0</v>
      </c>
      <c r="L27">
        <f t="shared" si="5"/>
        <v>7147500</v>
      </c>
      <c r="N27">
        <v>10</v>
      </c>
      <c r="P27">
        <f t="shared" si="1"/>
        <v>0</v>
      </c>
      <c r="Q27" s="1">
        <f t="shared" si="6"/>
        <v>8500000</v>
      </c>
      <c r="U27">
        <v>10</v>
      </c>
      <c r="V27" s="7">
        <v>0</v>
      </c>
    </row>
    <row r="28" spans="1:25" x14ac:dyDescent="0.25">
      <c r="A28">
        <v>11</v>
      </c>
      <c r="C28">
        <f t="shared" si="7"/>
        <v>59625</v>
      </c>
      <c r="D28">
        <f t="shared" si="2"/>
        <v>59625</v>
      </c>
      <c r="E28" s="1">
        <f t="shared" si="3"/>
        <v>5625000</v>
      </c>
      <c r="H28">
        <v>11</v>
      </c>
      <c r="K28">
        <f t="shared" si="4"/>
        <v>0</v>
      </c>
      <c r="L28">
        <f t="shared" si="5"/>
        <v>7147500</v>
      </c>
      <c r="N28">
        <v>11</v>
      </c>
      <c r="P28">
        <f t="shared" si="1"/>
        <v>0</v>
      </c>
      <c r="Q28" s="1">
        <f t="shared" si="6"/>
        <v>8500000</v>
      </c>
      <c r="U28">
        <v>11</v>
      </c>
      <c r="V28" s="7">
        <v>0</v>
      </c>
    </row>
    <row r="29" spans="1:25" x14ac:dyDescent="0.25">
      <c r="A29">
        <v>12</v>
      </c>
      <c r="B29">
        <f>$B$9/6</f>
        <v>1125000</v>
      </c>
      <c r="C29">
        <f t="shared" si="7"/>
        <v>59625</v>
      </c>
      <c r="D29">
        <f t="shared" si="2"/>
        <v>1184625</v>
      </c>
      <c r="E29" s="1">
        <f t="shared" si="3"/>
        <v>4500000</v>
      </c>
      <c r="H29">
        <v>12</v>
      </c>
      <c r="J29">
        <f>$I$11*$I$7</f>
        <v>202500</v>
      </c>
      <c r="K29">
        <f t="shared" si="4"/>
        <v>202500</v>
      </c>
      <c r="L29">
        <f t="shared" si="5"/>
        <v>7147500</v>
      </c>
      <c r="N29">
        <v>12</v>
      </c>
      <c r="P29">
        <f t="shared" si="1"/>
        <v>0</v>
      </c>
      <c r="Q29" s="1">
        <f t="shared" si="6"/>
        <v>8500000</v>
      </c>
      <c r="U29">
        <v>12</v>
      </c>
      <c r="V29" s="7">
        <v>1035450</v>
      </c>
    </row>
    <row r="30" spans="1:25" x14ac:dyDescent="0.25">
      <c r="A30">
        <v>13</v>
      </c>
      <c r="C30">
        <f t="shared" si="7"/>
        <v>47700</v>
      </c>
      <c r="D30">
        <f t="shared" si="2"/>
        <v>47700</v>
      </c>
      <c r="E30" s="1">
        <f t="shared" si="3"/>
        <v>4500000</v>
      </c>
      <c r="H30">
        <v>13</v>
      </c>
      <c r="K30">
        <f t="shared" si="4"/>
        <v>0</v>
      </c>
      <c r="L30">
        <f t="shared" si="5"/>
        <v>7147500</v>
      </c>
      <c r="N30">
        <v>13</v>
      </c>
      <c r="P30">
        <f t="shared" si="1"/>
        <v>0</v>
      </c>
      <c r="Q30" s="1">
        <f t="shared" si="6"/>
        <v>8500000</v>
      </c>
      <c r="U30">
        <v>13</v>
      </c>
      <c r="V30" s="7">
        <v>0</v>
      </c>
    </row>
    <row r="31" spans="1:25" x14ac:dyDescent="0.25">
      <c r="A31">
        <v>14</v>
      </c>
      <c r="C31">
        <f t="shared" si="7"/>
        <v>47700</v>
      </c>
      <c r="D31">
        <f t="shared" si="2"/>
        <v>47700</v>
      </c>
      <c r="E31" s="1">
        <f t="shared" si="3"/>
        <v>4500000</v>
      </c>
      <c r="H31">
        <v>14</v>
      </c>
      <c r="K31">
        <f t="shared" si="4"/>
        <v>0</v>
      </c>
      <c r="L31">
        <f t="shared" si="5"/>
        <v>7147500</v>
      </c>
      <c r="N31">
        <v>14</v>
      </c>
      <c r="P31">
        <f t="shared" si="1"/>
        <v>0</v>
      </c>
      <c r="Q31" s="1">
        <f t="shared" si="6"/>
        <v>8500000</v>
      </c>
      <c r="U31">
        <v>14</v>
      </c>
      <c r="V31" s="7">
        <v>0</v>
      </c>
    </row>
    <row r="32" spans="1:25" x14ac:dyDescent="0.25">
      <c r="A32">
        <v>15</v>
      </c>
      <c r="C32">
        <f t="shared" si="7"/>
        <v>47700</v>
      </c>
      <c r="D32">
        <f t="shared" si="2"/>
        <v>47700</v>
      </c>
      <c r="E32" s="1">
        <f t="shared" si="3"/>
        <v>4500000</v>
      </c>
      <c r="H32">
        <v>15</v>
      </c>
      <c r="K32">
        <f t="shared" si="4"/>
        <v>0</v>
      </c>
      <c r="L32">
        <f t="shared" si="5"/>
        <v>7147500</v>
      </c>
      <c r="N32">
        <v>15</v>
      </c>
      <c r="P32">
        <f t="shared" si="1"/>
        <v>0</v>
      </c>
      <c r="Q32" s="1">
        <f t="shared" si="6"/>
        <v>8500000</v>
      </c>
      <c r="U32">
        <v>15</v>
      </c>
      <c r="V32" s="7">
        <v>0</v>
      </c>
    </row>
    <row r="33" spans="1:22" x14ac:dyDescent="0.25">
      <c r="A33">
        <v>16</v>
      </c>
      <c r="C33">
        <f t="shared" si="7"/>
        <v>47700</v>
      </c>
      <c r="D33">
        <f t="shared" si="2"/>
        <v>47700</v>
      </c>
      <c r="E33" s="1">
        <f t="shared" si="3"/>
        <v>4500000</v>
      </c>
      <c r="H33">
        <v>16</v>
      </c>
      <c r="K33">
        <f t="shared" si="4"/>
        <v>0</v>
      </c>
      <c r="L33">
        <f t="shared" si="5"/>
        <v>7147500</v>
      </c>
      <c r="N33">
        <v>16</v>
      </c>
      <c r="P33">
        <f t="shared" si="1"/>
        <v>0</v>
      </c>
      <c r="Q33" s="1">
        <f t="shared" si="6"/>
        <v>8500000</v>
      </c>
      <c r="U33">
        <v>16</v>
      </c>
      <c r="V33" s="7">
        <v>0</v>
      </c>
    </row>
    <row r="34" spans="1:22" x14ac:dyDescent="0.25">
      <c r="A34">
        <v>17</v>
      </c>
      <c r="C34">
        <f t="shared" si="7"/>
        <v>47700</v>
      </c>
      <c r="D34">
        <f t="shared" si="2"/>
        <v>47700</v>
      </c>
      <c r="E34" s="1">
        <f t="shared" si="3"/>
        <v>4500000</v>
      </c>
      <c r="H34">
        <v>17</v>
      </c>
      <c r="K34">
        <f t="shared" si="4"/>
        <v>0</v>
      </c>
      <c r="L34">
        <f t="shared" si="5"/>
        <v>7147500</v>
      </c>
      <c r="N34">
        <v>17</v>
      </c>
      <c r="P34">
        <f t="shared" si="1"/>
        <v>0</v>
      </c>
      <c r="Q34" s="1">
        <f t="shared" si="6"/>
        <v>8500000</v>
      </c>
      <c r="U34">
        <v>17</v>
      </c>
      <c r="V34" s="7">
        <v>0</v>
      </c>
    </row>
    <row r="35" spans="1:22" x14ac:dyDescent="0.25">
      <c r="A35">
        <v>18</v>
      </c>
      <c r="B35">
        <f>$B$9/6</f>
        <v>1125000</v>
      </c>
      <c r="C35">
        <f t="shared" si="7"/>
        <v>47700</v>
      </c>
      <c r="D35">
        <f t="shared" si="2"/>
        <v>1172700</v>
      </c>
      <c r="E35" s="1">
        <f t="shared" si="3"/>
        <v>3375000</v>
      </c>
      <c r="H35">
        <v>18</v>
      </c>
      <c r="J35">
        <f>$I$11*$I$7</f>
        <v>202500</v>
      </c>
      <c r="K35">
        <f t="shared" si="4"/>
        <v>202500</v>
      </c>
      <c r="L35">
        <f t="shared" si="5"/>
        <v>7147500</v>
      </c>
      <c r="N35">
        <v>18</v>
      </c>
      <c r="P35">
        <f t="shared" si="1"/>
        <v>0</v>
      </c>
      <c r="Q35" s="1">
        <f t="shared" si="6"/>
        <v>8500000</v>
      </c>
      <c r="U35">
        <v>18</v>
      </c>
      <c r="V35" s="7">
        <v>1211476.5</v>
      </c>
    </row>
    <row r="36" spans="1:22" x14ac:dyDescent="0.25">
      <c r="A36">
        <v>19</v>
      </c>
      <c r="C36">
        <f t="shared" si="7"/>
        <v>35775</v>
      </c>
      <c r="D36">
        <f t="shared" si="2"/>
        <v>35775</v>
      </c>
      <c r="E36" s="1">
        <f t="shared" si="3"/>
        <v>3375000</v>
      </c>
      <c r="H36">
        <v>19</v>
      </c>
      <c r="K36">
        <f t="shared" si="4"/>
        <v>0</v>
      </c>
      <c r="L36">
        <f t="shared" si="5"/>
        <v>7147500</v>
      </c>
      <c r="N36">
        <v>19</v>
      </c>
      <c r="P36">
        <f t="shared" si="1"/>
        <v>0</v>
      </c>
      <c r="Q36" s="1">
        <f t="shared" si="6"/>
        <v>8500000</v>
      </c>
      <c r="U36">
        <v>19</v>
      </c>
      <c r="V36" s="7">
        <v>0</v>
      </c>
    </row>
    <row r="37" spans="1:22" x14ac:dyDescent="0.25">
      <c r="A37">
        <v>20</v>
      </c>
      <c r="C37">
        <f t="shared" si="7"/>
        <v>35775</v>
      </c>
      <c r="D37">
        <f t="shared" si="2"/>
        <v>35775</v>
      </c>
      <c r="E37" s="1">
        <f t="shared" si="3"/>
        <v>3375000</v>
      </c>
      <c r="H37">
        <v>20</v>
      </c>
      <c r="K37">
        <f t="shared" si="4"/>
        <v>0</v>
      </c>
      <c r="L37">
        <f t="shared" si="5"/>
        <v>7147500</v>
      </c>
      <c r="N37">
        <v>20</v>
      </c>
      <c r="P37">
        <f t="shared" si="1"/>
        <v>0</v>
      </c>
      <c r="Q37" s="1">
        <f t="shared" si="6"/>
        <v>8500000</v>
      </c>
      <c r="U37">
        <v>20</v>
      </c>
      <c r="V37" s="7">
        <v>0</v>
      </c>
    </row>
    <row r="38" spans="1:22" x14ac:dyDescent="0.25">
      <c r="A38">
        <v>21</v>
      </c>
      <c r="C38">
        <f t="shared" si="7"/>
        <v>35775</v>
      </c>
      <c r="D38">
        <f t="shared" si="2"/>
        <v>35775</v>
      </c>
      <c r="E38" s="1">
        <f t="shared" si="3"/>
        <v>3375000</v>
      </c>
      <c r="H38">
        <v>21</v>
      </c>
      <c r="K38">
        <f t="shared" si="4"/>
        <v>0</v>
      </c>
      <c r="L38">
        <f t="shared" si="5"/>
        <v>7147500</v>
      </c>
      <c r="N38">
        <v>21</v>
      </c>
      <c r="P38">
        <f t="shared" si="1"/>
        <v>0</v>
      </c>
      <c r="Q38" s="1">
        <f t="shared" si="6"/>
        <v>8500000</v>
      </c>
      <c r="U38">
        <v>21</v>
      </c>
      <c r="V38" s="7">
        <v>0</v>
      </c>
    </row>
    <row r="39" spans="1:22" x14ac:dyDescent="0.25">
      <c r="A39">
        <v>22</v>
      </c>
      <c r="C39">
        <f t="shared" si="7"/>
        <v>35775</v>
      </c>
      <c r="D39">
        <f t="shared" si="2"/>
        <v>35775</v>
      </c>
      <c r="E39" s="1">
        <f t="shared" si="3"/>
        <v>3375000</v>
      </c>
      <c r="H39">
        <v>22</v>
      </c>
      <c r="K39">
        <f t="shared" si="4"/>
        <v>0</v>
      </c>
      <c r="L39">
        <f t="shared" si="5"/>
        <v>7147500</v>
      </c>
      <c r="N39">
        <v>22</v>
      </c>
      <c r="P39">
        <f t="shared" si="1"/>
        <v>0</v>
      </c>
      <c r="Q39" s="1">
        <f t="shared" si="6"/>
        <v>8500000</v>
      </c>
      <c r="U39">
        <v>22</v>
      </c>
      <c r="V39" s="7">
        <v>0</v>
      </c>
    </row>
    <row r="40" spans="1:22" x14ac:dyDescent="0.25">
      <c r="A40">
        <v>23</v>
      </c>
      <c r="C40">
        <f t="shared" si="7"/>
        <v>35775</v>
      </c>
      <c r="D40">
        <f t="shared" si="2"/>
        <v>35775</v>
      </c>
      <c r="E40" s="1">
        <f t="shared" si="3"/>
        <v>3375000</v>
      </c>
      <c r="H40">
        <v>23</v>
      </c>
      <c r="K40">
        <f t="shared" si="4"/>
        <v>0</v>
      </c>
      <c r="L40">
        <f t="shared" si="5"/>
        <v>7147500</v>
      </c>
      <c r="N40">
        <v>23</v>
      </c>
      <c r="P40">
        <f t="shared" si="1"/>
        <v>0</v>
      </c>
      <c r="Q40" s="1">
        <f t="shared" si="6"/>
        <v>8500000</v>
      </c>
      <c r="U40">
        <v>23</v>
      </c>
      <c r="V40" s="7">
        <v>0</v>
      </c>
    </row>
    <row r="41" spans="1:22" x14ac:dyDescent="0.25">
      <c r="A41">
        <v>24</v>
      </c>
      <c r="B41">
        <f>$B$9/6</f>
        <v>1125000</v>
      </c>
      <c r="C41">
        <f t="shared" si="7"/>
        <v>35775</v>
      </c>
      <c r="D41">
        <f t="shared" si="2"/>
        <v>1160775</v>
      </c>
      <c r="E41" s="1">
        <f t="shared" si="3"/>
        <v>2250000</v>
      </c>
      <c r="H41">
        <v>24</v>
      </c>
      <c r="J41">
        <f>$I$11*$I$7</f>
        <v>202500</v>
      </c>
      <c r="K41">
        <f t="shared" si="4"/>
        <v>202500</v>
      </c>
      <c r="L41">
        <f t="shared" si="5"/>
        <v>7147500</v>
      </c>
      <c r="N41">
        <v>24</v>
      </c>
      <c r="P41">
        <f t="shared" si="1"/>
        <v>0</v>
      </c>
      <c r="Q41" s="1">
        <f t="shared" si="6"/>
        <v>8500000</v>
      </c>
      <c r="U41">
        <v>24</v>
      </c>
      <c r="V41" s="8">
        <v>1417427.51</v>
      </c>
    </row>
    <row r="42" spans="1:22" x14ac:dyDescent="0.25">
      <c r="A42">
        <v>25</v>
      </c>
      <c r="C42">
        <f t="shared" si="7"/>
        <v>23850</v>
      </c>
      <c r="D42">
        <f t="shared" si="2"/>
        <v>23850</v>
      </c>
      <c r="E42" s="1">
        <f t="shared" si="3"/>
        <v>2250000</v>
      </c>
      <c r="H42">
        <v>25</v>
      </c>
      <c r="K42">
        <f t="shared" si="4"/>
        <v>0</v>
      </c>
      <c r="L42">
        <f t="shared" si="5"/>
        <v>7147500</v>
      </c>
      <c r="N42">
        <v>25</v>
      </c>
      <c r="P42">
        <f t="shared" si="1"/>
        <v>0</v>
      </c>
      <c r="Q42" s="1">
        <f t="shared" si="6"/>
        <v>8500000</v>
      </c>
      <c r="U42">
        <v>25</v>
      </c>
      <c r="V42" s="7">
        <v>0</v>
      </c>
    </row>
    <row r="43" spans="1:22" x14ac:dyDescent="0.25">
      <c r="A43">
        <v>26</v>
      </c>
      <c r="C43">
        <f t="shared" si="7"/>
        <v>23850</v>
      </c>
      <c r="D43">
        <f t="shared" si="2"/>
        <v>23850</v>
      </c>
      <c r="E43" s="1">
        <f t="shared" si="3"/>
        <v>2250000</v>
      </c>
      <c r="H43">
        <v>26</v>
      </c>
      <c r="K43">
        <f t="shared" si="4"/>
        <v>0</v>
      </c>
      <c r="L43">
        <f t="shared" si="5"/>
        <v>7147500</v>
      </c>
      <c r="N43">
        <v>26</v>
      </c>
      <c r="P43">
        <f t="shared" si="1"/>
        <v>0</v>
      </c>
      <c r="Q43" s="1">
        <f t="shared" si="6"/>
        <v>8500000</v>
      </c>
      <c r="U43">
        <v>26</v>
      </c>
      <c r="V43" s="7">
        <v>0</v>
      </c>
    </row>
    <row r="44" spans="1:22" x14ac:dyDescent="0.25">
      <c r="A44">
        <v>27</v>
      </c>
      <c r="C44">
        <f t="shared" si="7"/>
        <v>23850</v>
      </c>
      <c r="D44">
        <f t="shared" si="2"/>
        <v>23850</v>
      </c>
      <c r="E44" s="1">
        <f t="shared" si="3"/>
        <v>2250000</v>
      </c>
      <c r="H44">
        <v>27</v>
      </c>
      <c r="K44">
        <f t="shared" si="4"/>
        <v>0</v>
      </c>
      <c r="L44">
        <f t="shared" si="5"/>
        <v>7147500</v>
      </c>
      <c r="N44">
        <v>27</v>
      </c>
      <c r="P44">
        <f t="shared" si="1"/>
        <v>0</v>
      </c>
      <c r="Q44" s="1">
        <f t="shared" si="6"/>
        <v>8500000</v>
      </c>
      <c r="U44">
        <v>27</v>
      </c>
      <c r="V44" s="7">
        <v>0</v>
      </c>
    </row>
    <row r="45" spans="1:22" x14ac:dyDescent="0.25">
      <c r="A45">
        <v>28</v>
      </c>
      <c r="C45">
        <f t="shared" si="7"/>
        <v>23850</v>
      </c>
      <c r="D45">
        <f t="shared" si="2"/>
        <v>23850</v>
      </c>
      <c r="E45" s="1">
        <f t="shared" si="3"/>
        <v>2250000</v>
      </c>
      <c r="H45">
        <v>28</v>
      </c>
      <c r="K45">
        <f t="shared" si="4"/>
        <v>0</v>
      </c>
      <c r="L45">
        <f t="shared" si="5"/>
        <v>7147500</v>
      </c>
      <c r="N45">
        <v>28</v>
      </c>
      <c r="P45">
        <f t="shared" si="1"/>
        <v>0</v>
      </c>
      <c r="Q45" s="1">
        <f t="shared" si="6"/>
        <v>8500000</v>
      </c>
      <c r="U45">
        <v>28</v>
      </c>
      <c r="V45" s="7">
        <v>0</v>
      </c>
    </row>
    <row r="46" spans="1:22" x14ac:dyDescent="0.25">
      <c r="A46">
        <v>29</v>
      </c>
      <c r="C46">
        <f t="shared" si="7"/>
        <v>23850</v>
      </c>
      <c r="D46">
        <f t="shared" si="2"/>
        <v>23850</v>
      </c>
      <c r="E46" s="1">
        <f t="shared" si="3"/>
        <v>2250000</v>
      </c>
      <c r="H46">
        <v>29</v>
      </c>
      <c r="K46">
        <f t="shared" si="4"/>
        <v>0</v>
      </c>
      <c r="L46">
        <f t="shared" si="5"/>
        <v>7147500</v>
      </c>
      <c r="N46">
        <v>29</v>
      </c>
      <c r="P46">
        <f t="shared" si="1"/>
        <v>0</v>
      </c>
      <c r="Q46" s="1">
        <f t="shared" si="6"/>
        <v>8500000</v>
      </c>
      <c r="U46">
        <v>29</v>
      </c>
      <c r="V46" s="7">
        <v>0</v>
      </c>
    </row>
    <row r="47" spans="1:22" x14ac:dyDescent="0.25">
      <c r="A47">
        <v>30</v>
      </c>
      <c r="B47">
        <f>$B$9/6</f>
        <v>1125000</v>
      </c>
      <c r="C47">
        <f t="shared" si="7"/>
        <v>23850</v>
      </c>
      <c r="D47">
        <f t="shared" si="2"/>
        <v>1148850</v>
      </c>
      <c r="E47" s="1">
        <f t="shared" si="3"/>
        <v>1125000</v>
      </c>
      <c r="H47">
        <v>30</v>
      </c>
      <c r="J47">
        <f>$I$11*$I$7</f>
        <v>202500</v>
      </c>
      <c r="K47">
        <f t="shared" si="4"/>
        <v>202500</v>
      </c>
      <c r="L47">
        <f t="shared" si="5"/>
        <v>7147500</v>
      </c>
      <c r="N47">
        <v>30</v>
      </c>
      <c r="P47">
        <f t="shared" si="1"/>
        <v>0</v>
      </c>
      <c r="Q47" s="1">
        <f t="shared" si="6"/>
        <v>8500000</v>
      </c>
      <c r="U47">
        <v>30</v>
      </c>
      <c r="V47" s="8">
        <v>1658390.18</v>
      </c>
    </row>
    <row r="48" spans="1:22" x14ac:dyDescent="0.25">
      <c r="A48">
        <v>31</v>
      </c>
      <c r="C48">
        <f t="shared" si="7"/>
        <v>11925</v>
      </c>
      <c r="D48">
        <f t="shared" si="2"/>
        <v>11925</v>
      </c>
      <c r="E48" s="1">
        <f t="shared" si="3"/>
        <v>1125000</v>
      </c>
      <c r="H48">
        <v>31</v>
      </c>
      <c r="K48">
        <f t="shared" si="4"/>
        <v>0</v>
      </c>
      <c r="L48">
        <f t="shared" si="5"/>
        <v>7147500</v>
      </c>
      <c r="N48">
        <v>31</v>
      </c>
      <c r="P48">
        <f t="shared" si="1"/>
        <v>0</v>
      </c>
      <c r="Q48" s="1">
        <f t="shared" si="6"/>
        <v>8500000</v>
      </c>
      <c r="U48">
        <v>31</v>
      </c>
      <c r="V48" s="7">
        <v>0</v>
      </c>
    </row>
    <row r="49" spans="1:22" x14ac:dyDescent="0.25">
      <c r="A49">
        <v>32</v>
      </c>
      <c r="C49">
        <f t="shared" si="7"/>
        <v>11925</v>
      </c>
      <c r="D49">
        <f t="shared" si="2"/>
        <v>11925</v>
      </c>
      <c r="E49" s="1">
        <f t="shared" si="3"/>
        <v>1125000</v>
      </c>
      <c r="H49">
        <v>32</v>
      </c>
      <c r="K49">
        <f t="shared" si="4"/>
        <v>0</v>
      </c>
      <c r="L49">
        <f t="shared" si="5"/>
        <v>7147500</v>
      </c>
      <c r="N49">
        <v>32</v>
      </c>
      <c r="P49">
        <f t="shared" si="1"/>
        <v>0</v>
      </c>
      <c r="Q49" s="1">
        <f t="shared" si="6"/>
        <v>8500000</v>
      </c>
      <c r="U49">
        <v>32</v>
      </c>
      <c r="V49" s="7">
        <v>0</v>
      </c>
    </row>
    <row r="50" spans="1:22" x14ac:dyDescent="0.25">
      <c r="A50">
        <v>33</v>
      </c>
      <c r="C50">
        <f t="shared" si="7"/>
        <v>11925</v>
      </c>
      <c r="D50">
        <f t="shared" si="2"/>
        <v>11925</v>
      </c>
      <c r="E50" s="1">
        <f t="shared" si="3"/>
        <v>1125000</v>
      </c>
      <c r="H50">
        <v>33</v>
      </c>
      <c r="K50">
        <f t="shared" si="4"/>
        <v>0</v>
      </c>
      <c r="L50">
        <f t="shared" si="5"/>
        <v>7147500</v>
      </c>
      <c r="N50">
        <v>33</v>
      </c>
      <c r="P50">
        <f t="shared" si="1"/>
        <v>0</v>
      </c>
      <c r="Q50" s="1">
        <f t="shared" si="6"/>
        <v>8500000</v>
      </c>
      <c r="U50">
        <v>33</v>
      </c>
      <c r="V50" s="7">
        <v>0</v>
      </c>
    </row>
    <row r="51" spans="1:22" x14ac:dyDescent="0.25">
      <c r="A51">
        <v>34</v>
      </c>
      <c r="C51">
        <f t="shared" si="7"/>
        <v>11925</v>
      </c>
      <c r="D51">
        <f t="shared" si="2"/>
        <v>11925</v>
      </c>
      <c r="E51" s="1">
        <f t="shared" si="3"/>
        <v>1125000</v>
      </c>
      <c r="H51">
        <v>34</v>
      </c>
      <c r="K51">
        <f t="shared" si="4"/>
        <v>0</v>
      </c>
      <c r="L51">
        <f t="shared" si="5"/>
        <v>7147500</v>
      </c>
      <c r="N51">
        <v>34</v>
      </c>
      <c r="P51">
        <f t="shared" si="1"/>
        <v>0</v>
      </c>
      <c r="Q51" s="1">
        <f t="shared" si="6"/>
        <v>8500000</v>
      </c>
      <c r="U51">
        <v>34</v>
      </c>
      <c r="V51" s="7">
        <v>0</v>
      </c>
    </row>
    <row r="52" spans="1:22" x14ac:dyDescent="0.25">
      <c r="A52">
        <v>35</v>
      </c>
      <c r="C52">
        <f t="shared" si="7"/>
        <v>11925</v>
      </c>
      <c r="D52">
        <f t="shared" si="2"/>
        <v>11925</v>
      </c>
      <c r="E52" s="1">
        <f t="shared" si="3"/>
        <v>1125000</v>
      </c>
      <c r="H52">
        <v>35</v>
      </c>
      <c r="K52">
        <f t="shared" si="4"/>
        <v>0</v>
      </c>
      <c r="L52">
        <f t="shared" si="5"/>
        <v>7147500</v>
      </c>
      <c r="N52">
        <v>35</v>
      </c>
      <c r="P52">
        <f t="shared" si="1"/>
        <v>0</v>
      </c>
      <c r="Q52" s="1">
        <f t="shared" si="6"/>
        <v>8500000</v>
      </c>
      <c r="U52">
        <v>35</v>
      </c>
      <c r="V52" s="7">
        <v>0</v>
      </c>
    </row>
    <row r="53" spans="1:22" x14ac:dyDescent="0.25">
      <c r="A53">
        <v>36</v>
      </c>
      <c r="B53">
        <f>$B$9/6</f>
        <v>1125000</v>
      </c>
      <c r="C53">
        <f t="shared" si="7"/>
        <v>11925</v>
      </c>
      <c r="D53">
        <f t="shared" si="2"/>
        <v>1136925</v>
      </c>
      <c r="E53" s="1">
        <f t="shared" si="3"/>
        <v>0</v>
      </c>
      <c r="H53">
        <v>36</v>
      </c>
      <c r="J53">
        <f>$I$11*$I$7</f>
        <v>202500</v>
      </c>
      <c r="K53">
        <f t="shared" si="4"/>
        <v>202500</v>
      </c>
      <c r="L53">
        <f t="shared" si="5"/>
        <v>7147500</v>
      </c>
      <c r="N53">
        <v>36</v>
      </c>
      <c r="P53">
        <f t="shared" si="1"/>
        <v>0</v>
      </c>
      <c r="Q53" s="1">
        <f t="shared" si="6"/>
        <v>8500000</v>
      </c>
      <c r="U53">
        <v>36</v>
      </c>
      <c r="V53" s="9">
        <v>-175670</v>
      </c>
    </row>
    <row r="54" spans="1:22" x14ac:dyDescent="0.25">
      <c r="H54">
        <v>37</v>
      </c>
      <c r="K54">
        <f t="shared" si="4"/>
        <v>0</v>
      </c>
      <c r="L54">
        <f t="shared" si="5"/>
        <v>7147500</v>
      </c>
      <c r="N54">
        <v>37</v>
      </c>
      <c r="P54">
        <f t="shared" si="1"/>
        <v>0</v>
      </c>
      <c r="Q54" s="1">
        <f t="shared" si="6"/>
        <v>8500000</v>
      </c>
      <c r="U54">
        <v>37</v>
      </c>
      <c r="V54" s="7">
        <v>0</v>
      </c>
    </row>
    <row r="55" spans="1:22" x14ac:dyDescent="0.25">
      <c r="H55">
        <v>38</v>
      </c>
      <c r="K55">
        <f t="shared" si="4"/>
        <v>0</v>
      </c>
      <c r="L55">
        <f t="shared" si="5"/>
        <v>7147500</v>
      </c>
      <c r="N55">
        <v>38</v>
      </c>
      <c r="P55">
        <f t="shared" si="1"/>
        <v>0</v>
      </c>
      <c r="Q55" s="1">
        <f t="shared" si="6"/>
        <v>8500000</v>
      </c>
      <c r="U55">
        <v>38</v>
      </c>
      <c r="V55" s="7">
        <v>0</v>
      </c>
    </row>
    <row r="56" spans="1:22" x14ac:dyDescent="0.25">
      <c r="C56" s="4" t="s">
        <v>34</v>
      </c>
      <c r="D56" s="16">
        <f>NPV($B$3/$H$3,D18:D53)+D17</f>
        <v>140231.27361299377</v>
      </c>
      <c r="H56">
        <v>39</v>
      </c>
      <c r="K56">
        <f t="shared" si="4"/>
        <v>0</v>
      </c>
      <c r="L56">
        <f t="shared" si="5"/>
        <v>7147500</v>
      </c>
      <c r="N56">
        <v>39</v>
      </c>
      <c r="P56">
        <f t="shared" si="1"/>
        <v>0</v>
      </c>
      <c r="Q56" s="1">
        <f t="shared" si="6"/>
        <v>8500000</v>
      </c>
      <c r="U56">
        <v>39</v>
      </c>
      <c r="V56" s="7">
        <v>0</v>
      </c>
    </row>
    <row r="57" spans="1:22" x14ac:dyDescent="0.25">
      <c r="C57" s="4" t="s">
        <v>35</v>
      </c>
      <c r="D57" s="17">
        <f>IRR(D17:D53)*H3</f>
        <v>9.763627374126127E-2</v>
      </c>
      <c r="H57">
        <v>40</v>
      </c>
      <c r="K57">
        <f t="shared" si="4"/>
        <v>0</v>
      </c>
      <c r="L57">
        <f t="shared" si="5"/>
        <v>7147500</v>
      </c>
      <c r="N57">
        <v>40</v>
      </c>
      <c r="P57">
        <f t="shared" si="1"/>
        <v>0</v>
      </c>
      <c r="Q57" s="1">
        <f t="shared" si="6"/>
        <v>8500000</v>
      </c>
      <c r="U57">
        <v>40</v>
      </c>
      <c r="V57" s="7">
        <v>0</v>
      </c>
    </row>
    <row r="58" spans="1:22" x14ac:dyDescent="0.25">
      <c r="C58" t="s">
        <v>36</v>
      </c>
      <c r="D58">
        <f>-PMT($B$3/$H$3,A53,D56)*$H$3</f>
        <v>53121.071732775577</v>
      </c>
      <c r="H58">
        <v>41</v>
      </c>
      <c r="K58">
        <f t="shared" si="4"/>
        <v>0</v>
      </c>
      <c r="L58">
        <f t="shared" si="5"/>
        <v>7147500</v>
      </c>
      <c r="N58">
        <v>41</v>
      </c>
      <c r="P58">
        <f t="shared" si="1"/>
        <v>0</v>
      </c>
      <c r="Q58" s="1">
        <f t="shared" si="6"/>
        <v>8500000</v>
      </c>
      <c r="U58">
        <v>41</v>
      </c>
      <c r="V58" s="7">
        <v>0</v>
      </c>
    </row>
    <row r="59" spans="1:22" x14ac:dyDescent="0.25">
      <c r="H59">
        <v>42</v>
      </c>
      <c r="J59">
        <f>$I$11*$I$7</f>
        <v>202500</v>
      </c>
      <c r="K59">
        <f t="shared" si="4"/>
        <v>202500</v>
      </c>
      <c r="L59">
        <f t="shared" si="5"/>
        <v>7147500</v>
      </c>
      <c r="N59">
        <v>42</v>
      </c>
      <c r="O59" s="1">
        <f>O7</f>
        <v>8500000</v>
      </c>
      <c r="P59">
        <f t="shared" si="1"/>
        <v>8500000</v>
      </c>
      <c r="Q59" s="1">
        <f t="shared" si="6"/>
        <v>0</v>
      </c>
      <c r="U59">
        <v>42</v>
      </c>
      <c r="V59" s="9">
        <v>-250000</v>
      </c>
    </row>
    <row r="60" spans="1:22" x14ac:dyDescent="0.25">
      <c r="H60">
        <v>43</v>
      </c>
      <c r="K60">
        <f t="shared" si="4"/>
        <v>0</v>
      </c>
      <c r="L60">
        <f t="shared" si="5"/>
        <v>7147500</v>
      </c>
      <c r="U60">
        <v>43</v>
      </c>
      <c r="V60" s="7">
        <v>0</v>
      </c>
    </row>
    <row r="61" spans="1:22" x14ac:dyDescent="0.25">
      <c r="H61">
        <v>44</v>
      </c>
      <c r="K61">
        <f t="shared" si="4"/>
        <v>0</v>
      </c>
      <c r="L61">
        <f t="shared" si="5"/>
        <v>7147500</v>
      </c>
      <c r="O61" s="4" t="s">
        <v>34</v>
      </c>
      <c r="P61" s="16">
        <f>NPV($B$3/$H$3,P18:P59)+P17</f>
        <v>-225659.44555530138</v>
      </c>
      <c r="U61">
        <v>44</v>
      </c>
      <c r="V61" s="7">
        <v>0</v>
      </c>
    </row>
    <row r="62" spans="1:22" x14ac:dyDescent="0.25">
      <c r="H62">
        <v>45</v>
      </c>
      <c r="K62">
        <f t="shared" si="4"/>
        <v>0</v>
      </c>
      <c r="L62">
        <f t="shared" si="5"/>
        <v>7147500</v>
      </c>
      <c r="O62" s="4" t="s">
        <v>35</v>
      </c>
      <c r="P62" s="17">
        <f>IRR(P17:P59)*$H$3</f>
        <v>7.4908481796529536E-2</v>
      </c>
      <c r="U62">
        <v>45</v>
      </c>
      <c r="V62" s="7">
        <v>0</v>
      </c>
    </row>
    <row r="63" spans="1:22" x14ac:dyDescent="0.25">
      <c r="H63">
        <v>46</v>
      </c>
      <c r="K63">
        <f t="shared" si="4"/>
        <v>0</v>
      </c>
      <c r="L63">
        <f t="shared" si="5"/>
        <v>7147500</v>
      </c>
      <c r="O63" t="s">
        <v>36</v>
      </c>
      <c r="P63">
        <f>-PMT($B$3/$H$3,N59,P61)*$H$3</f>
        <v>-74765.892375362513</v>
      </c>
      <c r="U63">
        <v>46</v>
      </c>
      <c r="V63" s="7">
        <v>0</v>
      </c>
    </row>
    <row r="64" spans="1:22" x14ac:dyDescent="0.25">
      <c r="H64">
        <v>47</v>
      </c>
      <c r="K64">
        <f t="shared" si="4"/>
        <v>0</v>
      </c>
      <c r="L64">
        <f t="shared" si="5"/>
        <v>7147500</v>
      </c>
      <c r="U64">
        <v>47</v>
      </c>
      <c r="V64" s="7">
        <v>0</v>
      </c>
    </row>
    <row r="65" spans="1:23" x14ac:dyDescent="0.25">
      <c r="H65">
        <v>48</v>
      </c>
      <c r="I65">
        <f>I7*I10</f>
        <v>7147500</v>
      </c>
      <c r="J65">
        <f>$I$11*$I$7</f>
        <v>202500</v>
      </c>
      <c r="K65">
        <f t="shared" si="4"/>
        <v>7350000</v>
      </c>
      <c r="L65">
        <f t="shared" si="5"/>
        <v>0</v>
      </c>
      <c r="U65">
        <v>48</v>
      </c>
      <c r="V65" s="10">
        <v>2100000</v>
      </c>
    </row>
    <row r="67" spans="1:23" x14ac:dyDescent="0.25">
      <c r="U67" s="4" t="s">
        <v>34</v>
      </c>
      <c r="V67" s="16">
        <f>NPV($B$3/$H$3,V18:V65)+V17</f>
        <v>379454.46888415329</v>
      </c>
    </row>
    <row r="68" spans="1:23" x14ac:dyDescent="0.25">
      <c r="J68" s="4" t="s">
        <v>34</v>
      </c>
      <c r="K68" s="16">
        <f>NPV($B$3/$H$3,K18:K65)+K17</f>
        <v>63694.221686994657</v>
      </c>
      <c r="U68" s="4" t="s">
        <v>38</v>
      </c>
      <c r="V68" s="17">
        <f>MIRR(V17:V65,B3/H3,B3/H3)</f>
        <v>8.2705054114369236E-3</v>
      </c>
      <c r="W68" s="4" t="s">
        <v>37</v>
      </c>
    </row>
    <row r="69" spans="1:23" x14ac:dyDescent="0.25">
      <c r="J69" s="4" t="s">
        <v>35</v>
      </c>
      <c r="K69" s="17">
        <f>IRR(K17:K65)*$H$3</f>
        <v>8.7773725779491052E-2</v>
      </c>
      <c r="U69" s="4" t="s">
        <v>35</v>
      </c>
      <c r="V69" s="4" t="s">
        <v>39</v>
      </c>
    </row>
    <row r="70" spans="1:23" x14ac:dyDescent="0.25">
      <c r="J70" t="s">
        <v>36</v>
      </c>
      <c r="K70">
        <f>-PMT($B$3/$H$3,H65,K68)*$H$3</f>
        <v>18839.45398015172</v>
      </c>
      <c r="U70" t="s">
        <v>36</v>
      </c>
      <c r="V70">
        <f>-PMT(B3/H3,U65,V67)*H3</f>
        <v>112234.90631906995</v>
      </c>
    </row>
    <row r="77" spans="1:23" x14ac:dyDescent="0.25">
      <c r="A77" s="24" t="s">
        <v>40</v>
      </c>
      <c r="B77" s="24"/>
      <c r="C77" s="24"/>
      <c r="D77" s="24"/>
      <c r="E77" s="24"/>
      <c r="F77" s="24"/>
      <c r="G77" s="24"/>
      <c r="H77" s="24"/>
      <c r="I77" s="24"/>
      <c r="J77" s="24"/>
      <c r="K77" s="24"/>
    </row>
    <row r="78" spans="1:23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</row>
    <row r="79" spans="1:23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</row>
    <row r="80" spans="1:23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</row>
    <row r="82" spans="1:5" x14ac:dyDescent="0.25">
      <c r="B82" t="s">
        <v>41</v>
      </c>
      <c r="C82" t="s">
        <v>46</v>
      </c>
      <c r="D82" t="s">
        <v>47</v>
      </c>
      <c r="E82" t="s">
        <v>48</v>
      </c>
    </row>
    <row r="83" spans="1:5" x14ac:dyDescent="0.25">
      <c r="B83" t="s">
        <v>42</v>
      </c>
      <c r="C83" s="3">
        <f>$D$57</f>
        <v>9.763627374126127E-2</v>
      </c>
      <c r="D83" s="3">
        <f>$B$3</f>
        <v>8.5000000000000006E-2</v>
      </c>
      <c r="E83" t="str">
        <f>IF(C83&gt;=D83,"Se considera para realizar", "descartar")</f>
        <v>Se considera para realizar</v>
      </c>
    </row>
    <row r="84" spans="1:5" x14ac:dyDescent="0.25">
      <c r="B84" t="s">
        <v>43</v>
      </c>
      <c r="C84" s="3">
        <f>$K$69</f>
        <v>8.7773725779491052E-2</v>
      </c>
      <c r="D84" s="3">
        <f>$B$3</f>
        <v>8.5000000000000006E-2</v>
      </c>
      <c r="E84" t="str">
        <f t="shared" ref="E84:E86" si="8">IF(C84&gt;=D84,"Se considera para realizar", "descartar")</f>
        <v>Se considera para realizar</v>
      </c>
    </row>
    <row r="85" spans="1:5" x14ac:dyDescent="0.25">
      <c r="B85" t="s">
        <v>44</v>
      </c>
      <c r="C85" s="3">
        <f>$P$62</f>
        <v>7.4908481796529536E-2</v>
      </c>
      <c r="D85" s="3">
        <f>$B$3</f>
        <v>8.5000000000000006E-2</v>
      </c>
      <c r="E85" t="str">
        <f t="shared" si="8"/>
        <v>descartar</v>
      </c>
    </row>
    <row r="86" spans="1:5" x14ac:dyDescent="0.25">
      <c r="B86" t="s">
        <v>45</v>
      </c>
      <c r="C86" s="3">
        <f>$V$68</f>
        <v>8.2705054114369236E-3</v>
      </c>
      <c r="D86" s="3">
        <f>$B$3</f>
        <v>8.5000000000000006E-2</v>
      </c>
      <c r="E86" t="str">
        <f t="shared" si="8"/>
        <v>descartar</v>
      </c>
    </row>
    <row r="89" spans="1:5" x14ac:dyDescent="0.25">
      <c r="B89" t="s">
        <v>41</v>
      </c>
      <c r="C89" t="s">
        <v>49</v>
      </c>
      <c r="E89" s="1">
        <f>$B$2</f>
        <v>15000000</v>
      </c>
    </row>
    <row r="90" spans="1:5" x14ac:dyDescent="0.25">
      <c r="B90" t="s">
        <v>42</v>
      </c>
      <c r="C90" s="7">
        <f>$D$58</f>
        <v>53121.071732775577</v>
      </c>
      <c r="D90">
        <f>-D17</f>
        <v>7063875</v>
      </c>
      <c r="E90" s="11">
        <f>E89-D90</f>
        <v>7936125</v>
      </c>
    </row>
    <row r="91" spans="1:5" x14ac:dyDescent="0.25">
      <c r="B91" t="s">
        <v>45</v>
      </c>
      <c r="C91" s="7">
        <f>$V$70</f>
        <v>112234.90631906995</v>
      </c>
      <c r="D91">
        <f>-K17</f>
        <v>6375000</v>
      </c>
      <c r="E91" s="11">
        <f t="shared" ref="E91:E92" si="9">E90-D91</f>
        <v>1561125</v>
      </c>
    </row>
    <row r="92" spans="1:5" x14ac:dyDescent="0.25">
      <c r="B92" t="s">
        <v>43</v>
      </c>
      <c r="C92" s="7">
        <f>$K$70</f>
        <v>18839.45398015172</v>
      </c>
      <c r="D92" s="1">
        <f>-P17</f>
        <v>6545000</v>
      </c>
      <c r="E92" s="11">
        <f t="shared" si="9"/>
        <v>-4983875</v>
      </c>
    </row>
    <row r="93" spans="1:5" x14ac:dyDescent="0.25">
      <c r="B93" t="s">
        <v>44</v>
      </c>
      <c r="C93" s="7">
        <f>$P$63</f>
        <v>-74765.892375362513</v>
      </c>
      <c r="D93" s="11">
        <f>-V17</f>
        <v>6200000</v>
      </c>
    </row>
    <row r="95" spans="1:5" x14ac:dyDescent="0.25">
      <c r="A95" t="s">
        <v>50</v>
      </c>
    </row>
    <row r="100" spans="1:10" x14ac:dyDescent="0.25">
      <c r="A100" s="24" t="s">
        <v>51</v>
      </c>
      <c r="B100" s="24"/>
      <c r="C100" s="24"/>
      <c r="D100" s="24"/>
      <c r="E100" s="24"/>
      <c r="F100" s="24"/>
      <c r="G100" s="24"/>
      <c r="H100" s="24"/>
      <c r="I100" s="24"/>
      <c r="J100" s="24"/>
    </row>
    <row r="101" spans="1:10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</row>
    <row r="102" spans="1:10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</row>
    <row r="104" spans="1:10" x14ac:dyDescent="0.25">
      <c r="B104" t="s">
        <v>52</v>
      </c>
    </row>
    <row r="105" spans="1:10" x14ac:dyDescent="0.25">
      <c r="B105" t="s">
        <v>41</v>
      </c>
      <c r="C105" t="s">
        <v>46</v>
      </c>
      <c r="D105" t="s">
        <v>47</v>
      </c>
      <c r="E105" t="s">
        <v>48</v>
      </c>
    </row>
    <row r="106" spans="1:10" x14ac:dyDescent="0.25">
      <c r="B106" t="s">
        <v>42</v>
      </c>
      <c r="C106" s="3">
        <f>$D$57</f>
        <v>9.763627374126127E-2</v>
      </c>
      <c r="D106" s="3">
        <f>$B$3</f>
        <v>8.5000000000000006E-2</v>
      </c>
      <c r="E106" s="19" t="str">
        <f>IF(C106&gt;=D106,"Se realiza", "descartar")</f>
        <v>Se realiza</v>
      </c>
    </row>
    <row r="107" spans="1:10" x14ac:dyDescent="0.25">
      <c r="B107" t="s">
        <v>43</v>
      </c>
      <c r="C107" s="3">
        <f>$K$69</f>
        <v>8.7773725779491052E-2</v>
      </c>
      <c r="D107" s="3">
        <f>$B$3</f>
        <v>8.5000000000000006E-2</v>
      </c>
      <c r="E107" s="19" t="str">
        <f t="shared" ref="E107:E109" si="10">IF(C107&gt;=D107,"Se realiza", "descartar")</f>
        <v>Se realiza</v>
      </c>
    </row>
    <row r="108" spans="1:10" x14ac:dyDescent="0.25">
      <c r="B108" t="s">
        <v>44</v>
      </c>
      <c r="C108" s="3">
        <f>$P$62</f>
        <v>7.4908481796529536E-2</v>
      </c>
      <c r="D108" s="3">
        <f>$B$3</f>
        <v>8.5000000000000006E-2</v>
      </c>
      <c r="E108" s="21" t="str">
        <f t="shared" si="10"/>
        <v>descartar</v>
      </c>
    </row>
    <row r="109" spans="1:10" x14ac:dyDescent="0.25">
      <c r="B109" t="s">
        <v>45</v>
      </c>
      <c r="C109" s="3">
        <f>$V$68</f>
        <v>8.2705054114369236E-3</v>
      </c>
      <c r="D109" s="3">
        <f>$B$3</f>
        <v>8.5000000000000006E-2</v>
      </c>
      <c r="E109" s="21" t="str">
        <f t="shared" si="10"/>
        <v>descartar</v>
      </c>
    </row>
    <row r="113" spans="1:4" x14ac:dyDescent="0.25">
      <c r="A113" t="s">
        <v>53</v>
      </c>
    </row>
    <row r="114" spans="1:4" x14ac:dyDescent="0.25">
      <c r="A114" t="str">
        <f>A16</f>
        <v>PERIODO</v>
      </c>
      <c r="B114" t="str">
        <f>D16</f>
        <v>FC</v>
      </c>
      <c r="C114" t="s">
        <v>54</v>
      </c>
    </row>
    <row r="115" spans="1:4" x14ac:dyDescent="0.25">
      <c r="A115">
        <f t="shared" ref="A115:A151" si="11">A17</f>
        <v>0</v>
      </c>
      <c r="B115">
        <f t="shared" ref="B115:B151" si="12">D17</f>
        <v>-7063875</v>
      </c>
      <c r="C115" s="14">
        <f>-PV($B$3/$H$3,A115,0,B115)</f>
        <v>-7063875</v>
      </c>
    </row>
    <row r="116" spans="1:4" x14ac:dyDescent="0.25">
      <c r="A116">
        <f t="shared" si="11"/>
        <v>1</v>
      </c>
      <c r="B116">
        <f t="shared" si="12"/>
        <v>71550</v>
      </c>
      <c r="C116" s="14">
        <f t="shared" ref="C116:C151" si="13">-PV($B$3/$H$3,A116,0,B116)</f>
        <v>71046.752172114197</v>
      </c>
      <c r="D116" s="14">
        <f>C115+C116</f>
        <v>-6992828.2478278857</v>
      </c>
    </row>
    <row r="117" spans="1:4" x14ac:dyDescent="0.25">
      <c r="A117">
        <f t="shared" si="11"/>
        <v>2</v>
      </c>
      <c r="B117">
        <f t="shared" si="12"/>
        <v>71550</v>
      </c>
      <c r="C117" s="14">
        <f t="shared" si="13"/>
        <v>70547.043944176272</v>
      </c>
      <c r="D117" s="14">
        <f>D116+C117</f>
        <v>-6922281.2038837094</v>
      </c>
    </row>
    <row r="118" spans="1:4" x14ac:dyDescent="0.25">
      <c r="A118">
        <f t="shared" si="11"/>
        <v>3</v>
      </c>
      <c r="B118">
        <f t="shared" si="12"/>
        <v>71550</v>
      </c>
      <c r="C118" s="14">
        <f t="shared" si="13"/>
        <v>70050.850420365357</v>
      </c>
      <c r="D118" s="14">
        <f t="shared" ref="D118:D150" si="14">D117+C118</f>
        <v>-6852230.3534633443</v>
      </c>
    </row>
    <row r="119" spans="1:4" x14ac:dyDescent="0.25">
      <c r="A119">
        <f t="shared" si="11"/>
        <v>4</v>
      </c>
      <c r="B119">
        <f t="shared" si="12"/>
        <v>71550</v>
      </c>
      <c r="C119" s="14">
        <f t="shared" si="13"/>
        <v>69558.1468799656</v>
      </c>
      <c r="D119" s="14">
        <f t="shared" si="14"/>
        <v>-6782672.2065833788</v>
      </c>
    </row>
    <row r="120" spans="1:4" x14ac:dyDescent="0.25">
      <c r="A120">
        <f t="shared" si="11"/>
        <v>5</v>
      </c>
      <c r="B120">
        <f t="shared" si="12"/>
        <v>71550</v>
      </c>
      <c r="C120" s="14">
        <f t="shared" si="13"/>
        <v>69068.908776134645</v>
      </c>
      <c r="D120" s="14">
        <f t="shared" si="14"/>
        <v>-6713603.2978072446</v>
      </c>
    </row>
    <row r="121" spans="1:4" x14ac:dyDescent="0.25">
      <c r="A121">
        <f t="shared" si="11"/>
        <v>6</v>
      </c>
      <c r="B121">
        <f t="shared" si="12"/>
        <v>1196550</v>
      </c>
      <c r="C121" s="14">
        <f t="shared" si="13"/>
        <v>1146933.9251730556</v>
      </c>
      <c r="D121" s="14">
        <f t="shared" si="14"/>
        <v>-5566669.3726341892</v>
      </c>
    </row>
    <row r="122" spans="1:4" x14ac:dyDescent="0.25">
      <c r="A122">
        <f t="shared" si="11"/>
        <v>7</v>
      </c>
      <c r="B122">
        <f t="shared" si="12"/>
        <v>59625</v>
      </c>
      <c r="C122" s="14">
        <f t="shared" si="13"/>
        <v>56750.609627373327</v>
      </c>
      <c r="D122" s="14">
        <f t="shared" si="14"/>
        <v>-5509918.7630068157</v>
      </c>
    </row>
    <row r="123" spans="1:4" x14ac:dyDescent="0.25">
      <c r="A123">
        <f t="shared" si="11"/>
        <v>8</v>
      </c>
      <c r="B123">
        <f t="shared" si="12"/>
        <v>59625</v>
      </c>
      <c r="C123" s="14">
        <f t="shared" si="13"/>
        <v>56351.453498426126</v>
      </c>
      <c r="D123" s="14">
        <f t="shared" si="14"/>
        <v>-5453567.3095083898</v>
      </c>
    </row>
    <row r="124" spans="1:4" x14ac:dyDescent="0.25">
      <c r="A124">
        <f t="shared" si="11"/>
        <v>9</v>
      </c>
      <c r="B124">
        <f t="shared" si="12"/>
        <v>59625</v>
      </c>
      <c r="C124" s="14">
        <f t="shared" si="13"/>
        <v>55955.104839148815</v>
      </c>
      <c r="D124" s="14">
        <f t="shared" si="14"/>
        <v>-5397612.2046692409</v>
      </c>
    </row>
    <row r="125" spans="1:4" x14ac:dyDescent="0.25">
      <c r="A125">
        <f t="shared" si="11"/>
        <v>10</v>
      </c>
      <c r="B125">
        <f t="shared" si="12"/>
        <v>59625</v>
      </c>
      <c r="C125" s="14">
        <f t="shared" si="13"/>
        <v>55561.543903168043</v>
      </c>
      <c r="D125" s="14">
        <f t="shared" si="14"/>
        <v>-5342050.6607660726</v>
      </c>
    </row>
    <row r="126" spans="1:4" x14ac:dyDescent="0.25">
      <c r="A126">
        <f t="shared" si="11"/>
        <v>11</v>
      </c>
      <c r="B126">
        <f t="shared" si="12"/>
        <v>59625</v>
      </c>
      <c r="C126" s="14">
        <f t="shared" si="13"/>
        <v>55170.751082996823</v>
      </c>
      <c r="D126" s="14">
        <f t="shared" si="14"/>
        <v>-5286879.9096830757</v>
      </c>
    </row>
    <row r="127" spans="1:4" x14ac:dyDescent="0.25">
      <c r="A127">
        <f t="shared" si="11"/>
        <v>12</v>
      </c>
      <c r="B127">
        <f t="shared" si="12"/>
        <v>1184625</v>
      </c>
      <c r="C127" s="14">
        <f t="shared" si="13"/>
        <v>1088418.6863252397</v>
      </c>
      <c r="D127" s="14">
        <f t="shared" si="14"/>
        <v>-4198461.2233578358</v>
      </c>
    </row>
    <row r="128" spans="1:4" x14ac:dyDescent="0.25">
      <c r="A128">
        <f t="shared" si="11"/>
        <v>13</v>
      </c>
      <c r="B128">
        <f t="shared" si="12"/>
        <v>47700</v>
      </c>
      <c r="C128" s="14">
        <f t="shared" si="13"/>
        <v>43517.913638970087</v>
      </c>
      <c r="D128" s="14">
        <f t="shared" si="14"/>
        <v>-4154943.3097188659</v>
      </c>
    </row>
    <row r="129" spans="1:4" x14ac:dyDescent="0.25">
      <c r="A129">
        <f t="shared" si="11"/>
        <v>14</v>
      </c>
      <c r="B129">
        <f t="shared" si="12"/>
        <v>47700</v>
      </c>
      <c r="C129" s="14">
        <f t="shared" si="13"/>
        <v>43211.829844240056</v>
      </c>
      <c r="D129" s="14">
        <f t="shared" si="14"/>
        <v>-4111731.4798746258</v>
      </c>
    </row>
    <row r="130" spans="1:4" x14ac:dyDescent="0.25">
      <c r="A130">
        <f t="shared" si="11"/>
        <v>15</v>
      </c>
      <c r="B130">
        <f t="shared" si="12"/>
        <v>47700</v>
      </c>
      <c r="C130" s="14">
        <f t="shared" si="13"/>
        <v>42907.898893742713</v>
      </c>
      <c r="D130" s="14">
        <f t="shared" si="14"/>
        <v>-4068823.580980883</v>
      </c>
    </row>
    <row r="131" spans="1:4" x14ac:dyDescent="0.25">
      <c r="A131">
        <f t="shared" si="11"/>
        <v>16</v>
      </c>
      <c r="B131">
        <f t="shared" si="12"/>
        <v>47700</v>
      </c>
      <c r="C131" s="14">
        <f t="shared" si="13"/>
        <v>42606.105645420976</v>
      </c>
      <c r="D131" s="14">
        <f t="shared" si="14"/>
        <v>-4026217.475335462</v>
      </c>
    </row>
    <row r="132" spans="1:4" x14ac:dyDescent="0.25">
      <c r="A132">
        <f t="shared" si="11"/>
        <v>17</v>
      </c>
      <c r="B132">
        <f t="shared" si="12"/>
        <v>47700</v>
      </c>
      <c r="C132" s="14">
        <f t="shared" si="13"/>
        <v>42306.435063719626</v>
      </c>
      <c r="D132" s="14">
        <f t="shared" si="14"/>
        <v>-3983911.0402717423</v>
      </c>
    </row>
    <row r="133" spans="1:4" x14ac:dyDescent="0.25">
      <c r="A133">
        <f t="shared" si="11"/>
        <v>18</v>
      </c>
      <c r="B133">
        <f t="shared" si="12"/>
        <v>1172700</v>
      </c>
      <c r="C133" s="14">
        <f t="shared" si="13"/>
        <v>1032784.1603989353</v>
      </c>
      <c r="D133" s="14">
        <f t="shared" si="14"/>
        <v>-2951126.8798728068</v>
      </c>
    </row>
    <row r="134" spans="1:4" x14ac:dyDescent="0.25">
      <c r="A134">
        <f t="shared" si="11"/>
        <v>19</v>
      </c>
      <c r="B134">
        <f t="shared" si="12"/>
        <v>35775</v>
      </c>
      <c r="C134" s="14">
        <f t="shared" si="13"/>
        <v>31285.051714482903</v>
      </c>
      <c r="D134" s="14">
        <f t="shared" si="14"/>
        <v>-2919841.8281583241</v>
      </c>
    </row>
    <row r="135" spans="1:4" x14ac:dyDescent="0.25">
      <c r="A135">
        <f t="shared" si="11"/>
        <v>20</v>
      </c>
      <c r="B135">
        <f t="shared" si="12"/>
        <v>35775</v>
      </c>
      <c r="C135" s="14">
        <f t="shared" si="13"/>
        <v>31065.007908464602</v>
      </c>
      <c r="D135" s="14">
        <f t="shared" si="14"/>
        <v>-2888776.8202498597</v>
      </c>
    </row>
    <row r="136" spans="1:4" x14ac:dyDescent="0.25">
      <c r="A136">
        <f t="shared" si="11"/>
        <v>21</v>
      </c>
      <c r="B136">
        <f t="shared" si="12"/>
        <v>35775</v>
      </c>
      <c r="C136" s="14">
        <f t="shared" si="13"/>
        <v>30846.511783332669</v>
      </c>
      <c r="D136" s="14">
        <f t="shared" si="14"/>
        <v>-2857930.3084665271</v>
      </c>
    </row>
    <row r="137" spans="1:4" x14ac:dyDescent="0.25">
      <c r="A137">
        <f t="shared" si="11"/>
        <v>22</v>
      </c>
      <c r="B137">
        <f t="shared" si="12"/>
        <v>35775</v>
      </c>
      <c r="C137" s="14">
        <f t="shared" si="13"/>
        <v>30629.552453454031</v>
      </c>
      <c r="D137" s="14">
        <f t="shared" si="14"/>
        <v>-2827300.756013073</v>
      </c>
    </row>
    <row r="138" spans="1:4" x14ac:dyDescent="0.25">
      <c r="A138">
        <f t="shared" si="11"/>
        <v>23</v>
      </c>
      <c r="B138">
        <f t="shared" si="12"/>
        <v>35775</v>
      </c>
      <c r="C138" s="14">
        <f t="shared" si="13"/>
        <v>30414.119109759904</v>
      </c>
      <c r="D138" s="14">
        <f t="shared" si="14"/>
        <v>-2796886.636903313</v>
      </c>
    </row>
    <row r="139" spans="1:4" x14ac:dyDescent="0.25">
      <c r="A139">
        <f t="shared" si="11"/>
        <v>24</v>
      </c>
      <c r="B139">
        <f t="shared" si="12"/>
        <v>1160775</v>
      </c>
      <c r="C139" s="14">
        <f t="shared" si="13"/>
        <v>979892.05696911854</v>
      </c>
      <c r="D139" s="14">
        <f t="shared" si="14"/>
        <v>-1816994.5799341945</v>
      </c>
    </row>
    <row r="140" spans="1:4" x14ac:dyDescent="0.25">
      <c r="A140">
        <f t="shared" si="11"/>
        <v>25</v>
      </c>
      <c r="B140">
        <f t="shared" si="12"/>
        <v>23850</v>
      </c>
      <c r="C140" s="14">
        <f t="shared" si="13"/>
        <v>19991.858349495855</v>
      </c>
      <c r="D140" s="14">
        <f t="shared" si="14"/>
        <v>-1797002.7215846987</v>
      </c>
    </row>
    <row r="141" spans="1:4" x14ac:dyDescent="0.25">
      <c r="A141">
        <f t="shared" si="11"/>
        <v>26</v>
      </c>
      <c r="B141">
        <f t="shared" si="12"/>
        <v>23850</v>
      </c>
      <c r="C141" s="14">
        <f t="shared" si="13"/>
        <v>19851.245361518435</v>
      </c>
      <c r="D141" s="14">
        <f t="shared" si="14"/>
        <v>-1777151.4762231803</v>
      </c>
    </row>
    <row r="142" spans="1:4" x14ac:dyDescent="0.25">
      <c r="A142">
        <f t="shared" si="11"/>
        <v>27</v>
      </c>
      <c r="B142">
        <f t="shared" si="12"/>
        <v>23850</v>
      </c>
      <c r="C142" s="14">
        <f t="shared" si="13"/>
        <v>19711.621376766343</v>
      </c>
      <c r="D142" s="14">
        <f t="shared" si="14"/>
        <v>-1757439.8548464139</v>
      </c>
    </row>
    <row r="143" spans="1:4" x14ac:dyDescent="0.25">
      <c r="A143">
        <f t="shared" si="11"/>
        <v>28</v>
      </c>
      <c r="B143">
        <f t="shared" si="12"/>
        <v>23850</v>
      </c>
      <c r="C143" s="14">
        <f t="shared" si="13"/>
        <v>19572.979439072904</v>
      </c>
      <c r="D143" s="14">
        <f t="shared" si="14"/>
        <v>-1737866.8754073409</v>
      </c>
    </row>
    <row r="144" spans="1:4" x14ac:dyDescent="0.25">
      <c r="A144">
        <f>A46</f>
        <v>29</v>
      </c>
      <c r="B144">
        <f t="shared" si="12"/>
        <v>23850</v>
      </c>
      <c r="C144" s="14">
        <f t="shared" si="13"/>
        <v>19435.312641197757</v>
      </c>
      <c r="D144" s="14">
        <f t="shared" si="14"/>
        <v>-1718431.5627661431</v>
      </c>
    </row>
    <row r="145" spans="1:4" x14ac:dyDescent="0.25">
      <c r="A145">
        <f t="shared" si="11"/>
        <v>30</v>
      </c>
      <c r="B145">
        <f t="shared" si="12"/>
        <v>1148850</v>
      </c>
      <c r="C145" s="14">
        <f t="shared" si="13"/>
        <v>929610.60112838226</v>
      </c>
      <c r="D145" s="14">
        <f t="shared" si="14"/>
        <v>-788820.96163776086</v>
      </c>
    </row>
    <row r="146" spans="1:4" x14ac:dyDescent="0.25">
      <c r="A146">
        <f t="shared" si="11"/>
        <v>31</v>
      </c>
      <c r="B146">
        <f t="shared" si="12"/>
        <v>11925</v>
      </c>
      <c r="C146" s="14">
        <f t="shared" si="13"/>
        <v>9581.4385392549466</v>
      </c>
      <c r="D146" s="14">
        <f t="shared" si="14"/>
        <v>-779239.52309850592</v>
      </c>
    </row>
    <row r="147" spans="1:4" x14ac:dyDescent="0.25">
      <c r="A147">
        <f t="shared" si="11"/>
        <v>32</v>
      </c>
      <c r="B147">
        <f t="shared" si="12"/>
        <v>11925</v>
      </c>
      <c r="C147" s="14">
        <f t="shared" si="13"/>
        <v>9514.0473703814096</v>
      </c>
      <c r="D147" s="14">
        <f t="shared" si="14"/>
        <v>-769725.4757281245</v>
      </c>
    </row>
    <row r="148" spans="1:4" x14ac:dyDescent="0.25">
      <c r="A148">
        <f t="shared" si="11"/>
        <v>33</v>
      </c>
      <c r="B148">
        <f t="shared" si="12"/>
        <v>11925</v>
      </c>
      <c r="C148" s="14">
        <f t="shared" si="13"/>
        <v>9447.130198144554</v>
      </c>
      <c r="D148" s="14">
        <f t="shared" si="14"/>
        <v>-760278.34552997991</v>
      </c>
    </row>
    <row r="149" spans="1:4" x14ac:dyDescent="0.25">
      <c r="A149">
        <f t="shared" si="11"/>
        <v>34</v>
      </c>
      <c r="B149">
        <f t="shared" si="12"/>
        <v>11925</v>
      </c>
      <c r="C149" s="14">
        <f t="shared" si="13"/>
        <v>9380.6836886830461</v>
      </c>
      <c r="D149" s="14">
        <f t="shared" si="14"/>
        <v>-750897.66184129682</v>
      </c>
    </row>
    <row r="150" spans="1:4" x14ac:dyDescent="0.25">
      <c r="A150">
        <f t="shared" si="11"/>
        <v>35</v>
      </c>
      <c r="B150">
        <f t="shared" si="12"/>
        <v>11925</v>
      </c>
      <c r="C150" s="14">
        <f t="shared" si="13"/>
        <v>9314.7045315843261</v>
      </c>
      <c r="D150" s="14">
        <f t="shared" si="14"/>
        <v>-741582.95730971254</v>
      </c>
    </row>
    <row r="151" spans="1:4" x14ac:dyDescent="0.25">
      <c r="A151">
        <f t="shared" si="11"/>
        <v>36</v>
      </c>
      <c r="B151">
        <f t="shared" si="12"/>
        <v>1136925</v>
      </c>
      <c r="C151" s="14">
        <f t="shared" si="13"/>
        <v>881814.23092270491</v>
      </c>
      <c r="D151" s="14">
        <f>-D150/C151</f>
        <v>0.84097413185738856</v>
      </c>
    </row>
    <row r="153" spans="1:4" x14ac:dyDescent="0.25">
      <c r="C153" s="19" t="s">
        <v>55</v>
      </c>
      <c r="D153" s="20">
        <f>A150+D151</f>
        <v>35.840974131857386</v>
      </c>
    </row>
    <row r="154" spans="1:4" x14ac:dyDescent="0.25">
      <c r="C154" s="19" t="s">
        <v>56</v>
      </c>
      <c r="D154" s="20">
        <f>D153/12</f>
        <v>2.986747844321449</v>
      </c>
    </row>
    <row r="161" spans="1:4" x14ac:dyDescent="0.25">
      <c r="A161" t="s">
        <v>57</v>
      </c>
      <c r="B161" t="s">
        <v>58</v>
      </c>
      <c r="C161" t="s">
        <v>59</v>
      </c>
    </row>
    <row r="162" spans="1:4" x14ac:dyDescent="0.25">
      <c r="A162" t="str">
        <f>H16</f>
        <v>PERIODO</v>
      </c>
      <c r="B162" t="str">
        <f>K16</f>
        <v>FC</v>
      </c>
      <c r="C162" t="str">
        <f>V16</f>
        <v>FC</v>
      </c>
      <c r="D162" t="s">
        <v>60</v>
      </c>
    </row>
    <row r="163" spans="1:4" x14ac:dyDescent="0.25">
      <c r="A163">
        <f t="shared" ref="A163:A211" si="15">H17</f>
        <v>0</v>
      </c>
      <c r="B163">
        <f t="shared" ref="B163:B211" si="16">K17</f>
        <v>-6375000</v>
      </c>
      <c r="C163">
        <f t="shared" ref="C163:C211" si="17">V17</f>
        <v>-6200000</v>
      </c>
      <c r="D163">
        <f>B163-C163</f>
        <v>-175000</v>
      </c>
    </row>
    <row r="164" spans="1:4" x14ac:dyDescent="0.25">
      <c r="A164">
        <f t="shared" si="15"/>
        <v>1</v>
      </c>
      <c r="B164">
        <f t="shared" si="16"/>
        <v>0</v>
      </c>
      <c r="C164">
        <f t="shared" si="17"/>
        <v>0</v>
      </c>
      <c r="D164">
        <f t="shared" ref="D164:D211" si="18">B164-C164</f>
        <v>0</v>
      </c>
    </row>
    <row r="165" spans="1:4" x14ac:dyDescent="0.25">
      <c r="A165">
        <f t="shared" si="15"/>
        <v>2</v>
      </c>
      <c r="B165">
        <f t="shared" si="16"/>
        <v>0</v>
      </c>
      <c r="C165">
        <f t="shared" si="17"/>
        <v>0</v>
      </c>
      <c r="D165">
        <f t="shared" si="18"/>
        <v>0</v>
      </c>
    </row>
    <row r="166" spans="1:4" x14ac:dyDescent="0.25">
      <c r="A166">
        <f t="shared" si="15"/>
        <v>3</v>
      </c>
      <c r="B166">
        <f t="shared" si="16"/>
        <v>0</v>
      </c>
      <c r="C166">
        <f t="shared" si="17"/>
        <v>0</v>
      </c>
      <c r="D166">
        <f t="shared" si="18"/>
        <v>0</v>
      </c>
    </row>
    <row r="167" spans="1:4" x14ac:dyDescent="0.25">
      <c r="A167">
        <f t="shared" si="15"/>
        <v>4</v>
      </c>
      <c r="B167">
        <f t="shared" si="16"/>
        <v>0</v>
      </c>
      <c r="C167">
        <f t="shared" si="17"/>
        <v>0</v>
      </c>
      <c r="D167">
        <f t="shared" si="18"/>
        <v>0</v>
      </c>
    </row>
    <row r="168" spans="1:4" x14ac:dyDescent="0.25">
      <c r="A168">
        <f t="shared" si="15"/>
        <v>5</v>
      </c>
      <c r="B168">
        <f t="shared" si="16"/>
        <v>0</v>
      </c>
      <c r="C168">
        <f t="shared" si="17"/>
        <v>0</v>
      </c>
      <c r="D168">
        <f t="shared" si="18"/>
        <v>0</v>
      </c>
    </row>
    <row r="169" spans="1:4" x14ac:dyDescent="0.25">
      <c r="A169">
        <f t="shared" si="15"/>
        <v>6</v>
      </c>
      <c r="B169">
        <f t="shared" si="16"/>
        <v>202500</v>
      </c>
      <c r="C169">
        <f t="shared" si="17"/>
        <v>885000</v>
      </c>
      <c r="D169">
        <f t="shared" si="18"/>
        <v>-682500</v>
      </c>
    </row>
    <row r="170" spans="1:4" x14ac:dyDescent="0.25">
      <c r="A170">
        <f t="shared" si="15"/>
        <v>7</v>
      </c>
      <c r="B170">
        <f t="shared" si="16"/>
        <v>0</v>
      </c>
      <c r="C170">
        <f t="shared" si="17"/>
        <v>0</v>
      </c>
      <c r="D170">
        <f t="shared" si="18"/>
        <v>0</v>
      </c>
    </row>
    <row r="171" spans="1:4" x14ac:dyDescent="0.25">
      <c r="A171">
        <f t="shared" si="15"/>
        <v>8</v>
      </c>
      <c r="B171">
        <f t="shared" si="16"/>
        <v>0</v>
      </c>
      <c r="C171">
        <f t="shared" si="17"/>
        <v>0</v>
      </c>
      <c r="D171">
        <f t="shared" si="18"/>
        <v>0</v>
      </c>
    </row>
    <row r="172" spans="1:4" x14ac:dyDescent="0.25">
      <c r="A172">
        <f t="shared" si="15"/>
        <v>9</v>
      </c>
      <c r="B172">
        <f t="shared" si="16"/>
        <v>0</v>
      </c>
      <c r="C172">
        <f t="shared" si="17"/>
        <v>0</v>
      </c>
      <c r="D172">
        <f t="shared" si="18"/>
        <v>0</v>
      </c>
    </row>
    <row r="173" spans="1:4" x14ac:dyDescent="0.25">
      <c r="A173">
        <f t="shared" si="15"/>
        <v>10</v>
      </c>
      <c r="B173">
        <f t="shared" si="16"/>
        <v>0</v>
      </c>
      <c r="C173">
        <f t="shared" si="17"/>
        <v>0</v>
      </c>
      <c r="D173">
        <f t="shared" si="18"/>
        <v>0</v>
      </c>
    </row>
    <row r="174" spans="1:4" x14ac:dyDescent="0.25">
      <c r="A174">
        <f t="shared" si="15"/>
        <v>11</v>
      </c>
      <c r="B174">
        <f t="shared" si="16"/>
        <v>0</v>
      </c>
      <c r="C174">
        <f t="shared" si="17"/>
        <v>0</v>
      </c>
      <c r="D174">
        <f t="shared" si="18"/>
        <v>0</v>
      </c>
    </row>
    <row r="175" spans="1:4" x14ac:dyDescent="0.25">
      <c r="A175">
        <f t="shared" si="15"/>
        <v>12</v>
      </c>
      <c r="B175">
        <f t="shared" si="16"/>
        <v>202500</v>
      </c>
      <c r="C175">
        <f t="shared" si="17"/>
        <v>1035450</v>
      </c>
      <c r="D175">
        <f t="shared" si="18"/>
        <v>-832950</v>
      </c>
    </row>
    <row r="176" spans="1:4" x14ac:dyDescent="0.25">
      <c r="A176">
        <f t="shared" si="15"/>
        <v>13</v>
      </c>
      <c r="B176">
        <f t="shared" si="16"/>
        <v>0</v>
      </c>
      <c r="C176">
        <f t="shared" si="17"/>
        <v>0</v>
      </c>
      <c r="D176">
        <f t="shared" si="18"/>
        <v>0</v>
      </c>
    </row>
    <row r="177" spans="1:4" x14ac:dyDescent="0.25">
      <c r="A177">
        <f t="shared" si="15"/>
        <v>14</v>
      </c>
      <c r="B177">
        <f t="shared" si="16"/>
        <v>0</v>
      </c>
      <c r="C177">
        <f t="shared" si="17"/>
        <v>0</v>
      </c>
      <c r="D177">
        <f t="shared" si="18"/>
        <v>0</v>
      </c>
    </row>
    <row r="178" spans="1:4" x14ac:dyDescent="0.25">
      <c r="A178">
        <f t="shared" si="15"/>
        <v>15</v>
      </c>
      <c r="B178">
        <f t="shared" si="16"/>
        <v>0</v>
      </c>
      <c r="C178">
        <f t="shared" si="17"/>
        <v>0</v>
      </c>
      <c r="D178">
        <f t="shared" si="18"/>
        <v>0</v>
      </c>
    </row>
    <row r="179" spans="1:4" x14ac:dyDescent="0.25">
      <c r="A179">
        <f t="shared" si="15"/>
        <v>16</v>
      </c>
      <c r="B179">
        <f t="shared" si="16"/>
        <v>0</v>
      </c>
      <c r="C179">
        <f t="shared" si="17"/>
        <v>0</v>
      </c>
      <c r="D179">
        <f t="shared" si="18"/>
        <v>0</v>
      </c>
    </row>
    <row r="180" spans="1:4" x14ac:dyDescent="0.25">
      <c r="A180">
        <f t="shared" si="15"/>
        <v>17</v>
      </c>
      <c r="B180">
        <f t="shared" si="16"/>
        <v>0</v>
      </c>
      <c r="C180">
        <f t="shared" si="17"/>
        <v>0</v>
      </c>
      <c r="D180">
        <f t="shared" si="18"/>
        <v>0</v>
      </c>
    </row>
    <row r="181" spans="1:4" x14ac:dyDescent="0.25">
      <c r="A181">
        <f t="shared" si="15"/>
        <v>18</v>
      </c>
      <c r="B181">
        <f t="shared" si="16"/>
        <v>202500</v>
      </c>
      <c r="C181">
        <f t="shared" si="17"/>
        <v>1211476.5</v>
      </c>
      <c r="D181">
        <f t="shared" si="18"/>
        <v>-1008976.5</v>
      </c>
    </row>
    <row r="182" spans="1:4" x14ac:dyDescent="0.25">
      <c r="A182">
        <f t="shared" si="15"/>
        <v>19</v>
      </c>
      <c r="B182">
        <f t="shared" si="16"/>
        <v>0</v>
      </c>
      <c r="C182">
        <f t="shared" si="17"/>
        <v>0</v>
      </c>
      <c r="D182">
        <f t="shared" si="18"/>
        <v>0</v>
      </c>
    </row>
    <row r="183" spans="1:4" x14ac:dyDescent="0.25">
      <c r="A183">
        <f t="shared" si="15"/>
        <v>20</v>
      </c>
      <c r="B183">
        <f t="shared" si="16"/>
        <v>0</v>
      </c>
      <c r="C183">
        <f t="shared" si="17"/>
        <v>0</v>
      </c>
      <c r="D183">
        <f t="shared" si="18"/>
        <v>0</v>
      </c>
    </row>
    <row r="184" spans="1:4" x14ac:dyDescent="0.25">
      <c r="A184">
        <f t="shared" si="15"/>
        <v>21</v>
      </c>
      <c r="B184">
        <f t="shared" si="16"/>
        <v>0</v>
      </c>
      <c r="C184">
        <f t="shared" si="17"/>
        <v>0</v>
      </c>
      <c r="D184">
        <f t="shared" si="18"/>
        <v>0</v>
      </c>
    </row>
    <row r="185" spans="1:4" x14ac:dyDescent="0.25">
      <c r="A185">
        <f t="shared" si="15"/>
        <v>22</v>
      </c>
      <c r="B185">
        <f t="shared" si="16"/>
        <v>0</v>
      </c>
      <c r="C185">
        <f t="shared" si="17"/>
        <v>0</v>
      </c>
      <c r="D185">
        <f t="shared" si="18"/>
        <v>0</v>
      </c>
    </row>
    <row r="186" spans="1:4" x14ac:dyDescent="0.25">
      <c r="A186">
        <f t="shared" si="15"/>
        <v>23</v>
      </c>
      <c r="B186">
        <f t="shared" si="16"/>
        <v>0</v>
      </c>
      <c r="C186">
        <f t="shared" si="17"/>
        <v>0</v>
      </c>
      <c r="D186">
        <f t="shared" si="18"/>
        <v>0</v>
      </c>
    </row>
    <row r="187" spans="1:4" x14ac:dyDescent="0.25">
      <c r="A187">
        <f t="shared" si="15"/>
        <v>24</v>
      </c>
      <c r="B187">
        <f t="shared" si="16"/>
        <v>202500</v>
      </c>
      <c r="C187">
        <f t="shared" si="17"/>
        <v>1417427.51</v>
      </c>
      <c r="D187">
        <f t="shared" si="18"/>
        <v>-1214927.51</v>
      </c>
    </row>
    <row r="188" spans="1:4" x14ac:dyDescent="0.25">
      <c r="A188">
        <f t="shared" si="15"/>
        <v>25</v>
      </c>
      <c r="B188">
        <f t="shared" si="16"/>
        <v>0</v>
      </c>
      <c r="C188">
        <f t="shared" si="17"/>
        <v>0</v>
      </c>
      <c r="D188">
        <f t="shared" si="18"/>
        <v>0</v>
      </c>
    </row>
    <row r="189" spans="1:4" x14ac:dyDescent="0.25">
      <c r="A189">
        <f t="shared" si="15"/>
        <v>26</v>
      </c>
      <c r="B189">
        <f t="shared" si="16"/>
        <v>0</v>
      </c>
      <c r="C189">
        <f t="shared" si="17"/>
        <v>0</v>
      </c>
      <c r="D189">
        <f t="shared" si="18"/>
        <v>0</v>
      </c>
    </row>
    <row r="190" spans="1:4" x14ac:dyDescent="0.25">
      <c r="A190">
        <f t="shared" si="15"/>
        <v>27</v>
      </c>
      <c r="B190">
        <f t="shared" si="16"/>
        <v>0</v>
      </c>
      <c r="C190">
        <f t="shared" si="17"/>
        <v>0</v>
      </c>
      <c r="D190">
        <f t="shared" si="18"/>
        <v>0</v>
      </c>
    </row>
    <row r="191" spans="1:4" x14ac:dyDescent="0.25">
      <c r="A191">
        <f t="shared" si="15"/>
        <v>28</v>
      </c>
      <c r="B191">
        <f t="shared" si="16"/>
        <v>0</v>
      </c>
      <c r="C191">
        <f t="shared" si="17"/>
        <v>0</v>
      </c>
      <c r="D191">
        <f t="shared" si="18"/>
        <v>0</v>
      </c>
    </row>
    <row r="192" spans="1:4" x14ac:dyDescent="0.25">
      <c r="A192">
        <f t="shared" si="15"/>
        <v>29</v>
      </c>
      <c r="B192">
        <f t="shared" si="16"/>
        <v>0</v>
      </c>
      <c r="C192">
        <f t="shared" si="17"/>
        <v>0</v>
      </c>
      <c r="D192">
        <f t="shared" si="18"/>
        <v>0</v>
      </c>
    </row>
    <row r="193" spans="1:4" x14ac:dyDescent="0.25">
      <c r="A193">
        <f t="shared" si="15"/>
        <v>30</v>
      </c>
      <c r="B193">
        <f t="shared" si="16"/>
        <v>202500</v>
      </c>
      <c r="C193">
        <f t="shared" si="17"/>
        <v>1658390.18</v>
      </c>
      <c r="D193">
        <f t="shared" si="18"/>
        <v>-1455890.18</v>
      </c>
    </row>
    <row r="194" spans="1:4" x14ac:dyDescent="0.25">
      <c r="A194">
        <f t="shared" si="15"/>
        <v>31</v>
      </c>
      <c r="B194">
        <f t="shared" si="16"/>
        <v>0</v>
      </c>
      <c r="C194">
        <f t="shared" si="17"/>
        <v>0</v>
      </c>
      <c r="D194">
        <f t="shared" si="18"/>
        <v>0</v>
      </c>
    </row>
    <row r="195" spans="1:4" x14ac:dyDescent="0.25">
      <c r="A195">
        <f t="shared" si="15"/>
        <v>32</v>
      </c>
      <c r="B195">
        <f t="shared" si="16"/>
        <v>0</v>
      </c>
      <c r="C195">
        <f t="shared" si="17"/>
        <v>0</v>
      </c>
      <c r="D195">
        <f t="shared" si="18"/>
        <v>0</v>
      </c>
    </row>
    <row r="196" spans="1:4" x14ac:dyDescent="0.25">
      <c r="A196">
        <f t="shared" si="15"/>
        <v>33</v>
      </c>
      <c r="B196">
        <f t="shared" si="16"/>
        <v>0</v>
      </c>
      <c r="C196">
        <f t="shared" si="17"/>
        <v>0</v>
      </c>
      <c r="D196">
        <f t="shared" si="18"/>
        <v>0</v>
      </c>
    </row>
    <row r="197" spans="1:4" x14ac:dyDescent="0.25">
      <c r="A197">
        <f t="shared" si="15"/>
        <v>34</v>
      </c>
      <c r="B197">
        <f t="shared" si="16"/>
        <v>0</v>
      </c>
      <c r="C197">
        <f t="shared" si="17"/>
        <v>0</v>
      </c>
      <c r="D197">
        <f t="shared" si="18"/>
        <v>0</v>
      </c>
    </row>
    <row r="198" spans="1:4" x14ac:dyDescent="0.25">
      <c r="A198">
        <f t="shared" si="15"/>
        <v>35</v>
      </c>
      <c r="B198">
        <f t="shared" si="16"/>
        <v>0</v>
      </c>
      <c r="C198">
        <f t="shared" si="17"/>
        <v>0</v>
      </c>
      <c r="D198">
        <f t="shared" si="18"/>
        <v>0</v>
      </c>
    </row>
    <row r="199" spans="1:4" x14ac:dyDescent="0.25">
      <c r="A199">
        <f t="shared" si="15"/>
        <v>36</v>
      </c>
      <c r="B199">
        <f t="shared" si="16"/>
        <v>202500</v>
      </c>
      <c r="C199">
        <f t="shared" si="17"/>
        <v>-175670</v>
      </c>
      <c r="D199">
        <f t="shared" si="18"/>
        <v>378170</v>
      </c>
    </row>
    <row r="200" spans="1:4" x14ac:dyDescent="0.25">
      <c r="A200">
        <f t="shared" si="15"/>
        <v>37</v>
      </c>
      <c r="B200">
        <f t="shared" si="16"/>
        <v>0</v>
      </c>
      <c r="C200">
        <f t="shared" si="17"/>
        <v>0</v>
      </c>
      <c r="D200">
        <f t="shared" si="18"/>
        <v>0</v>
      </c>
    </row>
    <row r="201" spans="1:4" x14ac:dyDescent="0.25">
      <c r="A201">
        <f t="shared" si="15"/>
        <v>38</v>
      </c>
      <c r="B201">
        <f t="shared" si="16"/>
        <v>0</v>
      </c>
      <c r="C201">
        <f t="shared" si="17"/>
        <v>0</v>
      </c>
      <c r="D201">
        <f t="shared" si="18"/>
        <v>0</v>
      </c>
    </row>
    <row r="202" spans="1:4" x14ac:dyDescent="0.25">
      <c r="A202">
        <f t="shared" si="15"/>
        <v>39</v>
      </c>
      <c r="B202">
        <f t="shared" si="16"/>
        <v>0</v>
      </c>
      <c r="C202">
        <f t="shared" si="17"/>
        <v>0</v>
      </c>
      <c r="D202">
        <f t="shared" si="18"/>
        <v>0</v>
      </c>
    </row>
    <row r="203" spans="1:4" x14ac:dyDescent="0.25">
      <c r="A203">
        <f t="shared" si="15"/>
        <v>40</v>
      </c>
      <c r="B203">
        <f t="shared" si="16"/>
        <v>0</v>
      </c>
      <c r="C203">
        <f t="shared" si="17"/>
        <v>0</v>
      </c>
      <c r="D203">
        <f t="shared" si="18"/>
        <v>0</v>
      </c>
    </row>
    <row r="204" spans="1:4" x14ac:dyDescent="0.25">
      <c r="A204">
        <f t="shared" si="15"/>
        <v>41</v>
      </c>
      <c r="B204">
        <f t="shared" si="16"/>
        <v>0</v>
      </c>
      <c r="C204">
        <f t="shared" si="17"/>
        <v>0</v>
      </c>
      <c r="D204">
        <f t="shared" si="18"/>
        <v>0</v>
      </c>
    </row>
    <row r="205" spans="1:4" x14ac:dyDescent="0.25">
      <c r="A205">
        <f t="shared" si="15"/>
        <v>42</v>
      </c>
      <c r="B205">
        <f t="shared" si="16"/>
        <v>202500</v>
      </c>
      <c r="C205">
        <f t="shared" si="17"/>
        <v>-250000</v>
      </c>
      <c r="D205">
        <f t="shared" si="18"/>
        <v>452500</v>
      </c>
    </row>
    <row r="206" spans="1:4" x14ac:dyDescent="0.25">
      <c r="A206">
        <f t="shared" si="15"/>
        <v>43</v>
      </c>
      <c r="B206">
        <f t="shared" si="16"/>
        <v>0</v>
      </c>
      <c r="C206">
        <f t="shared" si="17"/>
        <v>0</v>
      </c>
      <c r="D206">
        <f t="shared" si="18"/>
        <v>0</v>
      </c>
    </row>
    <row r="207" spans="1:4" x14ac:dyDescent="0.25">
      <c r="A207">
        <f t="shared" si="15"/>
        <v>44</v>
      </c>
      <c r="B207">
        <f t="shared" si="16"/>
        <v>0</v>
      </c>
      <c r="C207">
        <f t="shared" si="17"/>
        <v>0</v>
      </c>
      <c r="D207">
        <f t="shared" si="18"/>
        <v>0</v>
      </c>
    </row>
    <row r="208" spans="1:4" x14ac:dyDescent="0.25">
      <c r="A208">
        <f t="shared" si="15"/>
        <v>45</v>
      </c>
      <c r="B208">
        <f t="shared" si="16"/>
        <v>0</v>
      </c>
      <c r="C208">
        <f t="shared" si="17"/>
        <v>0</v>
      </c>
      <c r="D208">
        <f t="shared" si="18"/>
        <v>0</v>
      </c>
    </row>
    <row r="209" spans="1:4" x14ac:dyDescent="0.25">
      <c r="A209">
        <f t="shared" si="15"/>
        <v>46</v>
      </c>
      <c r="B209">
        <f t="shared" si="16"/>
        <v>0</v>
      </c>
      <c r="C209">
        <f t="shared" si="17"/>
        <v>0</v>
      </c>
      <c r="D209">
        <f t="shared" si="18"/>
        <v>0</v>
      </c>
    </row>
    <row r="210" spans="1:4" x14ac:dyDescent="0.25">
      <c r="A210">
        <f t="shared" si="15"/>
        <v>47</v>
      </c>
      <c r="B210">
        <f t="shared" si="16"/>
        <v>0</v>
      </c>
      <c r="C210">
        <f t="shared" si="17"/>
        <v>0</v>
      </c>
      <c r="D210">
        <f t="shared" si="18"/>
        <v>0</v>
      </c>
    </row>
    <row r="211" spans="1:4" x14ac:dyDescent="0.25">
      <c r="A211">
        <f t="shared" si="15"/>
        <v>48</v>
      </c>
      <c r="B211">
        <f t="shared" si="16"/>
        <v>7350000</v>
      </c>
      <c r="C211">
        <f t="shared" si="17"/>
        <v>2100000</v>
      </c>
      <c r="D211">
        <f t="shared" si="18"/>
        <v>5250000</v>
      </c>
    </row>
    <row r="213" spans="1:4" x14ac:dyDescent="0.25">
      <c r="D213" s="6">
        <f>MIRR(D163:D211,B3/H3,B3/H3)*H3</f>
        <v>6.7451804835588547E-2</v>
      </c>
    </row>
    <row r="214" spans="1:4" x14ac:dyDescent="0.25">
      <c r="B214" s="19" t="s">
        <v>61</v>
      </c>
    </row>
    <row r="221" spans="1:4" x14ac:dyDescent="0.25">
      <c r="A221" t="s">
        <v>1</v>
      </c>
      <c r="B221" s="6">
        <v>0.15</v>
      </c>
      <c r="C221" t="s">
        <v>2</v>
      </c>
      <c r="D221" t="s">
        <v>3</v>
      </c>
    </row>
    <row r="222" spans="1:4" x14ac:dyDescent="0.25">
      <c r="A222" t="s">
        <v>34</v>
      </c>
      <c r="B222" s="14">
        <f>NPV(B221/12,D18:D53)</f>
        <v>6520827.3412773013</v>
      </c>
    </row>
    <row r="223" spans="1:4" x14ac:dyDescent="0.25">
      <c r="A223" t="s">
        <v>62</v>
      </c>
      <c r="B223" s="15">
        <f>B222/B9</f>
        <v>0.96604849500404466</v>
      </c>
    </row>
    <row r="225" spans="1:11" x14ac:dyDescent="0.25">
      <c r="A225" s="19" t="s">
        <v>63</v>
      </c>
      <c r="B225" s="19"/>
      <c r="C225" s="19"/>
    </row>
    <row r="232" spans="1:11" x14ac:dyDescent="0.25">
      <c r="A232" s="4" t="s">
        <v>4</v>
      </c>
      <c r="G232" s="4" t="s">
        <v>4</v>
      </c>
    </row>
    <row r="233" spans="1:11" x14ac:dyDescent="0.25">
      <c r="A233" t="s">
        <v>5</v>
      </c>
      <c r="B233" s="3">
        <v>1.0465</v>
      </c>
      <c r="G233" t="s">
        <v>5</v>
      </c>
      <c r="H233" s="3">
        <v>1.0465</v>
      </c>
    </row>
    <row r="234" spans="1:11" x14ac:dyDescent="0.25">
      <c r="A234" t="s">
        <v>6</v>
      </c>
      <c r="B234" s="3">
        <v>0.12720000000000001</v>
      </c>
      <c r="C234" t="s">
        <v>2</v>
      </c>
      <c r="D234" t="s">
        <v>8</v>
      </c>
      <c r="E234" t="s">
        <v>7</v>
      </c>
      <c r="G234" t="s">
        <v>6</v>
      </c>
      <c r="H234" s="3">
        <v>0.12720000000000001</v>
      </c>
      <c r="I234" t="s">
        <v>2</v>
      </c>
      <c r="J234" t="s">
        <v>8</v>
      </c>
      <c r="K234" t="s">
        <v>7</v>
      </c>
    </row>
    <row r="235" spans="1:11" ht="15.75" x14ac:dyDescent="0.25">
      <c r="A235" t="s">
        <v>9</v>
      </c>
      <c r="B235" s="2">
        <v>6750000</v>
      </c>
      <c r="G235" t="s">
        <v>9</v>
      </c>
      <c r="H235" s="2">
        <v>6750000</v>
      </c>
    </row>
    <row r="236" spans="1:11" x14ac:dyDescent="0.25">
      <c r="A236" t="s">
        <v>10</v>
      </c>
      <c r="B236" t="s">
        <v>11</v>
      </c>
      <c r="G236" t="s">
        <v>10</v>
      </c>
      <c r="H236" t="s">
        <v>11</v>
      </c>
    </row>
    <row r="237" spans="1:11" x14ac:dyDescent="0.25">
      <c r="A237" t="s">
        <v>12</v>
      </c>
      <c r="B237" t="s">
        <v>13</v>
      </c>
      <c r="D237">
        <f>2.5*12</f>
        <v>30</v>
      </c>
      <c r="G237" t="s">
        <v>12</v>
      </c>
      <c r="H237" t="s">
        <v>13</v>
      </c>
    </row>
    <row r="238" spans="1:11" x14ac:dyDescent="0.25">
      <c r="A238" t="s">
        <v>19</v>
      </c>
      <c r="B238" s="6">
        <v>0.3</v>
      </c>
    </row>
    <row r="239" spans="1:11" x14ac:dyDescent="0.25">
      <c r="A239" t="s">
        <v>26</v>
      </c>
      <c r="B239" t="s">
        <v>27</v>
      </c>
      <c r="C239" t="s">
        <v>28</v>
      </c>
      <c r="D239" t="s">
        <v>29</v>
      </c>
      <c r="E239" t="s">
        <v>30</v>
      </c>
      <c r="G239" t="s">
        <v>26</v>
      </c>
      <c r="H239" t="s">
        <v>27</v>
      </c>
      <c r="I239" t="s">
        <v>28</v>
      </c>
      <c r="J239" t="s">
        <v>29</v>
      </c>
      <c r="K239" t="s">
        <v>30</v>
      </c>
    </row>
    <row r="240" spans="1:11" x14ac:dyDescent="0.25">
      <c r="A240">
        <v>0</v>
      </c>
      <c r="D240">
        <f>-B233*B235</f>
        <v>-7063875</v>
      </c>
      <c r="E240" s="1">
        <f>B235</f>
        <v>6750000</v>
      </c>
      <c r="G240">
        <v>30</v>
      </c>
      <c r="J240">
        <f>-B238*B235</f>
        <v>-2025000</v>
      </c>
      <c r="K240" s="1">
        <f>E270</f>
        <v>1125000</v>
      </c>
    </row>
    <row r="241" spans="1:11" x14ac:dyDescent="0.25">
      <c r="A241">
        <v>1</v>
      </c>
      <c r="C241">
        <f>E240*$B$8/$H$3</f>
        <v>71550</v>
      </c>
      <c r="D241">
        <f>SUM(B241:C241)</f>
        <v>71550</v>
      </c>
      <c r="E241" s="1">
        <f>E240-B241</f>
        <v>6750000</v>
      </c>
      <c r="G241">
        <v>31</v>
      </c>
      <c r="I241">
        <f t="shared" ref="I241:I246" si="19">K240*$B$8/$H$3</f>
        <v>11925</v>
      </c>
      <c r="J241">
        <f t="shared" ref="J241:J246" si="20">SUM(H241:I241)</f>
        <v>11925</v>
      </c>
      <c r="K241" s="1">
        <f t="shared" ref="K241:K246" si="21">K240-H241</f>
        <v>1125000</v>
      </c>
    </row>
    <row r="242" spans="1:11" x14ac:dyDescent="0.25">
      <c r="A242">
        <v>2</v>
      </c>
      <c r="C242">
        <f t="shared" ref="C242:C269" si="22">E241*$B$8/$H$3</f>
        <v>71550</v>
      </c>
      <c r="D242">
        <f t="shared" ref="D242:D269" si="23">SUM(B242:C242)</f>
        <v>71550</v>
      </c>
      <c r="E242" s="1">
        <f t="shared" ref="E242:E267" si="24">E241-B242</f>
        <v>6750000</v>
      </c>
      <c r="G242">
        <v>32</v>
      </c>
      <c r="I242">
        <f t="shared" si="19"/>
        <v>11925</v>
      </c>
      <c r="J242">
        <f t="shared" si="20"/>
        <v>11925</v>
      </c>
      <c r="K242" s="1">
        <f t="shared" si="21"/>
        <v>1125000</v>
      </c>
    </row>
    <row r="243" spans="1:11" x14ac:dyDescent="0.25">
      <c r="A243">
        <v>3</v>
      </c>
      <c r="C243">
        <f t="shared" si="22"/>
        <v>71550</v>
      </c>
      <c r="D243">
        <f t="shared" si="23"/>
        <v>71550</v>
      </c>
      <c r="E243" s="1">
        <f t="shared" si="24"/>
        <v>6750000</v>
      </c>
      <c r="G243">
        <v>33</v>
      </c>
      <c r="I243">
        <f t="shared" si="19"/>
        <v>11925</v>
      </c>
      <c r="J243">
        <f t="shared" si="20"/>
        <v>11925</v>
      </c>
      <c r="K243" s="1">
        <f t="shared" si="21"/>
        <v>1125000</v>
      </c>
    </row>
    <row r="244" spans="1:11" x14ac:dyDescent="0.25">
      <c r="A244">
        <v>4</v>
      </c>
      <c r="C244">
        <f t="shared" si="22"/>
        <v>71550</v>
      </c>
      <c r="D244">
        <f t="shared" si="23"/>
        <v>71550</v>
      </c>
      <c r="E244" s="1">
        <f t="shared" si="24"/>
        <v>6750000</v>
      </c>
      <c r="G244">
        <v>34</v>
      </c>
      <c r="I244">
        <f t="shared" si="19"/>
        <v>11925</v>
      </c>
      <c r="J244">
        <f t="shared" si="20"/>
        <v>11925</v>
      </c>
      <c r="K244" s="1">
        <f t="shared" si="21"/>
        <v>1125000</v>
      </c>
    </row>
    <row r="245" spans="1:11" x14ac:dyDescent="0.25">
      <c r="A245">
        <v>5</v>
      </c>
      <c r="C245">
        <f t="shared" si="22"/>
        <v>71550</v>
      </c>
      <c r="D245">
        <f t="shared" si="23"/>
        <v>71550</v>
      </c>
      <c r="E245" s="1">
        <f t="shared" si="24"/>
        <v>6750000</v>
      </c>
      <c r="G245">
        <v>35</v>
      </c>
      <c r="I245">
        <f t="shared" si="19"/>
        <v>11925</v>
      </c>
      <c r="J245">
        <f t="shared" si="20"/>
        <v>11925</v>
      </c>
      <c r="K245" s="1">
        <f t="shared" si="21"/>
        <v>1125000</v>
      </c>
    </row>
    <row r="246" spans="1:11" x14ac:dyDescent="0.25">
      <c r="A246">
        <v>6</v>
      </c>
      <c r="B246">
        <f>$B$9/6</f>
        <v>1125000</v>
      </c>
      <c r="C246">
        <f t="shared" si="22"/>
        <v>71550</v>
      </c>
      <c r="D246">
        <f t="shared" si="23"/>
        <v>1196550</v>
      </c>
      <c r="E246" s="1">
        <f t="shared" si="24"/>
        <v>5625000</v>
      </c>
      <c r="G246">
        <v>36</v>
      </c>
      <c r="H246">
        <f>$B$9/6</f>
        <v>1125000</v>
      </c>
      <c r="I246">
        <f t="shared" si="19"/>
        <v>11925</v>
      </c>
      <c r="J246">
        <f t="shared" si="20"/>
        <v>1136925</v>
      </c>
      <c r="K246" s="1">
        <f t="shared" si="21"/>
        <v>0</v>
      </c>
    </row>
    <row r="247" spans="1:11" x14ac:dyDescent="0.25">
      <c r="A247">
        <v>7</v>
      </c>
      <c r="C247">
        <f t="shared" si="22"/>
        <v>59625</v>
      </c>
      <c r="D247">
        <f t="shared" si="23"/>
        <v>59625</v>
      </c>
      <c r="E247" s="1">
        <f t="shared" si="24"/>
        <v>5625000</v>
      </c>
      <c r="K247" s="1"/>
    </row>
    <row r="248" spans="1:11" x14ac:dyDescent="0.25">
      <c r="A248">
        <v>8</v>
      </c>
      <c r="C248">
        <f t="shared" si="22"/>
        <v>59625</v>
      </c>
      <c r="D248">
        <f t="shared" si="23"/>
        <v>59625</v>
      </c>
      <c r="E248" s="1">
        <f t="shared" si="24"/>
        <v>5625000</v>
      </c>
      <c r="I248" t="s">
        <v>34</v>
      </c>
      <c r="J248" s="14">
        <f>NPV(B3/H3,J241:J246)+J240</f>
        <v>-876840.05090705189</v>
      </c>
      <c r="K248" s="1"/>
    </row>
    <row r="249" spans="1:11" x14ac:dyDescent="0.25">
      <c r="A249">
        <v>9</v>
      </c>
      <c r="C249">
        <f t="shared" si="22"/>
        <v>59625</v>
      </c>
      <c r="D249">
        <f t="shared" si="23"/>
        <v>59625</v>
      </c>
      <c r="E249" s="1">
        <f t="shared" si="24"/>
        <v>5625000</v>
      </c>
      <c r="I249" t="s">
        <v>35</v>
      </c>
      <c r="J249">
        <f>IRR(J240:J246)*12</f>
        <v>-1.028497752798621</v>
      </c>
      <c r="K249" s="1"/>
    </row>
    <row r="250" spans="1:11" x14ac:dyDescent="0.25">
      <c r="A250">
        <v>10</v>
      </c>
      <c r="C250">
        <f t="shared" si="22"/>
        <v>59625</v>
      </c>
      <c r="D250">
        <f t="shared" si="23"/>
        <v>59625</v>
      </c>
      <c r="E250" s="1">
        <f t="shared" si="24"/>
        <v>5625000</v>
      </c>
      <c r="K250" s="1"/>
    </row>
    <row r="251" spans="1:11" x14ac:dyDescent="0.25">
      <c r="A251">
        <v>11</v>
      </c>
      <c r="C251">
        <f t="shared" si="22"/>
        <v>59625</v>
      </c>
      <c r="D251">
        <f t="shared" si="23"/>
        <v>59625</v>
      </c>
      <c r="E251" s="1">
        <f t="shared" si="24"/>
        <v>5625000</v>
      </c>
      <c r="H251" s="23" t="s">
        <v>65</v>
      </c>
      <c r="K251" s="1"/>
    </row>
    <row r="252" spans="1:11" x14ac:dyDescent="0.25">
      <c r="A252">
        <v>12</v>
      </c>
      <c r="B252">
        <f>$B$9/6</f>
        <v>1125000</v>
      </c>
      <c r="C252">
        <f t="shared" si="22"/>
        <v>59625</v>
      </c>
      <c r="D252">
        <f t="shared" si="23"/>
        <v>1184625</v>
      </c>
      <c r="E252" s="1">
        <f t="shared" si="24"/>
        <v>4500000</v>
      </c>
      <c r="K252" s="1"/>
    </row>
    <row r="253" spans="1:11" x14ac:dyDescent="0.25">
      <c r="A253">
        <v>13</v>
      </c>
      <c r="C253">
        <f t="shared" si="22"/>
        <v>47700</v>
      </c>
      <c r="D253">
        <f t="shared" si="23"/>
        <v>47700</v>
      </c>
      <c r="E253" s="1">
        <f t="shared" si="24"/>
        <v>4500000</v>
      </c>
      <c r="K253" s="1"/>
    </row>
    <row r="254" spans="1:11" x14ac:dyDescent="0.25">
      <c r="A254">
        <v>14</v>
      </c>
      <c r="C254">
        <f t="shared" si="22"/>
        <v>47700</v>
      </c>
      <c r="D254">
        <f t="shared" si="23"/>
        <v>47700</v>
      </c>
      <c r="E254" s="1">
        <f t="shared" si="24"/>
        <v>4500000</v>
      </c>
      <c r="K254" s="1"/>
    </row>
    <row r="255" spans="1:11" x14ac:dyDescent="0.25">
      <c r="A255">
        <v>15</v>
      </c>
      <c r="C255">
        <f t="shared" si="22"/>
        <v>47700</v>
      </c>
      <c r="D255">
        <f t="shared" si="23"/>
        <v>47700</v>
      </c>
      <c r="E255" s="1">
        <f t="shared" si="24"/>
        <v>4500000</v>
      </c>
      <c r="K255" s="1"/>
    </row>
    <row r="256" spans="1:11" x14ac:dyDescent="0.25">
      <c r="A256">
        <v>16</v>
      </c>
      <c r="C256">
        <f t="shared" si="22"/>
        <v>47700</v>
      </c>
      <c r="D256">
        <f t="shared" si="23"/>
        <v>47700</v>
      </c>
      <c r="E256" s="1">
        <f t="shared" si="24"/>
        <v>4500000</v>
      </c>
      <c r="K256" s="1"/>
    </row>
    <row r="257" spans="1:11" x14ac:dyDescent="0.25">
      <c r="A257">
        <v>17</v>
      </c>
      <c r="C257">
        <f t="shared" si="22"/>
        <v>47700</v>
      </c>
      <c r="D257">
        <f t="shared" si="23"/>
        <v>47700</v>
      </c>
      <c r="E257" s="1">
        <f t="shared" si="24"/>
        <v>4500000</v>
      </c>
      <c r="K257" s="1"/>
    </row>
    <row r="258" spans="1:11" x14ac:dyDescent="0.25">
      <c r="A258">
        <v>18</v>
      </c>
      <c r="B258">
        <f>$B$9/6</f>
        <v>1125000</v>
      </c>
      <c r="C258">
        <f t="shared" si="22"/>
        <v>47700</v>
      </c>
      <c r="D258">
        <f t="shared" si="23"/>
        <v>1172700</v>
      </c>
      <c r="E258" s="1">
        <f t="shared" si="24"/>
        <v>3375000</v>
      </c>
      <c r="K258" s="1"/>
    </row>
    <row r="259" spans="1:11" x14ac:dyDescent="0.25">
      <c r="A259">
        <v>19</v>
      </c>
      <c r="C259">
        <f t="shared" si="22"/>
        <v>35775</v>
      </c>
      <c r="D259">
        <f t="shared" si="23"/>
        <v>35775</v>
      </c>
      <c r="E259" s="1">
        <f t="shared" si="24"/>
        <v>3375000</v>
      </c>
      <c r="K259" s="1"/>
    </row>
    <row r="260" spans="1:11" x14ac:dyDescent="0.25">
      <c r="A260">
        <v>20</v>
      </c>
      <c r="C260">
        <f t="shared" si="22"/>
        <v>35775</v>
      </c>
      <c r="D260">
        <f t="shared" si="23"/>
        <v>35775</v>
      </c>
      <c r="E260" s="1">
        <f t="shared" si="24"/>
        <v>3375000</v>
      </c>
      <c r="K260" s="1"/>
    </row>
    <row r="261" spans="1:11" x14ac:dyDescent="0.25">
      <c r="A261">
        <v>21</v>
      </c>
      <c r="C261">
        <f t="shared" si="22"/>
        <v>35775</v>
      </c>
      <c r="D261">
        <f t="shared" si="23"/>
        <v>35775</v>
      </c>
      <c r="E261" s="1">
        <f t="shared" si="24"/>
        <v>3375000</v>
      </c>
      <c r="K261" s="1"/>
    </row>
    <row r="262" spans="1:11" x14ac:dyDescent="0.25">
      <c r="A262">
        <v>22</v>
      </c>
      <c r="C262">
        <f t="shared" si="22"/>
        <v>35775</v>
      </c>
      <c r="D262">
        <f t="shared" si="23"/>
        <v>35775</v>
      </c>
      <c r="E262" s="1">
        <f t="shared" si="24"/>
        <v>3375000</v>
      </c>
      <c r="K262" s="1"/>
    </row>
    <row r="263" spans="1:11" x14ac:dyDescent="0.25">
      <c r="A263">
        <v>23</v>
      </c>
      <c r="C263">
        <f t="shared" si="22"/>
        <v>35775</v>
      </c>
      <c r="D263">
        <f t="shared" si="23"/>
        <v>35775</v>
      </c>
      <c r="E263" s="1">
        <f t="shared" si="24"/>
        <v>3375000</v>
      </c>
      <c r="K263" s="1"/>
    </row>
    <row r="264" spans="1:11" x14ac:dyDescent="0.25">
      <c r="A264">
        <v>24</v>
      </c>
      <c r="B264">
        <f>$B$9/6</f>
        <v>1125000</v>
      </c>
      <c r="C264">
        <f t="shared" si="22"/>
        <v>35775</v>
      </c>
      <c r="D264">
        <f t="shared" si="23"/>
        <v>1160775</v>
      </c>
      <c r="E264" s="1">
        <f t="shared" si="24"/>
        <v>2250000</v>
      </c>
      <c r="K264" s="1"/>
    </row>
    <row r="265" spans="1:11" x14ac:dyDescent="0.25">
      <c r="A265">
        <v>25</v>
      </c>
      <c r="C265">
        <f t="shared" si="22"/>
        <v>23850</v>
      </c>
      <c r="D265">
        <f t="shared" si="23"/>
        <v>23850</v>
      </c>
      <c r="E265" s="1">
        <f t="shared" si="24"/>
        <v>2250000</v>
      </c>
      <c r="K265" s="1"/>
    </row>
    <row r="266" spans="1:11" x14ac:dyDescent="0.25">
      <c r="A266">
        <v>26</v>
      </c>
      <c r="C266">
        <f t="shared" si="22"/>
        <v>23850</v>
      </c>
      <c r="D266">
        <f t="shared" si="23"/>
        <v>23850</v>
      </c>
      <c r="E266" s="1">
        <f t="shared" si="24"/>
        <v>2250000</v>
      </c>
      <c r="K266" s="1"/>
    </row>
    <row r="267" spans="1:11" x14ac:dyDescent="0.25">
      <c r="A267">
        <v>27</v>
      </c>
      <c r="C267">
        <f t="shared" si="22"/>
        <v>23850</v>
      </c>
      <c r="D267">
        <f t="shared" si="23"/>
        <v>23850</v>
      </c>
      <c r="E267" s="1">
        <f t="shared" si="24"/>
        <v>2250000</v>
      </c>
      <c r="K267" s="1"/>
    </row>
    <row r="268" spans="1:11" x14ac:dyDescent="0.25">
      <c r="A268">
        <v>28</v>
      </c>
      <c r="C268">
        <f t="shared" si="22"/>
        <v>23850</v>
      </c>
      <c r="D268">
        <f t="shared" si="23"/>
        <v>23850</v>
      </c>
      <c r="E268" s="1">
        <f>E267-B268</f>
        <v>2250000</v>
      </c>
      <c r="K268" s="1"/>
    </row>
    <row r="269" spans="1:11" x14ac:dyDescent="0.25">
      <c r="A269">
        <v>29</v>
      </c>
      <c r="C269">
        <f t="shared" si="22"/>
        <v>23850</v>
      </c>
      <c r="D269">
        <f t="shared" si="23"/>
        <v>23850</v>
      </c>
      <c r="E269" s="1">
        <f>E268-B269</f>
        <v>2250000</v>
      </c>
      <c r="K269" s="1"/>
    </row>
    <row r="270" spans="1:11" x14ac:dyDescent="0.25">
      <c r="A270">
        <v>30</v>
      </c>
      <c r="B270">
        <f>$B$9/6</f>
        <v>1125000</v>
      </c>
      <c r="C270">
        <f>E269*$B$8/$H$3</f>
        <v>23850</v>
      </c>
      <c r="D270">
        <f>SUM(B270:C270)+B238*B235</f>
        <v>3173850</v>
      </c>
      <c r="E270" s="1">
        <f>E269-B270</f>
        <v>1125000</v>
      </c>
    </row>
    <row r="271" spans="1:11" x14ac:dyDescent="0.25">
      <c r="E271" s="1"/>
    </row>
    <row r="272" spans="1:11" x14ac:dyDescent="0.25">
      <c r="C272" t="s">
        <v>34</v>
      </c>
      <c r="D272" s="14">
        <f>NPV(B3/H3,D241:D270)+D240</f>
        <v>849740.61496926006</v>
      </c>
      <c r="E272" s="1"/>
    </row>
    <row r="273" spans="2:5" x14ac:dyDescent="0.25">
      <c r="C273" t="s">
        <v>35</v>
      </c>
      <c r="D273" s="15">
        <f>IRR(D240:D270)*H3</f>
        <v>0.15782732569274849</v>
      </c>
      <c r="E273" s="1"/>
    </row>
    <row r="274" spans="2:5" x14ac:dyDescent="0.25">
      <c r="E274" s="1"/>
    </row>
    <row r="275" spans="2:5" x14ac:dyDescent="0.25">
      <c r="B275" s="18" t="s">
        <v>64</v>
      </c>
      <c r="C275" s="19"/>
      <c r="D275" s="19"/>
      <c r="E275" s="22"/>
    </row>
    <row r="276" spans="2:5" x14ac:dyDescent="0.25">
      <c r="E276" s="1"/>
    </row>
  </sheetData>
  <mergeCells count="2">
    <mergeCell ref="A77:K80"/>
    <mergeCell ref="A100:J10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2021-02-16T17:17:56Z</dcterms:modified>
</cp:coreProperties>
</file>