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___UFM-Cursos___\3_1\adminfin2\SimulacroParcial\"/>
    </mc:Choice>
  </mc:AlternateContent>
  <xr:revisionPtr revIDLastSave="0" documentId="13_ncr:1_{D398B6B2-3DE1-418D-85E0-39F3CF320CF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" i="1" l="1"/>
  <c r="D98" i="1"/>
  <c r="J135" i="1"/>
  <c r="L125" i="1"/>
  <c r="J126" i="1" s="1"/>
  <c r="K125" i="1"/>
  <c r="I133" i="1"/>
  <c r="I131" i="1"/>
  <c r="I129" i="1"/>
  <c r="I127" i="1"/>
  <c r="E125" i="1"/>
  <c r="D128" i="1"/>
  <c r="C125" i="1"/>
  <c r="C123" i="1"/>
  <c r="C121" i="1"/>
  <c r="C119" i="1"/>
  <c r="F117" i="1"/>
  <c r="F118" i="1" s="1"/>
  <c r="E117" i="1"/>
  <c r="E93" i="1"/>
  <c r="E92" i="1"/>
  <c r="E90" i="1"/>
  <c r="E77" i="1"/>
  <c r="E78" i="1"/>
  <c r="E79" i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76" i="1"/>
  <c r="E75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74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73" i="1"/>
  <c r="C62" i="1"/>
  <c r="H40" i="1"/>
  <c r="C52" i="1"/>
  <c r="C51" i="1"/>
  <c r="C50" i="1"/>
  <c r="C49" i="1"/>
  <c r="D52" i="1"/>
  <c r="D51" i="1"/>
  <c r="D50" i="1"/>
  <c r="D49" i="1"/>
  <c r="B52" i="1"/>
  <c r="B51" i="1"/>
  <c r="B50" i="1"/>
  <c r="B49" i="1"/>
  <c r="T33" i="1"/>
  <c r="T32" i="1"/>
  <c r="T15" i="1"/>
  <c r="U15" i="1" s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14" i="1"/>
  <c r="U14" i="1"/>
  <c r="U13" i="1"/>
  <c r="V15" i="1"/>
  <c r="U16" i="1" s="1"/>
  <c r="V16" i="1"/>
  <c r="U17" i="1" s="1"/>
  <c r="V17" i="1"/>
  <c r="U18" i="1" s="1"/>
  <c r="V18" i="1"/>
  <c r="V19" i="1" s="1"/>
  <c r="V14" i="1"/>
  <c r="V13" i="1"/>
  <c r="S29" i="1"/>
  <c r="S27" i="1"/>
  <c r="S25" i="1"/>
  <c r="S23" i="1"/>
  <c r="S21" i="1"/>
  <c r="S19" i="1"/>
  <c r="S17" i="1"/>
  <c r="S15" i="1"/>
  <c r="M29" i="1"/>
  <c r="M28" i="1"/>
  <c r="M27" i="1"/>
  <c r="M13" i="1"/>
  <c r="M25" i="1"/>
  <c r="M11" i="1"/>
  <c r="H41" i="1"/>
  <c r="H39" i="1"/>
  <c r="H13" i="1"/>
  <c r="C25" i="1"/>
  <c r="C24" i="1"/>
  <c r="D15" i="1"/>
  <c r="C23" i="1" s="1"/>
  <c r="D16" i="1"/>
  <c r="D17" i="1"/>
  <c r="D18" i="1"/>
  <c r="D19" i="1"/>
  <c r="D20" i="1"/>
  <c r="D21" i="1"/>
  <c r="D14" i="1"/>
  <c r="B21" i="1"/>
  <c r="C21" i="1"/>
  <c r="C19" i="1"/>
  <c r="C17" i="1"/>
  <c r="C15" i="1"/>
  <c r="F119" i="1" l="1"/>
  <c r="D119" i="1"/>
  <c r="E119" i="1" s="1"/>
  <c r="D118" i="1"/>
  <c r="E118" i="1" s="1"/>
  <c r="V20" i="1"/>
  <c r="U20" i="1"/>
  <c r="U19" i="1"/>
  <c r="F120" i="1" l="1"/>
  <c r="D120" i="1"/>
  <c r="E120" i="1" s="1"/>
  <c r="V21" i="1"/>
  <c r="U21" i="1"/>
  <c r="F121" i="1" l="1"/>
  <c r="D121" i="1"/>
  <c r="E121" i="1" s="1"/>
  <c r="V22" i="1"/>
  <c r="U22" i="1"/>
  <c r="F122" i="1" l="1"/>
  <c r="D122" i="1"/>
  <c r="E122" i="1" s="1"/>
  <c r="V23" i="1"/>
  <c r="U23" i="1"/>
  <c r="F123" i="1" l="1"/>
  <c r="D123" i="1"/>
  <c r="E123" i="1" s="1"/>
  <c r="V24" i="1"/>
  <c r="U24" i="1"/>
  <c r="D124" i="1" l="1"/>
  <c r="E124" i="1" s="1"/>
  <c r="F124" i="1"/>
  <c r="U25" i="1"/>
  <c r="V25" i="1"/>
  <c r="D125" i="1" l="1"/>
  <c r="F125" i="1"/>
  <c r="U26" i="1"/>
  <c r="V26" i="1"/>
  <c r="K126" i="1" l="1"/>
  <c r="L126" i="1"/>
  <c r="J127" i="1" s="1"/>
  <c r="U27" i="1"/>
  <c r="V27" i="1"/>
  <c r="L127" i="1" l="1"/>
  <c r="K127" i="1"/>
  <c r="U28" i="1"/>
  <c r="V28" i="1"/>
  <c r="J128" i="1" l="1"/>
  <c r="K128" i="1" s="1"/>
  <c r="L128" i="1"/>
  <c r="U29" i="1"/>
  <c r="T31" i="1" s="1"/>
  <c r="V29" i="1"/>
  <c r="L129" i="1" l="1"/>
  <c r="J129" i="1"/>
  <c r="K129" i="1" s="1"/>
  <c r="J130" i="1" l="1"/>
  <c r="K130" i="1" s="1"/>
  <c r="L130" i="1"/>
  <c r="J131" i="1" l="1"/>
  <c r="K131" i="1" s="1"/>
  <c r="L131" i="1"/>
  <c r="J132" i="1" l="1"/>
  <c r="K132" i="1" s="1"/>
  <c r="L132" i="1"/>
  <c r="J133" i="1" l="1"/>
  <c r="K133" i="1" s="1"/>
  <c r="L133" i="1"/>
</calcChain>
</file>

<file path=xl/sharedStrings.xml><?xml version="1.0" encoding="utf-8"?>
<sst xmlns="http://schemas.openxmlformats.org/spreadsheetml/2006/main" count="116" uniqueCount="52">
  <si>
    <t>Inversion</t>
  </si>
  <si>
    <t>Ks</t>
  </si>
  <si>
    <t>Acciones "ADVICE"</t>
  </si>
  <si>
    <t>P_0</t>
  </si>
  <si>
    <t># acciones</t>
  </si>
  <si>
    <t>div</t>
  </si>
  <si>
    <t>Plazo</t>
  </si>
  <si>
    <t>P_1</t>
  </si>
  <si>
    <t>por accion</t>
  </si>
  <si>
    <t>semestral</t>
  </si>
  <si>
    <t>años</t>
  </si>
  <si>
    <t>VF</t>
  </si>
  <si>
    <t>División</t>
  </si>
  <si>
    <t>Años</t>
  </si>
  <si>
    <t>Inmobiliario los andes</t>
  </si>
  <si>
    <t>BONO AYUVI</t>
  </si>
  <si>
    <t>P0</t>
  </si>
  <si>
    <t>Cap</t>
  </si>
  <si>
    <t>al vencimiento</t>
  </si>
  <si>
    <t>Bono sugar</t>
  </si>
  <si>
    <t>plazo</t>
  </si>
  <si>
    <t>int</t>
  </si>
  <si>
    <t>trimestralmente</t>
  </si>
  <si>
    <t>cap</t>
  </si>
  <si>
    <t>semestramente</t>
  </si>
  <si>
    <t>pagos iguales</t>
  </si>
  <si>
    <t>fc</t>
  </si>
  <si>
    <t>P1</t>
  </si>
  <si>
    <t>PERIODO</t>
  </si>
  <si>
    <t>Trimestres</t>
  </si>
  <si>
    <t>VPN</t>
  </si>
  <si>
    <t>FC</t>
  </si>
  <si>
    <t>IRR</t>
  </si>
  <si>
    <t>AN EQ</t>
  </si>
  <si>
    <t>saldo</t>
  </si>
  <si>
    <t>P1 tambien</t>
  </si>
  <si>
    <t xml:space="preserve">INVERSION </t>
  </si>
  <si>
    <t>INV</t>
  </si>
  <si>
    <t>Recomendaría invertir en Bono sugar y acciones advice puesto a que tienen la anualidad equivalente mas alta y la inversion es menor a 19,000,000.</t>
  </si>
  <si>
    <t>RENDIMIENTO ES</t>
  </si>
  <si>
    <t>MIRR</t>
  </si>
  <si>
    <t>PRECIO</t>
  </si>
  <si>
    <t>vp</t>
  </si>
  <si>
    <t>PRD TRIM</t>
  </si>
  <si>
    <t>PRD AÑOS</t>
  </si>
  <si>
    <t>PRD DE SUGAR</t>
  </si>
  <si>
    <t>PRECIO BONO AYUVI PARA RENDIMIENTO 21%</t>
  </si>
  <si>
    <t>Tomando en consideración su Presupuesto de 19,000,000 en que invertiría y por qué? ¿Cómo tomo su decisión?</t>
  </si>
  <si>
    <t>Calcule el rendimiento del Proyecto Inmobiliario “Los Andes”.</t>
  </si>
  <si>
    <t>¿Cual es el Período de Recuperación Descontado del Bono “SUGAR”?</t>
  </si>
  <si>
    <t>¿A que precio tendría que adquirir el Bono Ayuvi para obtener un rendimiento del 21%?</t>
  </si>
  <si>
    <t>¿Qué rendimiento obtendría si compra el Bono SUGAR a 102%, lo mantiene hasta finales del 2do año (recibiendo Intereses y Amortización) y lo vende por 51%? ¿Qué rendimiento obtendría la persona que compro el bono a finales del año 2, si lo retuvo hasta su vencimiento?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</si>
</sst>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2" fillId="0" borderId="1" xfId="0" applyNumberFormat="1" applyFont="1" applyBorder="1"/>
    <xf numFmtId="0" fontId="2" fillId="0" borderId="2" xfId="0" applyNumberFormat="1" applyFon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NumberFormat="1" applyAlignment="1">
      <alignment horizontal="left" wrapText="1"/>
    </xf>
    <xf numFmtId="0" fontId="2" fillId="0" borderId="0" xfId="0" applyNumberFormat="1" applyFont="1" applyBorder="1"/>
    <xf numFmtId="0" fontId="2" fillId="0" borderId="0" xfId="1" applyNumberFormat="1" applyFont="1" applyBorder="1"/>
    <xf numFmtId="0" fontId="2" fillId="0" borderId="0" xfId="0" applyNumberFormat="1" applyFont="1" applyFill="1" applyBorder="1"/>
    <xf numFmtId="8" fontId="2" fillId="0" borderId="0" xfId="0" applyNumberFormat="1" applyFont="1"/>
    <xf numFmtId="0" fontId="2" fillId="0" borderId="0" xfId="0" applyNumberFormat="1" applyFont="1"/>
    <xf numFmtId="0" fontId="2" fillId="0" borderId="0" xfId="1" applyNumberFormat="1" applyFont="1"/>
    <xf numFmtId="0" fontId="2" fillId="0" borderId="0" xfId="0" applyNumberFormat="1" applyFont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161925</xdr:rowOff>
    </xdr:from>
    <xdr:to>
      <xdr:col>10</xdr:col>
      <xdr:colOff>144008</xdr:colOff>
      <xdr:row>45</xdr:row>
      <xdr:rowOff>152478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17EB6E-ED8E-46E2-AFC7-560B14486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10550"/>
          <a:ext cx="8116433" cy="5620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161925</xdr:rowOff>
    </xdr:from>
    <xdr:to>
      <xdr:col>6</xdr:col>
      <xdr:colOff>276975</xdr:colOff>
      <xdr:row>60</xdr:row>
      <xdr:rowOff>85768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CAB95B-B1F5-4508-8765-B13C7D2A3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258550"/>
          <a:ext cx="5372850" cy="3048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171450</xdr:rowOff>
    </xdr:from>
    <xdr:to>
      <xdr:col>9</xdr:col>
      <xdr:colOff>601186</xdr:colOff>
      <xdr:row>67</xdr:row>
      <xdr:rowOff>133424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3A38D9-6402-4C46-A8C9-7C0B29D9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411075"/>
          <a:ext cx="7964011" cy="533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37"/>
  <sheetViews>
    <sheetView tabSelected="1" topLeftCell="A73" zoomScale="94" workbookViewId="0">
      <selection activeCell="K92" sqref="K92"/>
    </sheetView>
  </sheetViews>
  <sheetFormatPr defaultRowHeight="15" x14ac:dyDescent="0.25"/>
  <cols>
    <col min="1" max="1" width="9.140625" style="1"/>
    <col min="2" max="2" width="12.7109375" style="1" bestFit="1" customWidth="1"/>
    <col min="3" max="5" width="14.28515625" style="1" bestFit="1" customWidth="1"/>
    <col min="6" max="6" width="11.7109375" style="1" bestFit="1" customWidth="1"/>
    <col min="7" max="7" width="9.140625" style="1"/>
    <col min="8" max="9" width="12.42578125" style="1" bestFit="1" customWidth="1"/>
    <col min="10" max="10" width="9.140625" style="1"/>
    <col min="11" max="11" width="12.42578125" style="1" bestFit="1" customWidth="1"/>
    <col min="12" max="12" width="12.28515625" style="1" bestFit="1" customWidth="1"/>
    <col min="13" max="13" width="15.28515625" style="1" bestFit="1" customWidth="1"/>
    <col min="14" max="18" width="9.140625" style="1"/>
    <col min="19" max="19" width="15.140625" style="1" bestFit="1" customWidth="1"/>
    <col min="20" max="20" width="15.7109375" style="1" bestFit="1" customWidth="1"/>
    <col min="21" max="21" width="12.42578125" style="1" bestFit="1" customWidth="1"/>
    <col min="22" max="22" width="11.7109375" style="1" bestFit="1" customWidth="1"/>
    <col min="23" max="16384" width="9.140625" style="1"/>
  </cols>
  <sheetData>
    <row r="2" spans="1:22" x14ac:dyDescent="0.25">
      <c r="A2" s="1" t="s">
        <v>0</v>
      </c>
      <c r="B2" s="1">
        <v>19000000</v>
      </c>
    </row>
    <row r="3" spans="1:22" x14ac:dyDescent="0.25">
      <c r="A3" s="1" t="s">
        <v>1</v>
      </c>
      <c r="B3" s="1">
        <v>0.16</v>
      </c>
    </row>
    <row r="4" spans="1:22" ht="15.75" thickBot="1" x14ac:dyDescent="0.3"/>
    <row r="5" spans="1:22" x14ac:dyDescent="0.25">
      <c r="A5" s="2" t="s">
        <v>2</v>
      </c>
      <c r="B5" s="3"/>
      <c r="C5" s="4"/>
      <c r="D5" s="5"/>
      <c r="G5" s="6" t="s">
        <v>14</v>
      </c>
      <c r="H5" s="5"/>
      <c r="L5" s="6" t="s">
        <v>15</v>
      </c>
      <c r="M5" s="4"/>
      <c r="N5" s="5"/>
      <c r="R5" s="6" t="s">
        <v>19</v>
      </c>
      <c r="S5" s="4"/>
      <c r="T5" s="4"/>
      <c r="U5" s="4"/>
      <c r="V5" s="5"/>
    </row>
    <row r="6" spans="1:22" x14ac:dyDescent="0.25">
      <c r="A6" s="7" t="s">
        <v>3</v>
      </c>
      <c r="B6" s="8">
        <v>965</v>
      </c>
      <c r="C6" s="8" t="s">
        <v>8</v>
      </c>
      <c r="D6" s="9"/>
      <c r="G6" s="7"/>
      <c r="H6" s="9"/>
      <c r="L6" s="7" t="s">
        <v>11</v>
      </c>
      <c r="M6" s="8">
        <v>14000000</v>
      </c>
      <c r="N6" s="9" t="s">
        <v>35</v>
      </c>
      <c r="R6" s="7" t="s">
        <v>20</v>
      </c>
      <c r="S6" s="8">
        <v>4</v>
      </c>
      <c r="T6" s="8" t="s">
        <v>10</v>
      </c>
      <c r="U6" s="8"/>
      <c r="V6" s="9"/>
    </row>
    <row r="7" spans="1:22" x14ac:dyDescent="0.25">
      <c r="A7" s="7" t="s">
        <v>4</v>
      </c>
      <c r="B7" s="8">
        <v>8500</v>
      </c>
      <c r="C7" s="8"/>
      <c r="D7" s="9"/>
      <c r="G7" s="7" t="s">
        <v>11</v>
      </c>
      <c r="H7" s="9">
        <v>9000000</v>
      </c>
      <c r="L7" s="7" t="s">
        <v>6</v>
      </c>
      <c r="M7" s="8">
        <v>3</v>
      </c>
      <c r="N7" s="9" t="s">
        <v>10</v>
      </c>
      <c r="R7" s="7" t="s">
        <v>21</v>
      </c>
      <c r="S7" s="8">
        <v>0.13</v>
      </c>
      <c r="T7" s="8" t="s">
        <v>22</v>
      </c>
      <c r="U7" s="8"/>
      <c r="V7" s="9"/>
    </row>
    <row r="8" spans="1:22" x14ac:dyDescent="0.25">
      <c r="A8" s="7" t="s">
        <v>5</v>
      </c>
      <c r="B8" s="8">
        <v>27.8</v>
      </c>
      <c r="C8" s="8" t="s">
        <v>8</v>
      </c>
      <c r="D8" s="9" t="s">
        <v>9</v>
      </c>
      <c r="G8" s="7" t="s">
        <v>12</v>
      </c>
      <c r="H8" s="9" t="s">
        <v>13</v>
      </c>
      <c r="L8" s="7" t="s">
        <v>16</v>
      </c>
      <c r="M8" s="8">
        <v>0.62</v>
      </c>
      <c r="N8" s="9"/>
      <c r="R8" s="7" t="s">
        <v>23</v>
      </c>
      <c r="S8" s="8" t="s">
        <v>24</v>
      </c>
      <c r="T8" s="8" t="s">
        <v>25</v>
      </c>
      <c r="U8" s="8"/>
      <c r="V8" s="9"/>
    </row>
    <row r="9" spans="1:22" x14ac:dyDescent="0.25">
      <c r="A9" s="7" t="s">
        <v>6</v>
      </c>
      <c r="B9" s="8">
        <v>2</v>
      </c>
      <c r="C9" s="8" t="s">
        <v>10</v>
      </c>
      <c r="D9" s="9"/>
      <c r="G9" s="7"/>
      <c r="H9" s="9"/>
      <c r="L9" s="7" t="s">
        <v>17</v>
      </c>
      <c r="M9" s="8" t="s">
        <v>18</v>
      </c>
      <c r="N9" s="9"/>
      <c r="R9" s="7" t="s">
        <v>11</v>
      </c>
      <c r="S9" s="8">
        <v>9500000</v>
      </c>
      <c r="T9" s="8"/>
      <c r="U9" s="8"/>
      <c r="V9" s="9"/>
    </row>
    <row r="10" spans="1:22" x14ac:dyDescent="0.25">
      <c r="A10" s="7" t="s">
        <v>7</v>
      </c>
      <c r="B10" s="8">
        <v>1203</v>
      </c>
      <c r="C10" s="8" t="s">
        <v>8</v>
      </c>
      <c r="D10" s="9"/>
      <c r="G10" s="7"/>
      <c r="H10" s="9"/>
      <c r="L10" s="7"/>
      <c r="M10" s="8"/>
      <c r="N10" s="9"/>
      <c r="R10" s="7" t="s">
        <v>16</v>
      </c>
      <c r="S10" s="8">
        <v>0.93</v>
      </c>
      <c r="T10" s="8"/>
      <c r="U10" s="8"/>
      <c r="V10" s="9"/>
    </row>
    <row r="11" spans="1:22" x14ac:dyDescent="0.25">
      <c r="A11" s="7" t="s">
        <v>28</v>
      </c>
      <c r="B11" s="8">
        <v>4</v>
      </c>
      <c r="C11" s="8"/>
      <c r="D11" s="9"/>
      <c r="G11" s="7" t="s">
        <v>28</v>
      </c>
      <c r="H11" s="9">
        <v>4</v>
      </c>
      <c r="L11" s="7" t="s">
        <v>28</v>
      </c>
      <c r="M11" s="8">
        <f>H11</f>
        <v>4</v>
      </c>
      <c r="N11" s="9"/>
      <c r="R11" s="7" t="s">
        <v>28</v>
      </c>
      <c r="S11" s="8">
        <v>4</v>
      </c>
      <c r="T11" s="8"/>
      <c r="U11" s="8"/>
      <c r="V11" s="9"/>
    </row>
    <row r="12" spans="1:22" x14ac:dyDescent="0.25">
      <c r="A12" s="7" t="s">
        <v>29</v>
      </c>
      <c r="B12" s="8" t="s">
        <v>23</v>
      </c>
      <c r="C12" s="8" t="s">
        <v>5</v>
      </c>
      <c r="D12" s="9" t="s">
        <v>26</v>
      </c>
      <c r="G12" s="7" t="s">
        <v>29</v>
      </c>
      <c r="H12" s="9" t="s">
        <v>31</v>
      </c>
      <c r="L12" s="7" t="s">
        <v>29</v>
      </c>
      <c r="M12" s="8" t="s">
        <v>31</v>
      </c>
      <c r="N12" s="9"/>
      <c r="R12" s="7" t="s">
        <v>29</v>
      </c>
      <c r="S12" s="8" t="s">
        <v>23</v>
      </c>
      <c r="T12" s="8" t="s">
        <v>21</v>
      </c>
      <c r="U12" s="8" t="s">
        <v>26</v>
      </c>
      <c r="V12" s="9" t="s">
        <v>34</v>
      </c>
    </row>
    <row r="13" spans="1:22" x14ac:dyDescent="0.25">
      <c r="A13" s="7">
        <v>0</v>
      </c>
      <c r="B13" s="8"/>
      <c r="C13" s="8"/>
      <c r="D13" s="9">
        <v>-8202500</v>
      </c>
      <c r="G13" s="7">
        <v>0</v>
      </c>
      <c r="H13" s="9">
        <f>-H7</f>
        <v>-9000000</v>
      </c>
      <c r="L13" s="7">
        <v>0</v>
      </c>
      <c r="M13" s="8">
        <f>-M6*M8</f>
        <v>-8680000</v>
      </c>
      <c r="N13" s="9"/>
      <c r="R13" s="7">
        <v>0</v>
      </c>
      <c r="S13" s="8"/>
      <c r="T13" s="8"/>
      <c r="U13" s="8">
        <f>-S9*S10</f>
        <v>-8835000</v>
      </c>
      <c r="V13" s="9">
        <f>S9</f>
        <v>9500000</v>
      </c>
    </row>
    <row r="14" spans="1:22" x14ac:dyDescent="0.25">
      <c r="A14" s="7">
        <v>1</v>
      </c>
      <c r="B14" s="8"/>
      <c r="C14" s="8"/>
      <c r="D14" s="9">
        <f>SUM(B14:C14)</f>
        <v>0</v>
      </c>
      <c r="G14" s="7">
        <v>1</v>
      </c>
      <c r="H14" s="9">
        <v>0</v>
      </c>
      <c r="L14" s="7">
        <v>1</v>
      </c>
      <c r="M14" s="8">
        <v>0</v>
      </c>
      <c r="N14" s="9"/>
      <c r="R14" s="7">
        <v>1</v>
      </c>
      <c r="S14" s="8"/>
      <c r="T14" s="8">
        <f>V13*$S$7/$S$11</f>
        <v>308750</v>
      </c>
      <c r="U14" s="8">
        <f>SUM(S14:T14)</f>
        <v>308750</v>
      </c>
      <c r="V14" s="9">
        <f>V13-S14</f>
        <v>9500000</v>
      </c>
    </row>
    <row r="15" spans="1:22" x14ac:dyDescent="0.25">
      <c r="A15" s="7">
        <v>2</v>
      </c>
      <c r="B15" s="8"/>
      <c r="C15" s="8">
        <f>$B$8*$B$7</f>
        <v>236300</v>
      </c>
      <c r="D15" s="9">
        <f t="shared" ref="D15:D21" si="0">SUM(B15:C15)</f>
        <v>236300</v>
      </c>
      <c r="G15" s="7">
        <v>2</v>
      </c>
      <c r="H15" s="9">
        <v>0</v>
      </c>
      <c r="L15" s="7">
        <v>2</v>
      </c>
      <c r="M15" s="8">
        <v>0</v>
      </c>
      <c r="N15" s="9"/>
      <c r="R15" s="7">
        <v>2</v>
      </c>
      <c r="S15" s="8">
        <f>$S$9/8</f>
        <v>1187500</v>
      </c>
      <c r="T15" s="8">
        <f t="shared" ref="T15:T29" si="1">V14*$S$7/$S$11</f>
        <v>308750</v>
      </c>
      <c r="U15" s="8">
        <f>SUM(S15:T15)</f>
        <v>1496250</v>
      </c>
      <c r="V15" s="9">
        <f t="shared" ref="V15:V29" si="2">V14-S15</f>
        <v>8312500</v>
      </c>
    </row>
    <row r="16" spans="1:22" x14ac:dyDescent="0.25">
      <c r="A16" s="7">
        <v>3</v>
      </c>
      <c r="B16" s="8"/>
      <c r="C16" s="8"/>
      <c r="D16" s="9">
        <f t="shared" si="0"/>
        <v>0</v>
      </c>
      <c r="G16" s="7">
        <v>3</v>
      </c>
      <c r="H16" s="9">
        <v>0</v>
      </c>
      <c r="L16" s="7">
        <v>3</v>
      </c>
      <c r="M16" s="8">
        <v>0</v>
      </c>
      <c r="N16" s="9"/>
      <c r="R16" s="7">
        <v>3</v>
      </c>
      <c r="S16" s="8"/>
      <c r="T16" s="8">
        <f t="shared" si="1"/>
        <v>270156.25</v>
      </c>
      <c r="U16" s="8">
        <f t="shared" ref="U15:U29" si="3">SUM(S16:T16)</f>
        <v>270156.25</v>
      </c>
      <c r="V16" s="9">
        <f t="shared" si="2"/>
        <v>8312500</v>
      </c>
    </row>
    <row r="17" spans="1:22" x14ac:dyDescent="0.25">
      <c r="A17" s="7">
        <v>4</v>
      </c>
      <c r="B17" s="8"/>
      <c r="C17" s="8">
        <f>$B$8*$B$7</f>
        <v>236300</v>
      </c>
      <c r="D17" s="9">
        <f t="shared" si="0"/>
        <v>236300</v>
      </c>
      <c r="G17" s="7">
        <v>4</v>
      </c>
      <c r="H17" s="9">
        <v>1230000</v>
      </c>
      <c r="L17" s="7">
        <v>4</v>
      </c>
      <c r="M17" s="8">
        <v>0</v>
      </c>
      <c r="N17" s="9"/>
      <c r="R17" s="7">
        <v>4</v>
      </c>
      <c r="S17" s="8">
        <f>$S$9/8</f>
        <v>1187500</v>
      </c>
      <c r="T17" s="8">
        <f t="shared" si="1"/>
        <v>270156.25</v>
      </c>
      <c r="U17" s="8">
        <f t="shared" si="3"/>
        <v>1457656.25</v>
      </c>
      <c r="V17" s="9">
        <f t="shared" si="2"/>
        <v>7125000</v>
      </c>
    </row>
    <row r="18" spans="1:22" x14ac:dyDescent="0.25">
      <c r="A18" s="7">
        <v>5</v>
      </c>
      <c r="B18" s="8"/>
      <c r="C18" s="8"/>
      <c r="D18" s="9">
        <f t="shared" si="0"/>
        <v>0</v>
      </c>
      <c r="G18" s="7">
        <v>5</v>
      </c>
      <c r="H18" s="9">
        <v>0</v>
      </c>
      <c r="L18" s="7">
        <v>5</v>
      </c>
      <c r="M18" s="8">
        <v>0</v>
      </c>
      <c r="N18" s="9"/>
      <c r="R18" s="7">
        <v>5</v>
      </c>
      <c r="S18" s="8"/>
      <c r="T18" s="8">
        <f t="shared" si="1"/>
        <v>231562.5</v>
      </c>
      <c r="U18" s="8">
        <f t="shared" si="3"/>
        <v>231562.5</v>
      </c>
      <c r="V18" s="9">
        <f t="shared" si="2"/>
        <v>7125000</v>
      </c>
    </row>
    <row r="19" spans="1:22" x14ac:dyDescent="0.25">
      <c r="A19" s="7">
        <v>6</v>
      </c>
      <c r="B19" s="8"/>
      <c r="C19" s="8">
        <f>$B$8*$B$7</f>
        <v>236300</v>
      </c>
      <c r="D19" s="9">
        <f t="shared" si="0"/>
        <v>236300</v>
      </c>
      <c r="G19" s="7">
        <v>6</v>
      </c>
      <c r="H19" s="9">
        <v>0</v>
      </c>
      <c r="L19" s="7">
        <v>6</v>
      </c>
      <c r="M19" s="8">
        <v>0</v>
      </c>
      <c r="N19" s="9"/>
      <c r="R19" s="7">
        <v>6</v>
      </c>
      <c r="S19" s="8">
        <f>$S$9/8</f>
        <v>1187500</v>
      </c>
      <c r="T19" s="8">
        <f t="shared" si="1"/>
        <v>231562.5</v>
      </c>
      <c r="U19" s="8">
        <f t="shared" si="3"/>
        <v>1419062.5</v>
      </c>
      <c r="V19" s="9">
        <f t="shared" si="2"/>
        <v>5937500</v>
      </c>
    </row>
    <row r="20" spans="1:22" x14ac:dyDescent="0.25">
      <c r="A20" s="7">
        <v>7</v>
      </c>
      <c r="B20" s="8"/>
      <c r="C20" s="8"/>
      <c r="D20" s="9">
        <f t="shared" si="0"/>
        <v>0</v>
      </c>
      <c r="G20" s="7">
        <v>7</v>
      </c>
      <c r="H20" s="9">
        <v>0</v>
      </c>
      <c r="L20" s="7">
        <v>7</v>
      </c>
      <c r="M20" s="8">
        <v>0</v>
      </c>
      <c r="N20" s="9"/>
      <c r="R20" s="7">
        <v>7</v>
      </c>
      <c r="S20" s="8"/>
      <c r="T20" s="8">
        <f t="shared" si="1"/>
        <v>192968.75</v>
      </c>
      <c r="U20" s="8">
        <f t="shared" si="3"/>
        <v>192968.75</v>
      </c>
      <c r="V20" s="9">
        <f t="shared" si="2"/>
        <v>5937500</v>
      </c>
    </row>
    <row r="21" spans="1:22" x14ac:dyDescent="0.25">
      <c r="A21" s="7">
        <v>8</v>
      </c>
      <c r="B21" s="8">
        <f>B7*B10</f>
        <v>10225500</v>
      </c>
      <c r="C21" s="8">
        <f>$B$8*$B$7</f>
        <v>236300</v>
      </c>
      <c r="D21" s="9">
        <f t="shared" si="0"/>
        <v>10461800</v>
      </c>
      <c r="G21" s="7">
        <v>8</v>
      </c>
      <c r="H21" s="9">
        <v>2450098</v>
      </c>
      <c r="L21" s="7">
        <v>8</v>
      </c>
      <c r="M21" s="8">
        <v>0</v>
      </c>
      <c r="N21" s="9"/>
      <c r="R21" s="7">
        <v>8</v>
      </c>
      <c r="S21" s="8">
        <f>$S$9/8</f>
        <v>1187500</v>
      </c>
      <c r="T21" s="8">
        <f t="shared" si="1"/>
        <v>192968.75</v>
      </c>
      <c r="U21" s="8">
        <f t="shared" si="3"/>
        <v>1380468.75</v>
      </c>
      <c r="V21" s="9">
        <f t="shared" si="2"/>
        <v>4750000</v>
      </c>
    </row>
    <row r="22" spans="1:22" x14ac:dyDescent="0.25">
      <c r="A22" s="7"/>
      <c r="B22" s="8"/>
      <c r="C22" s="8"/>
      <c r="D22" s="9"/>
      <c r="G22" s="7">
        <v>9</v>
      </c>
      <c r="H22" s="9">
        <v>0</v>
      </c>
      <c r="L22" s="7">
        <v>9</v>
      </c>
      <c r="M22" s="8">
        <v>0</v>
      </c>
      <c r="N22" s="9"/>
      <c r="R22" s="7">
        <v>9</v>
      </c>
      <c r="S22" s="8"/>
      <c r="T22" s="8">
        <f t="shared" si="1"/>
        <v>154375</v>
      </c>
      <c r="U22" s="8">
        <f t="shared" si="3"/>
        <v>154375</v>
      </c>
      <c r="V22" s="9">
        <f t="shared" si="2"/>
        <v>4750000</v>
      </c>
    </row>
    <row r="23" spans="1:22" x14ac:dyDescent="0.25">
      <c r="A23" s="7"/>
      <c r="B23" s="8" t="s">
        <v>30</v>
      </c>
      <c r="C23" s="8">
        <f>NPV(B3/B11,D14:D21)+D13</f>
        <v>49048.972596206702</v>
      </c>
      <c r="D23" s="9"/>
      <c r="G23" s="7">
        <v>10</v>
      </c>
      <c r="H23" s="9">
        <v>0</v>
      </c>
      <c r="L23" s="7">
        <v>10</v>
      </c>
      <c r="M23" s="8">
        <v>0</v>
      </c>
      <c r="N23" s="9"/>
      <c r="R23" s="7">
        <v>10</v>
      </c>
      <c r="S23" s="8">
        <f>$S$9/8</f>
        <v>1187500</v>
      </c>
      <c r="T23" s="8">
        <f t="shared" si="1"/>
        <v>154375</v>
      </c>
      <c r="U23" s="8">
        <f t="shared" si="3"/>
        <v>1341875</v>
      </c>
      <c r="V23" s="9">
        <f t="shared" si="2"/>
        <v>3562500</v>
      </c>
    </row>
    <row r="24" spans="1:22" x14ac:dyDescent="0.25">
      <c r="A24" s="7"/>
      <c r="B24" s="8" t="s">
        <v>32</v>
      </c>
      <c r="C24" s="8">
        <f>IRR(D13:D21)*B11</f>
        <v>0.16322332209223056</v>
      </c>
      <c r="D24" s="9"/>
      <c r="G24" s="7">
        <v>11</v>
      </c>
      <c r="H24" s="9">
        <v>0</v>
      </c>
      <c r="L24" s="7">
        <v>11</v>
      </c>
      <c r="M24" s="8">
        <v>0</v>
      </c>
      <c r="N24" s="9"/>
      <c r="R24" s="7">
        <v>11</v>
      </c>
      <c r="S24" s="8"/>
      <c r="T24" s="8">
        <f t="shared" si="1"/>
        <v>115781.25</v>
      </c>
      <c r="U24" s="8">
        <f t="shared" si="3"/>
        <v>115781.25</v>
      </c>
      <c r="V24" s="9">
        <f t="shared" si="2"/>
        <v>3562500</v>
      </c>
    </row>
    <row r="25" spans="1:22" ht="15.75" thickBot="1" x14ac:dyDescent="0.3">
      <c r="A25" s="10"/>
      <c r="B25" s="11" t="s">
        <v>33</v>
      </c>
      <c r="C25" s="11">
        <f>-PMT(B3/B11,A21,C23)*B11</f>
        <v>29140.550255332855</v>
      </c>
      <c r="D25" s="12"/>
      <c r="G25" s="7">
        <v>12</v>
      </c>
      <c r="H25" s="9">
        <v>-1200000</v>
      </c>
      <c r="L25" s="7">
        <v>12</v>
      </c>
      <c r="M25" s="8">
        <f>M6</f>
        <v>14000000</v>
      </c>
      <c r="N25" s="9"/>
      <c r="R25" s="7">
        <v>12</v>
      </c>
      <c r="S25" s="8">
        <f>$S$9/8</f>
        <v>1187500</v>
      </c>
      <c r="T25" s="8">
        <f t="shared" si="1"/>
        <v>115781.25</v>
      </c>
      <c r="U25" s="8">
        <f t="shared" si="3"/>
        <v>1303281.25</v>
      </c>
      <c r="V25" s="9">
        <f t="shared" si="2"/>
        <v>2375000</v>
      </c>
    </row>
    <row r="26" spans="1:22" x14ac:dyDescent="0.25">
      <c r="G26" s="7">
        <v>13</v>
      </c>
      <c r="H26" s="9">
        <v>0</v>
      </c>
      <c r="L26" s="7"/>
      <c r="M26" s="8"/>
      <c r="N26" s="9"/>
      <c r="R26" s="7">
        <v>13</v>
      </c>
      <c r="S26" s="8"/>
      <c r="T26" s="8">
        <f t="shared" si="1"/>
        <v>77187.5</v>
      </c>
      <c r="U26" s="8">
        <f t="shared" si="3"/>
        <v>77187.5</v>
      </c>
      <c r="V26" s="9">
        <f t="shared" si="2"/>
        <v>2375000</v>
      </c>
    </row>
    <row r="27" spans="1:22" x14ac:dyDescent="0.25">
      <c r="G27" s="7">
        <v>14</v>
      </c>
      <c r="H27" s="9">
        <v>0</v>
      </c>
      <c r="L27" s="7" t="s">
        <v>30</v>
      </c>
      <c r="M27" s="8">
        <f>NPV(B3/M11,M14:M26)+M13</f>
        <v>64358.694120911881</v>
      </c>
      <c r="N27" s="9"/>
      <c r="R27" s="7">
        <v>14</v>
      </c>
      <c r="S27" s="8">
        <f>$S$9/8</f>
        <v>1187500</v>
      </c>
      <c r="T27" s="8">
        <f t="shared" si="1"/>
        <v>77187.5</v>
      </c>
      <c r="U27" s="8">
        <f t="shared" si="3"/>
        <v>1264687.5</v>
      </c>
      <c r="V27" s="9">
        <f t="shared" si="2"/>
        <v>1187500</v>
      </c>
    </row>
    <row r="28" spans="1:22" x14ac:dyDescent="0.25">
      <c r="G28" s="7">
        <v>15</v>
      </c>
      <c r="H28" s="9">
        <v>0</v>
      </c>
      <c r="L28" s="7" t="s">
        <v>32</v>
      </c>
      <c r="M28" s="8">
        <f>IRR(M13:M25)*M11</f>
        <v>0.16256169935735176</v>
      </c>
      <c r="N28" s="9"/>
      <c r="R28" s="7">
        <v>15</v>
      </c>
      <c r="S28" s="8"/>
      <c r="T28" s="8">
        <f t="shared" si="1"/>
        <v>38593.75</v>
      </c>
      <c r="U28" s="8">
        <f t="shared" si="3"/>
        <v>38593.75</v>
      </c>
      <c r="V28" s="9">
        <f t="shared" si="2"/>
        <v>1187500</v>
      </c>
    </row>
    <row r="29" spans="1:22" ht="15.75" thickBot="1" x14ac:dyDescent="0.3">
      <c r="G29" s="7">
        <v>16</v>
      </c>
      <c r="H29" s="9">
        <v>4600000</v>
      </c>
      <c r="L29" s="10" t="s">
        <v>33</v>
      </c>
      <c r="M29" s="11">
        <f>-PMT(B3/M11,L25,M27)*M11</f>
        <v>27430.23475928199</v>
      </c>
      <c r="N29" s="12"/>
      <c r="R29" s="7">
        <v>16</v>
      </c>
      <c r="S29" s="8">
        <f>$S$9/8</f>
        <v>1187500</v>
      </c>
      <c r="T29" s="8">
        <f t="shared" si="1"/>
        <v>38593.75</v>
      </c>
      <c r="U29" s="8">
        <f t="shared" si="3"/>
        <v>1226093.75</v>
      </c>
      <c r="V29" s="9">
        <f t="shared" si="2"/>
        <v>0</v>
      </c>
    </row>
    <row r="30" spans="1:22" x14ac:dyDescent="0.25">
      <c r="G30" s="7">
        <v>17</v>
      </c>
      <c r="H30" s="9">
        <v>0</v>
      </c>
      <c r="R30" s="7"/>
      <c r="S30" s="8"/>
      <c r="T30" s="8"/>
      <c r="U30" s="8"/>
      <c r="V30" s="9"/>
    </row>
    <row r="31" spans="1:22" x14ac:dyDescent="0.25">
      <c r="G31" s="7">
        <v>18</v>
      </c>
      <c r="H31" s="9">
        <v>0</v>
      </c>
      <c r="R31" s="7"/>
      <c r="S31" s="8" t="s">
        <v>30</v>
      </c>
      <c r="T31" s="8">
        <f>NPV(B3/S11,U14:U29)+U13</f>
        <v>155542.37447854318</v>
      </c>
      <c r="U31" s="8"/>
      <c r="V31" s="9"/>
    </row>
    <row r="32" spans="1:22" x14ac:dyDescent="0.25">
      <c r="G32" s="7">
        <v>19</v>
      </c>
      <c r="H32" s="9">
        <v>0</v>
      </c>
      <c r="R32" s="7"/>
      <c r="S32" s="8" t="s">
        <v>32</v>
      </c>
      <c r="T32" s="8">
        <f>IRR(U13:U29)*S11</f>
        <v>0.16966785003466534</v>
      </c>
      <c r="U32" s="8"/>
      <c r="V32" s="9"/>
    </row>
    <row r="33" spans="1:22" ht="15.75" thickBot="1" x14ac:dyDescent="0.3">
      <c r="G33" s="7">
        <v>20</v>
      </c>
      <c r="H33" s="9">
        <v>4900000</v>
      </c>
      <c r="R33" s="10"/>
      <c r="S33" s="11" t="s">
        <v>33</v>
      </c>
      <c r="T33" s="11">
        <f>-PMT(B3/S11,R29,T31)*S11</f>
        <v>53394.585826917544</v>
      </c>
      <c r="U33" s="11"/>
      <c r="V33" s="12"/>
    </row>
    <row r="34" spans="1:22" x14ac:dyDescent="0.25">
      <c r="G34" s="7">
        <v>21</v>
      </c>
      <c r="H34" s="9">
        <v>0</v>
      </c>
    </row>
    <row r="35" spans="1:22" x14ac:dyDescent="0.25">
      <c r="G35" s="7">
        <v>22</v>
      </c>
      <c r="H35" s="9">
        <v>0</v>
      </c>
    </row>
    <row r="36" spans="1:22" x14ac:dyDescent="0.25">
      <c r="G36" s="7">
        <v>23</v>
      </c>
      <c r="H36" s="9">
        <v>0</v>
      </c>
    </row>
    <row r="37" spans="1:22" x14ac:dyDescent="0.25">
      <c r="G37" s="7">
        <v>24</v>
      </c>
      <c r="H37" s="9">
        <v>5900000</v>
      </c>
    </row>
    <row r="38" spans="1:22" x14ac:dyDescent="0.25">
      <c r="G38" s="7"/>
      <c r="H38" s="9"/>
    </row>
    <row r="39" spans="1:22" x14ac:dyDescent="0.25">
      <c r="G39" s="7" t="s">
        <v>30</v>
      </c>
      <c r="H39" s="9">
        <f>NPV(B3/H11,H14:H37)+H13</f>
        <v>86145.6485369578</v>
      </c>
    </row>
    <row r="40" spans="1:22" x14ac:dyDescent="0.25">
      <c r="G40" s="7" t="s">
        <v>40</v>
      </c>
      <c r="H40" s="9">
        <f>MIRR(H13:H37,B3/H11,B3/H11)*H11</f>
        <v>0.16152510691894051</v>
      </c>
    </row>
    <row r="41" spans="1:22" ht="15.75" thickBot="1" x14ac:dyDescent="0.3">
      <c r="G41" s="10" t="s">
        <v>33</v>
      </c>
      <c r="H41" s="12">
        <f>-PMT(B3/H11,G37,H39)*H11</f>
        <v>22600.080485028349</v>
      </c>
    </row>
    <row r="42" spans="1:22" x14ac:dyDescent="0.25">
      <c r="A42" s="1">
        <v>1</v>
      </c>
      <c r="B42" s="1" t="s">
        <v>47</v>
      </c>
    </row>
    <row r="47" spans="1:22" x14ac:dyDescent="0.25">
      <c r="B47" s="1" t="s">
        <v>36</v>
      </c>
      <c r="C47" s="1">
        <v>19000000</v>
      </c>
    </row>
    <row r="48" spans="1:22" x14ac:dyDescent="0.25">
      <c r="C48" s="1" t="s">
        <v>37</v>
      </c>
      <c r="D48" s="1" t="s">
        <v>33</v>
      </c>
    </row>
    <row r="49" spans="1:11" x14ac:dyDescent="0.25">
      <c r="B49" s="1" t="str">
        <f>A5</f>
        <v>Acciones "ADVICE"</v>
      </c>
      <c r="C49" s="1">
        <f>-D13</f>
        <v>8202500</v>
      </c>
      <c r="D49" s="1">
        <f>C25</f>
        <v>29140.550255332855</v>
      </c>
    </row>
    <row r="50" spans="1:11" x14ac:dyDescent="0.25">
      <c r="B50" s="1" t="str">
        <f>G5</f>
        <v>Inmobiliario los andes</v>
      </c>
      <c r="C50" s="1">
        <f>-H13</f>
        <v>9000000</v>
      </c>
      <c r="D50" s="1">
        <f>H41</f>
        <v>22600.080485028349</v>
      </c>
    </row>
    <row r="51" spans="1:11" x14ac:dyDescent="0.25">
      <c r="B51" s="1" t="str">
        <f>L5</f>
        <v>BONO AYUVI</v>
      </c>
      <c r="C51" s="1">
        <f>-M13</f>
        <v>8680000</v>
      </c>
      <c r="D51" s="1">
        <f>M29</f>
        <v>27430.23475928199</v>
      </c>
    </row>
    <row r="52" spans="1:11" x14ac:dyDescent="0.25">
      <c r="B52" s="1" t="str">
        <f>R5</f>
        <v>Bono sugar</v>
      </c>
      <c r="C52" s="1">
        <f>-U13</f>
        <v>8835000</v>
      </c>
      <c r="D52" s="1">
        <f>T33</f>
        <v>53394.585826917544</v>
      </c>
    </row>
    <row r="54" spans="1:11" x14ac:dyDescent="0.25">
      <c r="B54" s="20" t="s">
        <v>38</v>
      </c>
      <c r="C54" s="20"/>
      <c r="D54" s="20"/>
      <c r="E54" s="20"/>
      <c r="F54" s="20"/>
      <c r="G54" s="20"/>
      <c r="H54" s="20"/>
      <c r="I54" s="20"/>
      <c r="J54" s="20"/>
      <c r="K54" s="20"/>
    </row>
    <row r="55" spans="1:11" x14ac:dyDescent="0.25"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x14ac:dyDescent="0.25"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8" spans="1:11" x14ac:dyDescent="0.25">
      <c r="A58" s="1">
        <v>2</v>
      </c>
      <c r="B58" s="1" t="s">
        <v>48</v>
      </c>
    </row>
    <row r="62" spans="1:11" x14ac:dyDescent="0.25">
      <c r="B62" s="18" t="s">
        <v>39</v>
      </c>
      <c r="C62" s="19">
        <f>H40</f>
        <v>0.16152510691894051</v>
      </c>
    </row>
    <row r="64" spans="1:11" x14ac:dyDescent="0.25">
      <c r="A64" s="1">
        <v>3</v>
      </c>
      <c r="B64" s="1" t="s">
        <v>49</v>
      </c>
    </row>
    <row r="72" spans="2:5" x14ac:dyDescent="0.25">
      <c r="B72" s="1" t="s">
        <v>45</v>
      </c>
    </row>
    <row r="73" spans="2:5" x14ac:dyDescent="0.25">
      <c r="B73" s="1" t="str">
        <f>R12</f>
        <v>Trimestres</v>
      </c>
      <c r="C73" s="1" t="str">
        <f>U12</f>
        <v>fc</v>
      </c>
      <c r="D73" s="1" t="s">
        <v>42</v>
      </c>
    </row>
    <row r="74" spans="2:5" x14ac:dyDescent="0.25">
      <c r="B74" s="1">
        <f t="shared" ref="B74:B116" si="4">R13</f>
        <v>0</v>
      </c>
      <c r="C74" s="1">
        <f t="shared" ref="C74:C90" si="5">U13</f>
        <v>-8835000</v>
      </c>
      <c r="D74" s="1">
        <f>-PV($B$3/$H$11,B74,0,C74)</f>
        <v>-8835000</v>
      </c>
    </row>
    <row r="75" spans="2:5" x14ac:dyDescent="0.25">
      <c r="B75" s="1">
        <f t="shared" si="4"/>
        <v>1</v>
      </c>
      <c r="C75" s="1">
        <f t="shared" si="5"/>
        <v>308750</v>
      </c>
      <c r="D75" s="1">
        <f t="shared" ref="D75:D90" si="6">-PV($B$3/$H$11,B75,0,C75)</f>
        <v>296875</v>
      </c>
      <c r="E75" s="1">
        <f>D74+D75</f>
        <v>-8538125</v>
      </c>
    </row>
    <row r="76" spans="2:5" x14ac:dyDescent="0.25">
      <c r="B76" s="1">
        <f t="shared" si="4"/>
        <v>2</v>
      </c>
      <c r="C76" s="1">
        <f t="shared" si="5"/>
        <v>1496250</v>
      </c>
      <c r="D76" s="1">
        <f t="shared" si="6"/>
        <v>1383367.2337278104</v>
      </c>
      <c r="E76" s="1">
        <f>E75+D76</f>
        <v>-7154757.7662721891</v>
      </c>
    </row>
    <row r="77" spans="2:5" x14ac:dyDescent="0.25">
      <c r="B77" s="1">
        <f t="shared" si="4"/>
        <v>3</v>
      </c>
      <c r="C77" s="1">
        <f t="shared" si="5"/>
        <v>270156.25</v>
      </c>
      <c r="D77" s="1">
        <f t="shared" si="6"/>
        <v>240167.92252218933</v>
      </c>
      <c r="E77" s="1">
        <f t="shared" ref="E77:E90" si="7">E76+D77</f>
        <v>-6914589.84375</v>
      </c>
    </row>
    <row r="78" spans="2:5" x14ac:dyDescent="0.25">
      <c r="B78" s="1">
        <f t="shared" si="4"/>
        <v>4</v>
      </c>
      <c r="C78" s="1">
        <f t="shared" si="5"/>
        <v>1457656.25</v>
      </c>
      <c r="D78" s="1">
        <f t="shared" si="6"/>
        <v>1246010.6715806737</v>
      </c>
      <c r="E78" s="1">
        <f t="shared" si="7"/>
        <v>-5668579.1721693259</v>
      </c>
    </row>
    <row r="79" spans="2:5" x14ac:dyDescent="0.25">
      <c r="B79" s="1">
        <f t="shared" si="4"/>
        <v>5</v>
      </c>
      <c r="C79" s="1">
        <f t="shared" si="5"/>
        <v>231562.5</v>
      </c>
      <c r="D79" s="1">
        <f t="shared" si="6"/>
        <v>190327.49565896235</v>
      </c>
      <c r="E79" s="1">
        <f t="shared" si="7"/>
        <v>-5478251.6765103638</v>
      </c>
    </row>
    <row r="80" spans="2:5" x14ac:dyDescent="0.25">
      <c r="B80" s="1">
        <f t="shared" si="4"/>
        <v>6</v>
      </c>
      <c r="C80" s="1">
        <f t="shared" si="5"/>
        <v>1419062.5</v>
      </c>
      <c r="D80" s="1">
        <f t="shared" si="6"/>
        <v>1121505.7066689348</v>
      </c>
      <c r="E80" s="1">
        <f t="shared" si="7"/>
        <v>-4356745.969841429</v>
      </c>
    </row>
    <row r="81" spans="1:5" x14ac:dyDescent="0.25">
      <c r="B81" s="1">
        <f t="shared" si="4"/>
        <v>7</v>
      </c>
      <c r="C81" s="1">
        <f t="shared" si="5"/>
        <v>192968.75</v>
      </c>
      <c r="D81" s="1">
        <f t="shared" si="6"/>
        <v>146640.39051633564</v>
      </c>
      <c r="E81" s="1">
        <f t="shared" si="7"/>
        <v>-4210105.579325093</v>
      </c>
    </row>
    <row r="82" spans="1:5" x14ac:dyDescent="0.25">
      <c r="B82" s="1">
        <f t="shared" si="4"/>
        <v>8</v>
      </c>
      <c r="C82" s="1">
        <f t="shared" si="5"/>
        <v>1380468.75</v>
      </c>
      <c r="D82" s="1">
        <f t="shared" si="6"/>
        <v>1008694.9939363323</v>
      </c>
      <c r="E82" s="1">
        <f t="shared" si="7"/>
        <v>-3201410.5853887605</v>
      </c>
    </row>
    <row r="83" spans="1:5" x14ac:dyDescent="0.25">
      <c r="B83" s="1">
        <f t="shared" si="4"/>
        <v>9</v>
      </c>
      <c r="C83" s="1">
        <f t="shared" si="5"/>
        <v>154375</v>
      </c>
      <c r="D83" s="1">
        <f t="shared" si="6"/>
        <v>108461.82730498195</v>
      </c>
      <c r="E83" s="1">
        <f t="shared" si="7"/>
        <v>-3092948.7580837784</v>
      </c>
    </row>
    <row r="84" spans="1:5" x14ac:dyDescent="0.25">
      <c r="B84" s="1">
        <f t="shared" si="4"/>
        <v>10</v>
      </c>
      <c r="C84" s="1">
        <f t="shared" si="5"/>
        <v>1341875</v>
      </c>
      <c r="D84" s="1">
        <f t="shared" si="6"/>
        <v>906522.66904311848</v>
      </c>
      <c r="E84" s="1">
        <f t="shared" si="7"/>
        <v>-2186426.0890406598</v>
      </c>
    </row>
    <row r="85" spans="1:5" x14ac:dyDescent="0.25">
      <c r="B85" s="1">
        <f t="shared" si="4"/>
        <v>11</v>
      </c>
      <c r="C85" s="1">
        <f t="shared" si="5"/>
        <v>115781.25</v>
      </c>
      <c r="D85" s="1">
        <f t="shared" si="6"/>
        <v>75209.292232559616</v>
      </c>
      <c r="E85" s="1">
        <f t="shared" si="7"/>
        <v>-2111216.7968081003</v>
      </c>
    </row>
    <row r="86" spans="1:5" x14ac:dyDescent="0.25">
      <c r="B86" s="1">
        <f t="shared" si="4"/>
        <v>12</v>
      </c>
      <c r="C86" s="1">
        <f t="shared" si="5"/>
        <v>1303281.25</v>
      </c>
      <c r="D86" s="1">
        <f t="shared" si="6"/>
        <v>814025.62352301925</v>
      </c>
      <c r="E86" s="1">
        <f t="shared" si="7"/>
        <v>-1297191.1732850811</v>
      </c>
    </row>
    <row r="87" spans="1:5" x14ac:dyDescent="0.25">
      <c r="B87" s="1">
        <f t="shared" si="4"/>
        <v>13</v>
      </c>
      <c r="C87" s="1">
        <f t="shared" si="5"/>
        <v>77187.5</v>
      </c>
      <c r="D87" s="1">
        <f t="shared" si="6"/>
        <v>46356.81227352046</v>
      </c>
      <c r="E87" s="1">
        <f t="shared" si="7"/>
        <v>-1250834.3610115605</v>
      </c>
    </row>
    <row r="88" spans="1:5" x14ac:dyDescent="0.25">
      <c r="B88" s="1">
        <f t="shared" si="4"/>
        <v>14</v>
      </c>
      <c r="C88" s="1">
        <f t="shared" si="5"/>
        <v>1264687.5</v>
      </c>
      <c r="D88" s="1">
        <f t="shared" si="6"/>
        <v>730325.51880620245</v>
      </c>
      <c r="E88" s="1">
        <f t="shared" si="7"/>
        <v>-520508.84220535809</v>
      </c>
    </row>
    <row r="89" spans="1:5" x14ac:dyDescent="0.25">
      <c r="B89" s="1">
        <f t="shared" si="4"/>
        <v>15</v>
      </c>
      <c r="C89" s="1">
        <f t="shared" si="5"/>
        <v>38593.75</v>
      </c>
      <c r="D89" s="1">
        <f t="shared" si="6"/>
        <v>21429.73940159045</v>
      </c>
      <c r="E89" s="1">
        <f t="shared" si="7"/>
        <v>-499079.10280376766</v>
      </c>
    </row>
    <row r="90" spans="1:5" x14ac:dyDescent="0.25">
      <c r="B90" s="1">
        <f t="shared" si="4"/>
        <v>16</v>
      </c>
      <c r="C90" s="1">
        <f t="shared" si="5"/>
        <v>1226093.75</v>
      </c>
      <c r="D90" s="1">
        <f t="shared" si="6"/>
        <v>654621.47728231165</v>
      </c>
      <c r="E90" s="1">
        <f>-E89/D90</f>
        <v>0.7623934137873315</v>
      </c>
    </row>
    <row r="92" spans="1:5" x14ac:dyDescent="0.25">
      <c r="D92" s="18" t="s">
        <v>43</v>
      </c>
      <c r="E92" s="18">
        <f>B89+E90</f>
        <v>15.762393413787331</v>
      </c>
    </row>
    <row r="93" spans="1:5" x14ac:dyDescent="0.25">
      <c r="D93" s="18" t="s">
        <v>44</v>
      </c>
      <c r="E93" s="18">
        <f>E92/4</f>
        <v>3.9405983534468327</v>
      </c>
    </row>
    <row r="96" spans="1:5" x14ac:dyDescent="0.25">
      <c r="A96" s="1">
        <v>4</v>
      </c>
      <c r="B96" s="1" t="s">
        <v>50</v>
      </c>
    </row>
    <row r="97" spans="1:12" x14ac:dyDescent="0.25">
      <c r="B97" s="1" t="s">
        <v>46</v>
      </c>
    </row>
    <row r="98" spans="1:12" x14ac:dyDescent="0.25">
      <c r="C98" s="16" t="s">
        <v>30</v>
      </c>
      <c r="D98" s="17">
        <f>NPV(0.21/M11,M14:M25)</f>
        <v>7576398.0143926237</v>
      </c>
    </row>
    <row r="99" spans="1:12" x14ac:dyDescent="0.25">
      <c r="C99" s="18" t="s">
        <v>41</v>
      </c>
      <c r="D99" s="17">
        <f>D98/M6</f>
        <v>0.54117128674233028</v>
      </c>
    </row>
    <row r="102" spans="1:12" x14ac:dyDescent="0.25">
      <c r="A102" s="1">
        <v>5</v>
      </c>
      <c r="B102" s="13" t="s">
        <v>51</v>
      </c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2" x14ac:dyDescent="0.25"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2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2" x14ac:dyDescent="0.25"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8" spans="1:12" ht="15.75" thickBot="1" x14ac:dyDescent="0.3"/>
    <row r="109" spans="1:12" x14ac:dyDescent="0.25">
      <c r="B109" s="6" t="s">
        <v>19</v>
      </c>
      <c r="C109" s="4"/>
      <c r="D109" s="4"/>
      <c r="E109" s="4"/>
      <c r="F109" s="5"/>
      <c r="H109" s="6" t="s">
        <v>19</v>
      </c>
      <c r="I109" s="4"/>
      <c r="J109" s="4"/>
      <c r="K109" s="4"/>
      <c r="L109" s="5"/>
    </row>
    <row r="110" spans="1:12" x14ac:dyDescent="0.25">
      <c r="B110" s="7" t="s">
        <v>20</v>
      </c>
      <c r="C110" s="8">
        <v>2</v>
      </c>
      <c r="D110" s="8" t="s">
        <v>10</v>
      </c>
      <c r="E110" s="8" t="s">
        <v>27</v>
      </c>
      <c r="F110" s="9">
        <v>0.51</v>
      </c>
      <c r="H110" s="7" t="s">
        <v>20</v>
      </c>
      <c r="I110" s="8">
        <v>4</v>
      </c>
      <c r="J110" s="8" t="s">
        <v>10</v>
      </c>
      <c r="K110" s="8"/>
      <c r="L110" s="9"/>
    </row>
    <row r="111" spans="1:12" x14ac:dyDescent="0.25">
      <c r="B111" s="7" t="s">
        <v>21</v>
      </c>
      <c r="C111" s="8">
        <v>0.13</v>
      </c>
      <c r="D111" s="8" t="s">
        <v>22</v>
      </c>
      <c r="E111" s="8"/>
      <c r="F111" s="9"/>
      <c r="H111" s="7" t="s">
        <v>21</v>
      </c>
      <c r="I111" s="8">
        <v>0.13</v>
      </c>
      <c r="J111" s="8" t="s">
        <v>22</v>
      </c>
      <c r="K111" s="8"/>
      <c r="L111" s="9"/>
    </row>
    <row r="112" spans="1:12" x14ac:dyDescent="0.25">
      <c r="B112" s="7" t="s">
        <v>23</v>
      </c>
      <c r="C112" s="8" t="s">
        <v>24</v>
      </c>
      <c r="D112" s="8" t="s">
        <v>25</v>
      </c>
      <c r="E112" s="8"/>
      <c r="F112" s="9"/>
      <c r="H112" s="7" t="s">
        <v>23</v>
      </c>
      <c r="I112" s="8" t="s">
        <v>24</v>
      </c>
      <c r="J112" s="8" t="s">
        <v>25</v>
      </c>
      <c r="K112" s="8"/>
      <c r="L112" s="9"/>
    </row>
    <row r="113" spans="2:12" x14ac:dyDescent="0.25">
      <c r="B113" s="7" t="s">
        <v>11</v>
      </c>
      <c r="C113" s="8">
        <v>9500000</v>
      </c>
      <c r="D113" s="8"/>
      <c r="E113" s="8"/>
      <c r="F113" s="9"/>
      <c r="H113" s="7" t="s">
        <v>11</v>
      </c>
      <c r="I113" s="8">
        <v>9500000</v>
      </c>
      <c r="J113" s="8"/>
      <c r="K113" s="8"/>
      <c r="L113" s="9"/>
    </row>
    <row r="114" spans="2:12" x14ac:dyDescent="0.25">
      <c r="B114" s="7" t="s">
        <v>16</v>
      </c>
      <c r="C114" s="8">
        <v>1.02</v>
      </c>
      <c r="D114" s="8"/>
      <c r="E114" s="8"/>
      <c r="F114" s="9"/>
      <c r="H114" s="7" t="s">
        <v>16</v>
      </c>
      <c r="I114" s="8">
        <v>0.93</v>
      </c>
      <c r="J114" s="8"/>
      <c r="K114" s="8"/>
      <c r="L114" s="9"/>
    </row>
    <row r="115" spans="2:12" x14ac:dyDescent="0.25">
      <c r="B115" s="7" t="s">
        <v>28</v>
      </c>
      <c r="C115" s="8">
        <v>4</v>
      </c>
      <c r="D115" s="8"/>
      <c r="E115" s="8"/>
      <c r="F115" s="9"/>
      <c r="H115" s="7" t="s">
        <v>28</v>
      </c>
      <c r="I115" s="8">
        <v>4</v>
      </c>
      <c r="J115" s="8"/>
      <c r="K115" s="8"/>
      <c r="L115" s="9"/>
    </row>
    <row r="116" spans="2:12" x14ac:dyDescent="0.25">
      <c r="B116" s="7" t="s">
        <v>29</v>
      </c>
      <c r="C116" s="8" t="s">
        <v>23</v>
      </c>
      <c r="D116" s="8" t="s">
        <v>21</v>
      </c>
      <c r="E116" s="8" t="s">
        <v>26</v>
      </c>
      <c r="F116" s="9" t="s">
        <v>34</v>
      </c>
      <c r="H116" s="7" t="s">
        <v>29</v>
      </c>
      <c r="I116" s="8" t="s">
        <v>23</v>
      </c>
      <c r="J116" s="8" t="s">
        <v>21</v>
      </c>
      <c r="K116" s="8" t="s">
        <v>26</v>
      </c>
      <c r="L116" s="9" t="s">
        <v>34</v>
      </c>
    </row>
    <row r="117" spans="2:12" x14ac:dyDescent="0.25">
      <c r="B117" s="7">
        <v>0</v>
      </c>
      <c r="C117" s="8"/>
      <c r="D117" s="8"/>
      <c r="E117" s="8">
        <f>-C113*C114</f>
        <v>-9690000</v>
      </c>
      <c r="F117" s="9">
        <f>C113</f>
        <v>9500000</v>
      </c>
      <c r="H117" s="7"/>
      <c r="I117" s="8"/>
      <c r="J117" s="8"/>
      <c r="K117" s="8"/>
      <c r="L117" s="9"/>
    </row>
    <row r="118" spans="2:12" x14ac:dyDescent="0.25">
      <c r="B118" s="7">
        <v>1</v>
      </c>
      <c r="C118" s="8"/>
      <c r="D118" s="8">
        <f>F117*$S$7/$S$11</f>
        <v>308750</v>
      </c>
      <c r="E118" s="8">
        <f>SUM(C118:D118)</f>
        <v>308750</v>
      </c>
      <c r="F118" s="9">
        <f>F117-C118</f>
        <v>9500000</v>
      </c>
      <c r="H118" s="7"/>
      <c r="I118" s="8"/>
      <c r="J118" s="8"/>
      <c r="K118" s="8"/>
      <c r="L118" s="9"/>
    </row>
    <row r="119" spans="2:12" x14ac:dyDescent="0.25">
      <c r="B119" s="7">
        <v>2</v>
      </c>
      <c r="C119" s="8">
        <f>$S$9/8</f>
        <v>1187500</v>
      </c>
      <c r="D119" s="8">
        <f t="shared" ref="D119:D133" si="8">F118*$S$7/$S$11</f>
        <v>308750</v>
      </c>
      <c r="E119" s="8">
        <f>SUM(C119:D119)</f>
        <v>1496250</v>
      </c>
      <c r="F119" s="9">
        <f t="shared" ref="F119:F133" si="9">F118-C119</f>
        <v>8312500</v>
      </c>
      <c r="H119" s="7"/>
      <c r="I119" s="8"/>
      <c r="J119" s="8"/>
      <c r="K119" s="8"/>
      <c r="L119" s="9"/>
    </row>
    <row r="120" spans="2:12" x14ac:dyDescent="0.25">
      <c r="B120" s="7">
        <v>3</v>
      </c>
      <c r="C120" s="8"/>
      <c r="D120" s="8">
        <f t="shared" si="8"/>
        <v>270156.25</v>
      </c>
      <c r="E120" s="8">
        <f t="shared" ref="E120:E133" si="10">SUM(C120:D120)</f>
        <v>270156.25</v>
      </c>
      <c r="F120" s="9">
        <f t="shared" si="9"/>
        <v>8312500</v>
      </c>
      <c r="H120" s="7"/>
      <c r="I120" s="8"/>
      <c r="J120" s="8"/>
      <c r="K120" s="8"/>
      <c r="L120" s="9"/>
    </row>
    <row r="121" spans="2:12" x14ac:dyDescent="0.25">
      <c r="B121" s="7">
        <v>4</v>
      </c>
      <c r="C121" s="8">
        <f>$S$9/8</f>
        <v>1187500</v>
      </c>
      <c r="D121" s="8">
        <f t="shared" si="8"/>
        <v>270156.25</v>
      </c>
      <c r="E121" s="8">
        <f t="shared" si="10"/>
        <v>1457656.25</v>
      </c>
      <c r="F121" s="9">
        <f t="shared" si="9"/>
        <v>7125000</v>
      </c>
      <c r="H121" s="7"/>
      <c r="I121" s="8"/>
      <c r="J121" s="8"/>
      <c r="K121" s="8"/>
      <c r="L121" s="9"/>
    </row>
    <row r="122" spans="2:12" x14ac:dyDescent="0.25">
      <c r="B122" s="7">
        <v>5</v>
      </c>
      <c r="C122" s="8"/>
      <c r="D122" s="8">
        <f t="shared" si="8"/>
        <v>231562.5</v>
      </c>
      <c r="E122" s="8">
        <f t="shared" si="10"/>
        <v>231562.5</v>
      </c>
      <c r="F122" s="9">
        <f t="shared" si="9"/>
        <v>7125000</v>
      </c>
      <c r="H122" s="7"/>
      <c r="I122" s="8"/>
      <c r="J122" s="8"/>
      <c r="K122" s="8"/>
      <c r="L122" s="9"/>
    </row>
    <row r="123" spans="2:12" x14ac:dyDescent="0.25">
      <c r="B123" s="7">
        <v>6</v>
      </c>
      <c r="C123" s="8">
        <f>$S$9/8</f>
        <v>1187500</v>
      </c>
      <c r="D123" s="8">
        <f t="shared" si="8"/>
        <v>231562.5</v>
      </c>
      <c r="E123" s="8">
        <f t="shared" si="10"/>
        <v>1419062.5</v>
      </c>
      <c r="F123" s="9">
        <f t="shared" si="9"/>
        <v>5937500</v>
      </c>
      <c r="H123" s="7"/>
      <c r="I123" s="8"/>
      <c r="J123" s="8"/>
      <c r="K123" s="8"/>
      <c r="L123" s="9"/>
    </row>
    <row r="124" spans="2:12" x14ac:dyDescent="0.25">
      <c r="B124" s="7">
        <v>7</v>
      </c>
      <c r="C124" s="8"/>
      <c r="D124" s="8">
        <f t="shared" si="8"/>
        <v>192968.75</v>
      </c>
      <c r="E124" s="8">
        <f t="shared" si="10"/>
        <v>192968.75</v>
      </c>
      <c r="F124" s="9">
        <f t="shared" si="9"/>
        <v>5937500</v>
      </c>
      <c r="H124" s="7"/>
      <c r="I124" s="8"/>
      <c r="J124" s="8"/>
      <c r="K124" s="8"/>
      <c r="L124" s="9"/>
    </row>
    <row r="125" spans="2:12" x14ac:dyDescent="0.25">
      <c r="B125" s="7">
        <v>8</v>
      </c>
      <c r="C125" s="8">
        <f>$S$9/8</f>
        <v>1187500</v>
      </c>
      <c r="D125" s="8">
        <f t="shared" si="8"/>
        <v>192968.75</v>
      </c>
      <c r="E125" s="8">
        <f>SUM(C125:D125)+F110*C113</f>
        <v>6225468.75</v>
      </c>
      <c r="F125" s="9">
        <f t="shared" si="9"/>
        <v>4750000</v>
      </c>
      <c r="H125" s="7">
        <v>8</v>
      </c>
      <c r="I125" s="8"/>
      <c r="J125" s="8"/>
      <c r="K125" s="8">
        <f>-F110*I113</f>
        <v>-4845000</v>
      </c>
      <c r="L125" s="9">
        <f>F125</f>
        <v>4750000</v>
      </c>
    </row>
    <row r="126" spans="2:12" x14ac:dyDescent="0.25">
      <c r="B126" s="7"/>
      <c r="C126" s="8"/>
      <c r="D126" s="8"/>
      <c r="E126" s="8"/>
      <c r="F126" s="9"/>
      <c r="H126" s="7">
        <v>9</v>
      </c>
      <c r="I126" s="8"/>
      <c r="J126" s="8">
        <f>L125*$S$7/$S$11</f>
        <v>154375</v>
      </c>
      <c r="K126" s="8">
        <f>SUM(I126:J126)</f>
        <v>154375</v>
      </c>
      <c r="L126" s="9">
        <f t="shared" ref="L119:L133" si="11">L125-I126</f>
        <v>4750000</v>
      </c>
    </row>
    <row r="127" spans="2:12" x14ac:dyDescent="0.25">
      <c r="B127" s="7"/>
      <c r="C127" s="8"/>
      <c r="D127" s="8"/>
      <c r="E127" s="8"/>
      <c r="F127" s="9"/>
      <c r="H127" s="7">
        <v>10</v>
      </c>
      <c r="I127" s="8">
        <f>$S$9/8</f>
        <v>1187500</v>
      </c>
      <c r="J127" s="8">
        <f>L126*$S$7/$S$11</f>
        <v>154375</v>
      </c>
      <c r="K127" s="8">
        <f>SUM(I127:J127)</f>
        <v>1341875</v>
      </c>
      <c r="L127" s="9">
        <f t="shared" si="11"/>
        <v>3562500</v>
      </c>
    </row>
    <row r="128" spans="2:12" x14ac:dyDescent="0.25">
      <c r="B128" s="7"/>
      <c r="C128" s="14" t="s">
        <v>32</v>
      </c>
      <c r="D128" s="15">
        <f>IRR(E117:E125)*C115</f>
        <v>0.12157570156268083</v>
      </c>
      <c r="E128" s="8"/>
      <c r="F128" s="9"/>
      <c r="H128" s="7">
        <v>11</v>
      </c>
      <c r="I128" s="8"/>
      <c r="J128" s="8">
        <f t="shared" ref="J119:J133" si="12">L127*$S$7/$S$11</f>
        <v>115781.25</v>
      </c>
      <c r="K128" s="8">
        <f>SUM(I128:J128)</f>
        <v>115781.25</v>
      </c>
      <c r="L128" s="9">
        <f t="shared" si="11"/>
        <v>3562500</v>
      </c>
    </row>
    <row r="129" spans="2:12" x14ac:dyDescent="0.25">
      <c r="B129" s="7"/>
      <c r="E129" s="8"/>
      <c r="F129" s="9"/>
      <c r="H129" s="7">
        <v>12</v>
      </c>
      <c r="I129" s="8">
        <f>$S$9/8</f>
        <v>1187500</v>
      </c>
      <c r="J129" s="8">
        <f t="shared" si="12"/>
        <v>115781.25</v>
      </c>
      <c r="K129" s="8">
        <f>SUM(I129:J129)</f>
        <v>1303281.25</v>
      </c>
      <c r="L129" s="9">
        <f t="shared" si="11"/>
        <v>2375000</v>
      </c>
    </row>
    <row r="130" spans="2:12" x14ac:dyDescent="0.25">
      <c r="B130" s="7"/>
      <c r="C130" s="8"/>
      <c r="D130" s="8"/>
      <c r="E130" s="8"/>
      <c r="F130" s="9"/>
      <c r="H130" s="7">
        <v>13</v>
      </c>
      <c r="I130" s="8"/>
      <c r="J130" s="8">
        <f t="shared" si="12"/>
        <v>77187.5</v>
      </c>
      <c r="K130" s="8">
        <f>SUM(I130:J130)</f>
        <v>77187.5</v>
      </c>
      <c r="L130" s="9">
        <f t="shared" si="11"/>
        <v>2375000</v>
      </c>
    </row>
    <row r="131" spans="2:12" x14ac:dyDescent="0.25">
      <c r="B131" s="7"/>
      <c r="C131" s="8"/>
      <c r="D131" s="8"/>
      <c r="E131" s="8"/>
      <c r="F131" s="9"/>
      <c r="H131" s="7">
        <v>14</v>
      </c>
      <c r="I131" s="8">
        <f>$S$9/8</f>
        <v>1187500</v>
      </c>
      <c r="J131" s="8">
        <f t="shared" si="12"/>
        <v>77187.5</v>
      </c>
      <c r="K131" s="8">
        <f t="shared" ref="K120:K133" si="13">SUM(I131:J131)</f>
        <v>1264687.5</v>
      </c>
      <c r="L131" s="9">
        <f t="shared" si="11"/>
        <v>1187500</v>
      </c>
    </row>
    <row r="132" spans="2:12" x14ac:dyDescent="0.25">
      <c r="B132" s="7"/>
      <c r="C132" s="8"/>
      <c r="D132" s="8"/>
      <c r="E132" s="8"/>
      <c r="F132" s="9"/>
      <c r="H132" s="7">
        <v>15</v>
      </c>
      <c r="I132" s="8"/>
      <c r="J132" s="8">
        <f t="shared" si="12"/>
        <v>38593.75</v>
      </c>
      <c r="K132" s="8">
        <f>SUM(I132:J132)</f>
        <v>38593.75</v>
      </c>
      <c r="L132" s="9">
        <f t="shared" si="11"/>
        <v>1187500</v>
      </c>
    </row>
    <row r="133" spans="2:12" x14ac:dyDescent="0.25">
      <c r="B133" s="7"/>
      <c r="C133" s="8"/>
      <c r="D133" s="8"/>
      <c r="E133" s="8"/>
      <c r="F133" s="9"/>
      <c r="H133" s="7">
        <v>16</v>
      </c>
      <c r="I133" s="8">
        <f>$S$9/8</f>
        <v>1187500</v>
      </c>
      <c r="J133" s="8">
        <f t="shared" si="12"/>
        <v>38593.75</v>
      </c>
      <c r="K133" s="8">
        <f>SUM(I133:J133)</f>
        <v>1226093.75</v>
      </c>
      <c r="L133" s="9">
        <f t="shared" si="11"/>
        <v>0</v>
      </c>
    </row>
    <row r="134" spans="2:12" x14ac:dyDescent="0.25">
      <c r="B134" s="7"/>
      <c r="C134" s="8"/>
      <c r="D134" s="8"/>
      <c r="E134" s="8"/>
      <c r="F134" s="9"/>
      <c r="H134" s="7"/>
      <c r="I134" s="8"/>
      <c r="J134" s="8"/>
      <c r="K134" s="8"/>
      <c r="L134" s="9"/>
    </row>
    <row r="135" spans="2:12" x14ac:dyDescent="0.25">
      <c r="B135" s="7"/>
      <c r="C135" s="8"/>
      <c r="D135" s="8"/>
      <c r="E135" s="8"/>
      <c r="F135" s="9"/>
      <c r="H135" s="7"/>
      <c r="I135" s="14" t="s">
        <v>32</v>
      </c>
      <c r="J135" s="15">
        <f>IRR(K125:K133)*I115</f>
        <v>0.1123988075836726</v>
      </c>
      <c r="K135" s="8"/>
      <c r="L135" s="9"/>
    </row>
    <row r="136" spans="2:12" x14ac:dyDescent="0.25">
      <c r="B136" s="7"/>
      <c r="E136" s="8"/>
      <c r="F136" s="9"/>
      <c r="H136" s="7"/>
      <c r="I136" s="8"/>
      <c r="J136" s="8"/>
      <c r="K136" s="8"/>
      <c r="L136" s="9"/>
    </row>
    <row r="137" spans="2:12" ht="15.75" thickBot="1" x14ac:dyDescent="0.3">
      <c r="B137" s="10"/>
      <c r="C137" s="11"/>
      <c r="D137" s="11"/>
      <c r="E137" s="11"/>
      <c r="F137" s="12"/>
      <c r="H137" s="10"/>
      <c r="I137" s="11"/>
      <c r="J137" s="11"/>
      <c r="K137" s="11"/>
      <c r="L137" s="12"/>
    </row>
  </sheetData>
  <mergeCells count="2">
    <mergeCell ref="B54:K56"/>
    <mergeCell ref="B102:K105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2021-02-11T17:18:57Z</dcterms:modified>
</cp:coreProperties>
</file>