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___UFM-Cursos___\3_1\adminfin2\examenes cortos\"/>
    </mc:Choice>
  </mc:AlternateContent>
  <xr:revisionPtr revIDLastSave="0" documentId="13_ncr:1_{243155BA-810C-4A2C-877C-3A7236E6B94F}" xr6:coauthVersionLast="46" xr6:coauthVersionMax="46" xr10:uidLastSave="{00000000-0000-0000-0000-000000000000}"/>
  <bookViews>
    <workbookView xWindow="4185" yWindow="1635" windowWidth="21600" windowHeight="113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8" i="1" l="1"/>
  <c r="H67" i="1"/>
  <c r="H66" i="1"/>
  <c r="H65" i="1"/>
  <c r="M19" i="1"/>
  <c r="M28" i="1"/>
  <c r="M27" i="1"/>
  <c r="D55" i="1"/>
  <c r="M26" i="1"/>
  <c r="D120" i="1"/>
  <c r="D104" i="1"/>
  <c r="D105" i="1"/>
  <c r="D106" i="1"/>
  <c r="D107" i="1"/>
  <c r="D108" i="1"/>
  <c r="D109" i="1"/>
  <c r="D110" i="1"/>
  <c r="D111" i="1"/>
  <c r="D112" i="1"/>
  <c r="D113" i="1"/>
  <c r="D114" i="1"/>
  <c r="D115" i="1"/>
  <c r="D116" i="1"/>
  <c r="D117" i="1"/>
  <c r="D103" i="1"/>
  <c r="C103" i="1"/>
  <c r="C104" i="1"/>
  <c r="C105" i="1"/>
  <c r="C106" i="1"/>
  <c r="C107" i="1"/>
  <c r="C108" i="1"/>
  <c r="C109" i="1"/>
  <c r="C110" i="1"/>
  <c r="C111" i="1"/>
  <c r="C112" i="1"/>
  <c r="C113" i="1"/>
  <c r="C114" i="1"/>
  <c r="C115" i="1"/>
  <c r="C116" i="1"/>
  <c r="C117" i="1"/>
  <c r="C102" i="1"/>
  <c r="B103" i="1"/>
  <c r="B104" i="1"/>
  <c r="B105" i="1"/>
  <c r="B106" i="1"/>
  <c r="B107" i="1"/>
  <c r="B108" i="1"/>
  <c r="B109" i="1"/>
  <c r="B110" i="1"/>
  <c r="B111" i="1"/>
  <c r="B112" i="1"/>
  <c r="B113" i="1"/>
  <c r="B114" i="1"/>
  <c r="B115" i="1"/>
  <c r="B116" i="1"/>
  <c r="B117" i="1"/>
  <c r="B102" i="1"/>
  <c r="A115" i="1"/>
  <c r="A103" i="1"/>
  <c r="A104" i="1"/>
  <c r="A105" i="1"/>
  <c r="A106" i="1"/>
  <c r="A107" i="1"/>
  <c r="A108" i="1"/>
  <c r="A109" i="1"/>
  <c r="A110" i="1"/>
  <c r="A111" i="1"/>
  <c r="A112" i="1"/>
  <c r="A113" i="1"/>
  <c r="A114" i="1"/>
  <c r="A102" i="1"/>
  <c r="P48" i="1"/>
  <c r="D95" i="1"/>
  <c r="D94" i="1"/>
  <c r="E92" i="1"/>
  <c r="E79" i="1"/>
  <c r="E80" i="1"/>
  <c r="E81" i="1"/>
  <c r="E82" i="1"/>
  <c r="E83" i="1"/>
  <c r="E84" i="1" s="1"/>
  <c r="E85" i="1" s="1"/>
  <c r="E86" i="1" s="1"/>
  <c r="E87" i="1" s="1"/>
  <c r="E88" i="1" s="1"/>
  <c r="E89" i="1" s="1"/>
  <c r="E90" i="1" s="1"/>
  <c r="E91" i="1" s="1"/>
  <c r="E78" i="1"/>
  <c r="E77" i="1"/>
  <c r="D92" i="1"/>
  <c r="D77" i="1"/>
  <c r="D78" i="1"/>
  <c r="D79" i="1"/>
  <c r="D80" i="1"/>
  <c r="D81" i="1"/>
  <c r="D82" i="1"/>
  <c r="D83" i="1"/>
  <c r="D84" i="1"/>
  <c r="D85" i="1"/>
  <c r="D86" i="1"/>
  <c r="D87" i="1"/>
  <c r="D88" i="1"/>
  <c r="D89" i="1"/>
  <c r="D90" i="1"/>
  <c r="D91" i="1"/>
  <c r="D76" i="1"/>
  <c r="C76" i="1"/>
  <c r="C77" i="1"/>
  <c r="C78" i="1"/>
  <c r="C79" i="1"/>
  <c r="C80" i="1"/>
  <c r="C81" i="1"/>
  <c r="C82" i="1"/>
  <c r="C83" i="1"/>
  <c r="C84" i="1"/>
  <c r="C85" i="1"/>
  <c r="C86" i="1"/>
  <c r="C87" i="1"/>
  <c r="C88" i="1"/>
  <c r="C89" i="1"/>
  <c r="C90" i="1"/>
  <c r="C91" i="1"/>
  <c r="C92" i="1"/>
  <c r="C75" i="1"/>
  <c r="B91" i="1"/>
  <c r="B92" i="1"/>
  <c r="B76" i="1"/>
  <c r="B77" i="1"/>
  <c r="B78" i="1"/>
  <c r="B79" i="1"/>
  <c r="B80" i="1"/>
  <c r="B81" i="1"/>
  <c r="B82" i="1"/>
  <c r="B83" i="1"/>
  <c r="B84" i="1"/>
  <c r="B85" i="1"/>
  <c r="B86" i="1"/>
  <c r="B87" i="1"/>
  <c r="B88" i="1"/>
  <c r="B89" i="1"/>
  <c r="B90" i="1"/>
  <c r="B75" i="1"/>
  <c r="G66" i="1"/>
  <c r="G68" i="1"/>
  <c r="G65" i="1"/>
  <c r="F68" i="1"/>
  <c r="F66" i="1"/>
  <c r="F65" i="1"/>
  <c r="D68" i="1"/>
  <c r="D66" i="1"/>
  <c r="D65" i="1"/>
  <c r="E68" i="1"/>
  <c r="E67" i="1"/>
  <c r="E66" i="1"/>
  <c r="E65" i="1"/>
  <c r="F54" i="1"/>
  <c r="F56" i="1"/>
  <c r="F53" i="1"/>
  <c r="E54" i="1"/>
  <c r="E55" i="1"/>
  <c r="E56" i="1"/>
  <c r="E53" i="1"/>
  <c r="D56" i="1"/>
  <c r="D54" i="1"/>
  <c r="D53" i="1"/>
  <c r="F67" i="1"/>
  <c r="Q42" i="1"/>
  <c r="Q41" i="1"/>
  <c r="Q40" i="1"/>
  <c r="Q37" i="1"/>
  <c r="I41" i="1"/>
  <c r="J27" i="1"/>
  <c r="J28" i="1"/>
  <c r="J29" i="1"/>
  <c r="J30" i="1" s="1"/>
  <c r="J31" i="1" s="1"/>
  <c r="J32" i="1" s="1"/>
  <c r="J33" i="1" s="1"/>
  <c r="J34" i="1" s="1"/>
  <c r="I28" i="1"/>
  <c r="I29" i="1"/>
  <c r="I30" i="1"/>
  <c r="I31" i="1"/>
  <c r="I32" i="1"/>
  <c r="I33" i="1"/>
  <c r="I34" i="1"/>
  <c r="J17" i="1"/>
  <c r="C44" i="1"/>
  <c r="C43" i="1"/>
  <c r="C42" i="1"/>
  <c r="D32" i="1"/>
  <c r="D33" i="1"/>
  <c r="D34" i="1"/>
  <c r="D35" i="1"/>
  <c r="D36" i="1"/>
  <c r="D37" i="1"/>
  <c r="D38" i="1"/>
  <c r="D39" i="1"/>
  <c r="E32" i="1"/>
  <c r="E33" i="1" s="1"/>
  <c r="C25" i="1"/>
  <c r="C26" i="1"/>
  <c r="C27" i="1"/>
  <c r="C28" i="1"/>
  <c r="C29" i="1"/>
  <c r="C30" i="1"/>
  <c r="C31" i="1"/>
  <c r="C32" i="1"/>
  <c r="C24" i="1"/>
  <c r="B25" i="1"/>
  <c r="B26" i="1"/>
  <c r="B27" i="1"/>
  <c r="B28" i="1"/>
  <c r="B29" i="1"/>
  <c r="B30" i="1"/>
  <c r="B31" i="1"/>
  <c r="B32" i="1"/>
  <c r="B33" i="1"/>
  <c r="B34" i="1"/>
  <c r="B35" i="1"/>
  <c r="B36" i="1"/>
  <c r="B37" i="1"/>
  <c r="B38" i="1"/>
  <c r="B39" i="1"/>
  <c r="B24" i="1"/>
  <c r="D17" i="1"/>
  <c r="Q23" i="1"/>
  <c r="R25" i="1"/>
  <c r="R26" i="1"/>
  <c r="R27" i="1"/>
  <c r="R28" i="1"/>
  <c r="R29" i="1"/>
  <c r="R30" i="1"/>
  <c r="R31" i="1"/>
  <c r="R32" i="1"/>
  <c r="R33" i="1"/>
  <c r="R34" i="1"/>
  <c r="R35" i="1"/>
  <c r="R36" i="1"/>
  <c r="R37" i="1"/>
  <c r="Q25" i="1"/>
  <c r="Q26" i="1"/>
  <c r="Q27" i="1"/>
  <c r="Q28" i="1"/>
  <c r="Q29" i="1"/>
  <c r="Q30" i="1"/>
  <c r="Q31" i="1"/>
  <c r="Q32" i="1"/>
  <c r="Q33" i="1"/>
  <c r="Q34" i="1"/>
  <c r="Q35" i="1"/>
  <c r="Q36" i="1"/>
  <c r="Q24" i="1"/>
  <c r="R24" i="1"/>
  <c r="R18" i="1"/>
  <c r="R23" i="1"/>
  <c r="P37" i="1"/>
  <c r="J24" i="1"/>
  <c r="J25" i="1"/>
  <c r="J26" i="1"/>
  <c r="J23" i="1"/>
  <c r="I24" i="1"/>
  <c r="I25" i="1"/>
  <c r="I26" i="1"/>
  <c r="I27" i="1"/>
  <c r="I23" i="1"/>
  <c r="I22" i="1"/>
  <c r="J22" i="1"/>
  <c r="H34" i="1"/>
  <c r="E24" i="1"/>
  <c r="D25" i="1" s="1"/>
  <c r="D24" i="1"/>
  <c r="D23" i="1"/>
  <c r="E23" i="1"/>
  <c r="F55" i="1" l="1"/>
  <c r="D67" i="1"/>
  <c r="G67" i="1" s="1"/>
  <c r="I40" i="1"/>
  <c r="I39" i="1"/>
  <c r="E34" i="1"/>
  <c r="C34" i="1"/>
  <c r="C33" i="1"/>
  <c r="E25" i="1"/>
  <c r="E35" i="1" l="1"/>
  <c r="C35" i="1"/>
  <c r="D26" i="1"/>
  <c r="E26" i="1"/>
  <c r="E36" i="1" l="1"/>
  <c r="C36" i="1"/>
  <c r="D27" i="1"/>
  <c r="E27" i="1"/>
  <c r="E37" i="1" l="1"/>
  <c r="C37" i="1"/>
  <c r="E28" i="1"/>
  <c r="D28" i="1"/>
  <c r="E38" i="1" l="1"/>
  <c r="C38" i="1"/>
  <c r="E29" i="1"/>
  <c r="D29" i="1"/>
  <c r="E39" i="1" l="1"/>
  <c r="C39" i="1"/>
  <c r="E30" i="1"/>
  <c r="D30" i="1"/>
  <c r="E31" i="1" l="1"/>
  <c r="D31" i="1"/>
</calcChain>
</file>

<file path=xl/sharedStrings.xml><?xml version="1.0" encoding="utf-8"?>
<sst xmlns="http://schemas.openxmlformats.org/spreadsheetml/2006/main" count="95" uniqueCount="51">
  <si>
    <t>Td:</t>
  </si>
  <si>
    <t>anual</t>
  </si>
  <si>
    <t>VF</t>
  </si>
  <si>
    <t>Plazo</t>
  </si>
  <si>
    <t>años</t>
  </si>
  <si>
    <t>P0</t>
  </si>
  <si>
    <t>Int</t>
  </si>
  <si>
    <t>con capitalizacion semestral</t>
  </si>
  <si>
    <t>Cap</t>
  </si>
  <si>
    <t>amortizaciones iguales a capital semestrales</t>
  </si>
  <si>
    <t>CERO CUPÓN:</t>
  </si>
  <si>
    <t>BONO:</t>
  </si>
  <si>
    <t>al vencimiento</t>
  </si>
  <si>
    <t>PROYECTO</t>
  </si>
  <si>
    <t>PROYECTO:</t>
  </si>
  <si>
    <t>AÑOS</t>
  </si>
  <si>
    <t>FC</t>
  </si>
  <si>
    <t>ACCIONES</t>
  </si>
  <si>
    <t>ACCIONES:</t>
  </si>
  <si>
    <t># acciones</t>
  </si>
  <si>
    <t>P0 (precio de compra)</t>
  </si>
  <si>
    <t>P1 (precio de venta)</t>
  </si>
  <si>
    <t>div</t>
  </si>
  <si>
    <t>por accion</t>
  </si>
  <si>
    <t>CAP</t>
  </si>
  <si>
    <t>INT</t>
  </si>
  <si>
    <t>SALDO</t>
  </si>
  <si>
    <t>por que es la mas pequeña</t>
  </si>
  <si>
    <t>plazos no son equivalentes en todos entonces hay que sacar la anualidad equivalente</t>
  </si>
  <si>
    <t>VPN</t>
  </si>
  <si>
    <t>TIR</t>
  </si>
  <si>
    <t>Anualidad eq</t>
  </si>
  <si>
    <t>DIV</t>
  </si>
  <si>
    <t>trimestral</t>
  </si>
  <si>
    <t>TRIMESTRES</t>
  </si>
  <si>
    <t>PERIODO=TRIMESTRES</t>
  </si>
  <si>
    <t>Complementarias el criterio recomendado es escoger todos los proyectos en los que la TIR &gt;= costo de oportunidad</t>
  </si>
  <si>
    <t>BONO</t>
  </si>
  <si>
    <t>CERO CUPON</t>
  </si>
  <si>
    <t>cto de oportunidad</t>
  </si>
  <si>
    <t>Mutuamente excluyente: criterio recomendado es que tir&gt;=cto de oportunidad y después escoger la anualidad equivalente mas grande.</t>
  </si>
  <si>
    <t>An eq</t>
  </si>
  <si>
    <t>PRD</t>
  </si>
  <si>
    <t>PRD EN TRIMESTRES DE BONO:</t>
  </si>
  <si>
    <t>PRD AÑOS</t>
  </si>
  <si>
    <t>TIRM</t>
  </si>
  <si>
    <t>CRUZE</t>
  </si>
  <si>
    <t>NO APLICA</t>
  </si>
  <si>
    <t>MIIR</t>
  </si>
  <si>
    <t>tiene mas de uno diferente.</t>
  </si>
  <si>
    <t>La anualidad equivalente es la medida en la que puedo comparar todas las opciones sin importar que plazos tengan, la que tenga mas alta es la mejor, además de anualidad eq mas alta debe de cumplir que tir &gt;= cto de oportunidad.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</si>
</sst>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b/>
      <u val="singleAccounting"/>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
    <xf numFmtId="0" fontId="0" fillId="0" borderId="0" xfId="0"/>
    <xf numFmtId="43" fontId="0" fillId="0" borderId="0" xfId="1" applyFont="1"/>
    <xf numFmtId="43" fontId="3" fillId="0" borderId="0" xfId="1" applyFont="1"/>
    <xf numFmtId="9" fontId="0" fillId="0" borderId="0" xfId="1" applyNumberFormat="1" applyFont="1"/>
    <xf numFmtId="43" fontId="2" fillId="0" borderId="0" xfId="1" applyFont="1"/>
    <xf numFmtId="43" fontId="4" fillId="0" borderId="0" xfId="1" applyFont="1"/>
    <xf numFmtId="2" fontId="0" fillId="0" borderId="0" xfId="1" applyNumberFormat="1" applyFont="1"/>
    <xf numFmtId="1" fontId="0" fillId="0" borderId="0" xfId="1" applyNumberFormat="1" applyFont="1"/>
    <xf numFmtId="9" fontId="0" fillId="0" borderId="0" xfId="2" applyFont="1"/>
    <xf numFmtId="0" fontId="0" fillId="0" borderId="0" xfId="1" applyNumberFormat="1" applyFont="1"/>
    <xf numFmtId="9" fontId="2" fillId="0" borderId="0" xfId="1" applyNumberFormat="1"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479899</xdr:colOff>
      <xdr:row>5</xdr:row>
      <xdr:rowOff>57291</xdr:rowOff>
    </xdr:to>
    <xdr:pic>
      <xdr:nvPicPr>
        <xdr:cNvPr id="2" name="Picture 1">
          <a:extLst>
            <a:ext uri="{FF2B5EF4-FFF2-40B4-BE49-F238E27FC236}">
              <a16:creationId xmlns:a16="http://schemas.microsoft.com/office/drawing/2014/main" id="{13493722-C152-48AA-BDB2-B46F271801D4}"/>
            </a:ext>
          </a:extLst>
        </xdr:cNvPr>
        <xdr:cNvPicPr>
          <a:picLocks noChangeAspect="1"/>
        </xdr:cNvPicPr>
      </xdr:nvPicPr>
      <xdr:blipFill>
        <a:blip xmlns:r="http://schemas.openxmlformats.org/officeDocument/2006/relationships" r:embed="rId1"/>
        <a:stretch>
          <a:fillRect/>
        </a:stretch>
      </xdr:blipFill>
      <xdr:spPr>
        <a:xfrm>
          <a:off x="0" y="0"/>
          <a:ext cx="5372850" cy="1009791"/>
        </a:xfrm>
        <a:prstGeom prst="rect">
          <a:avLst/>
        </a:prstGeom>
      </xdr:spPr>
    </xdr:pic>
    <xdr:clientData/>
  </xdr:twoCellAnchor>
  <xdr:twoCellAnchor editAs="oneCell">
    <xdr:from>
      <xdr:col>0</xdr:col>
      <xdr:colOff>0</xdr:colOff>
      <xdr:row>5</xdr:row>
      <xdr:rowOff>38100</xdr:rowOff>
    </xdr:from>
    <xdr:to>
      <xdr:col>5</xdr:col>
      <xdr:colOff>489425</xdr:colOff>
      <xdr:row>10</xdr:row>
      <xdr:rowOff>76338</xdr:rowOff>
    </xdr:to>
    <xdr:pic>
      <xdr:nvPicPr>
        <xdr:cNvPr id="3" name="Picture 2">
          <a:extLst>
            <a:ext uri="{FF2B5EF4-FFF2-40B4-BE49-F238E27FC236}">
              <a16:creationId xmlns:a16="http://schemas.microsoft.com/office/drawing/2014/main" id="{148D6FFE-1ADC-4040-BDEC-07EA53FCCBBC}"/>
            </a:ext>
          </a:extLst>
        </xdr:cNvPr>
        <xdr:cNvPicPr>
          <a:picLocks noChangeAspect="1"/>
        </xdr:cNvPicPr>
      </xdr:nvPicPr>
      <xdr:blipFill>
        <a:blip xmlns:r="http://schemas.openxmlformats.org/officeDocument/2006/relationships" r:embed="rId2"/>
        <a:stretch>
          <a:fillRect/>
        </a:stretch>
      </xdr:blipFill>
      <xdr:spPr>
        <a:xfrm>
          <a:off x="0" y="990600"/>
          <a:ext cx="5382376" cy="990738"/>
        </a:xfrm>
        <a:prstGeom prst="rect">
          <a:avLst/>
        </a:prstGeom>
      </xdr:spPr>
    </xdr:pic>
    <xdr:clientData/>
  </xdr:twoCellAnchor>
  <xdr:twoCellAnchor editAs="oneCell">
    <xdr:from>
      <xdr:col>0</xdr:col>
      <xdr:colOff>0</xdr:colOff>
      <xdr:row>45</xdr:row>
      <xdr:rowOff>16565</xdr:rowOff>
    </xdr:from>
    <xdr:to>
      <xdr:col>7</xdr:col>
      <xdr:colOff>36945</xdr:colOff>
      <xdr:row>47</xdr:row>
      <xdr:rowOff>140460</xdr:rowOff>
    </xdr:to>
    <xdr:pic>
      <xdr:nvPicPr>
        <xdr:cNvPr id="4" name="Picture 3">
          <a:extLst>
            <a:ext uri="{FF2B5EF4-FFF2-40B4-BE49-F238E27FC236}">
              <a16:creationId xmlns:a16="http://schemas.microsoft.com/office/drawing/2014/main" id="{E8F3FAAD-AB78-4F87-9AC0-FAA5CD11A04E}"/>
            </a:ext>
          </a:extLst>
        </xdr:cNvPr>
        <xdr:cNvPicPr>
          <a:picLocks noChangeAspect="1"/>
        </xdr:cNvPicPr>
      </xdr:nvPicPr>
      <xdr:blipFill>
        <a:blip xmlns:r="http://schemas.openxmlformats.org/officeDocument/2006/relationships" r:embed="rId3"/>
        <a:stretch>
          <a:fillRect/>
        </a:stretch>
      </xdr:blipFill>
      <xdr:spPr>
        <a:xfrm>
          <a:off x="0" y="8613913"/>
          <a:ext cx="6563641" cy="504895"/>
        </a:xfrm>
        <a:prstGeom prst="rect">
          <a:avLst/>
        </a:prstGeom>
      </xdr:spPr>
    </xdr:pic>
    <xdr:clientData/>
  </xdr:twoCellAnchor>
  <xdr:twoCellAnchor editAs="oneCell">
    <xdr:from>
      <xdr:col>0</xdr:col>
      <xdr:colOff>0</xdr:colOff>
      <xdr:row>57</xdr:row>
      <xdr:rowOff>57978</xdr:rowOff>
    </xdr:from>
    <xdr:to>
      <xdr:col>6</xdr:col>
      <xdr:colOff>564121</xdr:colOff>
      <xdr:row>59</xdr:row>
      <xdr:rowOff>162821</xdr:rowOff>
    </xdr:to>
    <xdr:pic>
      <xdr:nvPicPr>
        <xdr:cNvPr id="5" name="Picture 4">
          <a:extLst>
            <a:ext uri="{FF2B5EF4-FFF2-40B4-BE49-F238E27FC236}">
              <a16:creationId xmlns:a16="http://schemas.microsoft.com/office/drawing/2014/main" id="{1253AD7A-2EAF-4A1A-B92D-AB48F35608B9}"/>
            </a:ext>
          </a:extLst>
        </xdr:cNvPr>
        <xdr:cNvPicPr>
          <a:picLocks noChangeAspect="1"/>
        </xdr:cNvPicPr>
      </xdr:nvPicPr>
      <xdr:blipFill>
        <a:blip xmlns:r="http://schemas.openxmlformats.org/officeDocument/2006/relationships" r:embed="rId4"/>
        <a:stretch>
          <a:fillRect/>
        </a:stretch>
      </xdr:blipFill>
      <xdr:spPr>
        <a:xfrm>
          <a:off x="0" y="10941326"/>
          <a:ext cx="6477904" cy="485843"/>
        </a:xfrm>
        <a:prstGeom prst="rect">
          <a:avLst/>
        </a:prstGeom>
      </xdr:spPr>
    </xdr:pic>
    <xdr:clientData/>
  </xdr:twoCellAnchor>
  <xdr:twoCellAnchor editAs="oneCell">
    <xdr:from>
      <xdr:col>0</xdr:col>
      <xdr:colOff>0</xdr:colOff>
      <xdr:row>70</xdr:row>
      <xdr:rowOff>0</xdr:rowOff>
    </xdr:from>
    <xdr:to>
      <xdr:col>6</xdr:col>
      <xdr:colOff>297384</xdr:colOff>
      <xdr:row>71</xdr:row>
      <xdr:rowOff>95290</xdr:rowOff>
    </xdr:to>
    <xdr:pic>
      <xdr:nvPicPr>
        <xdr:cNvPr id="6" name="Picture 5">
          <a:extLst>
            <a:ext uri="{FF2B5EF4-FFF2-40B4-BE49-F238E27FC236}">
              <a16:creationId xmlns:a16="http://schemas.microsoft.com/office/drawing/2014/main" id="{E8466BE5-EFA1-4F7C-935B-32E07F6D5F12}"/>
            </a:ext>
          </a:extLst>
        </xdr:cNvPr>
        <xdr:cNvPicPr>
          <a:picLocks noChangeAspect="1"/>
        </xdr:cNvPicPr>
      </xdr:nvPicPr>
      <xdr:blipFill>
        <a:blip xmlns:r="http://schemas.openxmlformats.org/officeDocument/2006/relationships" r:embed="rId5"/>
        <a:stretch>
          <a:fillRect/>
        </a:stretch>
      </xdr:blipFill>
      <xdr:spPr>
        <a:xfrm>
          <a:off x="0" y="13359848"/>
          <a:ext cx="6211167" cy="285790"/>
        </a:xfrm>
        <a:prstGeom prst="rect">
          <a:avLst/>
        </a:prstGeom>
      </xdr:spPr>
    </xdr:pic>
    <xdr:clientData/>
  </xdr:twoCellAnchor>
  <xdr:twoCellAnchor editAs="oneCell">
    <xdr:from>
      <xdr:col>14</xdr:col>
      <xdr:colOff>24848</xdr:colOff>
      <xdr:row>43</xdr:row>
      <xdr:rowOff>57978</xdr:rowOff>
    </xdr:from>
    <xdr:to>
      <xdr:col>18</xdr:col>
      <xdr:colOff>14610</xdr:colOff>
      <xdr:row>45</xdr:row>
      <xdr:rowOff>10400</xdr:rowOff>
    </xdr:to>
    <xdr:pic>
      <xdr:nvPicPr>
        <xdr:cNvPr id="8" name="Picture 7">
          <a:extLst>
            <a:ext uri="{FF2B5EF4-FFF2-40B4-BE49-F238E27FC236}">
              <a16:creationId xmlns:a16="http://schemas.microsoft.com/office/drawing/2014/main" id="{06912948-8F10-4EA3-A480-567166C5F214}"/>
            </a:ext>
          </a:extLst>
        </xdr:cNvPr>
        <xdr:cNvPicPr>
          <a:picLocks noChangeAspect="1"/>
        </xdr:cNvPicPr>
      </xdr:nvPicPr>
      <xdr:blipFill>
        <a:blip xmlns:r="http://schemas.openxmlformats.org/officeDocument/2006/relationships" r:embed="rId6"/>
        <a:stretch>
          <a:fillRect/>
        </a:stretch>
      </xdr:blipFill>
      <xdr:spPr>
        <a:xfrm>
          <a:off x="12639261" y="8274326"/>
          <a:ext cx="3791479" cy="333422"/>
        </a:xfrm>
        <a:prstGeom prst="rect">
          <a:avLst/>
        </a:prstGeom>
      </xdr:spPr>
    </xdr:pic>
    <xdr:clientData/>
  </xdr:twoCellAnchor>
  <xdr:twoCellAnchor editAs="oneCell">
    <xdr:from>
      <xdr:col>0</xdr:col>
      <xdr:colOff>0</xdr:colOff>
      <xdr:row>97</xdr:row>
      <xdr:rowOff>16565</xdr:rowOff>
    </xdr:from>
    <xdr:to>
      <xdr:col>6</xdr:col>
      <xdr:colOff>325963</xdr:colOff>
      <xdr:row>98</xdr:row>
      <xdr:rowOff>140434</xdr:rowOff>
    </xdr:to>
    <xdr:pic>
      <xdr:nvPicPr>
        <xdr:cNvPr id="9" name="Picture 8">
          <a:extLst>
            <a:ext uri="{FF2B5EF4-FFF2-40B4-BE49-F238E27FC236}">
              <a16:creationId xmlns:a16="http://schemas.microsoft.com/office/drawing/2014/main" id="{63EE692E-53B4-4CA1-B873-01399841C75B}"/>
            </a:ext>
          </a:extLst>
        </xdr:cNvPr>
        <xdr:cNvPicPr>
          <a:picLocks noChangeAspect="1"/>
        </xdr:cNvPicPr>
      </xdr:nvPicPr>
      <xdr:blipFill>
        <a:blip xmlns:r="http://schemas.openxmlformats.org/officeDocument/2006/relationships" r:embed="rId7"/>
        <a:stretch>
          <a:fillRect/>
        </a:stretch>
      </xdr:blipFill>
      <xdr:spPr>
        <a:xfrm>
          <a:off x="0" y="18519913"/>
          <a:ext cx="6239746" cy="3143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R120"/>
  <sheetViews>
    <sheetView tabSelected="1" topLeftCell="K11" zoomScale="105" zoomScaleNormal="115" workbookViewId="0">
      <selection activeCell="M33" sqref="M33"/>
    </sheetView>
  </sheetViews>
  <sheetFormatPr defaultRowHeight="15" x14ac:dyDescent="0.25"/>
  <cols>
    <col min="1" max="1" width="9.140625" style="1"/>
    <col min="2" max="2" width="16.5703125" style="1" customWidth="1"/>
    <col min="3" max="3" width="16" style="1" customWidth="1"/>
    <col min="4" max="4" width="15.28515625" style="1" customWidth="1"/>
    <col min="5" max="5" width="16.5703125" style="1" customWidth="1"/>
    <col min="6" max="6" width="15.140625" style="1" bestFit="1" customWidth="1"/>
    <col min="7" max="7" width="9.140625" style="1"/>
    <col min="8" max="8" width="15.7109375" style="1" bestFit="1" customWidth="1"/>
    <col min="9" max="9" width="14.7109375" style="1" bestFit="1" customWidth="1"/>
    <col min="10" max="10" width="14" style="1" bestFit="1" customWidth="1"/>
    <col min="11" max="12" width="9.140625" style="1"/>
    <col min="13" max="13" width="19.28515625" style="1" customWidth="1"/>
    <col min="14" max="14" width="9.140625" style="1"/>
    <col min="15" max="15" width="13.28515625" style="1" bestFit="1" customWidth="1"/>
    <col min="16" max="16" width="14" style="1" bestFit="1" customWidth="1"/>
    <col min="17" max="17" width="14.7109375" style="1" bestFit="1" customWidth="1"/>
    <col min="18" max="18" width="15" style="1" customWidth="1"/>
    <col min="19" max="19" width="14" style="1" bestFit="1" customWidth="1"/>
    <col min="20" max="16384" width="9.140625" style="1"/>
  </cols>
  <sheetData>
    <row r="12" spans="1:16" x14ac:dyDescent="0.25">
      <c r="E12" s="1" t="s">
        <v>28</v>
      </c>
    </row>
    <row r="13" spans="1:16" x14ac:dyDescent="0.25">
      <c r="A13" s="1" t="s">
        <v>0</v>
      </c>
      <c r="B13" s="1">
        <v>0.12</v>
      </c>
      <c r="C13" s="1" t="s">
        <v>1</v>
      </c>
      <c r="E13" s="1" t="s">
        <v>35</v>
      </c>
    </row>
    <row r="14" spans="1:16" x14ac:dyDescent="0.25">
      <c r="E14" s="1">
        <v>4</v>
      </c>
      <c r="F14" s="1" t="s">
        <v>27</v>
      </c>
    </row>
    <row r="15" spans="1:16" ht="17.25" x14ac:dyDescent="0.4">
      <c r="A15" s="2" t="s">
        <v>11</v>
      </c>
      <c r="G15" s="5" t="s">
        <v>10</v>
      </c>
      <c r="L15" s="5" t="s">
        <v>14</v>
      </c>
      <c r="O15" s="5" t="s">
        <v>18</v>
      </c>
    </row>
    <row r="16" spans="1:16" x14ac:dyDescent="0.25">
      <c r="A16" s="1" t="s">
        <v>2</v>
      </c>
      <c r="B16" s="1">
        <v>2500000</v>
      </c>
      <c r="G16" s="1" t="s">
        <v>2</v>
      </c>
      <c r="H16" s="1">
        <v>3000000</v>
      </c>
      <c r="L16" s="1" t="s">
        <v>2</v>
      </c>
      <c r="M16" s="1">
        <v>3900000</v>
      </c>
      <c r="O16" s="1" t="s">
        <v>19</v>
      </c>
      <c r="P16" s="1">
        <v>2000</v>
      </c>
    </row>
    <row r="17" spans="1:18" x14ac:dyDescent="0.25">
      <c r="A17" s="1" t="s">
        <v>3</v>
      </c>
      <c r="B17" s="1">
        <v>4</v>
      </c>
      <c r="C17" s="1" t="s">
        <v>4</v>
      </c>
      <c r="D17" s="1">
        <f>B17*E14</f>
        <v>16</v>
      </c>
      <c r="G17" s="1" t="s">
        <v>3</v>
      </c>
      <c r="H17" s="1">
        <v>3</v>
      </c>
      <c r="I17" s="1" t="s">
        <v>4</v>
      </c>
      <c r="J17" s="1">
        <f>H17*E14</f>
        <v>12</v>
      </c>
      <c r="O17" s="1" t="s">
        <v>20</v>
      </c>
      <c r="P17" s="1">
        <v>1500</v>
      </c>
      <c r="Q17" s="1" t="s">
        <v>23</v>
      </c>
    </row>
    <row r="18" spans="1:18" x14ac:dyDescent="0.25">
      <c r="A18" s="1" t="s">
        <v>5</v>
      </c>
      <c r="B18" s="3">
        <v>1.02</v>
      </c>
      <c r="G18" s="1" t="s">
        <v>5</v>
      </c>
      <c r="H18" s="3">
        <v>0.69</v>
      </c>
      <c r="L18" s="1" t="s">
        <v>15</v>
      </c>
      <c r="M18" s="1" t="s">
        <v>16</v>
      </c>
      <c r="O18" s="1" t="s">
        <v>3</v>
      </c>
      <c r="P18" s="1">
        <v>3.5</v>
      </c>
      <c r="Q18" s="1" t="s">
        <v>4</v>
      </c>
      <c r="R18" s="1">
        <f>P18*4</f>
        <v>14</v>
      </c>
    </row>
    <row r="19" spans="1:18" x14ac:dyDescent="0.25">
      <c r="A19" s="1" t="s">
        <v>6</v>
      </c>
      <c r="B19" s="3">
        <v>0.14000000000000001</v>
      </c>
      <c r="C19" s="1" t="s">
        <v>1</v>
      </c>
      <c r="D19" s="1" t="s">
        <v>7</v>
      </c>
      <c r="G19" s="1" t="s">
        <v>8</v>
      </c>
      <c r="H19" s="1" t="s">
        <v>12</v>
      </c>
      <c r="L19" s="1">
        <v>0</v>
      </c>
      <c r="M19" s="9">
        <f>-M16</f>
        <v>-3900000</v>
      </c>
      <c r="O19" s="1" t="s">
        <v>21</v>
      </c>
      <c r="P19" s="1">
        <v>1570</v>
      </c>
      <c r="Q19" s="1" t="s">
        <v>23</v>
      </c>
    </row>
    <row r="20" spans="1:18" x14ac:dyDescent="0.25">
      <c r="A20" s="1" t="s">
        <v>8</v>
      </c>
      <c r="B20" s="1" t="s">
        <v>9</v>
      </c>
      <c r="L20" s="1">
        <v>1</v>
      </c>
      <c r="M20" s="1">
        <v>1350</v>
      </c>
      <c r="O20" s="1" t="s">
        <v>22</v>
      </c>
      <c r="P20" s="1">
        <v>42.5</v>
      </c>
      <c r="Q20" s="1" t="s">
        <v>23</v>
      </c>
      <c r="R20" s="1" t="s">
        <v>33</v>
      </c>
    </row>
    <row r="21" spans="1:18" x14ac:dyDescent="0.25">
      <c r="G21" s="1" t="s">
        <v>34</v>
      </c>
      <c r="H21" s="1" t="s">
        <v>24</v>
      </c>
      <c r="I21" s="1" t="s">
        <v>16</v>
      </c>
      <c r="J21" s="1" t="s">
        <v>26</v>
      </c>
      <c r="L21" s="1">
        <v>2</v>
      </c>
      <c r="M21" s="1">
        <v>2700</v>
      </c>
    </row>
    <row r="22" spans="1:18" x14ac:dyDescent="0.25">
      <c r="A22" s="1" t="s">
        <v>34</v>
      </c>
      <c r="B22" s="1" t="s">
        <v>24</v>
      </c>
      <c r="C22" s="1" t="s">
        <v>25</v>
      </c>
      <c r="D22" s="1" t="s">
        <v>16</v>
      </c>
      <c r="E22" s="1" t="s">
        <v>26</v>
      </c>
      <c r="G22" s="7">
        <v>0</v>
      </c>
      <c r="I22" s="9">
        <f>-H16*H18</f>
        <v>-2069999.9999999998</v>
      </c>
      <c r="J22" s="1">
        <f>H16</f>
        <v>3000000</v>
      </c>
      <c r="L22" s="1">
        <v>3</v>
      </c>
      <c r="M22" s="6">
        <v>-680</v>
      </c>
      <c r="O22" s="1" t="s">
        <v>34</v>
      </c>
      <c r="P22" s="1" t="s">
        <v>24</v>
      </c>
      <c r="Q22" s="1" t="s">
        <v>32</v>
      </c>
      <c r="R22" s="1" t="s">
        <v>16</v>
      </c>
    </row>
    <row r="23" spans="1:18" x14ac:dyDescent="0.25">
      <c r="A23" s="7">
        <v>0</v>
      </c>
      <c r="D23" s="9">
        <f>-B16*B18</f>
        <v>-2550000</v>
      </c>
      <c r="E23" s="1">
        <f>B16</f>
        <v>2500000</v>
      </c>
      <c r="G23" s="7">
        <v>1</v>
      </c>
      <c r="I23" s="1">
        <f>H23+0</f>
        <v>0</v>
      </c>
      <c r="J23" s="1">
        <f>J22-H23</f>
        <v>3000000</v>
      </c>
      <c r="L23" s="1">
        <v>4</v>
      </c>
      <c r="M23" s="1">
        <v>425</v>
      </c>
      <c r="O23" s="7">
        <v>0</v>
      </c>
      <c r="Q23" s="9">
        <f>-P16*P17</f>
        <v>-3000000</v>
      </c>
      <c r="R23" s="9">
        <f>-P16*P17</f>
        <v>-3000000</v>
      </c>
    </row>
    <row r="24" spans="1:18" x14ac:dyDescent="0.25">
      <c r="A24" s="7">
        <v>1</v>
      </c>
      <c r="B24" s="1">
        <f>$B$16/$D$17</f>
        <v>156250</v>
      </c>
      <c r="C24" s="1">
        <f>E23*$B$19/$E$14</f>
        <v>87500.000000000015</v>
      </c>
      <c r="D24" s="1">
        <f>SUM(B24:C24)</f>
        <v>243750</v>
      </c>
      <c r="E24" s="1">
        <f>E23-B24</f>
        <v>2343750</v>
      </c>
      <c r="G24" s="7">
        <v>2</v>
      </c>
      <c r="I24" s="1">
        <f t="shared" ref="I24:I33" si="0">H24+0</f>
        <v>0</v>
      </c>
      <c r="J24" s="1">
        <f t="shared" ref="J24:J34" si="1">J23-H24</f>
        <v>3000000</v>
      </c>
      <c r="L24" s="1">
        <v>5</v>
      </c>
      <c r="M24" s="1">
        <v>1935</v>
      </c>
      <c r="O24" s="7">
        <v>1</v>
      </c>
      <c r="Q24" s="1">
        <f>$P$20*$P$16</f>
        <v>85000</v>
      </c>
      <c r="R24" s="1">
        <f>P24+Q24</f>
        <v>85000</v>
      </c>
    </row>
    <row r="25" spans="1:18" x14ac:dyDescent="0.25">
      <c r="A25" s="7">
        <v>2</v>
      </c>
      <c r="B25" s="1">
        <f t="shared" ref="B25:B39" si="2">$B$16/$D$17</f>
        <v>156250</v>
      </c>
      <c r="C25" s="1">
        <f t="shared" ref="C25:C39" si="3">E24*$B$19/$E$14</f>
        <v>82031.250000000015</v>
      </c>
      <c r="D25" s="1">
        <f t="shared" ref="D25:D39" si="4">SUM(B25:C25)</f>
        <v>238281.25</v>
      </c>
      <c r="E25" s="1">
        <f t="shared" ref="E25:E39" si="5">E24-B25</f>
        <v>2187500</v>
      </c>
      <c r="G25" s="7">
        <v>3</v>
      </c>
      <c r="I25" s="1">
        <f t="shared" si="0"/>
        <v>0</v>
      </c>
      <c r="J25" s="1">
        <f t="shared" si="1"/>
        <v>3000000</v>
      </c>
      <c r="O25" s="7">
        <v>2</v>
      </c>
      <c r="Q25" s="1">
        <f t="shared" ref="Q25:Q37" si="6">$P$20*$P$16</f>
        <v>85000</v>
      </c>
      <c r="R25" s="1">
        <f t="shared" ref="R25:R37" si="7">P25+Q25</f>
        <v>85000</v>
      </c>
    </row>
    <row r="26" spans="1:18" x14ac:dyDescent="0.25">
      <c r="A26" s="7">
        <v>3</v>
      </c>
      <c r="B26" s="1">
        <f t="shared" si="2"/>
        <v>156250</v>
      </c>
      <c r="C26" s="1">
        <f t="shared" si="3"/>
        <v>76562.500000000015</v>
      </c>
      <c r="D26" s="1">
        <f t="shared" si="4"/>
        <v>232812.5</v>
      </c>
      <c r="E26" s="1">
        <f t="shared" si="5"/>
        <v>2031250</v>
      </c>
      <c r="G26" s="7">
        <v>4</v>
      </c>
      <c r="I26" s="1">
        <f t="shared" si="0"/>
        <v>0</v>
      </c>
      <c r="J26" s="1">
        <f t="shared" si="1"/>
        <v>3000000</v>
      </c>
      <c r="L26" s="1" t="s">
        <v>29</v>
      </c>
      <c r="M26" s="9">
        <f>NPV(B13,M20:M24)+M19</f>
        <v>-3895758.1638071309</v>
      </c>
      <c r="O26" s="7">
        <v>3</v>
      </c>
      <c r="Q26" s="1">
        <f t="shared" si="6"/>
        <v>85000</v>
      </c>
      <c r="R26" s="1">
        <f t="shared" si="7"/>
        <v>85000</v>
      </c>
    </row>
    <row r="27" spans="1:18" x14ac:dyDescent="0.25">
      <c r="A27" s="7">
        <v>4</v>
      </c>
      <c r="B27" s="1">
        <f t="shared" si="2"/>
        <v>156250</v>
      </c>
      <c r="C27" s="1">
        <f t="shared" si="3"/>
        <v>71093.75</v>
      </c>
      <c r="D27" s="1">
        <f t="shared" si="4"/>
        <v>227343.75</v>
      </c>
      <c r="E27" s="1">
        <f t="shared" si="5"/>
        <v>1875000</v>
      </c>
      <c r="G27" s="7">
        <v>5</v>
      </c>
      <c r="I27" s="1">
        <f t="shared" si="0"/>
        <v>0</v>
      </c>
      <c r="J27" s="1">
        <f t="shared" si="1"/>
        <v>3000000</v>
      </c>
      <c r="L27" s="1" t="s">
        <v>30</v>
      </c>
      <c r="M27" s="3">
        <f>MIRR(M19:M24,B13,B13)</f>
        <v>-0.70765864920502741</v>
      </c>
      <c r="O27" s="7">
        <v>4</v>
      </c>
      <c r="Q27" s="1">
        <f t="shared" si="6"/>
        <v>85000</v>
      </c>
      <c r="R27" s="1">
        <f t="shared" si="7"/>
        <v>85000</v>
      </c>
    </row>
    <row r="28" spans="1:18" x14ac:dyDescent="0.25">
      <c r="A28" s="7">
        <v>5</v>
      </c>
      <c r="B28" s="1">
        <f t="shared" si="2"/>
        <v>156250</v>
      </c>
      <c r="C28" s="1">
        <f t="shared" si="3"/>
        <v>65625</v>
      </c>
      <c r="D28" s="1">
        <f t="shared" si="4"/>
        <v>221875</v>
      </c>
      <c r="E28" s="1">
        <f t="shared" si="5"/>
        <v>1718750</v>
      </c>
      <c r="G28" s="7">
        <v>6</v>
      </c>
      <c r="I28" s="1">
        <f t="shared" si="0"/>
        <v>0</v>
      </c>
      <c r="J28" s="1">
        <f t="shared" si="1"/>
        <v>3000000</v>
      </c>
      <c r="L28" s="1" t="s">
        <v>31</v>
      </c>
      <c r="M28" s="9">
        <f>-PMT(B13,L24,M26)</f>
        <v>-1080721.2279288892</v>
      </c>
      <c r="O28" s="7">
        <v>5</v>
      </c>
      <c r="Q28" s="1">
        <f t="shared" si="6"/>
        <v>85000</v>
      </c>
      <c r="R28" s="1">
        <f t="shared" si="7"/>
        <v>85000</v>
      </c>
    </row>
    <row r="29" spans="1:18" x14ac:dyDescent="0.25">
      <c r="A29" s="7">
        <v>6</v>
      </c>
      <c r="B29" s="1">
        <f t="shared" si="2"/>
        <v>156250</v>
      </c>
      <c r="C29" s="1">
        <f t="shared" si="3"/>
        <v>60156.250000000007</v>
      </c>
      <c r="D29" s="1">
        <f t="shared" si="4"/>
        <v>216406.25</v>
      </c>
      <c r="E29" s="1">
        <f t="shared" si="5"/>
        <v>1562500</v>
      </c>
      <c r="G29" s="7">
        <v>7</v>
      </c>
      <c r="I29" s="1">
        <f t="shared" si="0"/>
        <v>0</v>
      </c>
      <c r="J29" s="1">
        <f t="shared" si="1"/>
        <v>3000000</v>
      </c>
      <c r="O29" s="7">
        <v>6</v>
      </c>
      <c r="Q29" s="1">
        <f t="shared" si="6"/>
        <v>85000</v>
      </c>
      <c r="R29" s="1">
        <f t="shared" si="7"/>
        <v>85000</v>
      </c>
    </row>
    <row r="30" spans="1:18" x14ac:dyDescent="0.25">
      <c r="A30" s="7">
        <v>7</v>
      </c>
      <c r="B30" s="1">
        <f t="shared" si="2"/>
        <v>156250</v>
      </c>
      <c r="C30" s="1">
        <f t="shared" si="3"/>
        <v>54687.500000000007</v>
      </c>
      <c r="D30" s="1">
        <f t="shared" si="4"/>
        <v>210937.5</v>
      </c>
      <c r="E30" s="1">
        <f t="shared" si="5"/>
        <v>1406250</v>
      </c>
      <c r="G30" s="7">
        <v>8</v>
      </c>
      <c r="I30" s="1">
        <f t="shared" si="0"/>
        <v>0</v>
      </c>
      <c r="J30" s="1">
        <f t="shared" si="1"/>
        <v>3000000</v>
      </c>
      <c r="O30" s="7">
        <v>7</v>
      </c>
      <c r="Q30" s="1">
        <f t="shared" si="6"/>
        <v>85000</v>
      </c>
      <c r="R30" s="1">
        <f t="shared" si="7"/>
        <v>85000</v>
      </c>
    </row>
    <row r="31" spans="1:18" x14ac:dyDescent="0.25">
      <c r="A31" s="7">
        <v>8</v>
      </c>
      <c r="B31" s="1">
        <f t="shared" si="2"/>
        <v>156250</v>
      </c>
      <c r="C31" s="1">
        <f t="shared" si="3"/>
        <v>49218.750000000007</v>
      </c>
      <c r="D31" s="1">
        <f t="shared" si="4"/>
        <v>205468.75</v>
      </c>
      <c r="E31" s="1">
        <f t="shared" si="5"/>
        <v>1250000</v>
      </c>
      <c r="G31" s="7">
        <v>9</v>
      </c>
      <c r="I31" s="1">
        <f t="shared" si="0"/>
        <v>0</v>
      </c>
      <c r="J31" s="1">
        <f t="shared" si="1"/>
        <v>3000000</v>
      </c>
      <c r="O31" s="7">
        <v>8</v>
      </c>
      <c r="Q31" s="1">
        <f t="shared" si="6"/>
        <v>85000</v>
      </c>
      <c r="R31" s="1">
        <f t="shared" si="7"/>
        <v>85000</v>
      </c>
    </row>
    <row r="32" spans="1:18" x14ac:dyDescent="0.25">
      <c r="A32" s="7">
        <v>9</v>
      </c>
      <c r="B32" s="1">
        <f t="shared" si="2"/>
        <v>156250</v>
      </c>
      <c r="C32" s="1">
        <f t="shared" si="3"/>
        <v>43750.000000000007</v>
      </c>
      <c r="D32" s="1">
        <f t="shared" si="4"/>
        <v>200000</v>
      </c>
      <c r="E32" s="1">
        <f t="shared" si="5"/>
        <v>1093750</v>
      </c>
      <c r="G32" s="7">
        <v>10</v>
      </c>
      <c r="I32" s="1">
        <f t="shared" si="0"/>
        <v>0</v>
      </c>
      <c r="J32" s="1">
        <f t="shared" si="1"/>
        <v>3000000</v>
      </c>
      <c r="O32" s="7">
        <v>9</v>
      </c>
      <c r="Q32" s="1">
        <f t="shared" si="6"/>
        <v>85000</v>
      </c>
      <c r="R32" s="1">
        <f t="shared" si="7"/>
        <v>85000</v>
      </c>
    </row>
    <row r="33" spans="1:18" x14ac:dyDescent="0.25">
      <c r="A33" s="7">
        <v>10</v>
      </c>
      <c r="B33" s="1">
        <f t="shared" si="2"/>
        <v>156250</v>
      </c>
      <c r="C33" s="1">
        <f t="shared" si="3"/>
        <v>38281.250000000007</v>
      </c>
      <c r="D33" s="1">
        <f t="shared" si="4"/>
        <v>194531.25</v>
      </c>
      <c r="E33" s="1">
        <f t="shared" si="5"/>
        <v>937500</v>
      </c>
      <c r="G33" s="7">
        <v>11</v>
      </c>
      <c r="I33" s="1">
        <f t="shared" si="0"/>
        <v>0</v>
      </c>
      <c r="J33" s="1">
        <f t="shared" si="1"/>
        <v>3000000</v>
      </c>
      <c r="O33" s="7">
        <v>10</v>
      </c>
      <c r="Q33" s="1">
        <f t="shared" si="6"/>
        <v>85000</v>
      </c>
      <c r="R33" s="1">
        <f t="shared" si="7"/>
        <v>85000</v>
      </c>
    </row>
    <row r="34" spans="1:18" x14ac:dyDescent="0.25">
      <c r="A34" s="7">
        <v>11</v>
      </c>
      <c r="B34" s="1">
        <f t="shared" si="2"/>
        <v>156250</v>
      </c>
      <c r="C34" s="1">
        <f t="shared" si="3"/>
        <v>32812.5</v>
      </c>
      <c r="D34" s="1">
        <f t="shared" si="4"/>
        <v>189062.5</v>
      </c>
      <c r="E34" s="1">
        <f t="shared" si="5"/>
        <v>781250</v>
      </c>
      <c r="G34" s="7">
        <v>12</v>
      </c>
      <c r="H34" s="1">
        <f>H16</f>
        <v>3000000</v>
      </c>
      <c r="I34" s="1">
        <f>H34+0</f>
        <v>3000000</v>
      </c>
      <c r="J34" s="1">
        <f t="shared" si="1"/>
        <v>0</v>
      </c>
      <c r="O34" s="7">
        <v>11</v>
      </c>
      <c r="Q34" s="1">
        <f t="shared" si="6"/>
        <v>85000</v>
      </c>
      <c r="R34" s="1">
        <f t="shared" si="7"/>
        <v>85000</v>
      </c>
    </row>
    <row r="35" spans="1:18" x14ac:dyDescent="0.25">
      <c r="A35" s="7">
        <v>12</v>
      </c>
      <c r="B35" s="1">
        <f t="shared" si="2"/>
        <v>156250</v>
      </c>
      <c r="C35" s="1">
        <f t="shared" si="3"/>
        <v>27343.750000000004</v>
      </c>
      <c r="D35" s="1">
        <f t="shared" si="4"/>
        <v>183593.75</v>
      </c>
      <c r="E35" s="1">
        <f t="shared" si="5"/>
        <v>625000</v>
      </c>
      <c r="O35" s="7">
        <v>12</v>
      </c>
      <c r="Q35" s="1">
        <f t="shared" si="6"/>
        <v>85000</v>
      </c>
      <c r="R35" s="1">
        <f t="shared" si="7"/>
        <v>85000</v>
      </c>
    </row>
    <row r="36" spans="1:18" x14ac:dyDescent="0.25">
      <c r="A36" s="7">
        <v>13</v>
      </c>
      <c r="B36" s="1">
        <f t="shared" si="2"/>
        <v>156250</v>
      </c>
      <c r="C36" s="1">
        <f t="shared" si="3"/>
        <v>21875.000000000004</v>
      </c>
      <c r="D36" s="1">
        <f t="shared" si="4"/>
        <v>178125</v>
      </c>
      <c r="E36" s="1">
        <f t="shared" si="5"/>
        <v>468750</v>
      </c>
      <c r="O36" s="7">
        <v>13</v>
      </c>
      <c r="Q36" s="1">
        <f t="shared" si="6"/>
        <v>85000</v>
      </c>
      <c r="R36" s="1">
        <f t="shared" si="7"/>
        <v>85000</v>
      </c>
    </row>
    <row r="37" spans="1:18" x14ac:dyDescent="0.25">
      <c r="A37" s="7">
        <v>14</v>
      </c>
      <c r="B37" s="1">
        <f t="shared" si="2"/>
        <v>156250</v>
      </c>
      <c r="C37" s="1">
        <f t="shared" si="3"/>
        <v>16406.25</v>
      </c>
      <c r="D37" s="1">
        <f t="shared" si="4"/>
        <v>172656.25</v>
      </c>
      <c r="E37" s="1">
        <f t="shared" si="5"/>
        <v>312500</v>
      </c>
      <c r="O37" s="7">
        <v>14</v>
      </c>
      <c r="P37" s="1">
        <f>P16*P19</f>
        <v>3140000</v>
      </c>
      <c r="Q37" s="1">
        <f>$P$20*$P$16</f>
        <v>85000</v>
      </c>
      <c r="R37" s="1">
        <f t="shared" si="7"/>
        <v>3225000</v>
      </c>
    </row>
    <row r="38" spans="1:18" x14ac:dyDescent="0.25">
      <c r="A38" s="7">
        <v>15</v>
      </c>
      <c r="B38" s="1">
        <f t="shared" si="2"/>
        <v>156250</v>
      </c>
      <c r="C38" s="1">
        <f t="shared" si="3"/>
        <v>10937.500000000002</v>
      </c>
      <c r="D38" s="1">
        <f t="shared" si="4"/>
        <v>167187.5</v>
      </c>
      <c r="E38" s="1">
        <f t="shared" si="5"/>
        <v>156250</v>
      </c>
    </row>
    <row r="39" spans="1:18" x14ac:dyDescent="0.25">
      <c r="A39" s="7">
        <v>16</v>
      </c>
      <c r="B39" s="1">
        <f t="shared" si="2"/>
        <v>156250</v>
      </c>
      <c r="C39" s="1">
        <f t="shared" si="3"/>
        <v>5468.7500000000009</v>
      </c>
      <c r="D39" s="1">
        <f t="shared" si="4"/>
        <v>161718.75</v>
      </c>
      <c r="E39" s="1">
        <f t="shared" si="5"/>
        <v>0</v>
      </c>
      <c r="H39" s="1" t="s">
        <v>29</v>
      </c>
      <c r="I39" s="1">
        <f>NPV(B13/E14,I23:I34)+I22</f>
        <v>34139.640578918857</v>
      </c>
    </row>
    <row r="40" spans="1:18" x14ac:dyDescent="0.25">
      <c r="H40" s="1" t="s">
        <v>30</v>
      </c>
      <c r="I40" s="8">
        <f>IRR(I22:I34)*E14</f>
        <v>0.12562009508129002</v>
      </c>
      <c r="P40" s="1" t="s">
        <v>29</v>
      </c>
      <c r="Q40" s="1">
        <f>NPV(B13/E14,R24:R37)+R23</f>
        <v>36076.127117709257</v>
      </c>
    </row>
    <row r="41" spans="1:18" x14ac:dyDescent="0.25">
      <c r="H41" s="1" t="s">
        <v>31</v>
      </c>
      <c r="I41" s="1">
        <f>-PMT(B13/E14,G34,I39)</f>
        <v>3429.7394898555826</v>
      </c>
      <c r="P41" s="1" t="s">
        <v>30</v>
      </c>
      <c r="Q41" s="8">
        <f>IRR(R23:R37)*E14</f>
        <v>0.12418109717529369</v>
      </c>
    </row>
    <row r="42" spans="1:18" x14ac:dyDescent="0.25">
      <c r="B42" s="1" t="s">
        <v>29</v>
      </c>
      <c r="C42" s="1">
        <f>NPV(B13/E14,D24:D39)+D23</f>
        <v>39554.634739682078</v>
      </c>
      <c r="P42" s="1" t="s">
        <v>31</v>
      </c>
      <c r="Q42" s="1">
        <f>-PMT(B13/E14,O37,Q40)</f>
        <v>3193.6874586925151</v>
      </c>
    </row>
    <row r="43" spans="1:18" x14ac:dyDescent="0.25">
      <c r="B43" s="1" t="s">
        <v>30</v>
      </c>
      <c r="C43" s="8">
        <f>IRR(D23:D39)*E14</f>
        <v>0.12870194308605765</v>
      </c>
    </row>
    <row r="44" spans="1:18" x14ac:dyDescent="0.25">
      <c r="B44" s="1" t="s">
        <v>31</v>
      </c>
      <c r="C44" s="1">
        <f>-PMT(B13/E14,A31,C42)</f>
        <v>5634.8104263955729</v>
      </c>
    </row>
    <row r="48" spans="1:18" x14ac:dyDescent="0.25">
      <c r="O48" s="4" t="s">
        <v>45</v>
      </c>
      <c r="P48" s="10">
        <f>MIRR(R23:R37,B13/E14,B13/E14)</f>
        <v>3.0879822322398276E-2</v>
      </c>
    </row>
    <row r="50" spans="1:6" x14ac:dyDescent="0.25">
      <c r="A50" s="1" t="s">
        <v>36</v>
      </c>
    </row>
    <row r="52" spans="1:6" x14ac:dyDescent="0.25">
      <c r="E52" s="1" t="s">
        <v>39</v>
      </c>
    </row>
    <row r="53" spans="1:6" x14ac:dyDescent="0.25">
      <c r="B53" s="1" t="s">
        <v>37</v>
      </c>
      <c r="C53" s="1" t="s">
        <v>30</v>
      </c>
      <c r="D53" s="3">
        <f>C43</f>
        <v>0.12870194308605765</v>
      </c>
      <c r="E53" s="1">
        <f>$B$13</f>
        <v>0.12</v>
      </c>
      <c r="F53" s="1" t="str">
        <f>IF(D53&gt;=E53,"Se puede realizar "&amp;B53, "No se puede realizar este por tir &lt; cto de oportunidad")</f>
        <v>Se puede realizar BONO</v>
      </c>
    </row>
    <row r="54" spans="1:6" x14ac:dyDescent="0.25">
      <c r="B54" s="1" t="s">
        <v>38</v>
      </c>
      <c r="C54" s="1" t="s">
        <v>30</v>
      </c>
      <c r="D54" s="3">
        <f>I40</f>
        <v>0.12562009508129002</v>
      </c>
      <c r="E54" s="1">
        <f t="shared" ref="E54:E56" si="8">$B$13</f>
        <v>0.12</v>
      </c>
      <c r="F54" s="1" t="str">
        <f t="shared" ref="F54:F56" si="9">IF(D54&gt;=E54,"Se puede realizar "&amp;B54, "No se puede realizar este por tir &lt; cto de oportunidad")</f>
        <v>Se puede realizar CERO CUPON</v>
      </c>
    </row>
    <row r="55" spans="1:6" x14ac:dyDescent="0.25">
      <c r="B55" s="1" t="s">
        <v>13</v>
      </c>
      <c r="C55" s="1" t="s">
        <v>30</v>
      </c>
      <c r="D55" s="3">
        <f>M27</f>
        <v>-0.70765864920502741</v>
      </c>
      <c r="E55" s="1">
        <f t="shared" si="8"/>
        <v>0.12</v>
      </c>
      <c r="F55" s="1" t="str">
        <f t="shared" si="9"/>
        <v>No se puede realizar este por tir &lt; cto de oportunidad</v>
      </c>
    </row>
    <row r="56" spans="1:6" x14ac:dyDescent="0.25">
      <c r="B56" s="1" t="s">
        <v>17</v>
      </c>
      <c r="C56" s="1" t="s">
        <v>30</v>
      </c>
      <c r="D56" s="1">
        <f>Q41</f>
        <v>0.12418109717529369</v>
      </c>
      <c r="E56" s="1">
        <f t="shared" si="8"/>
        <v>0.12</v>
      </c>
      <c r="F56" s="1" t="str">
        <f t="shared" si="9"/>
        <v>Se puede realizar ACCIONES</v>
      </c>
    </row>
    <row r="62" spans="1:6" x14ac:dyDescent="0.25">
      <c r="A62" s="1" t="s">
        <v>40</v>
      </c>
    </row>
    <row r="63" spans="1:6" x14ac:dyDescent="0.25">
      <c r="A63" s="1" t="s">
        <v>50</v>
      </c>
    </row>
    <row r="64" spans="1:6" x14ac:dyDescent="0.25">
      <c r="E64" s="1" t="s">
        <v>39</v>
      </c>
      <c r="F64" s="1" t="s">
        <v>41</v>
      </c>
    </row>
    <row r="65" spans="2:8" x14ac:dyDescent="0.25">
      <c r="B65" s="1" t="s">
        <v>37</v>
      </c>
      <c r="C65" s="1" t="s">
        <v>30</v>
      </c>
      <c r="D65" s="3">
        <f>D53</f>
        <v>0.12870194308605765</v>
      </c>
      <c r="E65" s="1">
        <f>$B$13</f>
        <v>0.12</v>
      </c>
      <c r="F65" s="9">
        <f>C44</f>
        <v>5634.8104263955729</v>
      </c>
      <c r="G65" s="1">
        <f>IF(D65&gt;=E65,1,0)</f>
        <v>1</v>
      </c>
      <c r="H65" s="4" t="str">
        <f>IF(G65=1,IF(MAX($F$65:$F$68)=F65,"REALIZAR "&amp;B65,"NO REALIZAR "&amp;B65),"NISIQUIERA CUBRE COSTO DE OPORTUNIDAD ENTONCES NO TOMAR EN CUENTA")</f>
        <v>REALIZAR BONO</v>
      </c>
    </row>
    <row r="66" spans="2:8" x14ac:dyDescent="0.25">
      <c r="B66" s="1" t="s">
        <v>38</v>
      </c>
      <c r="C66" s="1" t="s">
        <v>30</v>
      </c>
      <c r="D66" s="3">
        <f>D54</f>
        <v>0.12562009508129002</v>
      </c>
      <c r="E66" s="1">
        <f t="shared" ref="E66:E68" si="10">$B$13</f>
        <v>0.12</v>
      </c>
      <c r="F66" s="9">
        <f>I41</f>
        <v>3429.7394898555826</v>
      </c>
      <c r="G66" s="1">
        <f t="shared" ref="G66:G68" si="11">IF(D66&gt;=E66,1,0)</f>
        <v>1</v>
      </c>
      <c r="H66" s="1" t="str">
        <f>IF(G66=1,IF(MAX($F$65:$F$68)=F66,"REALIZAR "&amp;B66,"NO REALIZAR "&amp;B66),"NISIQUIERA CUBRE COSTO DE OPORTUNIDAD ENTONCES NO TOMAR EN CUENTA")</f>
        <v>NO REALIZAR CERO CUPON</v>
      </c>
    </row>
    <row r="67" spans="2:8" x14ac:dyDescent="0.25">
      <c r="B67" s="1" t="s">
        <v>13</v>
      </c>
      <c r="C67" s="1" t="s">
        <v>30</v>
      </c>
      <c r="D67" s="3">
        <f t="shared" ref="D67:D68" si="12">D55</f>
        <v>-0.70765864920502741</v>
      </c>
      <c r="E67" s="1">
        <f t="shared" si="10"/>
        <v>0.12</v>
      </c>
      <c r="F67" s="9">
        <f>M28</f>
        <v>-1080721.2279288892</v>
      </c>
      <c r="G67" s="1">
        <f t="shared" si="11"/>
        <v>0</v>
      </c>
      <c r="H67" s="1" t="str">
        <f>IF(G67=1,IF(MAX($F$65:$F$68)=F67,"REALIZAR "&amp;B67,"NO REALIZAR "&amp;B67),"NISIQUIERA CUBRE COSTO DE OPORTUNIDAD ENTONCES NO TOMAR EN CUENTA")</f>
        <v>NISIQUIERA CUBRE COSTO DE OPORTUNIDAD ENTONCES NO TOMAR EN CUENTA</v>
      </c>
    </row>
    <row r="68" spans="2:8" x14ac:dyDescent="0.25">
      <c r="B68" s="1" t="s">
        <v>17</v>
      </c>
      <c r="C68" s="1" t="s">
        <v>30</v>
      </c>
      <c r="D68" s="3">
        <f t="shared" si="12"/>
        <v>0.12418109717529369</v>
      </c>
      <c r="E68" s="1">
        <f t="shared" si="10"/>
        <v>0.12</v>
      </c>
      <c r="F68" s="9">
        <f>Q42</f>
        <v>3193.6874586925151</v>
      </c>
      <c r="G68" s="1">
        <f t="shared" si="11"/>
        <v>1</v>
      </c>
      <c r="H68" s="1" t="str">
        <f>IF(G68=1,IF(MAX($F$65:$F$68)=F68,"REALIZAR "&amp;B68,"NO REALIZAR "&amp;B68),"NISIQUIERA CUBRE COSTO DE OPORTUNIDAD ENTONCES NO TOMAR EN CUENTA")</f>
        <v>NO REALIZAR ACCIONES</v>
      </c>
    </row>
    <row r="74" spans="2:8" x14ac:dyDescent="0.25">
      <c r="B74" s="1" t="s">
        <v>42</v>
      </c>
    </row>
    <row r="75" spans="2:8" x14ac:dyDescent="0.25">
      <c r="B75" s="1" t="str">
        <f>A22</f>
        <v>TRIMESTRES</v>
      </c>
      <c r="C75" s="1" t="str">
        <f>D22</f>
        <v>FC</v>
      </c>
    </row>
    <row r="76" spans="2:8" x14ac:dyDescent="0.25">
      <c r="B76" s="1">
        <f t="shared" ref="B76:B92" si="13">A23</f>
        <v>0</v>
      </c>
      <c r="C76" s="1">
        <f t="shared" ref="C76:C92" si="14">D23</f>
        <v>-2550000</v>
      </c>
      <c r="D76" s="1">
        <f>-PV($B$13/$E$14,B76,0,C76)</f>
        <v>-2550000</v>
      </c>
    </row>
    <row r="77" spans="2:8" x14ac:dyDescent="0.25">
      <c r="B77" s="1">
        <f t="shared" si="13"/>
        <v>1</v>
      </c>
      <c r="C77" s="1">
        <f t="shared" si="14"/>
        <v>243750</v>
      </c>
      <c r="D77" s="1">
        <f t="shared" ref="D77:D91" si="15">-PV($B$13/$E$14,B77,0,C77)</f>
        <v>236650.48543689318</v>
      </c>
      <c r="E77" s="1">
        <f>D76+D77</f>
        <v>-2313349.5145631069</v>
      </c>
    </row>
    <row r="78" spans="2:8" x14ac:dyDescent="0.25">
      <c r="B78" s="1">
        <f t="shared" si="13"/>
        <v>2</v>
      </c>
      <c r="C78" s="1">
        <f t="shared" si="14"/>
        <v>238281.25</v>
      </c>
      <c r="D78" s="1">
        <f t="shared" si="15"/>
        <v>224602.93147327742</v>
      </c>
      <c r="E78" s="1">
        <f>E77+D78</f>
        <v>-2088746.5830898294</v>
      </c>
    </row>
    <row r="79" spans="2:8" x14ac:dyDescent="0.25">
      <c r="B79" s="1">
        <f t="shared" si="13"/>
        <v>3</v>
      </c>
      <c r="C79" s="1">
        <f t="shared" si="14"/>
        <v>232812.5</v>
      </c>
      <c r="D79" s="1">
        <f t="shared" si="15"/>
        <v>213056.41756815746</v>
      </c>
      <c r="E79" s="1">
        <f t="shared" ref="E79:E92" si="16">E78+D79</f>
        <v>-1875690.165521672</v>
      </c>
    </row>
    <row r="80" spans="2:8" x14ac:dyDescent="0.25">
      <c r="B80" s="1">
        <f t="shared" si="13"/>
        <v>4</v>
      </c>
      <c r="C80" s="1">
        <f t="shared" si="14"/>
        <v>227343.75</v>
      </c>
      <c r="D80" s="1">
        <f t="shared" si="15"/>
        <v>201991.97729958242</v>
      </c>
      <c r="E80" s="1">
        <f t="shared" si="16"/>
        <v>-1673698.1882220895</v>
      </c>
    </row>
    <row r="81" spans="2:5" x14ac:dyDescent="0.25">
      <c r="B81" s="1">
        <f t="shared" si="13"/>
        <v>5</v>
      </c>
      <c r="C81" s="1">
        <f t="shared" si="14"/>
        <v>221875</v>
      </c>
      <c r="D81" s="1">
        <f t="shared" si="15"/>
        <v>191391.32403523641</v>
      </c>
      <c r="E81" s="1">
        <f t="shared" si="16"/>
        <v>-1482306.8641868532</v>
      </c>
    </row>
    <row r="82" spans="2:5" x14ac:dyDescent="0.25">
      <c r="B82" s="1">
        <f t="shared" si="13"/>
        <v>6</v>
      </c>
      <c r="C82" s="1">
        <f t="shared" si="14"/>
        <v>216406.25</v>
      </c>
      <c r="D82" s="1">
        <f t="shared" si="15"/>
        <v>181236.8274229471</v>
      </c>
      <c r="E82" s="1">
        <f t="shared" si="16"/>
        <v>-1301070.036763906</v>
      </c>
    </row>
    <row r="83" spans="2:5" x14ac:dyDescent="0.25">
      <c r="B83" s="1">
        <f t="shared" si="13"/>
        <v>7</v>
      </c>
      <c r="C83" s="1">
        <f t="shared" si="14"/>
        <v>210937.5</v>
      </c>
      <c r="D83" s="1">
        <f t="shared" si="15"/>
        <v>171511.49067398868</v>
      </c>
      <c r="E83" s="1">
        <f t="shared" si="16"/>
        <v>-1129558.5460899174</v>
      </c>
    </row>
    <row r="84" spans="2:5" x14ac:dyDescent="0.25">
      <c r="B84" s="1">
        <f t="shared" si="13"/>
        <v>8</v>
      </c>
      <c r="C84" s="1">
        <f t="shared" si="14"/>
        <v>205468.75</v>
      </c>
      <c r="D84" s="1">
        <f t="shared" si="15"/>
        <v>162198.9286129415</v>
      </c>
      <c r="E84" s="1">
        <f t="shared" si="16"/>
        <v>-967359.61747697589</v>
      </c>
    </row>
    <row r="85" spans="2:5" x14ac:dyDescent="0.25">
      <c r="B85" s="1">
        <f t="shared" si="13"/>
        <v>9</v>
      </c>
      <c r="C85" s="1">
        <f t="shared" si="14"/>
        <v>200000</v>
      </c>
      <c r="D85" s="1">
        <f t="shared" si="15"/>
        <v>153283.34646872539</v>
      </c>
      <c r="E85" s="1">
        <f t="shared" si="16"/>
        <v>-814076.27100825054</v>
      </c>
    </row>
    <row r="86" spans="2:5" x14ac:dyDescent="0.25">
      <c r="B86" s="1">
        <f t="shared" si="13"/>
        <v>10</v>
      </c>
      <c r="C86" s="1">
        <f t="shared" si="14"/>
        <v>194531.25</v>
      </c>
      <c r="D86" s="1">
        <f t="shared" si="15"/>
        <v>144749.51938225358</v>
      </c>
      <c r="E86" s="1">
        <f t="shared" si="16"/>
        <v>-669326.75162599701</v>
      </c>
    </row>
    <row r="87" spans="2:5" x14ac:dyDescent="0.25">
      <c r="B87" s="1">
        <f t="shared" si="13"/>
        <v>11</v>
      </c>
      <c r="C87" s="1">
        <f t="shared" si="14"/>
        <v>189062.5</v>
      </c>
      <c r="D87" s="1">
        <f t="shared" si="15"/>
        <v>136582.77260695348</v>
      </c>
      <c r="E87" s="1">
        <f t="shared" si="16"/>
        <v>-532743.9790190435</v>
      </c>
    </row>
    <row r="88" spans="2:5" x14ac:dyDescent="0.25">
      <c r="B88" s="1">
        <f t="shared" si="13"/>
        <v>12</v>
      </c>
      <c r="C88" s="1">
        <f t="shared" si="14"/>
        <v>183593.75</v>
      </c>
      <c r="D88" s="1">
        <f t="shared" si="15"/>
        <v>128768.96237917867</v>
      </c>
      <c r="E88" s="1">
        <f t="shared" si="16"/>
        <v>-403975.01663986483</v>
      </c>
    </row>
    <row r="89" spans="2:5" x14ac:dyDescent="0.25">
      <c r="B89" s="1">
        <f t="shared" si="13"/>
        <v>13</v>
      </c>
      <c r="C89" s="1">
        <f t="shared" si="14"/>
        <v>178125</v>
      </c>
      <c r="D89" s="1">
        <f t="shared" si="15"/>
        <v>121294.45743628482</v>
      </c>
      <c r="E89" s="1">
        <f t="shared" si="16"/>
        <v>-282680.55920358002</v>
      </c>
    </row>
    <row r="90" spans="2:5" x14ac:dyDescent="0.25">
      <c r="B90" s="1">
        <f t="shared" si="13"/>
        <v>14</v>
      </c>
      <c r="C90" s="1">
        <f t="shared" si="14"/>
        <v>172656.25</v>
      </c>
      <c r="D90" s="1">
        <f t="shared" si="15"/>
        <v>114146.12116087099</v>
      </c>
      <c r="E90" s="1">
        <f t="shared" si="16"/>
        <v>-168534.43804270902</v>
      </c>
    </row>
    <row r="91" spans="2:5" x14ac:dyDescent="0.25">
      <c r="B91" s="1">
        <f>A38</f>
        <v>15</v>
      </c>
      <c r="C91" s="1">
        <f t="shared" si="14"/>
        <v>167187.5</v>
      </c>
      <c r="D91" s="1">
        <f t="shared" si="15"/>
        <v>107311.29433038874</v>
      </c>
      <c r="E91" s="1">
        <f t="shared" si="16"/>
        <v>-61223.143712320278</v>
      </c>
    </row>
    <row r="92" spans="2:5" x14ac:dyDescent="0.25">
      <c r="B92" s="1">
        <f t="shared" si="13"/>
        <v>16</v>
      </c>
      <c r="C92" s="1">
        <f t="shared" si="14"/>
        <v>161718.75</v>
      </c>
      <c r="D92" s="1">
        <f>-PV($B$13/$E$14,B92,0,C92)</f>
        <v>100777.77845200287</v>
      </c>
      <c r="E92" s="1">
        <f>-E91/D92</f>
        <v>0.60750638337874097</v>
      </c>
    </row>
    <row r="94" spans="2:5" x14ac:dyDescent="0.25">
      <c r="C94" s="4" t="s">
        <v>43</v>
      </c>
      <c r="D94" s="4">
        <f>B91+E92</f>
        <v>15.607506383378741</v>
      </c>
    </row>
    <row r="95" spans="2:5" x14ac:dyDescent="0.25">
      <c r="C95" s="4" t="s">
        <v>44</v>
      </c>
      <c r="D95" s="4">
        <f>D94*E14</f>
        <v>62.430025533514964</v>
      </c>
    </row>
    <row r="101" spans="1:4" x14ac:dyDescent="0.25">
      <c r="A101" s="1" t="s">
        <v>46</v>
      </c>
      <c r="B101" s="1" t="s">
        <v>38</v>
      </c>
      <c r="C101" s="1" t="s">
        <v>17</v>
      </c>
    </row>
    <row r="102" spans="1:4" x14ac:dyDescent="0.25">
      <c r="A102" s="1" t="str">
        <f>G21</f>
        <v>TRIMESTRES</v>
      </c>
      <c r="B102" s="1" t="str">
        <f>I21</f>
        <v>FC</v>
      </c>
      <c r="C102" s="1" t="str">
        <f>R22</f>
        <v>FC</v>
      </c>
    </row>
    <row r="103" spans="1:4" x14ac:dyDescent="0.25">
      <c r="A103" s="1">
        <f t="shared" ref="A103:A116" si="17">G22</f>
        <v>0</v>
      </c>
      <c r="B103" s="1">
        <f t="shared" ref="B103:B117" si="18">I22</f>
        <v>-2069999.9999999998</v>
      </c>
      <c r="C103" s="1">
        <f t="shared" ref="C103:C117" si="19">R23</f>
        <v>-3000000</v>
      </c>
      <c r="D103" s="1">
        <f>B103-C103</f>
        <v>930000.00000000023</v>
      </c>
    </row>
    <row r="104" spans="1:4" x14ac:dyDescent="0.25">
      <c r="A104" s="1">
        <f t="shared" si="17"/>
        <v>1</v>
      </c>
      <c r="B104" s="1">
        <f t="shared" si="18"/>
        <v>0</v>
      </c>
      <c r="C104" s="1">
        <f t="shared" si="19"/>
        <v>85000</v>
      </c>
      <c r="D104" s="1">
        <f t="shared" ref="D104:D117" si="20">B104-C104</f>
        <v>-85000</v>
      </c>
    </row>
    <row r="105" spans="1:4" x14ac:dyDescent="0.25">
      <c r="A105" s="1">
        <f t="shared" si="17"/>
        <v>2</v>
      </c>
      <c r="B105" s="1">
        <f t="shared" si="18"/>
        <v>0</v>
      </c>
      <c r="C105" s="1">
        <f t="shared" si="19"/>
        <v>85000</v>
      </c>
      <c r="D105" s="1">
        <f t="shared" si="20"/>
        <v>-85000</v>
      </c>
    </row>
    <row r="106" spans="1:4" x14ac:dyDescent="0.25">
      <c r="A106" s="1">
        <f t="shared" si="17"/>
        <v>3</v>
      </c>
      <c r="B106" s="1">
        <f t="shared" si="18"/>
        <v>0</v>
      </c>
      <c r="C106" s="1">
        <f t="shared" si="19"/>
        <v>85000</v>
      </c>
      <c r="D106" s="1">
        <f t="shared" si="20"/>
        <v>-85000</v>
      </c>
    </row>
    <row r="107" spans="1:4" x14ac:dyDescent="0.25">
      <c r="A107" s="1">
        <f t="shared" si="17"/>
        <v>4</v>
      </c>
      <c r="B107" s="1">
        <f t="shared" si="18"/>
        <v>0</v>
      </c>
      <c r="C107" s="1">
        <f t="shared" si="19"/>
        <v>85000</v>
      </c>
      <c r="D107" s="1">
        <f t="shared" si="20"/>
        <v>-85000</v>
      </c>
    </row>
    <row r="108" spans="1:4" x14ac:dyDescent="0.25">
      <c r="A108" s="1">
        <f t="shared" si="17"/>
        <v>5</v>
      </c>
      <c r="B108" s="1">
        <f t="shared" si="18"/>
        <v>0</v>
      </c>
      <c r="C108" s="1">
        <f t="shared" si="19"/>
        <v>85000</v>
      </c>
      <c r="D108" s="1">
        <f t="shared" si="20"/>
        <v>-85000</v>
      </c>
    </row>
    <row r="109" spans="1:4" x14ac:dyDescent="0.25">
      <c r="A109" s="1">
        <f t="shared" si="17"/>
        <v>6</v>
      </c>
      <c r="B109" s="1">
        <f t="shared" si="18"/>
        <v>0</v>
      </c>
      <c r="C109" s="1">
        <f t="shared" si="19"/>
        <v>85000</v>
      </c>
      <c r="D109" s="1">
        <f t="shared" si="20"/>
        <v>-85000</v>
      </c>
    </row>
    <row r="110" spans="1:4" x14ac:dyDescent="0.25">
      <c r="A110" s="1">
        <f t="shared" si="17"/>
        <v>7</v>
      </c>
      <c r="B110" s="1">
        <f t="shared" si="18"/>
        <v>0</v>
      </c>
      <c r="C110" s="1">
        <f t="shared" si="19"/>
        <v>85000</v>
      </c>
      <c r="D110" s="1">
        <f t="shared" si="20"/>
        <v>-85000</v>
      </c>
    </row>
    <row r="111" spans="1:4" x14ac:dyDescent="0.25">
      <c r="A111" s="1">
        <f t="shared" si="17"/>
        <v>8</v>
      </c>
      <c r="B111" s="1">
        <f t="shared" si="18"/>
        <v>0</v>
      </c>
      <c r="C111" s="1">
        <f t="shared" si="19"/>
        <v>85000</v>
      </c>
      <c r="D111" s="1">
        <f t="shared" si="20"/>
        <v>-85000</v>
      </c>
    </row>
    <row r="112" spans="1:4" x14ac:dyDescent="0.25">
      <c r="A112" s="1">
        <f t="shared" si="17"/>
        <v>9</v>
      </c>
      <c r="B112" s="1">
        <f t="shared" si="18"/>
        <v>0</v>
      </c>
      <c r="C112" s="1">
        <f t="shared" si="19"/>
        <v>85000</v>
      </c>
      <c r="D112" s="1">
        <f t="shared" si="20"/>
        <v>-85000</v>
      </c>
    </row>
    <row r="113" spans="1:5" x14ac:dyDescent="0.25">
      <c r="A113" s="1">
        <f t="shared" si="17"/>
        <v>10</v>
      </c>
      <c r="B113" s="1">
        <f t="shared" si="18"/>
        <v>0</v>
      </c>
      <c r="C113" s="1">
        <f t="shared" si="19"/>
        <v>85000</v>
      </c>
      <c r="D113" s="1">
        <f t="shared" si="20"/>
        <v>-85000</v>
      </c>
    </row>
    <row r="114" spans="1:5" x14ac:dyDescent="0.25">
      <c r="A114" s="1">
        <f t="shared" si="17"/>
        <v>11</v>
      </c>
      <c r="B114" s="1">
        <f t="shared" si="18"/>
        <v>0</v>
      </c>
      <c r="C114" s="1">
        <f t="shared" si="19"/>
        <v>85000</v>
      </c>
      <c r="D114" s="1">
        <f t="shared" si="20"/>
        <v>-85000</v>
      </c>
    </row>
    <row r="115" spans="1:5" x14ac:dyDescent="0.25">
      <c r="A115" s="1">
        <f>G34</f>
        <v>12</v>
      </c>
      <c r="B115" s="1">
        <f t="shared" si="18"/>
        <v>3000000</v>
      </c>
      <c r="C115" s="1">
        <f t="shared" si="19"/>
        <v>85000</v>
      </c>
      <c r="D115" s="1">
        <f t="shared" si="20"/>
        <v>2915000</v>
      </c>
    </row>
    <row r="116" spans="1:5" x14ac:dyDescent="0.25">
      <c r="A116" s="1">
        <v>13</v>
      </c>
      <c r="B116" s="1">
        <f t="shared" si="18"/>
        <v>0</v>
      </c>
      <c r="C116" s="1">
        <f t="shared" si="19"/>
        <v>85000</v>
      </c>
      <c r="D116" s="1">
        <f t="shared" si="20"/>
        <v>-85000</v>
      </c>
    </row>
    <row r="117" spans="1:5" x14ac:dyDescent="0.25">
      <c r="A117" s="1">
        <v>14</v>
      </c>
      <c r="B117" s="1">
        <f t="shared" si="18"/>
        <v>0</v>
      </c>
      <c r="C117" s="1">
        <f t="shared" si="19"/>
        <v>3225000</v>
      </c>
      <c r="D117" s="1">
        <f t="shared" si="20"/>
        <v>-3225000</v>
      </c>
    </row>
    <row r="119" spans="1:5" x14ac:dyDescent="0.25">
      <c r="C119" s="1" t="s">
        <v>30</v>
      </c>
      <c r="D119" s="1" t="s">
        <v>47</v>
      </c>
      <c r="E119" s="1" t="s">
        <v>49</v>
      </c>
    </row>
    <row r="120" spans="1:5" x14ac:dyDescent="0.25">
      <c r="C120" s="4" t="s">
        <v>48</v>
      </c>
      <c r="D120" s="10">
        <f>MIRR(D103:D117,B13/E14,B13/E14)</f>
        <v>2.995211990420743E-2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DAVIDCORZO</dc:creator>
  <cp:lastModifiedBy>DAVID CORZO</cp:lastModifiedBy>
  <dcterms:created xsi:type="dcterms:W3CDTF">2015-06-05T18:17:20Z</dcterms:created>
  <dcterms:modified xsi:type="dcterms:W3CDTF">2021-02-09T17:09:54Z</dcterms:modified>
</cp:coreProperties>
</file>