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ejercicios\"/>
    </mc:Choice>
  </mc:AlternateContent>
  <xr:revisionPtr revIDLastSave="0" documentId="13_ncr:1_{222234E9-1754-4F35-942B-696BC3943EB0}" xr6:coauthVersionLast="46" xr6:coauthVersionMax="46" xr10:uidLastSave="{00000000-0000-0000-0000-000000000000}"/>
  <bookViews>
    <workbookView xWindow="3840" yWindow="1290" windowWidth="21600" windowHeight="11385" firstSheet="1" activeTab="3" xr2:uid="{00000000-000D-0000-FFFF-FFFF00000000}"/>
  </bookViews>
  <sheets>
    <sheet name="CCA" sheetId="1" r:id="rId1"/>
    <sheet name="Mariposa" sheetId="2" r:id="rId2"/>
    <sheet name="Inversiones diversas" sheetId="3" r:id="rId3"/>
    <sheet name="Opciones increi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D72" i="4"/>
  <c r="D73" i="4"/>
  <c r="D74" i="4"/>
  <c r="D71" i="4"/>
  <c r="C72" i="4"/>
  <c r="C73" i="4"/>
  <c r="C74" i="4"/>
  <c r="C71" i="4"/>
  <c r="B74" i="4"/>
  <c r="D48" i="4"/>
  <c r="D49" i="4"/>
  <c r="D50" i="4"/>
  <c r="D51" i="4"/>
  <c r="D52" i="4"/>
  <c r="D53" i="4"/>
  <c r="D54" i="4"/>
  <c r="D55" i="4"/>
  <c r="D56" i="4"/>
  <c r="D57" i="4"/>
  <c r="D58" i="4"/>
  <c r="E46" i="4"/>
  <c r="D46" i="4"/>
  <c r="C60" i="4"/>
  <c r="E48" i="4"/>
  <c r="E49" i="4"/>
  <c r="E50" i="4"/>
  <c r="E51" i="4"/>
  <c r="E52" i="4"/>
  <c r="E53" i="4"/>
  <c r="E54" i="4"/>
  <c r="E55" i="4"/>
  <c r="E56" i="4"/>
  <c r="E57" i="4"/>
  <c r="E58" i="4"/>
  <c r="E47" i="4"/>
  <c r="C48" i="4"/>
  <c r="C49" i="4"/>
  <c r="C50" i="4"/>
  <c r="C51" i="4"/>
  <c r="C52" i="4"/>
  <c r="C53" i="4"/>
  <c r="C54" i="4"/>
  <c r="C55" i="4"/>
  <c r="C56" i="4"/>
  <c r="C57" i="4"/>
  <c r="D47" i="4"/>
  <c r="B47" i="4"/>
  <c r="B48" i="4"/>
  <c r="B49" i="4"/>
  <c r="B50" i="4"/>
  <c r="B51" i="4"/>
  <c r="B52" i="4"/>
  <c r="B53" i="4"/>
  <c r="B54" i="4"/>
  <c r="B55" i="4"/>
  <c r="B56" i="4"/>
  <c r="B57" i="4"/>
  <c r="B58" i="4"/>
  <c r="C47" i="4"/>
  <c r="C58" i="4"/>
  <c r="A46" i="4"/>
  <c r="C11" i="4"/>
  <c r="C35" i="4" s="1"/>
  <c r="C12" i="4"/>
  <c r="D12" i="4" s="1"/>
  <c r="D36" i="4" s="1"/>
  <c r="C13" i="4"/>
  <c r="C37" i="4" s="1"/>
  <c r="C14" i="4"/>
  <c r="C38" i="4" s="1"/>
  <c r="C15" i="4"/>
  <c r="C16" i="4"/>
  <c r="C17" i="4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C10" i="4"/>
  <c r="E33" i="4"/>
  <c r="E35" i="4"/>
  <c r="C36" i="4"/>
  <c r="E36" i="4"/>
  <c r="E37" i="4"/>
  <c r="E38" i="4"/>
  <c r="C39" i="4"/>
  <c r="E39" i="4"/>
  <c r="E34" i="4"/>
  <c r="C33" i="4"/>
  <c r="C34" i="4"/>
  <c r="B34" i="4"/>
  <c r="B35" i="4"/>
  <c r="B36" i="4"/>
  <c r="B37" i="4"/>
  <c r="B38" i="4"/>
  <c r="B39" i="4"/>
  <c r="B33" i="4"/>
  <c r="D15" i="4"/>
  <c r="D39" i="4" s="1"/>
  <c r="D27" i="4"/>
  <c r="B45" i="4"/>
  <c r="C45" i="4"/>
  <c r="D45" i="4"/>
  <c r="E45" i="4"/>
  <c r="A45" i="4"/>
  <c r="D9" i="4"/>
  <c r="D16" i="4"/>
  <c r="D17" i="4"/>
  <c r="D18" i="4"/>
  <c r="D10" i="4"/>
  <c r="D34" i="4" s="1"/>
  <c r="B27" i="4"/>
  <c r="B24" i="4"/>
  <c r="B21" i="4"/>
  <c r="B18" i="4"/>
  <c r="B15" i="4"/>
  <c r="B12" i="4"/>
  <c r="E11" i="4"/>
  <c r="E12" i="4" s="1"/>
  <c r="E13" i="4" s="1"/>
  <c r="E14" i="4" s="1"/>
  <c r="E10" i="4"/>
  <c r="E9" i="4"/>
  <c r="B95" i="3"/>
  <c r="B97" i="3"/>
  <c r="B85" i="3"/>
  <c r="B86" i="3"/>
  <c r="B87" i="3"/>
  <c r="B88" i="3"/>
  <c r="B89" i="3"/>
  <c r="B90" i="3"/>
  <c r="B91" i="3"/>
  <c r="B92" i="3"/>
  <c r="B93" i="3"/>
  <c r="B94" i="3"/>
  <c r="B84" i="3"/>
  <c r="B83" i="3"/>
  <c r="D11" i="4" l="1"/>
  <c r="D35" i="4" s="1"/>
  <c r="D14" i="4"/>
  <c r="D38" i="4" s="1"/>
  <c r="D13" i="4"/>
  <c r="D37" i="4" s="1"/>
  <c r="C41" i="4"/>
  <c r="C29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C72" i="3"/>
  <c r="C71" i="3"/>
  <c r="E54" i="3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53" i="3"/>
  <c r="E52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53" i="3"/>
  <c r="B68" i="3"/>
  <c r="C43" i="3"/>
  <c r="D37" i="3"/>
  <c r="B36" i="3"/>
  <c r="C36" i="3"/>
  <c r="D36" i="3"/>
  <c r="E36" i="3"/>
  <c r="A36" i="3"/>
  <c r="B31" i="3"/>
  <c r="D23" i="3"/>
  <c r="D31" i="3" s="1"/>
  <c r="C33" i="3" s="1"/>
  <c r="D20" i="3"/>
  <c r="D8" i="3" s="1"/>
  <c r="B18" i="3"/>
  <c r="B16" i="3"/>
  <c r="B14" i="3"/>
  <c r="B12" i="3"/>
  <c r="B10" i="3"/>
  <c r="E9" i="3"/>
  <c r="C10" i="3" s="1"/>
  <c r="D10" i="3" s="1"/>
  <c r="E8" i="3"/>
  <c r="C9" i="3"/>
  <c r="D9" i="3" s="1"/>
  <c r="C47" i="2"/>
  <c r="D43" i="2"/>
  <c r="B42" i="2"/>
  <c r="C42" i="2"/>
  <c r="D42" i="2"/>
  <c r="E42" i="2"/>
  <c r="A42" i="2"/>
  <c r="C38" i="2"/>
  <c r="D35" i="2"/>
  <c r="C37" i="2"/>
  <c r="B37" i="2"/>
  <c r="C31" i="2"/>
  <c r="C32" i="2"/>
  <c r="C33" i="2"/>
  <c r="C34" i="2"/>
  <c r="C35" i="2"/>
  <c r="C30" i="2"/>
  <c r="D30" i="2"/>
  <c r="C25" i="2"/>
  <c r="C24" i="2"/>
  <c r="D8" i="2"/>
  <c r="C10" i="2"/>
  <c r="C11" i="2"/>
  <c r="C12" i="2"/>
  <c r="C13" i="2"/>
  <c r="C14" i="2"/>
  <c r="C15" i="2"/>
  <c r="C16" i="2"/>
  <c r="C9" i="2"/>
  <c r="D9" i="2" s="1"/>
  <c r="E13" i="2"/>
  <c r="D14" i="2" s="1"/>
  <c r="E14" i="2"/>
  <c r="E15" i="2" s="1"/>
  <c r="D13" i="2"/>
  <c r="B16" i="2"/>
  <c r="B14" i="2"/>
  <c r="B12" i="2"/>
  <c r="B10" i="2"/>
  <c r="E9" i="2"/>
  <c r="E8" i="2"/>
  <c r="C47" i="1"/>
  <c r="D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E41" i="1"/>
  <c r="A41" i="1"/>
  <c r="B40" i="1"/>
  <c r="C40" i="1"/>
  <c r="D40" i="1"/>
  <c r="E40" i="1"/>
  <c r="A40" i="1"/>
  <c r="C39" i="1"/>
  <c r="B35" i="1"/>
  <c r="A32" i="1"/>
  <c r="A33" i="1"/>
  <c r="A34" i="1"/>
  <c r="A35" i="1"/>
  <c r="C31" i="1"/>
  <c r="D31" i="1"/>
  <c r="E31" i="1"/>
  <c r="A31" i="1"/>
  <c r="D9" i="1"/>
  <c r="C10" i="1"/>
  <c r="D10" i="1" s="1"/>
  <c r="E10" i="1"/>
  <c r="E32" i="1" s="1"/>
  <c r="B17" i="1"/>
  <c r="E9" i="1"/>
  <c r="E10" i="3" l="1"/>
  <c r="C11" i="3" s="1"/>
  <c r="D11" i="3" s="1"/>
  <c r="E11" i="3"/>
  <c r="E16" i="2"/>
  <c r="D16" i="2"/>
  <c r="D15" i="2"/>
  <c r="E10" i="2"/>
  <c r="E11" i="2" s="1"/>
  <c r="D12" i="2" s="1"/>
  <c r="D10" i="2"/>
  <c r="C32" i="1"/>
  <c r="D32" i="1" s="1"/>
  <c r="C11" i="1"/>
  <c r="E11" i="1"/>
  <c r="C12" i="3" l="1"/>
  <c r="D12" i="3" s="1"/>
  <c r="E12" i="3"/>
  <c r="E12" i="2"/>
  <c r="D11" i="2"/>
  <c r="C21" i="2" s="1"/>
  <c r="C22" i="2" s="1"/>
  <c r="D11" i="1"/>
  <c r="C33" i="1"/>
  <c r="D33" i="1" s="1"/>
  <c r="E12" i="1"/>
  <c r="C12" i="1"/>
  <c r="E33" i="1"/>
  <c r="C13" i="3" l="1"/>
  <c r="D13" i="3" s="1"/>
  <c r="E13" i="3"/>
  <c r="E13" i="1"/>
  <c r="E34" i="1"/>
  <c r="C13" i="1"/>
  <c r="D12" i="1"/>
  <c r="C34" i="1"/>
  <c r="D34" i="1" s="1"/>
  <c r="E14" i="3" l="1"/>
  <c r="C14" i="3"/>
  <c r="D14" i="3" s="1"/>
  <c r="D13" i="1"/>
  <c r="C35" i="1"/>
  <c r="D35" i="1" s="1"/>
  <c r="C37" i="1" s="1"/>
  <c r="E14" i="1"/>
  <c r="C14" i="1"/>
  <c r="E35" i="1"/>
  <c r="E15" i="3" l="1"/>
  <c r="C15" i="3"/>
  <c r="D15" i="3" s="1"/>
  <c r="D14" i="1"/>
  <c r="E15" i="1"/>
  <c r="C15" i="1"/>
  <c r="C16" i="3" l="1"/>
  <c r="D16" i="3" s="1"/>
  <c r="E16" i="3"/>
  <c r="D15" i="1"/>
  <c r="E16" i="1"/>
  <c r="C16" i="1"/>
  <c r="E17" i="3" l="1"/>
  <c r="C17" i="3"/>
  <c r="D17" i="3" s="1"/>
  <c r="D16" i="1"/>
  <c r="E17" i="1"/>
  <c r="C17" i="1"/>
  <c r="E18" i="3" l="1"/>
  <c r="C18" i="3"/>
  <c r="D18" i="3" s="1"/>
  <c r="C21" i="3" s="1"/>
  <c r="D17" i="1"/>
  <c r="C20" i="1" l="1"/>
  <c r="C24" i="1"/>
  <c r="C25" i="1" s="1"/>
</calcChain>
</file>

<file path=xl/sharedStrings.xml><?xml version="1.0" encoding="utf-8"?>
<sst xmlns="http://schemas.openxmlformats.org/spreadsheetml/2006/main" count="159" uniqueCount="67">
  <si>
    <t>VF</t>
  </si>
  <si>
    <t>anual</t>
  </si>
  <si>
    <t>Cap</t>
  </si>
  <si>
    <t>Periodos</t>
  </si>
  <si>
    <t>Int</t>
  </si>
  <si>
    <t>FC</t>
  </si>
  <si>
    <t>Saldo</t>
  </si>
  <si>
    <t>Cervecería Centroamericana</t>
  </si>
  <si>
    <t xml:space="preserve">anual </t>
  </si>
  <si>
    <t>Plazo</t>
  </si>
  <si>
    <t>8 meses</t>
  </si>
  <si>
    <t xml:space="preserve">Cap </t>
  </si>
  <si>
    <t>al vencimiento</t>
  </si>
  <si>
    <t>pagos mensual</t>
  </si>
  <si>
    <t>Precio</t>
  </si>
  <si>
    <t>Rendimiento:</t>
  </si>
  <si>
    <t>1)</t>
  </si>
  <si>
    <t>2)</t>
  </si>
  <si>
    <t>Precio:</t>
  </si>
  <si>
    <t>VP</t>
  </si>
  <si>
    <t>VP de los flujos</t>
  </si>
  <si>
    <t>NPV / VNA</t>
  </si>
  <si>
    <t>Ks</t>
  </si>
  <si>
    <t>VP_f</t>
  </si>
  <si>
    <t>3)</t>
  </si>
  <si>
    <t>P4</t>
  </si>
  <si>
    <t>P0</t>
  </si>
  <si>
    <t>4)</t>
  </si>
  <si>
    <t>2 años</t>
  </si>
  <si>
    <t>Ks:</t>
  </si>
  <si>
    <t>semestres</t>
  </si>
  <si>
    <t>P6</t>
  </si>
  <si>
    <t xml:space="preserve">Plazo </t>
  </si>
  <si>
    <t>5 años</t>
  </si>
  <si>
    <t>Periodo</t>
  </si>
  <si>
    <t>Saldos</t>
  </si>
  <si>
    <t>capitalizacion semestral</t>
  </si>
  <si>
    <t>PERIODO</t>
  </si>
  <si>
    <t>a)</t>
  </si>
  <si>
    <t>b)</t>
  </si>
  <si>
    <t>c)</t>
  </si>
  <si>
    <t>Rendimiento</t>
  </si>
  <si>
    <t>Bono cupon 0</t>
  </si>
  <si>
    <t>meses</t>
  </si>
  <si>
    <t>Acciones Wallmart:</t>
  </si>
  <si>
    <t>Acciones</t>
  </si>
  <si>
    <t>div</t>
  </si>
  <si>
    <t>años</t>
  </si>
  <si>
    <t>x accion</t>
  </si>
  <si>
    <t>P_0</t>
  </si>
  <si>
    <t>P_1</t>
  </si>
  <si>
    <t>trimestral</t>
  </si>
  <si>
    <t>Plazos</t>
  </si>
  <si>
    <t>trimestres</t>
  </si>
  <si>
    <t>paga mensualmente</t>
  </si>
  <si>
    <t>periodo</t>
  </si>
  <si>
    <t>cap</t>
  </si>
  <si>
    <t>fc</t>
  </si>
  <si>
    <t>int</t>
  </si>
  <si>
    <t>saldos</t>
  </si>
  <si>
    <t>Num accion</t>
  </si>
  <si>
    <t>semestral</t>
  </si>
  <si>
    <t xml:space="preserve">plazo </t>
  </si>
  <si>
    <t>P1</t>
  </si>
  <si>
    <t>Semestres</t>
  </si>
  <si>
    <t>VPN</t>
  </si>
  <si>
    <t xml:space="preserve">X ACCION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</si>
</sst>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10" fontId="0" fillId="2" borderId="0" xfId="2" applyNumberFormat="1" applyFont="1" applyFill="1"/>
    <xf numFmtId="8" fontId="0" fillId="0" borderId="0" xfId="0" applyNumberFormat="1"/>
    <xf numFmtId="10" fontId="0" fillId="0" borderId="0" xfId="0" applyNumberFormat="1"/>
    <xf numFmtId="43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10" fontId="0" fillId="0" borderId="0" xfId="1" applyNumberFormat="1" applyFont="1"/>
    <xf numFmtId="43" fontId="0" fillId="0" borderId="0" xfId="1" applyNumberFormat="1" applyFont="1"/>
    <xf numFmtId="8" fontId="0" fillId="0" borderId="0" xfId="1" applyNumberFormat="1" applyFont="1"/>
    <xf numFmtId="43" fontId="2" fillId="0" borderId="0" xfId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7"/>
  <sheetViews>
    <sheetView topLeftCell="A42" workbookViewId="0">
      <selection activeCell="C47" sqref="C47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2" spans="1:5" x14ac:dyDescent="0.25">
      <c r="A2" t="s">
        <v>7</v>
      </c>
    </row>
    <row r="3" spans="1:5" x14ac:dyDescent="0.25">
      <c r="A3" t="s">
        <v>0</v>
      </c>
      <c r="B3">
        <v>135000</v>
      </c>
    </row>
    <row r="4" spans="1:5" x14ac:dyDescent="0.25">
      <c r="A4" s="1" t="s">
        <v>4</v>
      </c>
      <c r="B4" s="2">
        <v>0.14000000000000001</v>
      </c>
      <c r="C4" t="s">
        <v>8</v>
      </c>
      <c r="D4" t="s">
        <v>13</v>
      </c>
    </row>
    <row r="5" spans="1:5" x14ac:dyDescent="0.25">
      <c r="A5" t="s">
        <v>9</v>
      </c>
      <c r="B5" s="2" t="s">
        <v>10</v>
      </c>
    </row>
    <row r="6" spans="1:5" x14ac:dyDescent="0.25">
      <c r="A6" t="s">
        <v>11</v>
      </c>
      <c r="B6" t="s">
        <v>12</v>
      </c>
    </row>
    <row r="8" spans="1:5" x14ac:dyDescent="0.25">
      <c r="A8" t="s">
        <v>3</v>
      </c>
      <c r="B8" t="s">
        <v>2</v>
      </c>
      <c r="C8" t="s">
        <v>4</v>
      </c>
      <c r="D8" t="s">
        <v>5</v>
      </c>
      <c r="E8" t="s">
        <v>6</v>
      </c>
    </row>
    <row r="9" spans="1:5" x14ac:dyDescent="0.25">
      <c r="A9">
        <v>0</v>
      </c>
      <c r="D9">
        <f>-B3*C19</f>
        <v>-130950</v>
      </c>
      <c r="E9">
        <f>B3</f>
        <v>135000</v>
      </c>
    </row>
    <row r="10" spans="1:5" x14ac:dyDescent="0.25">
      <c r="A10">
        <v>1</v>
      </c>
      <c r="C10">
        <f>(E9*$B$4)/12</f>
        <v>1575</v>
      </c>
      <c r="D10">
        <f>SUM(B10:C10)</f>
        <v>1575</v>
      </c>
      <c r="E10">
        <f>E9-B10</f>
        <v>135000</v>
      </c>
    </row>
    <row r="11" spans="1:5" x14ac:dyDescent="0.25">
      <c r="A11">
        <v>2</v>
      </c>
      <c r="C11">
        <f t="shared" ref="C11:C17" si="0">(E10*$B$4)/12</f>
        <v>1575</v>
      </c>
      <c r="D11">
        <f t="shared" ref="D11:D17" si="1">SUM(B11:C11)</f>
        <v>1575</v>
      </c>
      <c r="E11">
        <f t="shared" ref="E11:E17" si="2">E10-B11</f>
        <v>135000</v>
      </c>
    </row>
    <row r="12" spans="1:5" x14ac:dyDescent="0.25">
      <c r="A12">
        <v>3</v>
      </c>
      <c r="C12">
        <f t="shared" si="0"/>
        <v>1575</v>
      </c>
      <c r="D12">
        <f t="shared" si="1"/>
        <v>1575</v>
      </c>
      <c r="E12">
        <f t="shared" si="2"/>
        <v>135000</v>
      </c>
    </row>
    <row r="13" spans="1:5" x14ac:dyDescent="0.25">
      <c r="A13">
        <v>4</v>
      </c>
      <c r="C13">
        <f t="shared" si="0"/>
        <v>1575</v>
      </c>
      <c r="D13">
        <f t="shared" si="1"/>
        <v>1575</v>
      </c>
      <c r="E13">
        <f t="shared" si="2"/>
        <v>135000</v>
      </c>
    </row>
    <row r="14" spans="1:5" x14ac:dyDescent="0.25">
      <c r="A14">
        <v>5</v>
      </c>
      <c r="C14">
        <f t="shared" si="0"/>
        <v>1575</v>
      </c>
      <c r="D14">
        <f t="shared" si="1"/>
        <v>1575</v>
      </c>
      <c r="E14">
        <f t="shared" si="2"/>
        <v>135000</v>
      </c>
    </row>
    <row r="15" spans="1:5" x14ac:dyDescent="0.25">
      <c r="A15">
        <v>6</v>
      </c>
      <c r="C15">
        <f t="shared" si="0"/>
        <v>1575</v>
      </c>
      <c r="D15">
        <f t="shared" si="1"/>
        <v>1575</v>
      </c>
      <c r="E15">
        <f t="shared" si="2"/>
        <v>135000</v>
      </c>
    </row>
    <row r="16" spans="1:5" x14ac:dyDescent="0.25">
      <c r="A16">
        <v>7</v>
      </c>
      <c r="C16">
        <f t="shared" si="0"/>
        <v>1575</v>
      </c>
      <c r="D16">
        <f t="shared" si="1"/>
        <v>1575</v>
      </c>
      <c r="E16">
        <f t="shared" si="2"/>
        <v>135000</v>
      </c>
    </row>
    <row r="17" spans="1:5" x14ac:dyDescent="0.25">
      <c r="A17">
        <v>8</v>
      </c>
      <c r="B17">
        <f>B3/1</f>
        <v>135000</v>
      </c>
      <c r="C17">
        <f t="shared" si="0"/>
        <v>1575</v>
      </c>
      <c r="D17">
        <f t="shared" si="1"/>
        <v>136575</v>
      </c>
      <c r="E17">
        <f t="shared" si="2"/>
        <v>0</v>
      </c>
    </row>
    <row r="19" spans="1:5" x14ac:dyDescent="0.25">
      <c r="A19" t="s">
        <v>16</v>
      </c>
      <c r="B19" t="s">
        <v>14</v>
      </c>
      <c r="C19" s="2">
        <v>0.97</v>
      </c>
    </row>
    <row r="20" spans="1:5" x14ac:dyDescent="0.25">
      <c r="B20" s="4" t="s">
        <v>15</v>
      </c>
      <c r="C20" s="5">
        <f>IRR(D9:D17)*12</f>
        <v>0.18823411510810839</v>
      </c>
    </row>
    <row r="22" spans="1:5" x14ac:dyDescent="0.25">
      <c r="A22" t="s">
        <v>17</v>
      </c>
      <c r="B22" t="s">
        <v>22</v>
      </c>
      <c r="C22" s="2">
        <v>0.2</v>
      </c>
    </row>
    <row r="23" spans="1:5" x14ac:dyDescent="0.25">
      <c r="B23" t="s">
        <v>14</v>
      </c>
      <c r="C23" s="6" t="s">
        <v>20</v>
      </c>
      <c r="E23" t="s">
        <v>21</v>
      </c>
    </row>
    <row r="24" spans="1:5" x14ac:dyDescent="0.25">
      <c r="B24" t="s">
        <v>23</v>
      </c>
      <c r="C24" s="6">
        <f>NPV(C22/12,D10:D17)</f>
        <v>129983.49144143754</v>
      </c>
    </row>
    <row r="25" spans="1:5" x14ac:dyDescent="0.25">
      <c r="B25" t="s">
        <v>14</v>
      </c>
      <c r="C25" s="3">
        <f>C24/B3</f>
        <v>0.96284067734398171</v>
      </c>
    </row>
    <row r="27" spans="1:5" x14ac:dyDescent="0.25">
      <c r="A27" t="s">
        <v>24</v>
      </c>
    </row>
    <row r="28" spans="1:5" x14ac:dyDescent="0.25">
      <c r="A28" t="s">
        <v>26</v>
      </c>
      <c r="B28" s="2">
        <v>0.97</v>
      </c>
    </row>
    <row r="29" spans="1:5" x14ac:dyDescent="0.25">
      <c r="A29" t="s">
        <v>25</v>
      </c>
      <c r="B29" s="2">
        <v>0.96</v>
      </c>
    </row>
    <row r="30" spans="1:5" x14ac:dyDescent="0.25">
      <c r="A30" t="s">
        <v>3</v>
      </c>
      <c r="B30" t="s">
        <v>2</v>
      </c>
      <c r="C30" t="s">
        <v>4</v>
      </c>
      <c r="D30" t="s">
        <v>5</v>
      </c>
      <c r="E30" t="s">
        <v>6</v>
      </c>
    </row>
    <row r="31" spans="1:5" x14ac:dyDescent="0.25">
      <c r="A31">
        <f>A9</f>
        <v>0</v>
      </c>
      <c r="C31">
        <f t="shared" ref="C31:E31" si="3">C9</f>
        <v>0</v>
      </c>
      <c r="D31">
        <f t="shared" si="3"/>
        <v>-130950</v>
      </c>
      <c r="E31">
        <f t="shared" si="3"/>
        <v>135000</v>
      </c>
    </row>
    <row r="32" spans="1:5" x14ac:dyDescent="0.25">
      <c r="A32">
        <f t="shared" ref="A32:E32" si="4">A10</f>
        <v>1</v>
      </c>
      <c r="C32">
        <f t="shared" si="4"/>
        <v>1575</v>
      </c>
      <c r="D32">
        <f t="shared" ref="D32:D34" si="5">SUM(B32:C32)</f>
        <v>1575</v>
      </c>
      <c r="E32">
        <f t="shared" si="4"/>
        <v>135000</v>
      </c>
    </row>
    <row r="33" spans="1:5" x14ac:dyDescent="0.25">
      <c r="A33">
        <f t="shared" ref="A33:E33" si="6">A11</f>
        <v>2</v>
      </c>
      <c r="C33">
        <f t="shared" si="6"/>
        <v>1575</v>
      </c>
      <c r="D33">
        <f t="shared" si="5"/>
        <v>1575</v>
      </c>
      <c r="E33">
        <f t="shared" si="6"/>
        <v>135000</v>
      </c>
    </row>
    <row r="34" spans="1:5" x14ac:dyDescent="0.25">
      <c r="A34">
        <f t="shared" ref="A34:E34" si="7">A12</f>
        <v>3</v>
      </c>
      <c r="C34">
        <f t="shared" si="7"/>
        <v>1575</v>
      </c>
      <c r="D34">
        <f t="shared" si="5"/>
        <v>1575</v>
      </c>
      <c r="E34">
        <f t="shared" si="7"/>
        <v>135000</v>
      </c>
    </row>
    <row r="35" spans="1:5" x14ac:dyDescent="0.25">
      <c r="A35">
        <f t="shared" ref="A35:E35" si="8">A13</f>
        <v>4</v>
      </c>
      <c r="B35">
        <f>(B29*B3)</f>
        <v>129600</v>
      </c>
      <c r="C35">
        <f>C13</f>
        <v>1575</v>
      </c>
      <c r="D35">
        <f>SUM(B35:C35)</f>
        <v>131175</v>
      </c>
      <c r="E35">
        <f t="shared" si="8"/>
        <v>135000</v>
      </c>
    </row>
    <row r="37" spans="1:5" x14ac:dyDescent="0.25">
      <c r="B37" t="s">
        <v>15</v>
      </c>
      <c r="C37" s="3">
        <f>IRR(D31:D35)*12</f>
        <v>0.11383869721866091</v>
      </c>
    </row>
    <row r="39" spans="1:5" x14ac:dyDescent="0.25">
      <c r="A39" t="s">
        <v>27</v>
      </c>
      <c r="B39" t="s">
        <v>25</v>
      </c>
      <c r="C39" s="2">
        <f>B29</f>
        <v>0.96</v>
      </c>
    </row>
    <row r="40" spans="1:5" x14ac:dyDescent="0.25">
      <c r="A40" t="str">
        <f>A30</f>
        <v>Periodos</v>
      </c>
      <c r="B40" t="str">
        <f t="shared" ref="B40:E40" si="9">B30</f>
        <v>Cap</v>
      </c>
      <c r="C40" t="str">
        <f t="shared" si="9"/>
        <v>Int</v>
      </c>
      <c r="D40" t="str">
        <f t="shared" si="9"/>
        <v>FC</v>
      </c>
      <c r="E40" t="str">
        <f t="shared" si="9"/>
        <v>Saldo</v>
      </c>
    </row>
    <row r="41" spans="1:5" x14ac:dyDescent="0.25">
      <c r="A41">
        <f>A13</f>
        <v>4</v>
      </c>
      <c r="D41">
        <f>-C39*B3</f>
        <v>-129600</v>
      </c>
      <c r="E41">
        <f t="shared" ref="E41" si="10">E13</f>
        <v>135000</v>
      </c>
    </row>
    <row r="42" spans="1:5" x14ac:dyDescent="0.25">
      <c r="A42">
        <f t="shared" ref="A42:E42" si="11">A14</f>
        <v>5</v>
      </c>
      <c r="B42">
        <f t="shared" si="11"/>
        <v>0</v>
      </c>
      <c r="C42">
        <f t="shared" si="11"/>
        <v>1575</v>
      </c>
      <c r="D42">
        <f t="shared" si="11"/>
        <v>1575</v>
      </c>
      <c r="E42">
        <f t="shared" si="11"/>
        <v>135000</v>
      </c>
    </row>
    <row r="43" spans="1:5" x14ac:dyDescent="0.25">
      <c r="A43">
        <f t="shared" ref="A43:E43" si="12">A15</f>
        <v>6</v>
      </c>
      <c r="B43">
        <f t="shared" si="12"/>
        <v>0</v>
      </c>
      <c r="C43">
        <f t="shared" si="12"/>
        <v>1575</v>
      </c>
      <c r="D43">
        <f t="shared" si="12"/>
        <v>1575</v>
      </c>
      <c r="E43">
        <f t="shared" si="12"/>
        <v>135000</v>
      </c>
    </row>
    <row r="44" spans="1:5" x14ac:dyDescent="0.25">
      <c r="A44">
        <f t="shared" ref="A44:E44" si="13">A16</f>
        <v>7</v>
      </c>
      <c r="B44">
        <f t="shared" si="13"/>
        <v>0</v>
      </c>
      <c r="C44">
        <f t="shared" si="13"/>
        <v>1575</v>
      </c>
      <c r="D44">
        <f t="shared" si="13"/>
        <v>1575</v>
      </c>
      <c r="E44">
        <f t="shared" si="13"/>
        <v>135000</v>
      </c>
    </row>
    <row r="45" spans="1:5" x14ac:dyDescent="0.25">
      <c r="A45">
        <f t="shared" ref="A45:E45" si="14">A17</f>
        <v>8</v>
      </c>
      <c r="B45">
        <f t="shared" si="14"/>
        <v>135000</v>
      </c>
      <c r="C45">
        <f t="shared" si="14"/>
        <v>1575</v>
      </c>
      <c r="D45">
        <f t="shared" si="14"/>
        <v>136575</v>
      </c>
      <c r="E45">
        <f t="shared" si="14"/>
        <v>0</v>
      </c>
    </row>
    <row r="47" spans="1:5" x14ac:dyDescent="0.25">
      <c r="B47" t="s">
        <v>15</v>
      </c>
      <c r="C47" s="3">
        <f>IRR(D41:D45)*12</f>
        <v>0.26674184007343982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D4CE-CA78-4646-B909-8BDBF3FDECE8}">
  <dimension ref="A2:E47"/>
  <sheetViews>
    <sheetView topLeftCell="A22" workbookViewId="0">
      <selection activeCell="C45" sqref="C45"/>
    </sheetView>
  </sheetViews>
  <sheetFormatPr defaultRowHeight="15" x14ac:dyDescent="0.25"/>
  <cols>
    <col min="3" max="3" width="11.5703125" bestFit="1" customWidth="1"/>
  </cols>
  <sheetData>
    <row r="2" spans="1:5" x14ac:dyDescent="0.25">
      <c r="A2" t="s">
        <v>0</v>
      </c>
      <c r="B2">
        <v>90000</v>
      </c>
    </row>
    <row r="3" spans="1:5" x14ac:dyDescent="0.25">
      <c r="A3" t="s">
        <v>4</v>
      </c>
      <c r="B3" s="2">
        <v>0.18</v>
      </c>
      <c r="C3" t="s">
        <v>1</v>
      </c>
    </row>
    <row r="4" spans="1:5" x14ac:dyDescent="0.25">
      <c r="A4" t="s">
        <v>9</v>
      </c>
      <c r="B4" t="s">
        <v>28</v>
      </c>
    </row>
    <row r="5" spans="1:5" x14ac:dyDescent="0.25">
      <c r="A5" t="s">
        <v>2</v>
      </c>
      <c r="B5" t="s">
        <v>30</v>
      </c>
    </row>
    <row r="7" spans="1:5" x14ac:dyDescent="0.25">
      <c r="A7" t="s">
        <v>3</v>
      </c>
      <c r="B7" t="s">
        <v>2</v>
      </c>
      <c r="C7" t="s">
        <v>4</v>
      </c>
      <c r="D7" t="s">
        <v>5</v>
      </c>
      <c r="E7" t="s">
        <v>6</v>
      </c>
    </row>
    <row r="8" spans="1:5" x14ac:dyDescent="0.25">
      <c r="A8">
        <v>0</v>
      </c>
      <c r="D8">
        <f>-C24</f>
        <v>-86400</v>
      </c>
      <c r="E8">
        <f>B2</f>
        <v>90000</v>
      </c>
    </row>
    <row r="9" spans="1:5" x14ac:dyDescent="0.25">
      <c r="A9">
        <v>1</v>
      </c>
      <c r="C9">
        <f>E8*$B$3/4</f>
        <v>4050</v>
      </c>
      <c r="D9">
        <f>SUM(B9:C9)</f>
        <v>4050</v>
      </c>
      <c r="E9">
        <f>E8-B9</f>
        <v>90000</v>
      </c>
    </row>
    <row r="10" spans="1:5" x14ac:dyDescent="0.25">
      <c r="A10">
        <v>2</v>
      </c>
      <c r="B10">
        <f>$B$2/4</f>
        <v>22500</v>
      </c>
      <c r="C10">
        <f t="shared" ref="C10:C16" si="0">E9*$B$3/4</f>
        <v>4050</v>
      </c>
      <c r="D10">
        <f t="shared" ref="D10:D16" si="1">SUM(B10:C10)</f>
        <v>26550</v>
      </c>
      <c r="E10">
        <f t="shared" ref="E10:E16" si="2">E9-B10</f>
        <v>67500</v>
      </c>
    </row>
    <row r="11" spans="1:5" x14ac:dyDescent="0.25">
      <c r="A11">
        <v>3</v>
      </c>
      <c r="C11">
        <f t="shared" si="0"/>
        <v>3037.5</v>
      </c>
      <c r="D11">
        <f t="shared" si="1"/>
        <v>3037.5</v>
      </c>
      <c r="E11">
        <f t="shared" si="2"/>
        <v>67500</v>
      </c>
    </row>
    <row r="12" spans="1:5" x14ac:dyDescent="0.25">
      <c r="A12">
        <v>4</v>
      </c>
      <c r="B12">
        <f>$B$2/4</f>
        <v>22500</v>
      </c>
      <c r="C12">
        <f t="shared" si="0"/>
        <v>3037.5</v>
      </c>
      <c r="D12">
        <f t="shared" si="1"/>
        <v>25537.5</v>
      </c>
      <c r="E12">
        <f t="shared" si="2"/>
        <v>45000</v>
      </c>
    </row>
    <row r="13" spans="1:5" x14ac:dyDescent="0.25">
      <c r="A13">
        <v>5</v>
      </c>
      <c r="C13">
        <f t="shared" si="0"/>
        <v>2025</v>
      </c>
      <c r="D13">
        <f t="shared" si="1"/>
        <v>2025</v>
      </c>
      <c r="E13">
        <f t="shared" si="2"/>
        <v>45000</v>
      </c>
    </row>
    <row r="14" spans="1:5" x14ac:dyDescent="0.25">
      <c r="A14">
        <v>6</v>
      </c>
      <c r="B14">
        <f>$B$2/4</f>
        <v>22500</v>
      </c>
      <c r="C14">
        <f t="shared" si="0"/>
        <v>2025</v>
      </c>
      <c r="D14">
        <f t="shared" si="1"/>
        <v>24525</v>
      </c>
      <c r="E14">
        <f t="shared" si="2"/>
        <v>22500</v>
      </c>
    </row>
    <row r="15" spans="1:5" x14ac:dyDescent="0.25">
      <c r="A15">
        <v>7</v>
      </c>
      <c r="C15">
        <f t="shared" si="0"/>
        <v>1012.5</v>
      </c>
      <c r="D15">
        <f t="shared" si="1"/>
        <v>1012.5</v>
      </c>
      <c r="E15">
        <f t="shared" si="2"/>
        <v>22500</v>
      </c>
    </row>
    <row r="16" spans="1:5" x14ac:dyDescent="0.25">
      <c r="A16">
        <v>8</v>
      </c>
      <c r="B16">
        <f>$B$2/4</f>
        <v>22500</v>
      </c>
      <c r="C16">
        <f t="shared" si="0"/>
        <v>1012.5</v>
      </c>
      <c r="D16">
        <f t="shared" si="1"/>
        <v>23512.5</v>
      </c>
      <c r="E16">
        <f t="shared" si="2"/>
        <v>0</v>
      </c>
    </row>
    <row r="20" spans="1:5" x14ac:dyDescent="0.25">
      <c r="A20" t="s">
        <v>16</v>
      </c>
      <c r="B20" t="s">
        <v>29</v>
      </c>
      <c r="C20" s="2">
        <v>0.16</v>
      </c>
    </row>
    <row r="21" spans="1:5" x14ac:dyDescent="0.25">
      <c r="B21" t="s">
        <v>19</v>
      </c>
      <c r="C21" s="6">
        <f>NPV(C20/4,D9:D16)</f>
        <v>91967.723058432341</v>
      </c>
    </row>
    <row r="22" spans="1:5" x14ac:dyDescent="0.25">
      <c r="B22" t="s">
        <v>18</v>
      </c>
      <c r="C22" s="3">
        <f>C21/B2</f>
        <v>1.0218635895381372</v>
      </c>
    </row>
    <row r="24" spans="1:5" x14ac:dyDescent="0.25">
      <c r="A24" t="s">
        <v>17</v>
      </c>
      <c r="B24" t="s">
        <v>26</v>
      </c>
      <c r="C24">
        <f>96%*B2</f>
        <v>86400</v>
      </c>
    </row>
    <row r="25" spans="1:5" x14ac:dyDescent="0.25">
      <c r="B25" t="s">
        <v>15</v>
      </c>
      <c r="C25" s="7">
        <f>IRR(D8:D16)*4</f>
        <v>0.2183154868442756</v>
      </c>
    </row>
    <row r="27" spans="1:5" x14ac:dyDescent="0.25">
      <c r="A27" t="s">
        <v>24</v>
      </c>
    </row>
    <row r="28" spans="1:5" x14ac:dyDescent="0.25">
      <c r="A28" t="s">
        <v>3</v>
      </c>
      <c r="B28" t="s">
        <v>2</v>
      </c>
      <c r="C28" t="s">
        <v>4</v>
      </c>
      <c r="D28" t="s">
        <v>5</v>
      </c>
      <c r="E28" t="s">
        <v>6</v>
      </c>
    </row>
    <row r="29" spans="1:5" x14ac:dyDescent="0.25">
      <c r="A29">
        <v>0</v>
      </c>
      <c r="D29">
        <v>-86400</v>
      </c>
      <c r="E29">
        <v>90000</v>
      </c>
    </row>
    <row r="30" spans="1:5" x14ac:dyDescent="0.25">
      <c r="A30">
        <v>1</v>
      </c>
      <c r="C30">
        <f>C9</f>
        <v>4050</v>
      </c>
      <c r="D30">
        <f>SUM(B30:C30)</f>
        <v>4050</v>
      </c>
      <c r="E30">
        <v>90000</v>
      </c>
    </row>
    <row r="31" spans="1:5" x14ac:dyDescent="0.25">
      <c r="A31">
        <v>2</v>
      </c>
      <c r="B31">
        <v>22500</v>
      </c>
      <c r="C31">
        <f t="shared" ref="C31:C35" si="3">C10</f>
        <v>4050</v>
      </c>
      <c r="D31">
        <v>26550</v>
      </c>
      <c r="E31">
        <v>67500</v>
      </c>
    </row>
    <row r="32" spans="1:5" x14ac:dyDescent="0.25">
      <c r="A32">
        <v>3</v>
      </c>
      <c r="C32">
        <f t="shared" si="3"/>
        <v>3037.5</v>
      </c>
      <c r="D32">
        <v>3037.5</v>
      </c>
      <c r="E32">
        <v>67500</v>
      </c>
    </row>
    <row r="33" spans="1:5" x14ac:dyDescent="0.25">
      <c r="A33">
        <v>4</v>
      </c>
      <c r="B33">
        <v>22500</v>
      </c>
      <c r="C33">
        <f t="shared" si="3"/>
        <v>3037.5</v>
      </c>
      <c r="D33">
        <v>25537.5</v>
      </c>
      <c r="E33">
        <v>45000</v>
      </c>
    </row>
    <row r="34" spans="1:5" x14ac:dyDescent="0.25">
      <c r="A34">
        <v>5</v>
      </c>
      <c r="C34">
        <f t="shared" si="3"/>
        <v>2025</v>
      </c>
      <c r="D34">
        <v>2025</v>
      </c>
      <c r="E34">
        <v>45000</v>
      </c>
    </row>
    <row r="35" spans="1:5" x14ac:dyDescent="0.25">
      <c r="A35">
        <v>6</v>
      </c>
      <c r="B35">
        <v>22500</v>
      </c>
      <c r="C35">
        <f t="shared" si="3"/>
        <v>2025</v>
      </c>
      <c r="D35">
        <f>24525+C37</f>
        <v>45225</v>
      </c>
      <c r="E35">
        <v>22500</v>
      </c>
    </row>
    <row r="37" spans="1:5" x14ac:dyDescent="0.25">
      <c r="A37" t="s">
        <v>31</v>
      </c>
      <c r="B37">
        <f>23%</f>
        <v>0.23</v>
      </c>
      <c r="C37">
        <f>B37*B2</f>
        <v>20700</v>
      </c>
    </row>
    <row r="38" spans="1:5" x14ac:dyDescent="0.25">
      <c r="B38" t="s">
        <v>15</v>
      </c>
      <c r="C38" s="3">
        <f>IRR(D29:D35)*4</f>
        <v>0.20603069464303214</v>
      </c>
    </row>
    <row r="41" spans="1:5" x14ac:dyDescent="0.25">
      <c r="A41" t="s">
        <v>27</v>
      </c>
    </row>
    <row r="42" spans="1:5" x14ac:dyDescent="0.25">
      <c r="A42" t="str">
        <f>A28</f>
        <v>Periodos</v>
      </c>
      <c r="B42" t="str">
        <f t="shared" ref="B42:E42" si="4">B28</f>
        <v>Cap</v>
      </c>
      <c r="C42" t="str">
        <f t="shared" si="4"/>
        <v>Int</v>
      </c>
      <c r="D42" t="str">
        <f t="shared" si="4"/>
        <v>FC</v>
      </c>
      <c r="E42" t="str">
        <f t="shared" si="4"/>
        <v>Saldo</v>
      </c>
    </row>
    <row r="43" spans="1:5" x14ac:dyDescent="0.25">
      <c r="A43">
        <v>6</v>
      </c>
      <c r="D43">
        <f>-C37</f>
        <v>-20700</v>
      </c>
      <c r="E43">
        <v>22500</v>
      </c>
    </row>
    <row r="44" spans="1:5" x14ac:dyDescent="0.25">
      <c r="A44">
        <v>7</v>
      </c>
      <c r="C44">
        <v>1012.5</v>
      </c>
      <c r="D44">
        <v>1012.5</v>
      </c>
      <c r="E44">
        <v>22500</v>
      </c>
    </row>
    <row r="45" spans="1:5" x14ac:dyDescent="0.25">
      <c r="A45">
        <v>8</v>
      </c>
      <c r="B45">
        <v>22500</v>
      </c>
      <c r="C45">
        <v>1012.5</v>
      </c>
      <c r="D45">
        <v>23512.5</v>
      </c>
      <c r="E45">
        <v>0</v>
      </c>
    </row>
    <row r="47" spans="1:5" x14ac:dyDescent="0.25">
      <c r="B47" t="s">
        <v>15</v>
      </c>
      <c r="C47" s="3">
        <f>IRR(D43:D45)*4</f>
        <v>0.36203562528451982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C467-9CF1-4152-8647-82673C7C6296}">
  <dimension ref="A2:E97"/>
  <sheetViews>
    <sheetView topLeftCell="A68" workbookViewId="0">
      <selection activeCell="B78" sqref="B78"/>
    </sheetView>
  </sheetViews>
  <sheetFormatPr defaultRowHeight="15" x14ac:dyDescent="0.25"/>
  <cols>
    <col min="1" max="1" width="15" style="8" customWidth="1"/>
    <col min="2" max="5" width="13.28515625" style="8" bestFit="1" customWidth="1"/>
    <col min="6" max="16384" width="9.140625" style="8"/>
  </cols>
  <sheetData>
    <row r="2" spans="1:5" x14ac:dyDescent="0.25">
      <c r="A2" s="8" t="s">
        <v>0</v>
      </c>
      <c r="B2" s="8">
        <v>3500000</v>
      </c>
    </row>
    <row r="3" spans="1:5" x14ac:dyDescent="0.25">
      <c r="A3" s="8" t="s">
        <v>4</v>
      </c>
      <c r="B3" s="9">
        <v>0.09</v>
      </c>
      <c r="C3" s="8" t="s">
        <v>1</v>
      </c>
      <c r="D3" s="8" t="s">
        <v>36</v>
      </c>
    </row>
    <row r="4" spans="1:5" x14ac:dyDescent="0.25">
      <c r="A4" s="8" t="s">
        <v>32</v>
      </c>
      <c r="B4" s="8" t="s">
        <v>33</v>
      </c>
    </row>
    <row r="5" spans="1:5" x14ac:dyDescent="0.25">
      <c r="A5" s="8" t="s">
        <v>2</v>
      </c>
      <c r="B5" s="8" t="s">
        <v>1</v>
      </c>
    </row>
    <row r="6" spans="1:5" x14ac:dyDescent="0.25">
      <c r="A6" s="8" t="s">
        <v>37</v>
      </c>
      <c r="B6" s="8">
        <v>2</v>
      </c>
    </row>
    <row r="7" spans="1:5" x14ac:dyDescent="0.25">
      <c r="A7" s="8" t="s">
        <v>34</v>
      </c>
      <c r="B7" s="8" t="s">
        <v>2</v>
      </c>
      <c r="C7" s="8" t="s">
        <v>4</v>
      </c>
      <c r="D7" s="8" t="s">
        <v>5</v>
      </c>
      <c r="E7" s="8" t="s">
        <v>35</v>
      </c>
    </row>
    <row r="8" spans="1:5" x14ac:dyDescent="0.25">
      <c r="A8" s="10">
        <v>0</v>
      </c>
      <c r="D8" s="8">
        <f>-D20</f>
        <v>-3535000</v>
      </c>
      <c r="E8" s="8">
        <f>B2</f>
        <v>3500000</v>
      </c>
    </row>
    <row r="9" spans="1:5" x14ac:dyDescent="0.25">
      <c r="A9" s="10">
        <v>1</v>
      </c>
      <c r="C9" s="8">
        <f>E8*$B$3/$B$6</f>
        <v>157500</v>
      </c>
      <c r="D9" s="8">
        <f>SUM(B9:C9)</f>
        <v>157500</v>
      </c>
      <c r="E9" s="8">
        <f>E8-B9</f>
        <v>3500000</v>
      </c>
    </row>
    <row r="10" spans="1:5" x14ac:dyDescent="0.25">
      <c r="A10" s="10">
        <v>2</v>
      </c>
      <c r="B10" s="8">
        <f>$B$2/5</f>
        <v>700000</v>
      </c>
      <c r="C10" s="8">
        <f t="shared" ref="C10:C18" si="0">E9*$B$3/$B$6</f>
        <v>157500</v>
      </c>
      <c r="D10" s="8">
        <f t="shared" ref="D10:D18" si="1">SUM(B10:C10)</f>
        <v>857500</v>
      </c>
      <c r="E10" s="8">
        <f t="shared" ref="E10:E18" si="2">E9-B10</f>
        <v>2800000</v>
      </c>
    </row>
    <row r="11" spans="1:5" x14ac:dyDescent="0.25">
      <c r="A11" s="10">
        <v>3</v>
      </c>
      <c r="C11" s="8">
        <f t="shared" si="0"/>
        <v>126000</v>
      </c>
      <c r="D11" s="8">
        <f t="shared" si="1"/>
        <v>126000</v>
      </c>
      <c r="E11" s="8">
        <f t="shared" si="2"/>
        <v>2800000</v>
      </c>
    </row>
    <row r="12" spans="1:5" x14ac:dyDescent="0.25">
      <c r="A12" s="10">
        <v>4</v>
      </c>
      <c r="B12" s="8">
        <f>$B$2/5</f>
        <v>700000</v>
      </c>
      <c r="C12" s="8">
        <f t="shared" si="0"/>
        <v>126000</v>
      </c>
      <c r="D12" s="8">
        <f t="shared" si="1"/>
        <v>826000</v>
      </c>
      <c r="E12" s="8">
        <f t="shared" si="2"/>
        <v>2100000</v>
      </c>
    </row>
    <row r="13" spans="1:5" x14ac:dyDescent="0.25">
      <c r="A13" s="10">
        <v>5</v>
      </c>
      <c r="C13" s="8">
        <f t="shared" si="0"/>
        <v>94500</v>
      </c>
      <c r="D13" s="8">
        <f t="shared" si="1"/>
        <v>94500</v>
      </c>
      <c r="E13" s="8">
        <f t="shared" si="2"/>
        <v>2100000</v>
      </c>
    </row>
    <row r="14" spans="1:5" x14ac:dyDescent="0.25">
      <c r="A14" s="10">
        <v>6</v>
      </c>
      <c r="B14" s="8">
        <f>$B$2/5</f>
        <v>700000</v>
      </c>
      <c r="C14" s="8">
        <f t="shared" si="0"/>
        <v>94500</v>
      </c>
      <c r="D14" s="8">
        <f t="shared" si="1"/>
        <v>794500</v>
      </c>
      <c r="E14" s="8">
        <f t="shared" si="2"/>
        <v>1400000</v>
      </c>
    </row>
    <row r="15" spans="1:5" x14ac:dyDescent="0.25">
      <c r="A15" s="10">
        <v>7</v>
      </c>
      <c r="C15" s="8">
        <f t="shared" si="0"/>
        <v>63000</v>
      </c>
      <c r="D15" s="8">
        <f t="shared" si="1"/>
        <v>63000</v>
      </c>
      <c r="E15" s="8">
        <f t="shared" si="2"/>
        <v>1400000</v>
      </c>
    </row>
    <row r="16" spans="1:5" x14ac:dyDescent="0.25">
      <c r="A16" s="10">
        <v>8</v>
      </c>
      <c r="B16" s="8">
        <f>$B$2/5</f>
        <v>700000</v>
      </c>
      <c r="C16" s="8">
        <f t="shared" si="0"/>
        <v>63000</v>
      </c>
      <c r="D16" s="8">
        <f t="shared" si="1"/>
        <v>763000</v>
      </c>
      <c r="E16" s="8">
        <f t="shared" si="2"/>
        <v>700000</v>
      </c>
    </row>
    <row r="17" spans="1:5" x14ac:dyDescent="0.25">
      <c r="A17" s="10">
        <v>9</v>
      </c>
      <c r="C17" s="8">
        <f t="shared" si="0"/>
        <v>31500</v>
      </c>
      <c r="D17" s="8">
        <f t="shared" si="1"/>
        <v>31500</v>
      </c>
      <c r="E17" s="8">
        <f t="shared" si="2"/>
        <v>700000</v>
      </c>
    </row>
    <row r="18" spans="1:5" x14ac:dyDescent="0.25">
      <c r="A18" s="10">
        <v>10</v>
      </c>
      <c r="B18" s="8">
        <f>$B$2/5</f>
        <v>700000</v>
      </c>
      <c r="C18" s="8">
        <f t="shared" si="0"/>
        <v>31500</v>
      </c>
      <c r="D18" s="8">
        <f t="shared" si="1"/>
        <v>731500</v>
      </c>
      <c r="E18" s="8">
        <f t="shared" si="2"/>
        <v>0</v>
      </c>
    </row>
    <row r="19" spans="1:5" x14ac:dyDescent="0.25">
      <c r="A19" s="10"/>
    </row>
    <row r="20" spans="1:5" x14ac:dyDescent="0.25">
      <c r="A20" s="10" t="s">
        <v>38</v>
      </c>
      <c r="B20" s="8" t="s">
        <v>26</v>
      </c>
      <c r="C20" s="9">
        <v>1.01</v>
      </c>
      <c r="D20" s="8">
        <f>C20*B2</f>
        <v>3535000</v>
      </c>
    </row>
    <row r="21" spans="1:5" x14ac:dyDescent="0.25">
      <c r="A21" s="10"/>
      <c r="B21" s="8" t="s">
        <v>15</v>
      </c>
      <c r="C21" s="11">
        <f>IRR(D8:D18)*2</f>
        <v>8.6049399209734645E-2</v>
      </c>
    </row>
    <row r="22" spans="1:5" x14ac:dyDescent="0.25">
      <c r="A22" s="10"/>
    </row>
    <row r="23" spans="1:5" x14ac:dyDescent="0.25">
      <c r="A23" s="10" t="s">
        <v>39</v>
      </c>
      <c r="B23" s="8" t="s">
        <v>31</v>
      </c>
      <c r="C23" s="9">
        <v>0.41</v>
      </c>
      <c r="D23" s="8">
        <f>C23*B2</f>
        <v>1435000</v>
      </c>
    </row>
    <row r="24" spans="1:5" x14ac:dyDescent="0.25">
      <c r="A24" s="10" t="s">
        <v>34</v>
      </c>
      <c r="B24" s="8" t="s">
        <v>2</v>
      </c>
      <c r="C24" s="8" t="s">
        <v>4</v>
      </c>
      <c r="D24" s="8" t="s">
        <v>5</v>
      </c>
      <c r="E24" s="8" t="s">
        <v>35</v>
      </c>
    </row>
    <row r="25" spans="1:5" x14ac:dyDescent="0.25">
      <c r="A25" s="10">
        <v>0</v>
      </c>
      <c r="D25" s="8">
        <v>-3535000</v>
      </c>
      <c r="E25" s="8">
        <v>3500000</v>
      </c>
    </row>
    <row r="26" spans="1:5" x14ac:dyDescent="0.25">
      <c r="A26" s="10">
        <v>1</v>
      </c>
      <c r="C26" s="8">
        <v>157500</v>
      </c>
      <c r="D26" s="8">
        <v>157500</v>
      </c>
      <c r="E26" s="8">
        <v>3500000</v>
      </c>
    </row>
    <row r="27" spans="1:5" x14ac:dyDescent="0.25">
      <c r="A27" s="10">
        <v>2</v>
      </c>
      <c r="B27" s="8">
        <v>700000</v>
      </c>
      <c r="C27" s="8">
        <v>157500</v>
      </c>
      <c r="D27" s="8">
        <v>857500</v>
      </c>
      <c r="E27" s="8">
        <v>2800000</v>
      </c>
    </row>
    <row r="28" spans="1:5" x14ac:dyDescent="0.25">
      <c r="A28" s="10">
        <v>3</v>
      </c>
      <c r="C28" s="8">
        <v>126000</v>
      </c>
      <c r="D28" s="8">
        <v>126000</v>
      </c>
      <c r="E28" s="8">
        <v>2800000</v>
      </c>
    </row>
    <row r="29" spans="1:5" x14ac:dyDescent="0.25">
      <c r="A29" s="10">
        <v>4</v>
      </c>
      <c r="B29" s="8">
        <v>700000</v>
      </c>
      <c r="C29" s="8">
        <v>126000</v>
      </c>
      <c r="D29" s="8">
        <v>826000</v>
      </c>
      <c r="E29" s="8">
        <v>2100000</v>
      </c>
    </row>
    <row r="30" spans="1:5" x14ac:dyDescent="0.25">
      <c r="A30" s="10">
        <v>5</v>
      </c>
      <c r="C30" s="8">
        <v>94500</v>
      </c>
      <c r="D30" s="8">
        <v>94500</v>
      </c>
      <c r="E30" s="8">
        <v>2100000</v>
      </c>
    </row>
    <row r="31" spans="1:5" x14ac:dyDescent="0.25">
      <c r="A31" s="10">
        <v>6</v>
      </c>
      <c r="B31" s="8">
        <f>700000</f>
        <v>700000</v>
      </c>
      <c r="C31" s="8">
        <v>94500</v>
      </c>
      <c r="D31" s="8">
        <f>794500+D23</f>
        <v>2229500</v>
      </c>
      <c r="E31" s="8">
        <v>1400000</v>
      </c>
    </row>
    <row r="32" spans="1:5" x14ac:dyDescent="0.25">
      <c r="A32" s="10"/>
    </row>
    <row r="33" spans="1:5" x14ac:dyDescent="0.25">
      <c r="A33" s="10"/>
      <c r="B33" s="8" t="s">
        <v>15</v>
      </c>
      <c r="C33" s="3">
        <f>IRR(D25:D31)*2</f>
        <v>8.8904554340219377E-2</v>
      </c>
    </row>
    <row r="34" spans="1:5" x14ac:dyDescent="0.25">
      <c r="A34" s="10"/>
    </row>
    <row r="35" spans="1:5" x14ac:dyDescent="0.25">
      <c r="A35" s="10" t="s">
        <v>40</v>
      </c>
    </row>
    <row r="36" spans="1:5" x14ac:dyDescent="0.25">
      <c r="A36" s="10" t="str">
        <f>A24</f>
        <v>Periodo</v>
      </c>
      <c r="B36" s="10" t="str">
        <f t="shared" ref="B36:E36" si="3">B24</f>
        <v>Cap</v>
      </c>
      <c r="C36" s="10" t="str">
        <f t="shared" si="3"/>
        <v>Int</v>
      </c>
      <c r="D36" s="10" t="str">
        <f t="shared" si="3"/>
        <v>FC</v>
      </c>
      <c r="E36" s="10" t="str">
        <f t="shared" si="3"/>
        <v>Saldos</v>
      </c>
    </row>
    <row r="37" spans="1:5" x14ac:dyDescent="0.25">
      <c r="A37" s="10">
        <v>6</v>
      </c>
      <c r="D37" s="12">
        <f>-D23</f>
        <v>-1435000</v>
      </c>
      <c r="E37" s="8">
        <v>1400000</v>
      </c>
    </row>
    <row r="38" spans="1:5" x14ac:dyDescent="0.25">
      <c r="A38" s="10">
        <v>7</v>
      </c>
      <c r="C38" s="8">
        <v>63000</v>
      </c>
      <c r="D38" s="8">
        <v>63000</v>
      </c>
      <c r="E38" s="8">
        <v>1400000</v>
      </c>
    </row>
    <row r="39" spans="1:5" x14ac:dyDescent="0.25">
      <c r="A39" s="10">
        <v>8</v>
      </c>
      <c r="B39" s="8">
        <v>700000</v>
      </c>
      <c r="C39" s="8">
        <v>63000</v>
      </c>
      <c r="D39" s="8">
        <v>763000</v>
      </c>
      <c r="E39" s="8">
        <v>700000</v>
      </c>
    </row>
    <row r="40" spans="1:5" x14ac:dyDescent="0.25">
      <c r="A40" s="10">
        <v>9</v>
      </c>
      <c r="C40" s="8">
        <v>31500</v>
      </c>
      <c r="D40" s="8">
        <v>31500</v>
      </c>
      <c r="E40" s="8">
        <v>700000</v>
      </c>
    </row>
    <row r="41" spans="1:5" x14ac:dyDescent="0.25">
      <c r="A41" s="10">
        <v>10</v>
      </c>
      <c r="B41" s="8">
        <v>700000</v>
      </c>
      <c r="C41" s="8">
        <v>31500</v>
      </c>
      <c r="D41" s="8">
        <v>731500</v>
      </c>
      <c r="E41" s="8">
        <v>0</v>
      </c>
    </row>
    <row r="42" spans="1:5" x14ac:dyDescent="0.25">
      <c r="A42" s="10"/>
    </row>
    <row r="43" spans="1:5" x14ac:dyDescent="0.25">
      <c r="A43" s="10"/>
      <c r="B43" s="8" t="s">
        <v>41</v>
      </c>
      <c r="C43" s="3">
        <f>IRR(D37:D41)*2</f>
        <v>7.2018372216384297E-2</v>
      </c>
    </row>
    <row r="44" spans="1:5" x14ac:dyDescent="0.25">
      <c r="A44" s="10"/>
    </row>
    <row r="45" spans="1:5" x14ac:dyDescent="0.25">
      <c r="A45" s="14" t="s">
        <v>42</v>
      </c>
    </row>
    <row r="46" spans="1:5" x14ac:dyDescent="0.25">
      <c r="A46" s="8" t="s">
        <v>0</v>
      </c>
      <c r="B46" s="8">
        <v>5000000</v>
      </c>
    </row>
    <row r="47" spans="1:5" x14ac:dyDescent="0.25">
      <c r="A47" s="8" t="s">
        <v>4</v>
      </c>
      <c r="B47" s="10">
        <v>0</v>
      </c>
    </row>
    <row r="48" spans="1:5" x14ac:dyDescent="0.25">
      <c r="A48" s="8" t="s">
        <v>9</v>
      </c>
      <c r="B48" s="10">
        <v>16</v>
      </c>
      <c r="C48" s="8" t="s">
        <v>43</v>
      </c>
    </row>
    <row r="49" spans="1:5" x14ac:dyDescent="0.25">
      <c r="A49" s="8" t="s">
        <v>11</v>
      </c>
      <c r="B49" s="8" t="s">
        <v>12</v>
      </c>
    </row>
    <row r="51" spans="1:5" x14ac:dyDescent="0.25">
      <c r="A51" s="8" t="s">
        <v>34</v>
      </c>
      <c r="B51" s="8" t="s">
        <v>2</v>
      </c>
      <c r="C51" s="8" t="s">
        <v>4</v>
      </c>
      <c r="D51" s="8" t="s">
        <v>5</v>
      </c>
      <c r="E51" s="8" t="s">
        <v>6</v>
      </c>
    </row>
    <row r="52" spans="1:5" x14ac:dyDescent="0.25">
      <c r="A52" s="10">
        <v>0</v>
      </c>
      <c r="E52" s="8">
        <f>B46</f>
        <v>5000000</v>
      </c>
    </row>
    <row r="53" spans="1:5" x14ac:dyDescent="0.25">
      <c r="A53" s="10">
        <v>1</v>
      </c>
      <c r="C53" s="8">
        <v>0</v>
      </c>
      <c r="D53" s="8">
        <f>SUM(B53:C53)</f>
        <v>0</v>
      </c>
      <c r="E53" s="8">
        <f>E52-B53</f>
        <v>5000000</v>
      </c>
    </row>
    <row r="54" spans="1:5" x14ac:dyDescent="0.25">
      <c r="A54" s="10">
        <v>2</v>
      </c>
      <c r="C54" s="8">
        <v>0</v>
      </c>
      <c r="D54" s="8">
        <f t="shared" ref="D54:D68" si="4">SUM(B54:C54)</f>
        <v>0</v>
      </c>
      <c r="E54" s="8">
        <f t="shared" ref="E54:E68" si="5">E53-B54</f>
        <v>5000000</v>
      </c>
    </row>
    <row r="55" spans="1:5" x14ac:dyDescent="0.25">
      <c r="A55" s="10">
        <v>3</v>
      </c>
      <c r="C55" s="8">
        <v>0</v>
      </c>
      <c r="D55" s="8">
        <f t="shared" si="4"/>
        <v>0</v>
      </c>
      <c r="E55" s="8">
        <f t="shared" si="5"/>
        <v>5000000</v>
      </c>
    </row>
    <row r="56" spans="1:5" x14ac:dyDescent="0.25">
      <c r="A56" s="10">
        <v>4</v>
      </c>
      <c r="C56" s="8">
        <v>0</v>
      </c>
      <c r="D56" s="8">
        <f t="shared" si="4"/>
        <v>0</v>
      </c>
      <c r="E56" s="8">
        <f t="shared" si="5"/>
        <v>5000000</v>
      </c>
    </row>
    <row r="57" spans="1:5" x14ac:dyDescent="0.25">
      <c r="A57" s="10">
        <v>5</v>
      </c>
      <c r="C57" s="8">
        <v>0</v>
      </c>
      <c r="D57" s="8">
        <f t="shared" si="4"/>
        <v>0</v>
      </c>
      <c r="E57" s="8">
        <f t="shared" si="5"/>
        <v>5000000</v>
      </c>
    </row>
    <row r="58" spans="1:5" x14ac:dyDescent="0.25">
      <c r="A58" s="10">
        <v>6</v>
      </c>
      <c r="C58" s="8">
        <v>0</v>
      </c>
      <c r="D58" s="8">
        <f t="shared" si="4"/>
        <v>0</v>
      </c>
      <c r="E58" s="8">
        <f t="shared" si="5"/>
        <v>5000000</v>
      </c>
    </row>
    <row r="59" spans="1:5" x14ac:dyDescent="0.25">
      <c r="A59" s="10">
        <v>7</v>
      </c>
      <c r="C59" s="8">
        <v>0</v>
      </c>
      <c r="D59" s="8">
        <f t="shared" si="4"/>
        <v>0</v>
      </c>
      <c r="E59" s="8">
        <f t="shared" si="5"/>
        <v>5000000</v>
      </c>
    </row>
    <row r="60" spans="1:5" x14ac:dyDescent="0.25">
      <c r="A60" s="10">
        <v>8</v>
      </c>
      <c r="C60" s="8">
        <v>0</v>
      </c>
      <c r="D60" s="8">
        <f t="shared" si="4"/>
        <v>0</v>
      </c>
      <c r="E60" s="8">
        <f t="shared" si="5"/>
        <v>5000000</v>
      </c>
    </row>
    <row r="61" spans="1:5" x14ac:dyDescent="0.25">
      <c r="A61" s="10">
        <v>9</v>
      </c>
      <c r="C61" s="8">
        <v>0</v>
      </c>
      <c r="D61" s="8">
        <f t="shared" si="4"/>
        <v>0</v>
      </c>
      <c r="E61" s="8">
        <f t="shared" si="5"/>
        <v>5000000</v>
      </c>
    </row>
    <row r="62" spans="1:5" x14ac:dyDescent="0.25">
      <c r="A62" s="10">
        <v>10</v>
      </c>
      <c r="C62" s="8">
        <v>0</v>
      </c>
      <c r="D62" s="8">
        <f t="shared" si="4"/>
        <v>0</v>
      </c>
      <c r="E62" s="8">
        <f t="shared" si="5"/>
        <v>5000000</v>
      </c>
    </row>
    <row r="63" spans="1:5" x14ac:dyDescent="0.25">
      <c r="A63" s="10">
        <v>11</v>
      </c>
      <c r="C63" s="8">
        <v>0</v>
      </c>
      <c r="D63" s="8">
        <f t="shared" si="4"/>
        <v>0</v>
      </c>
      <c r="E63" s="8">
        <f t="shared" si="5"/>
        <v>5000000</v>
      </c>
    </row>
    <row r="64" spans="1:5" x14ac:dyDescent="0.25">
      <c r="A64" s="10">
        <v>12</v>
      </c>
      <c r="C64" s="8">
        <v>0</v>
      </c>
      <c r="D64" s="8">
        <f t="shared" si="4"/>
        <v>0</v>
      </c>
      <c r="E64" s="8">
        <f t="shared" si="5"/>
        <v>5000000</v>
      </c>
    </row>
    <row r="65" spans="1:5" x14ac:dyDescent="0.25">
      <c r="A65" s="10">
        <v>13</v>
      </c>
      <c r="C65" s="8">
        <v>0</v>
      </c>
      <c r="D65" s="8">
        <f t="shared" si="4"/>
        <v>0</v>
      </c>
      <c r="E65" s="8">
        <f t="shared" si="5"/>
        <v>5000000</v>
      </c>
    </row>
    <row r="66" spans="1:5" x14ac:dyDescent="0.25">
      <c r="A66" s="10">
        <v>14</v>
      </c>
      <c r="C66" s="8">
        <v>0</v>
      </c>
      <c r="D66" s="8">
        <f t="shared" si="4"/>
        <v>0</v>
      </c>
      <c r="E66" s="8">
        <f t="shared" si="5"/>
        <v>5000000</v>
      </c>
    </row>
    <row r="67" spans="1:5" x14ac:dyDescent="0.25">
      <c r="A67" s="10">
        <v>15</v>
      </c>
      <c r="C67" s="8">
        <v>0</v>
      </c>
      <c r="D67" s="8">
        <f t="shared" si="4"/>
        <v>0</v>
      </c>
      <c r="E67" s="8">
        <f t="shared" si="5"/>
        <v>5000000</v>
      </c>
    </row>
    <row r="68" spans="1:5" x14ac:dyDescent="0.25">
      <c r="A68" s="10">
        <v>16</v>
      </c>
      <c r="B68" s="8">
        <f>B46</f>
        <v>5000000</v>
      </c>
      <c r="C68" s="8">
        <v>0</v>
      </c>
      <c r="D68" s="8">
        <f t="shared" si="4"/>
        <v>5000000</v>
      </c>
      <c r="E68" s="8">
        <f t="shared" si="5"/>
        <v>0</v>
      </c>
    </row>
    <row r="70" spans="1:5" x14ac:dyDescent="0.25">
      <c r="B70" s="8" t="s">
        <v>4</v>
      </c>
      <c r="C70" s="9">
        <v>0.14000000000000001</v>
      </c>
    </row>
    <row r="71" spans="1:5" x14ac:dyDescent="0.25">
      <c r="B71" s="8" t="s">
        <v>19</v>
      </c>
      <c r="C71" s="13">
        <f>NPV(C70/12,D53:D68)</f>
        <v>4153086.2765302286</v>
      </c>
    </row>
    <row r="72" spans="1:5" x14ac:dyDescent="0.25">
      <c r="B72" s="8" t="s">
        <v>18</v>
      </c>
      <c r="C72" s="3">
        <f>C71/B46</f>
        <v>0.83061725530604569</v>
      </c>
    </row>
    <row r="74" spans="1:5" x14ac:dyDescent="0.25">
      <c r="A74" s="14" t="s">
        <v>44</v>
      </c>
    </row>
    <row r="75" spans="1:5" x14ac:dyDescent="0.25">
      <c r="A75" s="8" t="s">
        <v>45</v>
      </c>
      <c r="B75" s="8">
        <v>50000</v>
      </c>
    </row>
    <row r="76" spans="1:5" x14ac:dyDescent="0.25">
      <c r="A76" s="8" t="s">
        <v>49</v>
      </c>
      <c r="B76" s="8">
        <v>75</v>
      </c>
      <c r="C76" s="8" t="s">
        <v>48</v>
      </c>
    </row>
    <row r="77" spans="1:5" x14ac:dyDescent="0.25">
      <c r="A77" s="8" t="s">
        <v>50</v>
      </c>
      <c r="B77" s="8">
        <v>80</v>
      </c>
      <c r="C77" s="8" t="s">
        <v>48</v>
      </c>
    </row>
    <row r="78" spans="1:5" x14ac:dyDescent="0.25">
      <c r="A78" s="8" t="s">
        <v>46</v>
      </c>
      <c r="B78" s="8">
        <v>4</v>
      </c>
      <c r="C78" s="8" t="s">
        <v>51</v>
      </c>
    </row>
    <row r="79" spans="1:5" x14ac:dyDescent="0.25">
      <c r="A79" s="8" t="s">
        <v>9</v>
      </c>
      <c r="B79" s="8">
        <v>3</v>
      </c>
      <c r="C79" s="8" t="s">
        <v>47</v>
      </c>
    </row>
    <row r="82" spans="1:2" x14ac:dyDescent="0.25">
      <c r="A82" s="8" t="s">
        <v>34</v>
      </c>
      <c r="B82" s="8" t="s">
        <v>5</v>
      </c>
    </row>
    <row r="83" spans="1:2" x14ac:dyDescent="0.25">
      <c r="A83" s="10">
        <v>0</v>
      </c>
      <c r="B83" s="8">
        <f>-B75*B76</f>
        <v>-3750000</v>
      </c>
    </row>
    <row r="84" spans="1:2" x14ac:dyDescent="0.25">
      <c r="A84" s="10">
        <v>1</v>
      </c>
      <c r="B84" s="8">
        <f>$B$78*$B$75</f>
        <v>200000</v>
      </c>
    </row>
    <row r="85" spans="1:2" x14ac:dyDescent="0.25">
      <c r="A85" s="10">
        <v>2</v>
      </c>
      <c r="B85" s="8">
        <f t="shared" ref="B85:B95" si="6">$B$78*$B$75</f>
        <v>200000</v>
      </c>
    </row>
    <row r="86" spans="1:2" x14ac:dyDescent="0.25">
      <c r="A86" s="10">
        <v>3</v>
      </c>
      <c r="B86" s="8">
        <f t="shared" si="6"/>
        <v>200000</v>
      </c>
    </row>
    <row r="87" spans="1:2" x14ac:dyDescent="0.25">
      <c r="A87" s="10">
        <v>4</v>
      </c>
      <c r="B87" s="8">
        <f t="shared" si="6"/>
        <v>200000</v>
      </c>
    </row>
    <row r="88" spans="1:2" x14ac:dyDescent="0.25">
      <c r="A88" s="10">
        <v>5</v>
      </c>
      <c r="B88" s="8">
        <f t="shared" si="6"/>
        <v>200000</v>
      </c>
    </row>
    <row r="89" spans="1:2" x14ac:dyDescent="0.25">
      <c r="A89" s="10">
        <v>6</v>
      </c>
      <c r="B89" s="8">
        <f t="shared" si="6"/>
        <v>200000</v>
      </c>
    </row>
    <row r="90" spans="1:2" x14ac:dyDescent="0.25">
      <c r="A90" s="10">
        <v>7</v>
      </c>
      <c r="B90" s="8">
        <f t="shared" si="6"/>
        <v>200000</v>
      </c>
    </row>
    <row r="91" spans="1:2" x14ac:dyDescent="0.25">
      <c r="A91" s="10">
        <v>8</v>
      </c>
      <c r="B91" s="8">
        <f t="shared" si="6"/>
        <v>200000</v>
      </c>
    </row>
    <row r="92" spans="1:2" x14ac:dyDescent="0.25">
      <c r="A92" s="10">
        <v>9</v>
      </c>
      <c r="B92" s="8">
        <f t="shared" si="6"/>
        <v>200000</v>
      </c>
    </row>
    <row r="93" spans="1:2" x14ac:dyDescent="0.25">
      <c r="A93" s="10">
        <v>10</v>
      </c>
      <c r="B93" s="8">
        <f t="shared" si="6"/>
        <v>200000</v>
      </c>
    </row>
    <row r="94" spans="1:2" x14ac:dyDescent="0.25">
      <c r="A94" s="10">
        <v>11</v>
      </c>
      <c r="B94" s="8">
        <f t="shared" si="6"/>
        <v>200000</v>
      </c>
    </row>
    <row r="95" spans="1:2" x14ac:dyDescent="0.25">
      <c r="A95" s="10">
        <v>12</v>
      </c>
      <c r="B95" s="8">
        <f>$B$75*$B$78+B75*B77</f>
        <v>4200000</v>
      </c>
    </row>
    <row r="97" spans="1:2" x14ac:dyDescent="0.25">
      <c r="A97" s="8" t="s">
        <v>15</v>
      </c>
      <c r="B97" s="3">
        <f>IRR(B83:B95)*4</f>
        <v>0.22938703840676222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4F95-1798-43A9-8D9A-1C079C9186BE}">
  <dimension ref="A3:E77"/>
  <sheetViews>
    <sheetView tabSelected="1" topLeftCell="A50" workbookViewId="0">
      <selection activeCell="B77" sqref="B77"/>
    </sheetView>
  </sheetViews>
  <sheetFormatPr defaultRowHeight="15" x14ac:dyDescent="0.25"/>
  <cols>
    <col min="2" max="2" width="11.5703125" bestFit="1" customWidth="1"/>
    <col min="3" max="3" width="10.5703125" bestFit="1" customWidth="1"/>
  </cols>
  <sheetData>
    <row r="3" spans="1:5" x14ac:dyDescent="0.25">
      <c r="A3" t="s">
        <v>0</v>
      </c>
      <c r="B3">
        <v>810000</v>
      </c>
    </row>
    <row r="4" spans="1:5" x14ac:dyDescent="0.25">
      <c r="A4" t="s">
        <v>4</v>
      </c>
      <c r="B4" s="2">
        <v>0.08</v>
      </c>
      <c r="C4" t="s">
        <v>1</v>
      </c>
      <c r="D4" t="s">
        <v>54</v>
      </c>
    </row>
    <row r="5" spans="1:5" x14ac:dyDescent="0.25">
      <c r="A5" t="s">
        <v>52</v>
      </c>
      <c r="B5">
        <v>18</v>
      </c>
      <c r="C5" t="s">
        <v>43</v>
      </c>
    </row>
    <row r="6" spans="1:5" x14ac:dyDescent="0.25">
      <c r="A6" t="s">
        <v>2</v>
      </c>
      <c r="B6" t="s">
        <v>53</v>
      </c>
    </row>
    <row r="8" spans="1:5" x14ac:dyDescent="0.25">
      <c r="A8" t="s">
        <v>55</v>
      </c>
      <c r="B8" t="s">
        <v>56</v>
      </c>
      <c r="C8" t="s">
        <v>58</v>
      </c>
      <c r="D8" t="s">
        <v>57</v>
      </c>
      <c r="E8" t="s">
        <v>59</v>
      </c>
    </row>
    <row r="9" spans="1:5" x14ac:dyDescent="0.25">
      <c r="A9">
        <v>0</v>
      </c>
      <c r="D9">
        <f>-B28*B3</f>
        <v>-826200</v>
      </c>
      <c r="E9">
        <f>B3</f>
        <v>810000</v>
      </c>
    </row>
    <row r="10" spans="1:5" x14ac:dyDescent="0.25">
      <c r="A10">
        <v>1</v>
      </c>
      <c r="C10">
        <f>E9*$B$4/12</f>
        <v>5400</v>
      </c>
      <c r="D10">
        <f>SUM(B10:C10)</f>
        <v>5400</v>
      </c>
      <c r="E10">
        <f>E9-B10</f>
        <v>810000</v>
      </c>
    </row>
    <row r="11" spans="1:5" x14ac:dyDescent="0.25">
      <c r="A11">
        <v>2</v>
      </c>
      <c r="C11">
        <f t="shared" ref="C11:C27" si="0">E10*$B$4/12</f>
        <v>5400</v>
      </c>
      <c r="D11">
        <f t="shared" ref="D11:D27" si="1">SUM(B11:C11)</f>
        <v>5400</v>
      </c>
      <c r="E11">
        <f t="shared" ref="E11:E27" si="2">E10-B11</f>
        <v>810000</v>
      </c>
    </row>
    <row r="12" spans="1:5" x14ac:dyDescent="0.25">
      <c r="A12">
        <v>3</v>
      </c>
      <c r="B12">
        <f>$B$3/6</f>
        <v>135000</v>
      </c>
      <c r="C12">
        <f t="shared" si="0"/>
        <v>5400</v>
      </c>
      <c r="D12">
        <f t="shared" si="1"/>
        <v>140400</v>
      </c>
      <c r="E12">
        <f t="shared" si="2"/>
        <v>675000</v>
      </c>
    </row>
    <row r="13" spans="1:5" x14ac:dyDescent="0.25">
      <c r="A13">
        <v>4</v>
      </c>
      <c r="C13">
        <f t="shared" si="0"/>
        <v>4500</v>
      </c>
      <c r="D13">
        <f t="shared" si="1"/>
        <v>4500</v>
      </c>
      <c r="E13">
        <f t="shared" si="2"/>
        <v>675000</v>
      </c>
    </row>
    <row r="14" spans="1:5" x14ac:dyDescent="0.25">
      <c r="A14">
        <v>5</v>
      </c>
      <c r="C14">
        <f t="shared" si="0"/>
        <v>4500</v>
      </c>
      <c r="D14">
        <f t="shared" si="1"/>
        <v>4500</v>
      </c>
      <c r="E14">
        <f t="shared" si="2"/>
        <v>675000</v>
      </c>
    </row>
    <row r="15" spans="1:5" x14ac:dyDescent="0.25">
      <c r="A15">
        <v>6</v>
      </c>
      <c r="B15">
        <f>$B$3/6</f>
        <v>135000</v>
      </c>
      <c r="C15">
        <f t="shared" si="0"/>
        <v>4500</v>
      </c>
      <c r="D15">
        <f t="shared" si="1"/>
        <v>139500</v>
      </c>
      <c r="E15">
        <f t="shared" si="2"/>
        <v>540000</v>
      </c>
    </row>
    <row r="16" spans="1:5" x14ac:dyDescent="0.25">
      <c r="A16">
        <v>7</v>
      </c>
      <c r="C16">
        <f t="shared" si="0"/>
        <v>3600</v>
      </c>
      <c r="D16">
        <f t="shared" si="1"/>
        <v>3600</v>
      </c>
      <c r="E16">
        <f t="shared" si="2"/>
        <v>540000</v>
      </c>
    </row>
    <row r="17" spans="1:5" x14ac:dyDescent="0.25">
      <c r="A17">
        <v>8</v>
      </c>
      <c r="C17">
        <f t="shared" si="0"/>
        <v>3600</v>
      </c>
      <c r="D17">
        <f t="shared" si="1"/>
        <v>3600</v>
      </c>
      <c r="E17">
        <f t="shared" si="2"/>
        <v>540000</v>
      </c>
    </row>
    <row r="18" spans="1:5" x14ac:dyDescent="0.25">
      <c r="A18">
        <v>9</v>
      </c>
      <c r="B18">
        <f>$B$3/6</f>
        <v>135000</v>
      </c>
      <c r="C18">
        <f t="shared" si="0"/>
        <v>3600</v>
      </c>
      <c r="D18">
        <f t="shared" si="1"/>
        <v>138600</v>
      </c>
      <c r="E18">
        <f t="shared" si="2"/>
        <v>405000</v>
      </c>
    </row>
    <row r="19" spans="1:5" x14ac:dyDescent="0.25">
      <c r="A19">
        <v>10</v>
      </c>
      <c r="C19">
        <f t="shared" si="0"/>
        <v>2700</v>
      </c>
      <c r="D19">
        <f t="shared" si="1"/>
        <v>2700</v>
      </c>
      <c r="E19">
        <f t="shared" si="2"/>
        <v>405000</v>
      </c>
    </row>
    <row r="20" spans="1:5" x14ac:dyDescent="0.25">
      <c r="A20">
        <v>11</v>
      </c>
      <c r="C20">
        <f t="shared" si="0"/>
        <v>2700</v>
      </c>
      <c r="D20">
        <f t="shared" si="1"/>
        <v>2700</v>
      </c>
      <c r="E20">
        <f t="shared" si="2"/>
        <v>405000</v>
      </c>
    </row>
    <row r="21" spans="1:5" x14ac:dyDescent="0.25">
      <c r="A21">
        <v>12</v>
      </c>
      <c r="B21">
        <f>$B$3/6</f>
        <v>135000</v>
      </c>
      <c r="C21">
        <f t="shared" si="0"/>
        <v>2700</v>
      </c>
      <c r="D21">
        <f t="shared" si="1"/>
        <v>137700</v>
      </c>
      <c r="E21">
        <f t="shared" si="2"/>
        <v>270000</v>
      </c>
    </row>
    <row r="22" spans="1:5" x14ac:dyDescent="0.25">
      <c r="A22">
        <v>13</v>
      </c>
      <c r="C22">
        <f t="shared" si="0"/>
        <v>1800</v>
      </c>
      <c r="D22">
        <f t="shared" si="1"/>
        <v>1800</v>
      </c>
      <c r="E22">
        <f t="shared" si="2"/>
        <v>270000</v>
      </c>
    </row>
    <row r="23" spans="1:5" x14ac:dyDescent="0.25">
      <c r="A23">
        <v>14</v>
      </c>
      <c r="C23">
        <f t="shared" si="0"/>
        <v>1800</v>
      </c>
      <c r="D23">
        <f t="shared" si="1"/>
        <v>1800</v>
      </c>
      <c r="E23">
        <f t="shared" si="2"/>
        <v>270000</v>
      </c>
    </row>
    <row r="24" spans="1:5" x14ac:dyDescent="0.25">
      <c r="A24">
        <v>15</v>
      </c>
      <c r="B24">
        <f>$B$3/6</f>
        <v>135000</v>
      </c>
      <c r="C24">
        <f t="shared" si="0"/>
        <v>1800</v>
      </c>
      <c r="D24">
        <f t="shared" si="1"/>
        <v>136800</v>
      </c>
      <c r="E24">
        <f t="shared" si="2"/>
        <v>135000</v>
      </c>
    </row>
    <row r="25" spans="1:5" x14ac:dyDescent="0.25">
      <c r="A25">
        <v>16</v>
      </c>
      <c r="C25">
        <f t="shared" si="0"/>
        <v>900</v>
      </c>
      <c r="D25">
        <f t="shared" si="1"/>
        <v>900</v>
      </c>
      <c r="E25">
        <f t="shared" si="2"/>
        <v>135000</v>
      </c>
    </row>
    <row r="26" spans="1:5" x14ac:dyDescent="0.25">
      <c r="A26">
        <v>17</v>
      </c>
      <c r="C26">
        <f t="shared" si="0"/>
        <v>900</v>
      </c>
      <c r="D26">
        <f t="shared" si="1"/>
        <v>900</v>
      </c>
      <c r="E26">
        <f t="shared" si="2"/>
        <v>135000</v>
      </c>
    </row>
    <row r="27" spans="1:5" x14ac:dyDescent="0.25">
      <c r="A27">
        <v>18</v>
      </c>
      <c r="B27">
        <f>$B$3/6</f>
        <v>135000</v>
      </c>
      <c r="C27">
        <f t="shared" si="0"/>
        <v>900</v>
      </c>
      <c r="D27">
        <f t="shared" si="1"/>
        <v>135900</v>
      </c>
      <c r="E27">
        <f t="shared" si="2"/>
        <v>0</v>
      </c>
    </row>
    <row r="28" spans="1:5" x14ac:dyDescent="0.25">
      <c r="A28" t="s">
        <v>16</v>
      </c>
      <c r="B28" s="2">
        <v>1.02</v>
      </c>
    </row>
    <row r="29" spans="1:5" x14ac:dyDescent="0.25">
      <c r="B29" t="s">
        <v>15</v>
      </c>
      <c r="C29" s="7">
        <f>IRR(D9:D27)*12</f>
        <v>5.6385708217356445E-2</v>
      </c>
    </row>
    <row r="31" spans="1:5" x14ac:dyDescent="0.25">
      <c r="A31" t="s">
        <v>17</v>
      </c>
      <c r="B31" t="s">
        <v>31</v>
      </c>
      <c r="C31" s="2">
        <v>0.68</v>
      </c>
    </row>
    <row r="32" spans="1:5" x14ac:dyDescent="0.25">
      <c r="A32" t="s">
        <v>55</v>
      </c>
      <c r="B32" t="s">
        <v>56</v>
      </c>
      <c r="C32" t="s">
        <v>58</v>
      </c>
      <c r="D32" t="s">
        <v>57</v>
      </c>
      <c r="E32" t="s">
        <v>59</v>
      </c>
    </row>
    <row r="33" spans="1:5" x14ac:dyDescent="0.25">
      <c r="A33">
        <v>0</v>
      </c>
      <c r="B33">
        <f>B9</f>
        <v>0</v>
      </c>
      <c r="C33">
        <f>C9</f>
        <v>0</v>
      </c>
      <c r="D33">
        <v>-826200</v>
      </c>
      <c r="E33">
        <f t="shared" ref="B33:E39" si="3">E9</f>
        <v>810000</v>
      </c>
    </row>
    <row r="34" spans="1:5" x14ac:dyDescent="0.25">
      <c r="A34">
        <v>1</v>
      </c>
      <c r="B34">
        <f t="shared" si="3"/>
        <v>0</v>
      </c>
      <c r="C34">
        <f t="shared" si="3"/>
        <v>5400</v>
      </c>
      <c r="D34">
        <f t="shared" si="3"/>
        <v>5400</v>
      </c>
      <c r="E34">
        <f t="shared" si="3"/>
        <v>810000</v>
      </c>
    </row>
    <row r="35" spans="1:5" x14ac:dyDescent="0.25">
      <c r="A35">
        <v>2</v>
      </c>
      <c r="B35">
        <f t="shared" si="3"/>
        <v>0</v>
      </c>
      <c r="C35">
        <f t="shared" ref="C35:E35" si="4">C11</f>
        <v>5400</v>
      </c>
      <c r="D35">
        <f t="shared" si="4"/>
        <v>5400</v>
      </c>
      <c r="E35">
        <f t="shared" si="4"/>
        <v>810000</v>
      </c>
    </row>
    <row r="36" spans="1:5" x14ac:dyDescent="0.25">
      <c r="A36">
        <v>3</v>
      </c>
      <c r="B36">
        <f t="shared" si="3"/>
        <v>135000</v>
      </c>
      <c r="C36">
        <f t="shared" ref="C36:E36" si="5">C12</f>
        <v>5400</v>
      </c>
      <c r="D36">
        <f t="shared" si="5"/>
        <v>140400</v>
      </c>
      <c r="E36">
        <f t="shared" si="5"/>
        <v>675000</v>
      </c>
    </row>
    <row r="37" spans="1:5" x14ac:dyDescent="0.25">
      <c r="A37">
        <v>4</v>
      </c>
      <c r="B37">
        <f t="shared" si="3"/>
        <v>0</v>
      </c>
      <c r="C37">
        <f>C13</f>
        <v>4500</v>
      </c>
      <c r="D37">
        <f>D13</f>
        <v>4500</v>
      </c>
      <c r="E37">
        <f t="shared" ref="C37:E37" si="6">E13</f>
        <v>675000</v>
      </c>
    </row>
    <row r="38" spans="1:5" x14ac:dyDescent="0.25">
      <c r="A38">
        <v>5</v>
      </c>
      <c r="B38">
        <f t="shared" si="3"/>
        <v>0</v>
      </c>
      <c r="C38">
        <f t="shared" ref="C38:E38" si="7">C14</f>
        <v>4500</v>
      </c>
      <c r="D38">
        <f t="shared" si="7"/>
        <v>4500</v>
      </c>
      <c r="E38">
        <f t="shared" si="7"/>
        <v>675000</v>
      </c>
    </row>
    <row r="39" spans="1:5" x14ac:dyDescent="0.25">
      <c r="A39">
        <v>6</v>
      </c>
      <c r="B39">
        <f t="shared" si="3"/>
        <v>135000</v>
      </c>
      <c r="C39">
        <f t="shared" ref="C39:E39" si="8">C15</f>
        <v>4500</v>
      </c>
      <c r="D39">
        <f>D15+C31*B3</f>
        <v>690300</v>
      </c>
      <c r="E39">
        <f t="shared" si="8"/>
        <v>540000</v>
      </c>
    </row>
    <row r="41" spans="1:5" x14ac:dyDescent="0.25">
      <c r="B41" t="s">
        <v>15</v>
      </c>
      <c r="C41" s="3">
        <f>IRR(D33:D39)*12</f>
        <v>6.4257533725434079E-2</v>
      </c>
    </row>
    <row r="44" spans="1:5" x14ac:dyDescent="0.25">
      <c r="A44" t="s">
        <v>24</v>
      </c>
    </row>
    <row r="45" spans="1:5" x14ac:dyDescent="0.25">
      <c r="A45" t="str">
        <f>A32</f>
        <v>periodo</v>
      </c>
      <c r="B45" t="str">
        <f t="shared" ref="B45:E45" si="9">B32</f>
        <v>cap</v>
      </c>
      <c r="C45" t="str">
        <f t="shared" si="9"/>
        <v>int</v>
      </c>
      <c r="D45" t="str">
        <f t="shared" si="9"/>
        <v>fc</v>
      </c>
      <c r="E45" t="str">
        <f t="shared" si="9"/>
        <v>saldos</v>
      </c>
    </row>
    <row r="46" spans="1:5" x14ac:dyDescent="0.25">
      <c r="A46">
        <f>A15</f>
        <v>6</v>
      </c>
      <c r="D46">
        <f>-C31*B3</f>
        <v>-550800</v>
      </c>
      <c r="E46">
        <f>E15</f>
        <v>540000</v>
      </c>
    </row>
    <row r="47" spans="1:5" x14ac:dyDescent="0.25">
      <c r="A47">
        <v>7</v>
      </c>
      <c r="B47">
        <f t="shared" ref="B47" si="10">B16</f>
        <v>0</v>
      </c>
      <c r="C47">
        <f t="shared" ref="C46:E47" si="11">C16</f>
        <v>3600</v>
      </c>
      <c r="D47">
        <f t="shared" si="11"/>
        <v>3600</v>
      </c>
      <c r="E47">
        <f t="shared" si="11"/>
        <v>540000</v>
      </c>
    </row>
    <row r="48" spans="1:5" x14ac:dyDescent="0.25">
      <c r="A48">
        <v>8</v>
      </c>
      <c r="B48">
        <f t="shared" ref="B48:E48" si="12">B17</f>
        <v>0</v>
      </c>
      <c r="C48">
        <f t="shared" si="12"/>
        <v>3600</v>
      </c>
      <c r="D48">
        <f t="shared" si="12"/>
        <v>3600</v>
      </c>
      <c r="E48">
        <f t="shared" si="12"/>
        <v>540000</v>
      </c>
    </row>
    <row r="49" spans="1:5" x14ac:dyDescent="0.25">
      <c r="A49">
        <v>9</v>
      </c>
      <c r="B49">
        <f t="shared" ref="B49:E49" si="13">B18</f>
        <v>135000</v>
      </c>
      <c r="C49">
        <f t="shared" si="13"/>
        <v>3600</v>
      </c>
      <c r="D49">
        <f t="shared" si="13"/>
        <v>138600</v>
      </c>
      <c r="E49">
        <f t="shared" si="13"/>
        <v>405000</v>
      </c>
    </row>
    <row r="50" spans="1:5" x14ac:dyDescent="0.25">
      <c r="A50">
        <v>10</v>
      </c>
      <c r="B50">
        <f t="shared" ref="B50:E50" si="14">B19</f>
        <v>0</v>
      </c>
      <c r="C50">
        <f t="shared" si="14"/>
        <v>2700</v>
      </c>
      <c r="D50">
        <f t="shared" si="14"/>
        <v>2700</v>
      </c>
      <c r="E50">
        <f t="shared" si="14"/>
        <v>405000</v>
      </c>
    </row>
    <row r="51" spans="1:5" x14ac:dyDescent="0.25">
      <c r="A51">
        <v>11</v>
      </c>
      <c r="B51">
        <f t="shared" ref="B51:E51" si="15">B20</f>
        <v>0</v>
      </c>
      <c r="C51">
        <f t="shared" si="15"/>
        <v>2700</v>
      </c>
      <c r="D51">
        <f t="shared" si="15"/>
        <v>2700</v>
      </c>
      <c r="E51">
        <f t="shared" si="15"/>
        <v>405000</v>
      </c>
    </row>
    <row r="52" spans="1:5" x14ac:dyDescent="0.25">
      <c r="A52">
        <v>12</v>
      </c>
      <c r="B52">
        <f t="shared" ref="B52:E52" si="16">B21</f>
        <v>135000</v>
      </c>
      <c r="C52">
        <f t="shared" si="16"/>
        <v>2700</v>
      </c>
      <c r="D52">
        <f t="shared" si="16"/>
        <v>137700</v>
      </c>
      <c r="E52">
        <f t="shared" si="16"/>
        <v>270000</v>
      </c>
    </row>
    <row r="53" spans="1:5" x14ac:dyDescent="0.25">
      <c r="A53">
        <v>13</v>
      </c>
      <c r="B53">
        <f t="shared" ref="B53:E53" si="17">B22</f>
        <v>0</v>
      </c>
      <c r="C53">
        <f t="shared" si="17"/>
        <v>1800</v>
      </c>
      <c r="D53">
        <f t="shared" si="17"/>
        <v>1800</v>
      </c>
      <c r="E53">
        <f t="shared" si="17"/>
        <v>270000</v>
      </c>
    </row>
    <row r="54" spans="1:5" x14ac:dyDescent="0.25">
      <c r="A54">
        <v>14</v>
      </c>
      <c r="B54">
        <f t="shared" ref="B54:E54" si="18">B23</f>
        <v>0</v>
      </c>
      <c r="C54">
        <f t="shared" si="18"/>
        <v>1800</v>
      </c>
      <c r="D54">
        <f t="shared" si="18"/>
        <v>1800</v>
      </c>
      <c r="E54">
        <f t="shared" si="18"/>
        <v>270000</v>
      </c>
    </row>
    <row r="55" spans="1:5" x14ac:dyDescent="0.25">
      <c r="A55">
        <v>15</v>
      </c>
      <c r="B55">
        <f t="shared" ref="B55:E55" si="19">B24</f>
        <v>135000</v>
      </c>
      <c r="C55">
        <f t="shared" si="19"/>
        <v>1800</v>
      </c>
      <c r="D55">
        <f t="shared" si="19"/>
        <v>136800</v>
      </c>
      <c r="E55">
        <f t="shared" si="19"/>
        <v>135000</v>
      </c>
    </row>
    <row r="56" spans="1:5" x14ac:dyDescent="0.25">
      <c r="A56">
        <v>16</v>
      </c>
      <c r="B56">
        <f t="shared" ref="B56:E56" si="20">B25</f>
        <v>0</v>
      </c>
      <c r="C56">
        <f t="shared" si="20"/>
        <v>900</v>
      </c>
      <c r="D56">
        <f t="shared" si="20"/>
        <v>900</v>
      </c>
      <c r="E56">
        <f t="shared" si="20"/>
        <v>135000</v>
      </c>
    </row>
    <row r="57" spans="1:5" x14ac:dyDescent="0.25">
      <c r="A57">
        <v>17</v>
      </c>
      <c r="B57">
        <f t="shared" ref="B57:E57" si="21">B26</f>
        <v>0</v>
      </c>
      <c r="C57">
        <f t="shared" si="21"/>
        <v>900</v>
      </c>
      <c r="D57">
        <f t="shared" si="21"/>
        <v>900</v>
      </c>
      <c r="E57">
        <f t="shared" si="21"/>
        <v>135000</v>
      </c>
    </row>
    <row r="58" spans="1:5" x14ac:dyDescent="0.25">
      <c r="A58">
        <v>18</v>
      </c>
      <c r="B58">
        <f t="shared" ref="B58" si="22">B27</f>
        <v>135000</v>
      </c>
      <c r="C58">
        <f t="shared" ref="C58:D58" si="23">C27</f>
        <v>900</v>
      </c>
      <c r="D58">
        <f t="shared" si="23"/>
        <v>135900</v>
      </c>
      <c r="E58">
        <f t="shared" ref="E58" si="24">E27</f>
        <v>0</v>
      </c>
    </row>
    <row r="60" spans="1:5" x14ac:dyDescent="0.25">
      <c r="B60" t="s">
        <v>15</v>
      </c>
      <c r="C60" s="3">
        <f>IRR(D46:D58)*12</f>
        <v>4.7365891923302428E-2</v>
      </c>
    </row>
    <row r="62" spans="1:5" x14ac:dyDescent="0.25">
      <c r="A62" s="15" t="s">
        <v>45</v>
      </c>
    </row>
    <row r="63" spans="1:5" x14ac:dyDescent="0.25">
      <c r="A63" t="s">
        <v>60</v>
      </c>
      <c r="B63">
        <v>2000</v>
      </c>
    </row>
    <row r="64" spans="1:5" x14ac:dyDescent="0.25">
      <c r="A64" t="s">
        <v>46</v>
      </c>
      <c r="B64">
        <v>6</v>
      </c>
      <c r="C64" t="s">
        <v>61</v>
      </c>
    </row>
    <row r="65" spans="1:4" x14ac:dyDescent="0.25">
      <c r="A65" t="s">
        <v>62</v>
      </c>
      <c r="B65">
        <v>2</v>
      </c>
      <c r="C65" t="s">
        <v>47</v>
      </c>
    </row>
    <row r="66" spans="1:4" x14ac:dyDescent="0.25">
      <c r="A66" t="s">
        <v>26</v>
      </c>
    </row>
    <row r="67" spans="1:4" x14ac:dyDescent="0.25">
      <c r="A67" t="s">
        <v>63</v>
      </c>
      <c r="B67">
        <v>60</v>
      </c>
    </row>
    <row r="69" spans="1:4" x14ac:dyDescent="0.25">
      <c r="A69" t="s">
        <v>64</v>
      </c>
      <c r="B69" t="s">
        <v>56</v>
      </c>
      <c r="C69" t="s">
        <v>46</v>
      </c>
      <c r="D69" t="s">
        <v>57</v>
      </c>
    </row>
    <row r="70" spans="1:4" x14ac:dyDescent="0.25">
      <c r="A70">
        <v>0</v>
      </c>
    </row>
    <row r="71" spans="1:4" x14ac:dyDescent="0.25">
      <c r="A71">
        <v>1</v>
      </c>
      <c r="C71">
        <f>$B$64*$B$63</f>
        <v>12000</v>
      </c>
      <c r="D71">
        <f>SUM(B71:C71)</f>
        <v>12000</v>
      </c>
    </row>
    <row r="72" spans="1:4" x14ac:dyDescent="0.25">
      <c r="A72">
        <v>2</v>
      </c>
      <c r="C72">
        <f t="shared" ref="C72:C74" si="25">$B$64*$B$63</f>
        <v>12000</v>
      </c>
      <c r="D72">
        <f t="shared" ref="D72:D74" si="26">SUM(B72:C72)</f>
        <v>12000</v>
      </c>
    </row>
    <row r="73" spans="1:4" x14ac:dyDescent="0.25">
      <c r="A73">
        <v>3</v>
      </c>
      <c r="C73">
        <f t="shared" si="25"/>
        <v>12000</v>
      </c>
      <c r="D73">
        <f t="shared" si="26"/>
        <v>12000</v>
      </c>
    </row>
    <row r="74" spans="1:4" x14ac:dyDescent="0.25">
      <c r="A74">
        <v>4</v>
      </c>
      <c r="B74">
        <f>B63*B67</f>
        <v>120000</v>
      </c>
      <c r="C74">
        <f t="shared" si="25"/>
        <v>12000</v>
      </c>
      <c r="D74">
        <f t="shared" si="26"/>
        <v>132000</v>
      </c>
    </row>
    <row r="76" spans="1:4" x14ac:dyDescent="0.25">
      <c r="A76" t="s">
        <v>65</v>
      </c>
      <c r="B76" s="6">
        <f>NPV(12%/2,D71:D74)</f>
        <v>136632.50694095829</v>
      </c>
    </row>
    <row r="77" spans="1:4" x14ac:dyDescent="0.25">
      <c r="A7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CCA</vt:lpstr>
      <vt:lpstr>Mariposa</vt:lpstr>
      <vt:lpstr>Inversiones diversas</vt:lpstr>
      <vt:lpstr>Opciones increibles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2021-01-26T16:00:26Z</dcterms:modified>
</cp:coreProperties>
</file>