
<file path=[Content_Types].xml><?xml version="1.0" encoding="utf-8"?>
<Types xmlns="http://schemas.openxmlformats.org/package/2006/content-types">
  <Default Extension="jpeg" ContentType="image/jpeg"/>
  <Default Extension="JPG" ContentType="image/.jpg"/>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5" activeTab="4"/>
  </bookViews>
  <sheets>
    <sheet name="Cover" sheetId="60" r:id="rId1"/>
    <sheet name="Formulation" sheetId="99" r:id="rId2"/>
    <sheet name="In-Life" sheetId="108" r:id="rId3"/>
    <sheet name="Bioanalysis" sheetId="26" r:id="rId4"/>
    <sheet name="HW356054" sheetId="97" r:id="rId5"/>
    <sheet name="Raw Data" sheetId="95" r:id="rId6"/>
    <sheet name="Setting" sheetId="96" state="hidden" r:id="rId7"/>
  </sheets>
  <definedNames>
    <definedName name="_xlnm._FilterDatabase" localSheetId="5" hidden="1">'Raw Data'!#REF!</definedName>
    <definedName name="_xlnm._FilterDatabase" localSheetId="6" hidden="1">Setting!#REF!</definedName>
    <definedName name="OLE_LINK15" localSheetId="3">Bioanalysis!$C$15</definedName>
    <definedName name="_xlnm.Print_Area" localSheetId="0">Cover!$A$1:$M$59</definedName>
    <definedName name="_xlnm.Print_Area" localSheetId="4">'HW356054'!$E$1:$M$25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<sst xmlns="http://schemas.openxmlformats.org/spreadsheetml/2006/main" count="657" uniqueCount="370">
  <si>
    <r>
      <rPr>
        <b/>
        <sz val="21"/>
        <rFont val="Times New Roman"/>
        <charset val="134"/>
      </rPr>
      <t>3D BioOptima</t>
    </r>
    <r>
      <rPr>
        <b/>
        <sz val="16"/>
        <rFont val="Times New Roman"/>
        <charset val="134"/>
      </rPr>
      <t xml:space="preserve">                                                                             
</t>
    </r>
    <r>
      <rPr>
        <sz val="16"/>
        <rFont val="Times New Roman"/>
        <charset val="134"/>
      </rPr>
      <t xml:space="preserve"> </t>
    </r>
    <r>
      <rPr>
        <i/>
        <sz val="12"/>
        <rFont val="Times New Roman"/>
        <charset val="134"/>
      </rPr>
      <t>Quality That Matters</t>
    </r>
  </si>
  <si>
    <r>
      <rPr>
        <b/>
        <sz val="12"/>
        <rFont val="宋体"/>
        <charset val="134"/>
      </rPr>
      <t>实验项目</t>
    </r>
  </si>
  <si>
    <r>
      <rPr>
        <sz val="12"/>
        <rFont val="Times New Roman"/>
        <charset val="134"/>
      </rPr>
      <t>HW356054</t>
    </r>
    <r>
      <rPr>
        <sz val="12"/>
        <rFont val="等线"/>
        <charset val="134"/>
      </rPr>
      <t>小鼠单次给药药代动力学研究</t>
    </r>
  </si>
  <si>
    <r>
      <rPr>
        <b/>
        <sz val="12"/>
        <rFont val="宋体"/>
        <charset val="134"/>
      </rPr>
      <t>课题编号</t>
    </r>
  </si>
  <si>
    <r>
      <rPr>
        <b/>
        <sz val="12"/>
        <rFont val="宋体"/>
        <charset val="134"/>
      </rPr>
      <t>实验方案编号</t>
    </r>
  </si>
  <si>
    <t>3D_PN322819</t>
  </si>
  <si>
    <r>
      <rPr>
        <b/>
        <sz val="12"/>
        <rFont val="宋体"/>
        <charset val="134"/>
      </rPr>
      <t>化合物</t>
    </r>
  </si>
  <si>
    <r>
      <rPr>
        <b/>
        <sz val="12"/>
        <rFont val="宋体"/>
        <charset val="134"/>
      </rPr>
      <t>课题负责人</t>
    </r>
  </si>
  <si>
    <t>杨德孝</t>
  </si>
  <si>
    <r>
      <rPr>
        <b/>
        <sz val="12"/>
        <rFont val="宋体"/>
        <charset val="134"/>
      </rPr>
      <t>实验参与人员</t>
    </r>
  </si>
  <si>
    <t>冯本杰、胡长亮、梁永伟和郭芳</t>
  </si>
  <si>
    <r>
      <rPr>
        <b/>
        <sz val="12"/>
        <rFont val="宋体"/>
        <charset val="134"/>
      </rPr>
      <t>报告撰写</t>
    </r>
  </si>
  <si>
    <t>钱晨艳</t>
  </si>
  <si>
    <r>
      <rPr>
        <b/>
        <sz val="12"/>
        <rFont val="宋体"/>
        <charset val="134"/>
      </rPr>
      <t>数据质控</t>
    </r>
  </si>
  <si>
    <r>
      <rPr>
        <sz val="12"/>
        <rFont val="宋体"/>
        <charset val="134"/>
      </rPr>
      <t>程翠</t>
    </r>
  </si>
  <si>
    <r>
      <rPr>
        <b/>
        <sz val="12"/>
        <rFont val="宋体"/>
        <charset val="134"/>
      </rPr>
      <t>批准人</t>
    </r>
  </si>
  <si>
    <t>唐开阳</t>
  </si>
  <si>
    <r>
      <rPr>
        <b/>
        <sz val="12"/>
        <rFont val="宋体"/>
        <charset val="134"/>
      </rPr>
      <t>生效期</t>
    </r>
  </si>
  <si>
    <t>05-19-2025</t>
  </si>
  <si>
    <r>
      <rPr>
        <b/>
        <sz val="12"/>
        <rFont val="宋体"/>
        <charset val="134"/>
      </rPr>
      <t>实验负责方</t>
    </r>
  </si>
  <si>
    <r>
      <rPr>
        <sz val="12"/>
        <rFont val="宋体"/>
        <charset val="134"/>
      </rPr>
      <t>苏州圣苏新药开发有限公司
苏州市吴中区吴中大道</t>
    </r>
    <r>
      <rPr>
        <sz val="12"/>
        <rFont val="Times New Roman"/>
        <charset val="134"/>
      </rPr>
      <t>1338</t>
    </r>
    <r>
      <rPr>
        <sz val="12"/>
        <rFont val="宋体"/>
        <charset val="134"/>
      </rPr>
      <t>号</t>
    </r>
  </si>
  <si>
    <r>
      <rPr>
        <b/>
        <sz val="12"/>
        <rFont val="宋体"/>
        <charset val="134"/>
      </rPr>
      <t>实验委托方</t>
    </r>
  </si>
  <si>
    <r>
      <rPr>
        <sz val="12"/>
        <rFont val="宋体"/>
        <charset val="134"/>
      </rPr>
      <t>湖北生物医药产业技术研究院有限公司
武汉市东湖高新区高新大道</t>
    </r>
    <r>
      <rPr>
        <sz val="12"/>
        <rFont val="Times New Roman"/>
        <charset val="134"/>
      </rPr>
      <t>666</t>
    </r>
    <r>
      <rPr>
        <sz val="12"/>
        <rFont val="宋体"/>
        <charset val="134"/>
      </rPr>
      <t>号</t>
    </r>
    <r>
      <rPr>
        <sz val="12"/>
        <rFont val="Times New Roman"/>
        <charset val="134"/>
      </rPr>
      <t>C7</t>
    </r>
    <r>
      <rPr>
        <sz val="12"/>
        <rFont val="宋体"/>
        <charset val="134"/>
      </rPr>
      <t>栋</t>
    </r>
    <r>
      <rPr>
        <sz val="12"/>
        <rFont val="Times New Roman"/>
        <charset val="134"/>
      </rPr>
      <t>217</t>
    </r>
    <r>
      <rPr>
        <sz val="12"/>
        <rFont val="宋体"/>
        <charset val="134"/>
      </rPr>
      <t>室</t>
    </r>
  </si>
  <si>
    <t>Confidential</t>
  </si>
  <si>
    <t xml:space="preserve">制剂报告 Formulation Report </t>
  </si>
  <si>
    <t>化合物信息 Compound Information</t>
  </si>
  <si>
    <t>供试品 Compound</t>
  </si>
  <si>
    <t>批号 Lot</t>
  </si>
  <si>
    <t>游离/盐 Free/Salt</t>
  </si>
  <si>
    <t>FW</t>
  </si>
  <si>
    <t>MW</t>
  </si>
  <si>
    <t>折算系数CF</t>
  </si>
  <si>
    <t>HW356054</t>
  </si>
  <si>
    <t>HWH817-XQ-35-6054</t>
  </si>
  <si>
    <t>NA</t>
  </si>
  <si>
    <t>574.12</t>
  </si>
  <si>
    <t>1</t>
  </si>
  <si>
    <t>溶媒信息  Reagent Information</t>
  </si>
  <si>
    <t>名称 Name</t>
  </si>
  <si>
    <t>生产厂商 Manufacturer</t>
  </si>
  <si>
    <t>批号/编号 Lot No./ID</t>
  </si>
  <si>
    <t>Saline 氯化钠溶液</t>
  </si>
  <si>
    <t>安徽丰原药业股份有限公司</t>
  </si>
  <si>
    <t>1124051207</t>
  </si>
  <si>
    <t>DMA N-N-二甲基乙酰胺</t>
  </si>
  <si>
    <t>aladdin</t>
  </si>
  <si>
    <t>E2226029</t>
  </si>
  <si>
    <t>Kolliphor® HS15(Solutol HS15)</t>
  </si>
  <si>
    <t>BASF</t>
  </si>
  <si>
    <t>62863656P0</t>
  </si>
  <si>
    <t>(IG-A)给药制剂配制</t>
  </si>
  <si>
    <t>化合物 Compound ID</t>
  </si>
  <si>
    <t>处方 Formulation</t>
  </si>
  <si>
    <t>浓度 Conc. (mg/mL)</t>
  </si>
  <si>
    <t>称重 Amount (mg)</t>
  </si>
  <si>
    <t>总体积 Volume (mL)</t>
  </si>
  <si>
    <r>
      <rPr>
        <sz val="12"/>
        <rFont val="Times New Roman"/>
        <charset val="134"/>
      </rPr>
      <t>DMA:Solutol HS15:Saline</t>
    </r>
    <r>
      <rPr>
        <sz val="12"/>
        <rFont val="Times New Roman"/>
        <charset val="134"/>
      </rPr>
      <t xml:space="preserve"> </t>
    </r>
    <r>
      <rPr>
        <sz val="12"/>
        <rFont val="Times New Roman"/>
        <charset val="134"/>
      </rPr>
      <t>=</t>
    </r>
    <r>
      <rPr>
        <sz val="12"/>
        <rFont val="Times New Roman"/>
        <charset val="134"/>
      </rPr>
      <t xml:space="preserve"> </t>
    </r>
    <r>
      <rPr>
        <sz val="12"/>
        <rFont val="Times New Roman"/>
        <charset val="134"/>
      </rPr>
      <t>5</t>
    </r>
    <r>
      <rPr>
        <sz val="12"/>
        <rFont val="Times New Roman"/>
        <charset val="134"/>
      </rPr>
      <t>:</t>
    </r>
    <r>
      <rPr>
        <sz val="12"/>
        <rFont val="Times New Roman"/>
        <charset val="134"/>
      </rPr>
      <t>10</t>
    </r>
    <r>
      <rPr>
        <sz val="12"/>
        <rFont val="Times New Roman"/>
        <charset val="134"/>
      </rPr>
      <t>:</t>
    </r>
    <r>
      <rPr>
        <sz val="12"/>
        <rFont val="Times New Roman"/>
        <charset val="134"/>
      </rPr>
      <t xml:space="preserve">85 </t>
    </r>
    <r>
      <rPr>
        <sz val="12"/>
        <rFont val="Times New Roman"/>
        <charset val="134"/>
      </rPr>
      <t>(</t>
    </r>
    <r>
      <rPr>
        <sz val="12"/>
        <rFont val="Times New Roman"/>
        <charset val="134"/>
      </rPr>
      <t>v</t>
    </r>
    <r>
      <rPr>
        <sz val="12"/>
        <rFont val="Times New Roman"/>
        <charset val="134"/>
      </rPr>
      <t>/</t>
    </r>
    <r>
      <rPr>
        <sz val="12"/>
        <rFont val="Times New Roman"/>
        <charset val="134"/>
      </rPr>
      <t>v</t>
    </r>
    <r>
      <rPr>
        <sz val="12"/>
        <rFont val="Times New Roman"/>
        <charset val="134"/>
      </rPr>
      <t>/</t>
    </r>
    <r>
      <rPr>
        <sz val="12"/>
        <rFont val="Times New Roman"/>
        <charset val="134"/>
      </rPr>
      <t>v)</t>
    </r>
  </si>
  <si>
    <t>2.53</t>
  </si>
  <si>
    <t>2.530</t>
  </si>
  <si>
    <t>配制日期 Preparation Date:</t>
  </si>
  <si>
    <t xml:space="preserve">配制方法 Actual Procedure: </t>
  </si>
  <si>
    <t>1.加入0.127 mL DMA，涡旋，溶解。
2.加入0.253 mL 水浴融化的Kolliphor® HS15(Solutol HS15)，涡旋混匀。
3.加入2.151 mL Saline，涡旋混匀，静置5 min，析出混悬。</t>
  </si>
  <si>
    <t>结论 Conclusion</t>
  </si>
  <si>
    <t>滤膜/Filter</t>
  </si>
  <si>
    <t>结果观察 Result</t>
  </si>
  <si>
    <t xml:space="preserve">留样 Volume (mL) </t>
  </si>
  <si>
    <t>注释 Comments</t>
  </si>
  <si>
    <t>微粉色混悬液</t>
  </si>
  <si>
    <t>0.2</t>
  </si>
  <si>
    <t>HW356054的剂量准确度</t>
  </si>
  <si>
    <t>分析日期 Analyse Date:</t>
  </si>
  <si>
    <t>样品制备 Sample Preparation：</t>
  </si>
  <si>
    <t>05-15-2025-HW356054-SS1</t>
  </si>
  <si>
    <r>
      <rPr>
        <sz val="12"/>
        <rFont val="Times New Roman"/>
        <charset val="134"/>
      </rPr>
      <t xml:space="preserve">1. </t>
    </r>
    <r>
      <rPr>
        <sz val="12"/>
        <rFont val="宋体"/>
        <charset val="134"/>
      </rPr>
      <t>移取</t>
    </r>
    <r>
      <rPr>
        <sz val="12"/>
        <rFont val="Times New Roman"/>
        <charset val="134"/>
      </rPr>
      <t>100 μL</t>
    </r>
    <r>
      <rPr>
        <sz val="12"/>
        <rFont val="宋体"/>
        <charset val="134"/>
      </rPr>
      <t>处理液</t>
    </r>
    <r>
      <rPr>
        <sz val="12"/>
        <rFont val="Times New Roman"/>
        <charset val="134"/>
      </rPr>
      <t xml:space="preserve"> / </t>
    </r>
    <r>
      <rPr>
        <sz val="12"/>
        <rFont val="宋体"/>
        <charset val="134"/>
      </rPr>
      <t>加入</t>
    </r>
    <r>
      <rPr>
        <sz val="12"/>
        <rFont val="Times New Roman"/>
        <charset val="134"/>
      </rPr>
      <t>900 μL</t>
    </r>
    <r>
      <rPr>
        <sz val="12"/>
        <rFont val="宋体"/>
        <charset val="134"/>
      </rPr>
      <t>稀释液</t>
    </r>
    <r>
      <rPr>
        <sz val="12"/>
        <rFont val="Times New Roman"/>
        <charset val="134"/>
      </rPr>
      <t>D1</t>
    </r>
    <r>
      <rPr>
        <sz val="12"/>
        <rFont val="宋体"/>
        <charset val="134"/>
      </rPr>
      <t>至</t>
    </r>
    <r>
      <rPr>
        <sz val="12"/>
        <rFont val="Times New Roman"/>
        <charset val="134"/>
      </rPr>
      <t>100 μg/mL</t>
    </r>
    <r>
      <rPr>
        <sz val="12"/>
        <rFont val="宋体"/>
        <charset val="134"/>
      </rPr>
      <t>，涡旋，超声</t>
    </r>
    <r>
      <rPr>
        <sz val="12"/>
        <rFont val="Times New Roman"/>
        <charset val="134"/>
      </rPr>
      <t>5 min</t>
    </r>
    <r>
      <rPr>
        <sz val="12"/>
        <rFont val="宋体"/>
        <charset val="134"/>
      </rPr>
      <t>；</t>
    </r>
  </si>
  <si>
    <t>IG-A</t>
  </si>
  <si>
    <t>所有样品处理后，离心 8000 rpm  6 min；取上清液200 μL用于HPLC分析。</t>
  </si>
  <si>
    <t>稀释液D1：ACN:H2O(1:1)</t>
  </si>
  <si>
    <t>液相条件 HPLC Conditions:</t>
  </si>
  <si>
    <t>液相编号 LC ID</t>
  </si>
  <si>
    <t>EQ-HPLC-002</t>
  </si>
  <si>
    <t>检测器 Detector</t>
  </si>
  <si>
    <t>Agilent DAD</t>
  </si>
  <si>
    <t>Time（min）</t>
  </si>
  <si>
    <t>Ratio-B（%）</t>
  </si>
  <si>
    <t>色谱柱信息 Column Info</t>
  </si>
  <si>
    <t>50-321/Waters XBridge C18 3.5μm 2.1×50 mm</t>
  </si>
  <si>
    <t>0.20
2.50
3.50
4.00
6.00</t>
  </si>
  <si>
    <t>5
90
90
5
stop</t>
  </si>
  <si>
    <t>流动相A Mobile Phase A</t>
  </si>
  <si>
    <t>H2O (0.1% Formic Acid)</t>
  </si>
  <si>
    <t>流速 Flow(mL/min)</t>
  </si>
  <si>
    <t>0.8</t>
  </si>
  <si>
    <t>流动相B Mobile Phase B</t>
  </si>
  <si>
    <t>ACN (0.1% Formic Acid)</t>
  </si>
  <si>
    <t>进样量 Inj Volume(μL)</t>
  </si>
  <si>
    <t>5</t>
  </si>
  <si>
    <t>波长 Wavelength(nm)</t>
  </si>
  <si>
    <t>254</t>
  </si>
  <si>
    <t>柱温 Column Temp(℃)</t>
  </si>
  <si>
    <t>30</t>
  </si>
  <si>
    <t>数据评估Data Evaluation</t>
  </si>
  <si>
    <t>保留时间
Retention Time （min）</t>
  </si>
  <si>
    <t>样品名称 ID</t>
  </si>
  <si>
    <t>标示浓度
Nominal Conc.(µg/mL)</t>
  </si>
  <si>
    <t>峰面积Area</t>
  </si>
  <si>
    <t>分析浓度Actual Conc.
(μg/mL)</t>
  </si>
  <si>
    <t>相对偏差 RD(%)</t>
  </si>
  <si>
    <t>3.3</t>
  </si>
  <si>
    <t>100</t>
  </si>
  <si>
    <t>856</t>
  </si>
  <si>
    <t>0</t>
  </si>
  <si>
    <t>883.4</t>
  </si>
  <si>
    <t>103.2</t>
  </si>
  <si>
    <t>3.2</t>
  </si>
  <si>
    <t>实验设计</t>
  </si>
  <si>
    <t>组别</t>
  </si>
  <si>
    <t>动物编号
（动物ID）</t>
  </si>
  <si>
    <t>性别</t>
  </si>
  <si>
    <t>化合物</t>
  </si>
  <si>
    <t>动物只数</t>
  </si>
  <si>
    <t>给药途径</t>
  </si>
  <si>
    <t>给药剂量
(mg/kg)</t>
  </si>
  <si>
    <t>制剂浓度
(mg/mL)</t>
  </si>
  <si>
    <t>给药体积
(mL/kg)</t>
  </si>
  <si>
    <t xml:space="preserve">采样时间点 </t>
  </si>
  <si>
    <t>A</t>
  </si>
  <si>
    <t>A1</t>
  </si>
  <si>
    <t>雄</t>
  </si>
  <si>
    <t>HW356054
/HWH817-XQ-35-6054</t>
  </si>
  <si>
    <t>灌胃</t>
  </si>
  <si>
    <t>10</t>
  </si>
  <si>
    <t>给药后0.25、0.5、1、2、4、8、10、24 h。</t>
  </si>
  <si>
    <t>A2</t>
  </si>
  <si>
    <t>A3</t>
  </si>
  <si>
    <t>动物信息</t>
  </si>
  <si>
    <t>ICR(CD-1)，雄，n = 3，33.4-35.7 g，购买于维通利华实验动物技术有限公司。
动物质量合格证号：20250423Abzz06190000328。</t>
  </si>
  <si>
    <t>动物饮食状态</t>
  </si>
  <si>
    <t>所有动物给药前禁食，禁食时间不少于12 h，于给药后4 h恢复给食，保持所有动物在实验过程中均可自由饮水。</t>
  </si>
  <si>
    <t>样品收集</t>
  </si>
  <si>
    <r>
      <rPr>
        <sz val="12"/>
        <rFont val="宋体"/>
        <charset val="134"/>
      </rPr>
      <t>实验当天，分别于各设定时间点经由眼眶采血</t>
    </r>
    <r>
      <rPr>
        <sz val="12"/>
        <rFont val="Times New Roman"/>
        <charset val="134"/>
      </rPr>
      <t>60 μL</t>
    </r>
    <r>
      <rPr>
        <sz val="12"/>
        <rFont val="宋体"/>
        <charset val="134"/>
      </rPr>
      <t>，全血样品置于含</t>
    </r>
    <r>
      <rPr>
        <sz val="12"/>
        <rFont val="Times New Roman"/>
        <charset val="134"/>
      </rPr>
      <t>EDTA-K</t>
    </r>
    <r>
      <rPr>
        <vertAlign val="subscript"/>
        <sz val="12"/>
        <rFont val="Times New Roman"/>
        <charset val="134"/>
      </rPr>
      <t>2</t>
    </r>
    <r>
      <rPr>
        <sz val="12"/>
        <rFont val="宋体"/>
        <charset val="134"/>
      </rPr>
      <t>的抗凝管中。</t>
    </r>
  </si>
  <si>
    <t>样品处理</t>
  </si>
  <si>
    <r>
      <rPr>
        <sz val="12"/>
        <rFont val="宋体"/>
        <charset val="134"/>
      </rPr>
      <t>全血样品于</t>
    </r>
    <r>
      <rPr>
        <sz val="12"/>
        <rFont val="Times New Roman"/>
        <charset val="134"/>
      </rPr>
      <t>1500 g</t>
    </r>
    <r>
      <rPr>
        <sz val="12"/>
        <rFont val="宋体"/>
        <charset val="134"/>
      </rPr>
      <t>，</t>
    </r>
    <r>
      <rPr>
        <sz val="12"/>
        <rFont val="Times New Roman"/>
        <charset val="134"/>
      </rPr>
      <t>4 °C</t>
    </r>
    <r>
      <rPr>
        <sz val="12"/>
        <rFont val="宋体"/>
        <charset val="134"/>
      </rPr>
      <t>离心</t>
    </r>
    <r>
      <rPr>
        <sz val="12"/>
        <rFont val="Times New Roman"/>
        <charset val="134"/>
      </rPr>
      <t>10 min</t>
    </r>
    <r>
      <rPr>
        <sz val="12"/>
        <rFont val="宋体"/>
        <charset val="134"/>
      </rPr>
      <t>分离血浆，收集上层血浆样品至样品管中。</t>
    </r>
  </si>
  <si>
    <t>溶血检查</t>
  </si>
  <si>
    <t>未发现溶血现象。</t>
  </si>
  <si>
    <t>临床观察</t>
  </si>
  <si>
    <t>未发现明显临床异常。</t>
  </si>
  <si>
    <t>样品储存和处理</t>
  </si>
  <si>
    <r>
      <rPr>
        <sz val="12"/>
        <rFont val="宋体"/>
        <charset val="134"/>
      </rPr>
      <t>生物样品于</t>
    </r>
    <r>
      <rPr>
        <sz val="12"/>
        <rFont val="Times New Roman"/>
        <charset val="134"/>
      </rPr>
      <t>-40~-20 °C</t>
    </r>
    <r>
      <rPr>
        <sz val="12"/>
        <rFont val="宋体"/>
        <charset val="134"/>
      </rPr>
      <t>条件保存待分析。
本实验获得的生物样品将在测定结束后保存在</t>
    </r>
    <r>
      <rPr>
        <sz val="12"/>
        <rFont val="Times New Roman"/>
        <charset val="134"/>
      </rPr>
      <t>-40</t>
    </r>
    <r>
      <rPr>
        <sz val="12"/>
        <rFont val="宋体"/>
        <charset val="134"/>
      </rPr>
      <t>至</t>
    </r>
    <r>
      <rPr>
        <sz val="12"/>
        <rFont val="Times New Roman"/>
        <charset val="134"/>
      </rPr>
      <t>-20 °C</t>
    </r>
    <r>
      <rPr>
        <sz val="12"/>
        <rFont val="宋体"/>
        <charset val="134"/>
      </rPr>
      <t>冰箱中，保存期限为两个月。</t>
    </r>
  </si>
  <si>
    <t>数据保存</t>
  </si>
  <si>
    <t>实验过程中所涉及的原始记录、原始图谱、实验报告册、票据、技术资料和总结均保存在苏州圣苏新药开发有限公司，保存时间为6年。</t>
  </si>
  <si>
    <t>Analytical Method</t>
  </si>
  <si>
    <t>Instrument</t>
  </si>
  <si>
    <t>Triple Quad 5500: LC-MS-MS-020)</t>
  </si>
  <si>
    <t>Matrix</t>
  </si>
  <si>
    <t>Analyte(s)</t>
  </si>
  <si>
    <t>Internal standard(s)</t>
  </si>
  <si>
    <t>Diclofenac</t>
  </si>
  <si>
    <t>MS conditions</t>
  </si>
  <si>
    <t>Positive, ESI</t>
  </si>
  <si>
    <t>MRM Detection</t>
  </si>
  <si>
    <t>Analyte: m/z 575.2/302.1</t>
  </si>
  <si>
    <t>IS: m/z 296.0/215.1</t>
  </si>
  <si>
    <t>HPLC conditions</t>
  </si>
  <si>
    <t>Mobile Phase</t>
  </si>
  <si>
    <r>
      <rPr>
        <sz val="12"/>
        <rFont val="Times New Roman"/>
        <charset val="134"/>
      </rPr>
      <t>Mobile Phase A: Water (0.1% Formic Acid + 5 mM NH</t>
    </r>
    <r>
      <rPr>
        <vertAlign val="subscript"/>
        <sz val="12"/>
        <rFont val="Times New Roman"/>
        <charset val="134"/>
      </rPr>
      <t>4</t>
    </r>
    <r>
      <rPr>
        <sz val="12"/>
        <rFont val="Times New Roman"/>
        <charset val="134"/>
      </rPr>
      <t>OAc)</t>
    </r>
  </si>
  <si>
    <t>Mobile Phase B: ACN (0.1% Formic Acid)</t>
  </si>
  <si>
    <t>Time (min)</t>
  </si>
  <si>
    <t xml:space="preserve"> Mobile phase B (%)</t>
  </si>
  <si>
    <t>Stop</t>
  </si>
  <si>
    <t>Column: Agilent ZORBAX XDB-C18, 5.0 μm, 2.1×50 mm</t>
  </si>
  <si>
    <t>Column ID: 50-424</t>
  </si>
  <si>
    <t>Flow rate: 0.50 mL/min</t>
  </si>
  <si>
    <t>Injection Volume:</t>
  </si>
  <si>
    <t>5 μL</t>
  </si>
  <si>
    <t>Retention Time:</t>
  </si>
  <si>
    <t>Representative Chromatography</t>
  </si>
  <si>
    <t>Sample preparation</t>
  </si>
  <si>
    <r>
      <rPr>
        <b/>
        <sz val="12"/>
        <rFont val="Times New Roman"/>
        <charset val="134"/>
      </rPr>
      <t>For plasma samples:</t>
    </r>
    <r>
      <rPr>
        <sz val="12"/>
        <rFont val="Times New Roman"/>
        <charset val="134"/>
      </rPr>
      <t xml:space="preserve">
An aliquot of 10 µL of sample was added with 200 µL ACN:MeOH(1:1) which contains of Verapamil, 1 ng/mL, Glibenclamide, 10 ng/mL, Tolbutamide, 40 ng/mL and Diclofenac, 40 ng/mL, the mixture was vortexed for 10 min, then centrifuged at 3700 rpm for 10 min. Then 70 µL of supernatant was added with 70 µL water, then vortexed for 10 min.</t>
    </r>
  </si>
  <si>
    <t>Calibration curve</t>
  </si>
  <si>
    <t>0.5-1000 ng/mL</t>
  </si>
  <si>
    <t>Sample Name</t>
  </si>
  <si>
    <t>Analytical. Conc. (ng/mL)</t>
  </si>
  <si>
    <t>Calculated Conc. (ng/mL)</t>
  </si>
  <si>
    <t>% RE</t>
  </si>
  <si>
    <t>HW356054-MC-PL-Batch1-Blank</t>
  </si>
  <si>
    <t>HW356054-MC-PL-Batch1-QC0</t>
  </si>
  <si>
    <t>HW356054-MC-PL-Batch1-Cline-0.5ng</t>
  </si>
  <si>
    <t>HW356054-MC-PL-Batch1-Cline-1ng</t>
  </si>
  <si>
    <t>HW356054-MC-PL-Batch1-Cline-2ng</t>
  </si>
  <si>
    <t>HW356054-MC-PL-Batch1-Cline-5ng</t>
  </si>
  <si>
    <t>HW356054-MC-PL-Batch1-Cline-20ng</t>
  </si>
  <si>
    <t>HW356054-MC-PL-Batch1-Cline-100ng</t>
  </si>
  <si>
    <t>*HW356054-MC-PL-Batch1-Cline-500ng</t>
  </si>
  <si>
    <t>HW356054-MC-PL-Batch1-Cline-1000ng</t>
  </si>
  <si>
    <t>**HW356054-MC-PL-Batch1-LQC-1</t>
  </si>
  <si>
    <t>HW356054-MC-PL-Batch1-MQC-1</t>
  </si>
  <si>
    <t>HW356054-MC-PL-Batch1-HQC-1</t>
  </si>
  <si>
    <t>HW356054-MC-PL-Batch1-LQC-2</t>
  </si>
  <si>
    <t>HW356054-MC-PL-Batch1-MQC-2</t>
  </si>
  <si>
    <t>HW356054-MC-PL-Batch1-HQC-2</t>
  </si>
  <si>
    <t>Note: *Sample does not meet the acceptance criteria so it is excluded from linear fitting.</t>
  </si>
  <si>
    <t xml:space="preserve">                 **%RE of the sample is beyond ±15.0% but at least two thirds of QC samples meet the acceptance criteria.</t>
  </si>
  <si>
    <t>Diluted Factor</t>
  </si>
  <si>
    <t>Analytical. Conc. 
(ng/mL)</t>
  </si>
  <si>
    <t>Calculated Conc. 
(ng/mL)</t>
  </si>
  <si>
    <t>RE (%)</t>
  </si>
  <si>
    <t>Dose</t>
  </si>
  <si>
    <t xml:space="preserve">Sampling </t>
  </si>
  <si>
    <t>Concentration</t>
  </si>
  <si>
    <t>Mean</t>
  </si>
  <si>
    <t>SD</t>
  </si>
  <si>
    <t>CV (%)</t>
  </si>
  <si>
    <r>
      <rPr>
        <sz val="12"/>
        <rFont val="Times New Roman"/>
        <charset val="134"/>
      </rPr>
      <t>(mg/kg</t>
    </r>
    <r>
      <rPr>
        <sz val="12"/>
        <rFont val="Times New Roman"/>
        <charset val="134"/>
      </rPr>
      <t>)</t>
    </r>
  </si>
  <si>
    <t>route</t>
  </si>
  <si>
    <t>time</t>
  </si>
  <si>
    <t>(ng/mL)</t>
  </si>
  <si>
    <t>(h)</t>
  </si>
  <si>
    <t>HW356054-MC-PL-Batch1-IG-A1-0.25h</t>
  </si>
  <si>
    <t>HW356054-MC-PL-Batch1-IG-A2-0.25h</t>
  </si>
  <si>
    <t>HW356054-MC-PL-Batch1-IG-A3-0.25h</t>
  </si>
  <si>
    <t>HW356054-MC-PL-Batch1-IG-A1-0.5h</t>
  </si>
  <si>
    <t>HW356054-MC-PL-Batch1-IG-A2-0.5h</t>
  </si>
  <si>
    <t>HW356054-MC-PL-Batch1-IG-A3-0.5h</t>
  </si>
  <si>
    <t>HW356054-MC-PL-Batch1-IG-A1-1h</t>
  </si>
  <si>
    <t>HW356054-MC-PL-Batch1-IG-A2-1h</t>
  </si>
  <si>
    <t>HW356054-MC-PL-Batch1-IG-A3-1h</t>
  </si>
  <si>
    <t>HW356054-MC-PL-Batch1-IG-A1-2h</t>
  </si>
  <si>
    <t>HW356054-MC-PL-Batch1-IG-A2-2h</t>
  </si>
  <si>
    <t>HW356054-MC-PL-Batch1-IG-A3-2h</t>
  </si>
  <si>
    <t>HW356054-MC-PL-Batch1-IG-A1-4h</t>
  </si>
  <si>
    <t>HW356054-MC-PL-Batch1-IG-A2-4h</t>
  </si>
  <si>
    <t>HW356054-MC-PL-Batch1-IG-A3-4h</t>
  </si>
  <si>
    <t>HW356054-MC-PL-Batch1-IG-A1-8h</t>
  </si>
  <si>
    <t>HW356054-MC-PL-Batch1-IG-A2-8h</t>
  </si>
  <si>
    <t>HW356054-MC-PL-Batch1-IG-A3-8h</t>
  </si>
  <si>
    <t>HW356054-MC-PL-Batch1-IG-A1-10h</t>
  </si>
  <si>
    <t>HW356054-MC-PL-Batch1-IG-A2-10h</t>
  </si>
  <si>
    <t>HW356054-MC-PL-Batch1-IG-A3-10h</t>
  </si>
  <si>
    <t>HW356054-MC-PL-Batch1-IG-A1-24h</t>
  </si>
  <si>
    <t>HW356054-MC-PL-Batch1-IG-A2-24h</t>
  </si>
  <si>
    <t>HW356054-MC-PL-Batch1-IG-A3-24h</t>
  </si>
  <si>
    <t>PK Parameters</t>
  </si>
  <si>
    <t xml:space="preserve">Unit </t>
  </si>
  <si>
    <t>Rsq_adjusted</t>
  </si>
  <si>
    <r>
      <rPr>
        <sz val="12"/>
        <rFont val="Times New Roman"/>
        <charset val="134"/>
      </rPr>
      <t>K</t>
    </r>
    <r>
      <rPr>
        <vertAlign val="subscript"/>
        <sz val="12"/>
        <rFont val="Times New Roman"/>
        <charset val="134"/>
      </rPr>
      <t>el</t>
    </r>
  </si>
  <si>
    <t>Lambda_z</t>
  </si>
  <si>
    <t>1/h</t>
  </si>
  <si>
    <r>
      <rPr>
        <sz val="12"/>
        <rFont val="Times New Roman"/>
        <charset val="134"/>
      </rPr>
      <t>T</t>
    </r>
    <r>
      <rPr>
        <vertAlign val="subscript"/>
        <sz val="12"/>
        <rFont val="Times New Roman"/>
        <charset val="134"/>
      </rPr>
      <t>1/2</t>
    </r>
  </si>
  <si>
    <t>HL_Lambda_z</t>
  </si>
  <si>
    <t>h</t>
  </si>
  <si>
    <r>
      <rPr>
        <sz val="12"/>
        <rFont val="Times New Roman"/>
        <charset val="134"/>
      </rPr>
      <t>T</t>
    </r>
    <r>
      <rPr>
        <vertAlign val="subscript"/>
        <sz val="12"/>
        <rFont val="Times New Roman"/>
        <charset val="134"/>
      </rPr>
      <t>max</t>
    </r>
  </si>
  <si>
    <r>
      <rPr>
        <sz val="12"/>
        <rFont val="Times New Roman"/>
        <charset val="134"/>
      </rPr>
      <t>C</t>
    </r>
    <r>
      <rPr>
        <vertAlign val="subscript"/>
        <sz val="12"/>
        <rFont val="Times New Roman"/>
        <charset val="134"/>
      </rPr>
      <t>max</t>
    </r>
  </si>
  <si>
    <t>ng/mL</t>
  </si>
  <si>
    <r>
      <rPr>
        <sz val="12"/>
        <rFont val="Times New Roman"/>
        <charset val="134"/>
      </rPr>
      <t>AUC</t>
    </r>
    <r>
      <rPr>
        <vertAlign val="subscript"/>
        <sz val="12"/>
        <rFont val="Times New Roman"/>
        <charset val="134"/>
      </rPr>
      <t>0-t</t>
    </r>
  </si>
  <si>
    <t>ng·h/mL</t>
  </si>
  <si>
    <r>
      <rPr>
        <sz val="12"/>
        <rFont val="Times New Roman"/>
        <charset val="134"/>
      </rPr>
      <t>AUC</t>
    </r>
    <r>
      <rPr>
        <vertAlign val="subscript"/>
        <sz val="12"/>
        <rFont val="Times New Roman"/>
        <charset val="134"/>
      </rPr>
      <t>0-inf</t>
    </r>
  </si>
  <si>
    <t>NR</t>
  </si>
  <si>
    <r>
      <rPr>
        <sz val="12"/>
        <rFont val="Times New Roman"/>
        <charset val="134"/>
      </rPr>
      <t>MRT</t>
    </r>
    <r>
      <rPr>
        <vertAlign val="subscript"/>
        <sz val="12"/>
        <rFont val="Times New Roman"/>
        <charset val="134"/>
      </rPr>
      <t>0-t</t>
    </r>
  </si>
  <si>
    <t>MRTlast</t>
  </si>
  <si>
    <r>
      <rPr>
        <sz val="12"/>
        <rFont val="Times New Roman"/>
        <charset val="134"/>
      </rPr>
      <t>MRT</t>
    </r>
    <r>
      <rPr>
        <vertAlign val="subscript"/>
        <sz val="12"/>
        <rFont val="Times New Roman"/>
        <charset val="134"/>
      </rPr>
      <t>0-inf</t>
    </r>
  </si>
  <si>
    <t>MRTINF_obs</t>
  </si>
  <si>
    <t>Graph</t>
  </si>
  <si>
    <t>Note:</t>
  </si>
  <si>
    <t>2) PK parameters were estimated by non-compartmental model using WinNonlin 8.3.</t>
  </si>
  <si>
    <t>3) NA = Not Applicable.</t>
  </si>
  <si>
    <t>4) NR = Not Reportable.</t>
  </si>
  <si>
    <t>Peak Name: Dic</t>
  </si>
  <si>
    <t>Use as Internal Standard</t>
  </si>
  <si>
    <t>Q1/Q3 Masses: 296.00/215.10 Da</t>
  </si>
  <si>
    <t>Peak Name: HW356054</t>
  </si>
  <si>
    <t>Internal Standard: Dic</t>
  </si>
  <si>
    <t>Q1/Q3 Masses: 575.20/302.10 Da</t>
  </si>
  <si>
    <t>Fit</t>
  </si>
  <si>
    <t>Linear</t>
  </si>
  <si>
    <t>Weighting</t>
  </si>
  <si>
    <t>1  / (x * x)</t>
  </si>
  <si>
    <t>Iterate</t>
  </si>
  <si>
    <t>No</t>
  </si>
  <si>
    <t>Intercept</t>
  </si>
  <si>
    <t>Slope</t>
  </si>
  <si>
    <t>Correlation coefficient</t>
  </si>
  <si>
    <t>Use Area</t>
  </si>
  <si>
    <t>Sample Type</t>
  </si>
  <si>
    <t>Analyte Concentration (ng/mL)</t>
  </si>
  <si>
    <t>Dilution Factor</t>
  </si>
  <si>
    <t>Analyte Peak Area (counts)</t>
  </si>
  <si>
    <t>IS Peak Area (counts)</t>
  </si>
  <si>
    <t>Area Ratio</t>
  </si>
  <si>
    <t>Use Record</t>
  </si>
  <si>
    <t>Record Modified</t>
  </si>
  <si>
    <t>Calculated Concentration (ng/mL)</t>
  </si>
  <si>
    <t>Accuracy (%)</t>
  </si>
  <si>
    <t>Vial Position</t>
  </si>
  <si>
    <t>Plate Position</t>
  </si>
  <si>
    <t>Acquisition Date</t>
  </si>
  <si>
    <t>Analyte Retention Time (min)</t>
  </si>
  <si>
    <t>IS Retention Time (min)</t>
  </si>
  <si>
    <t>Analyte Peak Name</t>
  </si>
  <si>
    <t>IS Peak Name</t>
  </si>
  <si>
    <t>Wash</t>
  </si>
  <si>
    <t>Unknown</t>
  </si>
  <si>
    <t>N/A</t>
  </si>
  <si>
    <t>5/16/2025 10:32:51 PM</t>
  </si>
  <si>
    <t>Dic</t>
  </si>
  <si>
    <t>Double Blank</t>
  </si>
  <si>
    <t>5/16/2025 10:35:54 PM</t>
  </si>
  <si>
    <t>Blank</t>
  </si>
  <si>
    <t>5/16/2025 10:39:01 PM</t>
  </si>
  <si>
    <t>Standard</t>
  </si>
  <si>
    <t>5/16/2025 10:42:06 PM</t>
  </si>
  <si>
    <t>5/16/2025 10:45:09 PM</t>
  </si>
  <si>
    <t>5/16/2025 10:48:12 PM</t>
  </si>
  <si>
    <t>5/16/2025 10:51:19 PM</t>
  </si>
  <si>
    <t>HW356054-MC-PL-Batch1-CO-1</t>
  </si>
  <si>
    <t>5/16/2025 10:54:24 PM</t>
  </si>
  <si>
    <t>HW356054-MC-PL-Batch1-CO-2</t>
  </si>
  <si>
    <t>5/16/2025 10:57:27 PM</t>
  </si>
  <si>
    <t>HW356054-MC-PL-Batch1-LQC-1</t>
  </si>
  <si>
    <t>Quality Control</t>
  </si>
  <si>
    <t>5/16/2025 11:00:30 PM</t>
  </si>
  <si>
    <t>5/16/2025 11:03:35 PM</t>
  </si>
  <si>
    <t>5/16/2025 11:06:39 PM</t>
  </si>
  <si>
    <t>5/16/2025 11:09:42 PM</t>
  </si>
  <si>
    <t>5/16/2025 11:12:48 PM</t>
  </si>
  <si>
    <t>5/16/2025 11:15:51 PM</t>
  </si>
  <si>
    <t>5/16/2025 11:18:56 PM</t>
  </si>
  <si>
    <t>5/16/2025 11:21:59 PM</t>
  </si>
  <si>
    <t>5/16/2025 11:25:02 PM</t>
  </si>
  <si>
    <t>5/16/2025 11:28:07 PM</t>
  </si>
  <si>
    <t>5/16/2025 11:31:08 PM</t>
  </si>
  <si>
    <t>5/16/2025 11:34:10 PM</t>
  </si>
  <si>
    <t>5/16/2025 11:37:17 PM</t>
  </si>
  <si>
    <t>5/16/2025 11:40:20 PM</t>
  </si>
  <si>
    <t>5/16/2025 11:43:25 PM</t>
  </si>
  <si>
    <t>5/16/2025 11:46:24 PM</t>
  </si>
  <si>
    <t>5/16/2025 11:49:32 PM</t>
  </si>
  <si>
    <t>5/16/2025 11:52:33 PM</t>
  </si>
  <si>
    <t>5/16/2025 11:55:34 PM</t>
  </si>
  <si>
    <t>5/16/2025 11:58:43 PM</t>
  </si>
  <si>
    <t>5/17/2025 12:01:47 AM</t>
  </si>
  <si>
    <t>5/17/2025 12:04:54 AM</t>
  </si>
  <si>
    <t>5/17/2025 12:07:58 AM</t>
  </si>
  <si>
    <t>5/17/2025 12:11:01 AM</t>
  </si>
  <si>
    <t>5/17/2025 12:14:04 AM</t>
  </si>
  <si>
    <t>5/17/2025 12:17:08 AM</t>
  </si>
  <si>
    <t>5/17/2025 12:20:08 AM</t>
  </si>
  <si>
    <t>5/17/2025 12:23:15 AM</t>
  </si>
  <si>
    <t>5/17/2025 12:26:15 AM</t>
  </si>
  <si>
    <t>5/17/2025 12:29:20 AM</t>
  </si>
  <si>
    <t>5/17/2025 12:32:26 AM</t>
  </si>
  <si>
    <t>5/17/2025 12:35:34 AM</t>
  </si>
  <si>
    <t>5/17/2025 12:38:40 AM</t>
  </si>
  <si>
    <t>5/17/2025 12:41:44 AM</t>
  </si>
  <si>
    <t>5/17/2025 12:44:51 AM</t>
  </si>
  <si>
    <t>5/17/2025 12:47:56 AM</t>
  </si>
  <si>
    <t>HW356054-MC-PL-Batch1-Cline-500ng</t>
  </si>
  <si>
    <t>5/17/2025 12:51:02 AM</t>
  </si>
  <si>
    <t>5/17/2025 12:54:06 AM</t>
  </si>
  <si>
    <t>Study No.</t>
  </si>
  <si>
    <t>3D_SN322418</t>
  </si>
  <si>
    <t>Compound Name</t>
  </si>
  <si>
    <t>Species</t>
  </si>
  <si>
    <t>ICR Mouse</t>
  </si>
  <si>
    <t>LLOQ</t>
  </si>
  <si>
    <t xml:space="preserve"> ng/mL</t>
  </si>
  <si>
    <t>Route</t>
  </si>
  <si>
    <t>IG</t>
  </si>
  <si>
    <r>
      <rPr>
        <sz val="12"/>
        <rFont val="Times New Roman"/>
        <charset val="134"/>
      </rPr>
      <t>mg/kg</t>
    </r>
  </si>
  <si>
    <t>Sex</t>
  </si>
  <si>
    <t>Male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</si>
</sst>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
    <numFmt numFmtId="178" formatCode="0.0000"/>
    <numFmt numFmtId="179" formatCode="0.00_ "/>
    <numFmt numFmtId="180" formatCode="0_ "/>
    <numFmt numFmtId="181" formatCode="0.00_);[Red]\(0.00\)"/>
    <numFmt numFmtId="182" formatCode="0.0_ "/>
    <numFmt numFmtId="183" formatCode="mm\-dd\-yyyy"/>
  </numFmts>
  <fonts count="64">
    <font>
      <sz val="10"/>
      <name val="MS Sans Serif"/>
      <charset val="134"/>
    </font>
    <font>
      <b/>
      <sz val="12"/>
      <name val="Times New Roman"/>
      <charset val="134"/>
    </font>
    <font>
      <sz val="12"/>
      <name val="Times New Roman"/>
      <charset val="134"/>
    </font>
    <font>
      <sz val="12"/>
      <color rgb="FFFF0000"/>
      <name val="Times New Roman"/>
      <charset val="134"/>
    </font>
    <font>
      <b/>
      <sz val="12"/>
      <color rgb="FFFF0000"/>
      <name val="Times New Roman"/>
      <charset val="134"/>
    </font>
    <font>
      <sz val="12"/>
      <color indexed="8"/>
      <name val="Times New Roman"/>
      <charset val="134"/>
    </font>
    <font>
      <b/>
      <sz val="12"/>
      <color indexed="8"/>
      <name val="Times New Roman"/>
      <charset val="134"/>
    </font>
    <font>
      <b/>
      <sz val="14"/>
      <name val="Times New Roman"/>
      <charset val="134"/>
    </font>
    <font>
      <sz val="11"/>
      <color indexed="8"/>
      <name val="等线"/>
      <charset val="1"/>
    </font>
    <font>
      <sz val="9"/>
      <name val="Times New Roman"/>
      <charset val="134"/>
    </font>
    <font>
      <sz val="14"/>
      <name val="Times New Roman"/>
      <charset val="134"/>
    </font>
    <font>
      <sz val="12"/>
      <name val="宋体"/>
      <charset val="134"/>
    </font>
    <font>
      <sz val="11"/>
      <color indexed="8"/>
      <name val="宋体"/>
      <charset val="1"/>
    </font>
    <font>
      <sz val="9"/>
      <name val="SimSun"/>
      <charset val="134"/>
    </font>
    <font>
      <sz val="16"/>
      <name val="Times New Roman"/>
      <charset val="134"/>
    </font>
    <font>
      <sz val="10"/>
      <color indexed="8"/>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sz val="11"/>
      <color indexed="20"/>
      <name val="宋体"/>
      <charset val="134"/>
    </font>
    <font>
      <b/>
      <sz val="11"/>
      <color indexed="52"/>
      <name val="宋体"/>
      <charset val="134"/>
    </font>
    <font>
      <b/>
      <sz val="11"/>
      <color indexed="9"/>
      <name val="宋体"/>
      <charset val="134"/>
    </font>
    <font>
      <i/>
      <sz val="11"/>
      <color indexed="23"/>
      <name val="宋体"/>
      <charset val="134"/>
    </font>
    <font>
      <sz val="11"/>
      <color indexed="17"/>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sz val="11"/>
      <color indexed="52"/>
      <name val="宋体"/>
      <charset val="134"/>
    </font>
    <font>
      <sz val="11"/>
      <color indexed="60"/>
      <name val="宋体"/>
      <charset val="134"/>
    </font>
    <font>
      <b/>
      <sz val="11"/>
      <color indexed="63"/>
      <name val="宋体"/>
      <charset val="134"/>
    </font>
    <font>
      <b/>
      <sz val="18"/>
      <color indexed="56"/>
      <name val="宋体"/>
      <charset val="134"/>
    </font>
    <font>
      <b/>
      <sz val="11"/>
      <color indexed="8"/>
      <name val="宋体"/>
      <charset val="134"/>
    </font>
    <font>
      <sz val="11"/>
      <color indexed="10"/>
      <name val="宋体"/>
      <charset val="134"/>
    </font>
    <font>
      <sz val="11"/>
      <color indexed="20"/>
      <name val="Calibri"/>
      <charset val="134"/>
    </font>
    <font>
      <sz val="11"/>
      <color theme="1"/>
      <name val="宋体"/>
      <charset val="134"/>
    </font>
    <font>
      <sz val="8"/>
      <name val="Arial"/>
      <charset val="134"/>
    </font>
    <font>
      <sz val="11"/>
      <color theme="1"/>
      <name val="宋体"/>
      <charset val="134"/>
      <scheme val="minor"/>
    </font>
    <font>
      <sz val="11"/>
      <color indexed="17"/>
      <name val="Calibri"/>
      <charset val="134"/>
    </font>
    <font>
      <b/>
      <sz val="12"/>
      <name val="宋体"/>
      <charset val="134"/>
    </font>
    <font>
      <vertAlign val="subscript"/>
      <sz val="12"/>
      <name val="Times New Roman"/>
      <charset val="134"/>
    </font>
    <font>
      <b/>
      <sz val="21"/>
      <name val="Times New Roman"/>
      <charset val="134"/>
    </font>
    <font>
      <b/>
      <sz val="16"/>
      <name val="Times New Roman"/>
      <charset val="134"/>
    </font>
    <font>
      <i/>
      <sz val="12"/>
      <name val="Times New Roman"/>
      <charset val="134"/>
    </font>
    <font>
      <sz val="12"/>
      <name val="等线"/>
      <charset val="134"/>
    </font>
  </fonts>
  <fills count="61">
    <fill>
      <patternFill patternType="none"/>
    </fill>
    <fill>
      <patternFill patternType="gray125"/>
    </fill>
    <fill>
      <patternFill patternType="solid">
        <fgColor rgb="FF92D050"/>
        <bgColor indexed="64"/>
      </patternFill>
    </fill>
    <fill>
      <patternFill patternType="solid">
        <fgColor theme="6" tint="0.799981688894314"/>
        <bgColor indexed="64"/>
      </patternFill>
    </fill>
    <fill>
      <patternFill patternType="solid">
        <fgColor rgb="FFFFFFFF"/>
        <bgColor rgb="FFFFFFFF"/>
      </patternFill>
    </fill>
    <fill>
      <patternFill patternType="solid">
        <fgColor rgb="FF339966"/>
        <bgColor rgb="FF339966"/>
      </patternFill>
    </fill>
    <fill>
      <patternFill patternType="solid">
        <fgColor rgb="FFFFFFFF"/>
        <bgColor rgb="FF000000"/>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83">
    <border>
      <left/>
      <right/>
      <top/>
      <bottom/>
      <diagonal/>
    </border>
    <border>
      <left/>
      <right/>
      <top/>
      <bottom style="medium">
        <color auto="1"/>
      </bottom>
      <diagonal/>
    </border>
    <border>
      <left/>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medium">
        <color auto="1"/>
      </left>
      <right/>
      <top/>
      <bottom/>
      <diagonal/>
    </border>
    <border>
      <left/>
      <right style="thin">
        <color auto="1"/>
      </right>
      <top/>
      <bottom/>
      <diagonal/>
    </border>
    <border>
      <left style="thin">
        <color auto="1"/>
      </left>
      <right/>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medium">
        <color auto="1"/>
      </bottom>
      <diagonal/>
    </border>
    <border>
      <left/>
      <right style="medium">
        <color auto="1"/>
      </right>
      <top style="medium">
        <color auto="1"/>
      </top>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right/>
      <top style="thin">
        <color auto="1"/>
      </top>
      <bottom style="thin">
        <color auto="1"/>
      </bottom>
      <diagonal/>
    </border>
    <border>
      <left/>
      <right/>
      <top/>
      <bottom style="dashed">
        <color auto="1"/>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10">
    <xf numFmtId="0" fontId="15"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8" borderId="6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67" applyNumberFormat="0" applyFill="0" applyAlignment="0" applyProtection="0">
      <alignment vertical="center"/>
    </xf>
    <xf numFmtId="0" fontId="23" fillId="0" borderId="67" applyNumberFormat="0" applyFill="0" applyAlignment="0" applyProtection="0">
      <alignment vertical="center"/>
    </xf>
    <xf numFmtId="0" fontId="24" fillId="0" borderId="68" applyNumberFormat="0" applyFill="0" applyAlignment="0" applyProtection="0">
      <alignment vertical="center"/>
    </xf>
    <xf numFmtId="0" fontId="24" fillId="0" borderId="0" applyNumberFormat="0" applyFill="0" applyBorder="0" applyAlignment="0" applyProtection="0">
      <alignment vertical="center"/>
    </xf>
    <xf numFmtId="0" fontId="25" fillId="9" borderId="69" applyNumberFormat="0" applyAlignment="0" applyProtection="0">
      <alignment vertical="center"/>
    </xf>
    <xf numFmtId="0" fontId="26" fillId="10" borderId="70" applyNumberFormat="0" applyAlignment="0" applyProtection="0">
      <alignment vertical="center"/>
    </xf>
    <xf numFmtId="0" fontId="27" fillId="10" borderId="69" applyNumberFormat="0" applyAlignment="0" applyProtection="0">
      <alignment vertical="center"/>
    </xf>
    <xf numFmtId="0" fontId="28" fillId="11" borderId="71" applyNumberFormat="0" applyAlignment="0" applyProtection="0">
      <alignment vertical="center"/>
    </xf>
    <xf numFmtId="0" fontId="29" fillId="0" borderId="72" applyNumberFormat="0" applyFill="0" applyAlignment="0" applyProtection="0">
      <alignment vertical="center"/>
    </xf>
    <xf numFmtId="0" fontId="30" fillId="0" borderId="73" applyNumberFormat="0" applyFill="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xf numFmtId="0" fontId="15" fillId="0" borderId="0">
      <alignment vertical="top"/>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6" fillId="45"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6" fillId="42" borderId="0" applyNumberFormat="0" applyBorder="0" applyAlignment="0" applyProtection="0">
      <alignment vertical="center"/>
    </xf>
    <xf numFmtId="0" fontId="36" fillId="45" borderId="0" applyNumberFormat="0" applyBorder="0" applyAlignment="0" applyProtection="0">
      <alignment vertical="center"/>
    </xf>
    <xf numFmtId="0" fontId="36" fillId="48" borderId="0" applyNumberFormat="0" applyBorder="0" applyAlignment="0" applyProtection="0">
      <alignment vertical="center"/>
    </xf>
    <xf numFmtId="0" fontId="37" fillId="49" borderId="0" applyNumberFormat="0" applyBorder="0" applyAlignment="0" applyProtection="0">
      <alignment vertical="center"/>
    </xf>
    <xf numFmtId="0" fontId="37" fillId="46" borderId="0" applyNumberFormat="0" applyBorder="0" applyAlignment="0" applyProtection="0">
      <alignment vertical="center"/>
    </xf>
    <xf numFmtId="0" fontId="37" fillId="47" borderId="0" applyNumberFormat="0" applyBorder="0" applyAlignment="0" applyProtection="0">
      <alignment vertical="center"/>
    </xf>
    <xf numFmtId="0" fontId="37" fillId="50" borderId="0" applyNumberFormat="0" applyBorder="0" applyAlignment="0" applyProtection="0">
      <alignment vertical="center"/>
    </xf>
    <xf numFmtId="0" fontId="37" fillId="51"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54" borderId="0" applyNumberFormat="0" applyBorder="0" applyAlignment="0" applyProtection="0">
      <alignment vertical="center"/>
    </xf>
    <xf numFmtId="0" fontId="37" fillId="55" borderId="0" applyNumberFormat="0" applyBorder="0" applyAlignment="0" applyProtection="0">
      <alignment vertical="center"/>
    </xf>
    <xf numFmtId="0" fontId="37" fillId="50" borderId="0" applyNumberFormat="0" applyBorder="0" applyAlignment="0" applyProtection="0">
      <alignment vertical="center"/>
    </xf>
    <xf numFmtId="0" fontId="37" fillId="51" borderId="0" applyNumberFormat="0" applyBorder="0" applyAlignment="0" applyProtection="0">
      <alignment vertical="center"/>
    </xf>
    <xf numFmtId="0" fontId="37" fillId="56" borderId="0" applyNumberFormat="0" applyBorder="0" applyAlignment="0" applyProtection="0">
      <alignment vertical="center"/>
    </xf>
    <xf numFmtId="0" fontId="38" fillId="40" borderId="0" applyNumberFormat="0" applyBorder="0" applyAlignment="0" applyProtection="0">
      <alignment vertical="center"/>
    </xf>
    <xf numFmtId="0" fontId="39" fillId="57" borderId="74" applyNumberFormat="0" applyAlignment="0" applyProtection="0">
      <alignment vertical="center"/>
    </xf>
    <xf numFmtId="0" fontId="40" fillId="58" borderId="75" applyNumberFormat="0" applyAlignment="0" applyProtection="0">
      <alignment vertical="center"/>
    </xf>
    <xf numFmtId="0" fontId="41" fillId="0" borderId="0" applyNumberFormat="0" applyFill="0" applyBorder="0" applyAlignment="0" applyProtection="0">
      <alignment vertical="center"/>
    </xf>
    <xf numFmtId="0" fontId="42" fillId="41" borderId="0" applyNumberFormat="0" applyBorder="0" applyAlignment="0" applyProtection="0">
      <alignment vertical="center"/>
    </xf>
    <xf numFmtId="0" fontId="43" fillId="0" borderId="76" applyNumberFormat="0" applyFill="0" applyAlignment="0" applyProtection="0">
      <alignment vertical="center"/>
    </xf>
    <xf numFmtId="0" fontId="44" fillId="0" borderId="77" applyNumberFormat="0" applyFill="0" applyAlignment="0" applyProtection="0">
      <alignment vertical="center"/>
    </xf>
    <xf numFmtId="0" fontId="45" fillId="0" borderId="78" applyNumberFormat="0" applyFill="0" applyAlignment="0" applyProtection="0">
      <alignment vertical="center"/>
    </xf>
    <xf numFmtId="0" fontId="45" fillId="0" borderId="0" applyNumberFormat="0" applyFill="0" applyBorder="0" applyAlignment="0" applyProtection="0">
      <alignment vertical="center"/>
    </xf>
    <xf numFmtId="0" fontId="46" fillId="44" borderId="74" applyNumberFormat="0" applyAlignment="0" applyProtection="0">
      <alignment vertical="center"/>
    </xf>
    <xf numFmtId="0" fontId="47" fillId="0" borderId="79" applyNumberFormat="0" applyFill="0" applyAlignment="0" applyProtection="0">
      <alignment vertical="center"/>
    </xf>
    <xf numFmtId="0" fontId="48" fillId="59" borderId="0" applyNumberFormat="0" applyBorder="0" applyAlignment="0" applyProtection="0">
      <alignment vertical="center"/>
    </xf>
    <xf numFmtId="0" fontId="0" fillId="0" borderId="0">
      <alignment vertical="top"/>
    </xf>
    <xf numFmtId="0" fontId="0" fillId="0" borderId="0">
      <alignment vertical="top"/>
    </xf>
    <xf numFmtId="0" fontId="15" fillId="60" borderId="80" applyNumberFormat="0" applyFont="0" applyAlignment="0" applyProtection="0">
      <alignment vertical="center"/>
    </xf>
    <xf numFmtId="0" fontId="49" fillId="57" borderId="81" applyNumberFormat="0" applyAlignment="0" applyProtection="0">
      <alignment vertical="center"/>
    </xf>
    <xf numFmtId="0" fontId="50" fillId="0" borderId="0" applyNumberFormat="0" applyFill="0" applyBorder="0" applyAlignment="0" applyProtection="0">
      <alignment vertical="center"/>
    </xf>
    <xf numFmtId="0" fontId="51" fillId="0" borderId="82" applyNumberFormat="0" applyFill="0" applyAlignment="0" applyProtection="0">
      <alignment vertical="center"/>
    </xf>
    <xf numFmtId="0" fontId="52" fillId="0" borderId="0" applyNumberFormat="0" applyFill="0" applyBorder="0" applyAlignment="0" applyProtection="0">
      <alignment vertical="center"/>
    </xf>
    <xf numFmtId="0" fontId="53" fillId="40" borderId="0" applyNumberFormat="0" applyBorder="0" applyAlignment="0" applyProtection="0">
      <alignment vertical="center"/>
    </xf>
    <xf numFmtId="0" fontId="54" fillId="0" borderId="0">
      <alignment vertical="center"/>
    </xf>
    <xf numFmtId="0" fontId="55" fillId="0" borderId="0"/>
    <xf numFmtId="176" fontId="55" fillId="0" borderId="0"/>
    <xf numFmtId="0" fontId="54" fillId="0" borderId="0">
      <alignment vertical="center"/>
    </xf>
    <xf numFmtId="0" fontId="54" fillId="0" borderId="0">
      <alignment vertical="center"/>
    </xf>
    <xf numFmtId="0" fontId="11" fillId="0" borderId="0"/>
    <xf numFmtId="0" fontId="56" fillId="0" borderId="0">
      <alignment vertical="center"/>
    </xf>
    <xf numFmtId="0" fontId="56" fillId="0" borderId="0">
      <alignment vertical="center"/>
    </xf>
    <xf numFmtId="0" fontId="11" fillId="0" borderId="0"/>
    <xf numFmtId="0" fontId="36" fillId="0" borderId="0">
      <alignment vertical="center"/>
    </xf>
    <xf numFmtId="0" fontId="56" fillId="0" borderId="0"/>
    <xf numFmtId="0" fontId="36" fillId="0" borderId="0">
      <alignment vertical="center"/>
    </xf>
    <xf numFmtId="0" fontId="15" fillId="0" borderId="0"/>
    <xf numFmtId="0" fontId="15" fillId="0" borderId="0"/>
    <xf numFmtId="0" fontId="56" fillId="0" borderId="0">
      <alignment vertical="center"/>
    </xf>
    <xf numFmtId="0" fontId="57" fillId="41" borderId="0" applyNumberFormat="0" applyBorder="0" applyAlignment="0" applyProtection="0">
      <alignment vertical="center"/>
    </xf>
  </cellStyleXfs>
  <cellXfs count="269">
    <xf numFmtId="0" fontId="0" fillId="0" borderId="0" xfId="0" applyFont="1"/>
    <xf numFmtId="0" fontId="1" fillId="0" borderId="0" xfId="95" applyFont="1" applyAlignment="1">
      <alignment horizontal="left"/>
    </xf>
    <xf numFmtId="0" fontId="2" fillId="0" borderId="0" xfId="95" applyFont="1" applyAlignment="1">
      <alignment horizontal="left"/>
    </xf>
    <xf numFmtId="0" fontId="2" fillId="0" borderId="0" xfId="95" applyFont="1" applyAlignment="1">
      <alignment horizontal="left" vertical="center"/>
    </xf>
    <xf numFmtId="0" fontId="1" fillId="0" borderId="0" xfId="95"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1" xfId="95" applyFont="1" applyBorder="1" applyAlignment="1">
      <alignment horizontal="center" vertical="center"/>
    </xf>
    <xf numFmtId="0" fontId="1" fillId="0" borderId="1" xfId="95" applyFont="1" applyBorder="1" applyAlignment="1">
      <alignment horizont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2" fillId="0" borderId="0" xfId="95" applyFont="1" applyAlignment="1">
      <alignment horizontal="center" vertical="center"/>
    </xf>
    <xf numFmtId="0" fontId="2" fillId="0" borderId="0" xfId="0" applyFont="1" applyAlignment="1">
      <alignment horizontal="center"/>
    </xf>
    <xf numFmtId="11" fontId="3" fillId="0" borderId="0" xfId="0" applyNumberFormat="1" applyFont="1" applyAlignment="1">
      <alignment horizontal="left" vertical="center"/>
    </xf>
    <xf numFmtId="11" fontId="4" fillId="0" borderId="0" xfId="0" applyNumberFormat="1" applyFont="1" applyAlignment="1">
      <alignment horizontal="left" vertical="center"/>
    </xf>
    <xf numFmtId="0" fontId="5" fillId="0" borderId="0" xfId="0" applyFont="1" applyAlignment="1">
      <alignment horizontal="left" vertical="center"/>
    </xf>
    <xf numFmtId="0" fontId="5" fillId="2" borderId="0" xfId="0" applyFont="1" applyFill="1" applyAlignment="1">
      <alignment horizontal="left" vertical="center"/>
    </xf>
    <xf numFmtId="0" fontId="5" fillId="0" borderId="0" xfId="0" applyFont="1" applyAlignment="1">
      <alignment horizontal="left" vertical="center" wrapText="1"/>
    </xf>
    <xf numFmtId="0" fontId="6" fillId="2" borderId="0" xfId="0" applyFont="1" applyFill="1" applyAlignment="1">
      <alignment horizontal="left" vertical="center"/>
    </xf>
    <xf numFmtId="11" fontId="5" fillId="0" borderId="0" xfId="0" applyNumberFormat="1" applyFont="1" applyAlignment="1">
      <alignment horizontal="left" vertical="center"/>
    </xf>
    <xf numFmtId="0" fontId="2" fillId="0" borderId="0" xfId="0" applyFont="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0" xfId="0" applyFont="1" applyAlignment="1">
      <alignment horizontal="center" vertical="center" wrapText="1"/>
    </xf>
    <xf numFmtId="0" fontId="2" fillId="0" borderId="15" xfId="0" applyFont="1" applyBorder="1" applyAlignment="1">
      <alignment horizontal="center" vertical="center"/>
    </xf>
    <xf numFmtId="1" fontId="2" fillId="0" borderId="8" xfId="0" applyNumberFormat="1" applyFont="1" applyBorder="1" applyAlignment="1">
      <alignment horizontal="center" vertical="center"/>
    </xf>
    <xf numFmtId="0" fontId="2" fillId="0" borderId="16" xfId="0" applyFont="1" applyBorder="1" applyAlignment="1">
      <alignment horizontal="center" vertical="center"/>
    </xf>
    <xf numFmtId="1" fontId="2" fillId="0" borderId="11" xfId="0" applyNumberFormat="1" applyFont="1" applyBorder="1" applyAlignment="1">
      <alignment horizontal="center" vertical="center"/>
    </xf>
    <xf numFmtId="176" fontId="2" fillId="0" borderId="11" xfId="0" applyNumberFormat="1" applyFont="1" applyBorder="1" applyAlignment="1">
      <alignment horizontal="center" vertical="center"/>
    </xf>
    <xf numFmtId="0" fontId="2" fillId="0" borderId="3"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177" fontId="2" fillId="0" borderId="19"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9" xfId="0" applyFont="1" applyBorder="1" applyAlignment="1">
      <alignment horizontal="center" vertical="center" wrapText="1"/>
    </xf>
    <xf numFmtId="178" fontId="2" fillId="0" borderId="19" xfId="0" applyNumberFormat="1" applyFont="1" applyBorder="1" applyAlignment="1">
      <alignment horizontal="center" vertical="center" wrapText="1"/>
    </xf>
    <xf numFmtId="2" fontId="2" fillId="0" borderId="19" xfId="0" applyNumberFormat="1" applyFont="1" applyBorder="1" applyAlignment="1">
      <alignment horizontal="center" vertical="center" wrapText="1"/>
    </xf>
    <xf numFmtId="1" fontId="2" fillId="0" borderId="19" xfId="0" applyNumberFormat="1" applyFont="1" applyBorder="1" applyAlignment="1">
      <alignment horizontal="center" vertical="center" wrapText="1"/>
    </xf>
    <xf numFmtId="176" fontId="2" fillId="0" borderId="19" xfId="0" applyNumberFormat="1"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xf>
    <xf numFmtId="2" fontId="1" fillId="0" borderId="22" xfId="0" applyNumberFormat="1" applyFont="1" applyBorder="1" applyAlignment="1">
      <alignment horizontal="center" vertical="center" wrapText="1"/>
    </xf>
    <xf numFmtId="0" fontId="1" fillId="0" borderId="2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3" xfId="0" applyFont="1" applyBorder="1"/>
    <xf numFmtId="0" fontId="2" fillId="0" borderId="2" xfId="0" applyFont="1" applyBorder="1" applyAlignment="1">
      <alignment vertical="center"/>
    </xf>
    <xf numFmtId="0" fontId="2" fillId="0" borderId="2" xfId="0" applyFont="1" applyBorder="1"/>
    <xf numFmtId="0" fontId="1" fillId="0" borderId="9" xfId="0" applyFont="1" applyBorder="1"/>
    <xf numFmtId="0" fontId="2" fillId="0" borderId="0" xfId="0" applyFont="1" applyAlignment="1">
      <alignment vertical="center"/>
    </xf>
    <xf numFmtId="0" fontId="1" fillId="0" borderId="20" xfId="0" applyFont="1" applyBorder="1"/>
    <xf numFmtId="0" fontId="2" fillId="0" borderId="1" xfId="0" applyFont="1" applyBorder="1" applyAlignment="1">
      <alignment vertical="center"/>
    </xf>
    <xf numFmtId="0" fontId="2" fillId="0" borderId="1" xfId="0" applyFont="1" applyBorder="1"/>
    <xf numFmtId="0" fontId="1" fillId="0" borderId="28" xfId="0" applyFont="1" applyBorder="1" applyAlignment="1">
      <alignment horizontal="center" vertical="center" wrapText="1"/>
    </xf>
    <xf numFmtId="0" fontId="2" fillId="3" borderId="29" xfId="0" applyFont="1" applyFill="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3" borderId="19" xfId="0" applyFont="1" applyFill="1" applyBorder="1" applyAlignment="1">
      <alignment horizontal="center" vertical="center"/>
    </xf>
    <xf numFmtId="0" fontId="2" fillId="0" borderId="19" xfId="0" applyFont="1" applyBorder="1" applyAlignment="1">
      <alignment horizontal="center" vertical="center"/>
    </xf>
    <xf numFmtId="0" fontId="2" fillId="0" borderId="31" xfId="0" applyFont="1" applyBorder="1" applyAlignment="1">
      <alignment horizontal="center" vertical="center"/>
    </xf>
    <xf numFmtId="0" fontId="2" fillId="3" borderId="32" xfId="0" applyFont="1" applyFill="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1" fontId="2" fillId="3" borderId="19" xfId="0" applyNumberFormat="1" applyFont="1" applyFill="1" applyBorder="1" applyAlignment="1">
      <alignment horizontal="center" vertical="center"/>
    </xf>
    <xf numFmtId="176" fontId="2" fillId="0" borderId="19" xfId="0" applyNumberFormat="1" applyFont="1" applyBorder="1" applyAlignment="1">
      <alignment horizontal="center" vertical="center"/>
    </xf>
    <xf numFmtId="176" fontId="2" fillId="0" borderId="31" xfId="0" applyNumberFormat="1" applyFont="1" applyBorder="1" applyAlignment="1">
      <alignment horizontal="center" vertical="center"/>
    </xf>
    <xf numFmtId="176" fontId="2" fillId="3" borderId="19" xfId="0" applyNumberFormat="1" applyFont="1" applyFill="1" applyBorder="1" applyAlignment="1">
      <alignment horizontal="center" vertical="center"/>
    </xf>
    <xf numFmtId="2" fontId="2" fillId="0" borderId="11" xfId="0" applyNumberFormat="1" applyFont="1" applyBorder="1" applyAlignment="1">
      <alignment horizontal="center" vertical="center"/>
    </xf>
    <xf numFmtId="1" fontId="2" fillId="0" borderId="19" xfId="0" applyNumberFormat="1" applyFont="1" applyBorder="1" applyAlignment="1">
      <alignment horizontal="center" vertical="center"/>
    </xf>
    <xf numFmtId="0" fontId="2" fillId="3" borderId="18"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34" xfId="0" applyFont="1" applyBorder="1" applyAlignment="1">
      <alignment horizontal="center" vertical="center"/>
    </xf>
    <xf numFmtId="0" fontId="2" fillId="3" borderId="19" xfId="0" applyFont="1" applyFill="1" applyBorder="1" applyAlignment="1">
      <alignment horizontal="center" vertical="center" wrapText="1"/>
    </xf>
    <xf numFmtId="177" fontId="2" fillId="3" borderId="19" xfId="0" applyNumberFormat="1" applyFont="1" applyFill="1" applyBorder="1" applyAlignment="1">
      <alignment horizontal="center" vertical="center"/>
    </xf>
    <xf numFmtId="178" fontId="2" fillId="0" borderId="19" xfId="0" applyNumberFormat="1" applyFont="1" applyBorder="1" applyAlignment="1">
      <alignment horizontal="center" vertical="center"/>
    </xf>
    <xf numFmtId="2" fontId="2" fillId="3" borderId="19" xfId="0" applyNumberFormat="1" applyFont="1" applyFill="1" applyBorder="1" applyAlignment="1">
      <alignment horizontal="center" vertical="center"/>
    </xf>
    <xf numFmtId="2" fontId="2" fillId="0" borderId="19" xfId="0" applyNumberFormat="1" applyFont="1" applyBorder="1" applyAlignment="1">
      <alignment horizontal="center" vertical="center"/>
    </xf>
    <xf numFmtId="1" fontId="1" fillId="3" borderId="22" xfId="0" applyNumberFormat="1" applyFont="1" applyFill="1" applyBorder="1" applyAlignment="1">
      <alignment horizontal="center" vertical="center"/>
    </xf>
    <xf numFmtId="1" fontId="2" fillId="0" borderId="22" xfId="0" applyNumberFormat="1" applyFont="1" applyBorder="1" applyAlignment="1">
      <alignment horizontal="center" vertical="center"/>
    </xf>
    <xf numFmtId="0" fontId="2" fillId="0" borderId="35" xfId="0" applyFont="1" applyBorder="1" applyAlignment="1">
      <alignment horizontal="center" vertical="center"/>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2" fillId="0" borderId="9" xfId="0" applyFont="1" applyBorder="1"/>
    <xf numFmtId="0" fontId="2" fillId="0" borderId="0" xfId="0" applyFont="1" applyAlignment="1">
      <alignment vertical="top"/>
    </xf>
    <xf numFmtId="0" fontId="3" fillId="2" borderId="0" xfId="0" applyFont="1" applyFill="1" applyAlignment="1">
      <alignment vertical="top"/>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horizontal="center"/>
    </xf>
    <xf numFmtId="0" fontId="7" fillId="0" borderId="0" xfId="0" applyFont="1" applyAlignment="1">
      <alignment vertical="center"/>
    </xf>
    <xf numFmtId="0" fontId="1" fillId="0" borderId="0" xfId="0" applyFont="1" applyAlignment="1">
      <alignment vertical="center" wrapText="1"/>
    </xf>
    <xf numFmtId="0" fontId="1" fillId="0" borderId="39" xfId="0" applyFont="1" applyBorder="1" applyAlignment="1">
      <alignment vertical="center" wrapText="1"/>
    </xf>
    <xf numFmtId="0" fontId="2" fillId="0" borderId="39" xfId="86" applyFont="1" applyBorder="1" applyAlignment="1">
      <alignment vertical="center" wrapText="1"/>
    </xf>
    <xf numFmtId="0" fontId="2" fillId="0" borderId="39" xfId="86" applyFont="1" applyBorder="1" applyAlignment="1">
      <alignment vertical="top" wrapText="1"/>
    </xf>
    <xf numFmtId="0" fontId="2" fillId="0" borderId="39" xfId="86" applyFont="1" applyBorder="1" applyAlignment="1">
      <alignment wrapText="1"/>
    </xf>
    <xf numFmtId="0" fontId="2" fillId="0" borderId="39" xfId="0" applyFont="1" applyBorder="1" applyAlignment="1">
      <alignment horizontal="center" wrapText="1"/>
    </xf>
    <xf numFmtId="0" fontId="2" fillId="0" borderId="39" xfId="0" applyFont="1" applyBorder="1" applyAlignment="1">
      <alignment vertical="top"/>
    </xf>
    <xf numFmtId="0" fontId="2" fillId="0" borderId="39" xfId="86" applyFont="1" applyBorder="1">
      <alignment vertical="top"/>
    </xf>
    <xf numFmtId="0" fontId="2" fillId="0" borderId="39" xfId="0" applyFont="1" applyBorder="1" applyAlignment="1">
      <alignment horizontal="center"/>
    </xf>
    <xf numFmtId="0" fontId="2" fillId="0" borderId="39" xfId="86" applyFont="1" applyBorder="1" applyAlignment="1">
      <alignment horizontal="left" vertical="top"/>
    </xf>
    <xf numFmtId="0" fontId="2" fillId="0" borderId="39" xfId="0" applyFont="1" applyBorder="1" applyAlignment="1">
      <alignment horizontal="left" vertical="top"/>
    </xf>
    <xf numFmtId="0" fontId="3" fillId="0" borderId="39" xfId="86" applyFont="1" applyBorder="1" applyAlignment="1">
      <alignment horizontal="left" vertical="top"/>
    </xf>
    <xf numFmtId="0" fontId="3" fillId="0" borderId="39" xfId="0" applyFont="1" applyBorder="1" applyAlignment="1">
      <alignment vertical="top"/>
    </xf>
    <xf numFmtId="0" fontId="3" fillId="0" borderId="39" xfId="0" applyFont="1" applyBorder="1" applyAlignment="1">
      <alignment horizontal="center"/>
    </xf>
    <xf numFmtId="0" fontId="1" fillId="0" borderId="6" xfId="0" applyFont="1" applyBorder="1" applyAlignment="1">
      <alignment vertical="center" wrapText="1"/>
    </xf>
    <xf numFmtId="0" fontId="2" fillId="0" borderId="6" xfId="86" applyFont="1" applyBorder="1">
      <alignment vertical="top"/>
    </xf>
    <xf numFmtId="0" fontId="3" fillId="0" borderId="6" xfId="86" applyFont="1" applyBorder="1">
      <alignment vertical="top"/>
    </xf>
    <xf numFmtId="0" fontId="3" fillId="0" borderId="6" xfId="0" applyFont="1" applyBorder="1" applyAlignment="1">
      <alignment vertical="top"/>
    </xf>
    <xf numFmtId="0" fontId="1" fillId="0" borderId="40" xfId="0" applyFont="1" applyBorder="1" applyAlignment="1">
      <alignment vertical="center" wrapText="1"/>
    </xf>
    <xf numFmtId="0" fontId="2" fillId="0" borderId="40" xfId="0" applyFont="1" applyBorder="1" applyAlignment="1">
      <alignment horizontal="left"/>
    </xf>
    <xf numFmtId="0" fontId="3" fillId="0" borderId="40" xfId="0" applyFont="1" applyBorder="1" applyAlignment="1">
      <alignment horizontal="left"/>
    </xf>
    <xf numFmtId="0" fontId="3" fillId="0" borderId="40" xfId="0" applyFont="1" applyBorder="1" applyAlignment="1">
      <alignment vertical="top"/>
    </xf>
    <xf numFmtId="0" fontId="4" fillId="0" borderId="0" xfId="0" applyFont="1" applyAlignment="1">
      <alignment vertical="center" wrapText="1"/>
    </xf>
    <xf numFmtId="0" fontId="2" fillId="0" borderId="0" xfId="0" applyFont="1" applyAlignment="1">
      <alignment horizontal="left"/>
    </xf>
    <xf numFmtId="0" fontId="3" fillId="0" borderId="0" xfId="0" applyFont="1" applyAlignment="1">
      <alignment horizontal="left"/>
    </xf>
    <xf numFmtId="0" fontId="3" fillId="0" borderId="0" xfId="0" applyFont="1"/>
    <xf numFmtId="0" fontId="3" fillId="0" borderId="0" xfId="86" applyFont="1">
      <alignment vertical="top"/>
    </xf>
    <xf numFmtId="0" fontId="4" fillId="0" borderId="0" xfId="0" applyFont="1" applyAlignment="1">
      <alignment horizontal="left" vertical="center"/>
    </xf>
    <xf numFmtId="0" fontId="2" fillId="0" borderId="0" xfId="86" applyFont="1" applyAlignment="1">
      <alignment horizontal="center" vertical="center"/>
    </xf>
    <xf numFmtId="179" fontId="2" fillId="0" borderId="0" xfId="86" applyNumberFormat="1" applyFont="1" applyAlignment="1">
      <alignment horizontal="center" vertical="top" wrapText="1"/>
    </xf>
    <xf numFmtId="180" fontId="2" fillId="0" borderId="0" xfId="86" applyNumberFormat="1" applyFont="1" applyAlignment="1">
      <alignment horizontal="center" vertical="top" wrapText="1"/>
    </xf>
    <xf numFmtId="0" fontId="2" fillId="0" borderId="0" xfId="86" applyFont="1" applyAlignment="1">
      <alignment horizontal="center" vertical="top" wrapText="1"/>
    </xf>
    <xf numFmtId="181" fontId="2" fillId="0" borderId="40" xfId="105" applyNumberFormat="1" applyFont="1" applyBorder="1" applyAlignment="1">
      <alignment horizontal="left" vertical="center" wrapText="1"/>
    </xf>
    <xf numFmtId="181" fontId="2" fillId="0" borderId="40" xfId="105" applyNumberFormat="1" applyFont="1" applyBorder="1" applyAlignment="1">
      <alignment vertical="center" wrapText="1"/>
    </xf>
    <xf numFmtId="0" fontId="2" fillId="0" borderId="0" xfId="86" applyFont="1">
      <alignment vertical="top"/>
    </xf>
    <xf numFmtId="0" fontId="1" fillId="0" borderId="0" xfId="0" applyFont="1" applyAlignment="1">
      <alignment vertical="top"/>
    </xf>
    <xf numFmtId="181" fontId="2" fillId="0" borderId="0" xfId="86" applyNumberFormat="1" applyFont="1">
      <alignment vertical="top"/>
    </xf>
    <xf numFmtId="0" fontId="2" fillId="0" borderId="13" xfId="0" applyFont="1" applyBorder="1" applyAlignment="1">
      <alignment vertical="top"/>
    </xf>
    <xf numFmtId="0" fontId="2" fillId="0" borderId="13" xfId="86" applyFont="1" applyBorder="1">
      <alignment vertical="top"/>
    </xf>
    <xf numFmtId="0" fontId="3" fillId="0" borderId="13" xfId="86" applyFont="1" applyBorder="1">
      <alignment vertical="top"/>
    </xf>
    <xf numFmtId="0" fontId="3" fillId="0" borderId="13" xfId="0" applyFont="1" applyBorder="1" applyAlignment="1">
      <alignment vertical="top"/>
    </xf>
    <xf numFmtId="0" fontId="1" fillId="0" borderId="6" xfId="0" applyFont="1" applyBorder="1" applyAlignment="1">
      <alignment horizontal="center" vertical="center" wrapText="1"/>
    </xf>
    <xf numFmtId="0" fontId="2" fillId="0" borderId="6" xfId="0" applyFont="1" applyBorder="1" applyAlignment="1">
      <alignment horizontal="left" vertical="center" wrapText="1"/>
    </xf>
    <xf numFmtId="0" fontId="4" fillId="0" borderId="6" xfId="0" applyFont="1" applyBorder="1" applyAlignment="1">
      <alignment vertical="center" wrapText="1"/>
    </xf>
    <xf numFmtId="0" fontId="3" fillId="0" borderId="6" xfId="0" applyFont="1" applyBorder="1" applyAlignment="1">
      <alignment horizontal="left" vertical="center" wrapText="1"/>
    </xf>
    <xf numFmtId="0" fontId="1" fillId="2" borderId="0" xfId="0" applyFont="1" applyFill="1" applyAlignment="1">
      <alignment vertical="top"/>
    </xf>
    <xf numFmtId="0" fontId="1" fillId="2" borderId="0" xfId="0" applyFont="1" applyFill="1" applyAlignment="1">
      <alignment vertical="center" wrapText="1"/>
    </xf>
    <xf numFmtId="0" fontId="2" fillId="2" borderId="0" xfId="0" applyFont="1" applyFill="1" applyAlignment="1">
      <alignment vertical="top"/>
    </xf>
    <xf numFmtId="0" fontId="3" fillId="2" borderId="0" xfId="0" applyFont="1" applyFill="1" applyAlignment="1">
      <alignment horizont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1"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vertical="top" wrapText="1"/>
    </xf>
    <xf numFmtId="0" fontId="3" fillId="0" borderId="0" xfId="0" applyFont="1" applyAlignment="1">
      <alignment horizontal="center" wrapText="1"/>
    </xf>
    <xf numFmtId="2" fontId="2" fillId="0" borderId="0" xfId="0" applyNumberFormat="1" applyFont="1" applyAlignment="1">
      <alignment horizontal="center"/>
    </xf>
    <xf numFmtId="182" fontId="2" fillId="0" borderId="0" xfId="0" applyNumberFormat="1" applyFont="1" applyAlignment="1">
      <alignment horizontal="center"/>
    </xf>
    <xf numFmtId="177" fontId="2" fillId="0" borderId="0" xfId="0" applyNumberFormat="1" applyFont="1" applyAlignment="1">
      <alignment horizontal="center"/>
    </xf>
    <xf numFmtId="176" fontId="2" fillId="0" borderId="0" xfId="0" applyNumberFormat="1" applyFont="1" applyAlignment="1">
      <alignment horizontal="center"/>
    </xf>
    <xf numFmtId="1" fontId="2" fillId="0" borderId="0" xfId="0" applyNumberFormat="1" applyFont="1" applyAlignment="1">
      <alignment horizontal="center"/>
    </xf>
    <xf numFmtId="0" fontId="2" fillId="0" borderId="13" xfId="0" applyFont="1" applyBorder="1" applyAlignment="1">
      <alignment horizontal="center"/>
    </xf>
    <xf numFmtId="1" fontId="2" fillId="0" borderId="13" xfId="0" applyNumberFormat="1" applyFont="1" applyBorder="1" applyAlignment="1">
      <alignment horizontal="center"/>
    </xf>
    <xf numFmtId="176" fontId="2" fillId="0" borderId="13" xfId="0" applyNumberFormat="1" applyFont="1" applyBorder="1" applyAlignment="1">
      <alignment horizontal="center"/>
    </xf>
    <xf numFmtId="0" fontId="2" fillId="0" borderId="2" xfId="0" applyFont="1" applyBorder="1" applyAlignment="1">
      <alignment horizontal="left" vertical="center"/>
    </xf>
    <xf numFmtId="0" fontId="3" fillId="0" borderId="2" xfId="0" applyFont="1" applyBorder="1" applyAlignment="1">
      <alignment horizontal="center"/>
    </xf>
    <xf numFmtId="1" fontId="3" fillId="0" borderId="2" xfId="0" applyNumberFormat="1" applyFont="1" applyBorder="1" applyAlignment="1">
      <alignment horizontal="center"/>
    </xf>
    <xf numFmtId="1" fontId="3" fillId="0" borderId="0" xfId="0" applyNumberFormat="1" applyFont="1" applyAlignment="1">
      <alignment horizontal="center"/>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3" fillId="0" borderId="0" xfId="0" applyFont="1" applyAlignment="1">
      <alignment horizontal="center" vertical="center"/>
    </xf>
    <xf numFmtId="2" fontId="3" fillId="0" borderId="0" xfId="0" applyNumberFormat="1" applyFont="1" applyAlignment="1">
      <alignment horizontal="center"/>
    </xf>
    <xf numFmtId="182" fontId="3" fillId="0" borderId="0" xfId="0" applyNumberFormat="1" applyFont="1" applyAlignment="1">
      <alignment horizontal="center"/>
    </xf>
    <xf numFmtId="176" fontId="3" fillId="0" borderId="0" xfId="0" applyNumberFormat="1" applyFont="1" applyAlignment="1">
      <alignment horizontal="center"/>
    </xf>
    <xf numFmtId="0" fontId="3" fillId="0" borderId="13" xfId="0" applyFont="1" applyBorder="1" applyAlignment="1">
      <alignment horizontal="center"/>
    </xf>
    <xf numFmtId="1" fontId="3" fillId="0" borderId="13" xfId="0" applyNumberFormat="1" applyFont="1" applyBorder="1" applyAlignment="1">
      <alignment horizontal="center"/>
    </xf>
    <xf numFmtId="176" fontId="3" fillId="0" borderId="13" xfId="0" applyNumberFormat="1" applyFont="1" applyBorder="1" applyAlignment="1">
      <alignment horizontal="center"/>
    </xf>
    <xf numFmtId="0" fontId="3" fillId="0" borderId="2" xfId="0" applyFont="1" applyBorder="1" applyAlignment="1">
      <alignment horizontal="left" vertical="center"/>
    </xf>
    <xf numFmtId="0" fontId="2" fillId="0" borderId="6" xfId="0" applyFont="1" applyBorder="1" applyAlignment="1">
      <alignment horizontal="center"/>
    </xf>
    <xf numFmtId="1" fontId="2" fillId="0" borderId="6" xfId="0" applyNumberFormat="1" applyFont="1" applyBorder="1" applyAlignment="1">
      <alignment horizontal="center"/>
    </xf>
    <xf numFmtId="182" fontId="2" fillId="0" borderId="6" xfId="0" applyNumberFormat="1"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xf>
    <xf numFmtId="1" fontId="2" fillId="0" borderId="1" xfId="0" applyNumberFormat="1" applyFont="1" applyBorder="1" applyAlignment="1">
      <alignment horizontal="center"/>
    </xf>
    <xf numFmtId="182" fontId="2" fillId="0" borderId="1" xfId="0" applyNumberFormat="1" applyFont="1" applyBorder="1" applyAlignment="1">
      <alignment horizontal="center"/>
    </xf>
    <xf numFmtId="0" fontId="2" fillId="0" borderId="2" xfId="0" applyFont="1" applyBorder="1" applyAlignment="1">
      <alignment wrapText="1"/>
    </xf>
    <xf numFmtId="0" fontId="8" fillId="0" borderId="0" xfId="0" applyFont="1" applyAlignment="1">
      <alignment vertical="center"/>
    </xf>
    <xf numFmtId="0" fontId="9" fillId="0" borderId="0" xfId="0" applyFont="1" applyAlignment="1">
      <alignment vertical="center" wrapText="1"/>
    </xf>
    <xf numFmtId="0" fontId="7" fillId="0" borderId="0" xfId="0" applyFont="1" applyAlignment="1">
      <alignment horizontal="center" vertical="center" wrapText="1"/>
    </xf>
    <xf numFmtId="0" fontId="10" fillId="0" borderId="0" xfId="0" applyFont="1" applyAlignment="1">
      <alignment vertical="center" wrapText="1"/>
    </xf>
    <xf numFmtId="0" fontId="9" fillId="0" borderId="0" xfId="0" applyFont="1" applyAlignment="1">
      <alignment horizontal="center" vertical="center" wrapText="1"/>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9" fillId="0" borderId="48" xfId="0" applyFont="1" applyBorder="1" applyAlignment="1">
      <alignment vertical="center" wrapText="1"/>
    </xf>
    <xf numFmtId="0" fontId="1" fillId="0" borderId="41" xfId="0" applyFont="1" applyBorder="1" applyAlignment="1">
      <alignment vertical="center" wrapText="1"/>
    </xf>
    <xf numFmtId="0" fontId="2" fillId="0" borderId="49" xfId="0" applyFont="1" applyBorder="1" applyAlignment="1">
      <alignment vertical="center" wrapText="1"/>
    </xf>
    <xf numFmtId="0" fontId="1" fillId="0" borderId="44" xfId="0" applyFont="1" applyBorder="1" applyAlignment="1">
      <alignment vertical="center" wrapText="1"/>
    </xf>
    <xf numFmtId="0" fontId="2" fillId="0" borderId="50" xfId="0" applyFont="1" applyBorder="1" applyAlignment="1">
      <alignment vertical="center" wrapText="1"/>
    </xf>
    <xf numFmtId="0" fontId="11" fillId="0" borderId="51" xfId="0" applyFont="1" applyBorder="1" applyAlignment="1">
      <alignment horizontal="left" vertical="center" wrapText="1"/>
    </xf>
    <xf numFmtId="0" fontId="2" fillId="0" borderId="46" xfId="0" applyFont="1" applyBorder="1" applyAlignment="1">
      <alignment horizontal="left" vertical="center" wrapText="1"/>
    </xf>
    <xf numFmtId="0" fontId="1" fillId="0" borderId="52" xfId="0" applyFont="1" applyBorder="1" applyAlignment="1">
      <alignment vertical="center" wrapText="1"/>
    </xf>
    <xf numFmtId="0" fontId="2" fillId="0" borderId="53" xfId="0" applyFont="1" applyBorder="1" applyAlignment="1">
      <alignment vertical="center" wrapText="1"/>
    </xf>
    <xf numFmtId="0" fontId="1" fillId="0" borderId="54" xfId="0" applyFont="1" applyBorder="1" applyAlignment="1">
      <alignment horizontal="center" vertical="center" wrapText="1"/>
    </xf>
    <xf numFmtId="0" fontId="1" fillId="0" borderId="49"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6" xfId="0" applyFont="1" applyBorder="1" applyAlignment="1">
      <alignment horizontal="left" vertical="center" wrapText="1"/>
    </xf>
    <xf numFmtId="0" fontId="12" fillId="0" borderId="0" xfId="0" applyFont="1" applyAlignment="1">
      <alignment vertical="center"/>
    </xf>
    <xf numFmtId="0" fontId="2" fillId="0" borderId="0" xfId="0" applyFont="1" applyAlignment="1">
      <alignment vertical="center" wrapText="1"/>
    </xf>
    <xf numFmtId="0" fontId="1" fillId="0" borderId="57" xfId="0" applyFont="1" applyBorder="1" applyAlignment="1">
      <alignment horizontal="center" vertical="center" wrapText="1"/>
    </xf>
    <xf numFmtId="0" fontId="2" fillId="4" borderId="0" xfId="0" applyFont="1" applyFill="1" applyAlignment="1">
      <alignment vertical="center" wrapText="1"/>
    </xf>
    <xf numFmtId="0" fontId="1" fillId="0" borderId="58" xfId="0" applyFont="1" applyBorder="1" applyAlignment="1">
      <alignment horizontal="left" vertical="center" wrapText="1"/>
    </xf>
    <xf numFmtId="0" fontId="1" fillId="0" borderId="59" xfId="0" applyFont="1" applyBorder="1" applyAlignment="1">
      <alignment horizontal="center" vertical="center" wrapText="1"/>
    </xf>
    <xf numFmtId="0" fontId="1" fillId="0" borderId="0" xfId="0" applyFont="1" applyAlignment="1">
      <alignment horizontal="center" vertical="center" wrapText="1"/>
    </xf>
    <xf numFmtId="0" fontId="2" fillId="0" borderId="59" xfId="0" applyFont="1" applyBorder="1" applyAlignment="1">
      <alignment horizontal="center" vertical="center" wrapText="1"/>
    </xf>
    <xf numFmtId="0" fontId="2" fillId="0" borderId="48" xfId="0" applyFont="1" applyBorder="1" applyAlignment="1">
      <alignment vertical="center" wrapText="1"/>
    </xf>
    <xf numFmtId="0" fontId="1" fillId="0" borderId="60" xfId="0" applyFont="1" applyBorder="1" applyAlignment="1">
      <alignment horizontal="center" vertical="center" wrapText="1"/>
    </xf>
    <xf numFmtId="0" fontId="2" fillId="0" borderId="60" xfId="0" applyFont="1" applyBorder="1" applyAlignment="1">
      <alignment horizontal="center" vertical="center" wrapText="1"/>
    </xf>
    <xf numFmtId="0" fontId="2" fillId="5" borderId="0" xfId="0" applyFont="1" applyFill="1" applyAlignment="1">
      <alignment vertical="center" wrapText="1"/>
    </xf>
    <xf numFmtId="0" fontId="2" fillId="4" borderId="0" xfId="0" applyFont="1" applyFill="1" applyAlignment="1">
      <alignment horizontal="center" vertical="center" wrapText="1"/>
    </xf>
    <xf numFmtId="0" fontId="1" fillId="4" borderId="61" xfId="0" applyFont="1" applyFill="1" applyBorder="1" applyAlignment="1">
      <alignment horizontal="center" vertical="center" wrapText="1"/>
    </xf>
    <xf numFmtId="0" fontId="1" fillId="0" borderId="59" xfId="0" applyFont="1" applyBorder="1" applyAlignment="1">
      <alignment vertical="center" wrapText="1"/>
    </xf>
    <xf numFmtId="0" fontId="1" fillId="0" borderId="62" xfId="0" applyFont="1" applyBorder="1" applyAlignment="1">
      <alignment horizontal="center" vertical="center" wrapText="1"/>
    </xf>
    <xf numFmtId="0" fontId="2" fillId="0" borderId="59" xfId="0" applyFont="1" applyBorder="1" applyAlignment="1">
      <alignment vertical="center" wrapText="1"/>
    </xf>
    <xf numFmtId="0" fontId="2" fillId="0" borderId="62" xfId="0" applyFont="1" applyBorder="1" applyAlignment="1">
      <alignment horizontal="center" vertical="center" wrapText="1"/>
    </xf>
    <xf numFmtId="183" fontId="2" fillId="0" borderId="0" xfId="0" applyNumberFormat="1" applyFont="1" applyAlignment="1">
      <alignment vertical="center" wrapText="1"/>
    </xf>
    <xf numFmtId="0" fontId="2" fillId="0" borderId="62" xfId="0" applyFont="1" applyBorder="1" applyAlignment="1">
      <alignment horizontal="left" vertical="center" wrapText="1"/>
    </xf>
    <xf numFmtId="0" fontId="2" fillId="0" borderId="63" xfId="0" applyFont="1" applyBorder="1" applyAlignment="1">
      <alignment vertical="center" wrapText="1"/>
    </xf>
    <xf numFmtId="0" fontId="2" fillId="0" borderId="64" xfId="0" applyFont="1" applyBorder="1" applyAlignment="1">
      <alignment vertical="center" wrapText="1"/>
    </xf>
    <xf numFmtId="0" fontId="1" fillId="0" borderId="61" xfId="0" applyFont="1" applyBorder="1" applyAlignment="1">
      <alignment horizontal="center" vertical="center" wrapText="1"/>
    </xf>
    <xf numFmtId="0" fontId="2" fillId="0" borderId="59" xfId="0" applyFont="1" applyBorder="1" applyAlignment="1">
      <alignment horizontal="left" vertical="center" wrapText="1"/>
    </xf>
    <xf numFmtId="183" fontId="2" fillId="0" borderId="0" xfId="0" applyNumberFormat="1" applyFont="1" applyAlignment="1">
      <alignment horizontal="left" vertical="center" wrapText="1"/>
    </xf>
    <xf numFmtId="0" fontId="13" fillId="4" borderId="0" xfId="0" applyFont="1" applyFill="1" applyAlignment="1">
      <alignment vertical="center" wrapText="1"/>
    </xf>
    <xf numFmtId="0" fontId="13" fillId="0" borderId="0" xfId="0" applyFont="1" applyAlignment="1">
      <alignment vertical="center" wrapText="1"/>
    </xf>
    <xf numFmtId="0" fontId="1" fillId="0" borderId="60" xfId="0" applyFont="1" applyBorder="1" applyAlignment="1">
      <alignment vertical="center" wrapText="1"/>
    </xf>
    <xf numFmtId="0" fontId="2" fillId="0" borderId="60" xfId="0" applyFont="1" applyBorder="1" applyAlignment="1">
      <alignment vertical="center" wrapText="1"/>
    </xf>
    <xf numFmtId="0" fontId="2" fillId="0" borderId="65" xfId="0" applyFont="1" applyBorder="1" applyAlignment="1">
      <alignment vertical="center" wrapText="1"/>
    </xf>
    <xf numFmtId="0" fontId="2" fillId="0" borderId="60" xfId="0" applyFont="1" applyBorder="1" applyAlignment="1">
      <alignment horizontal="left" vertical="center" wrapText="1"/>
    </xf>
    <xf numFmtId="0" fontId="2" fillId="6" borderId="0" xfId="107" applyFont="1" applyFill="1" applyAlignment="1">
      <alignment vertical="center"/>
    </xf>
    <xf numFmtId="0" fontId="2" fillId="6" borderId="0" xfId="0" applyFont="1" applyFill="1" applyAlignment="1">
      <alignment horizontal="left" vertical="center"/>
    </xf>
    <xf numFmtId="0" fontId="2" fillId="6" borderId="0" xfId="0" applyFont="1" applyFill="1" applyAlignment="1">
      <alignment vertical="center"/>
    </xf>
    <xf numFmtId="0" fontId="2" fillId="6" borderId="0" xfId="107" applyFont="1" applyFill="1" applyAlignment="1">
      <alignment wrapText="1"/>
    </xf>
    <xf numFmtId="0" fontId="2" fillId="6" borderId="0" xfId="107" applyFont="1" applyFill="1"/>
    <xf numFmtId="0" fontId="14" fillId="6" borderId="0" xfId="107" applyFont="1" applyFill="1" applyAlignment="1">
      <alignment horizontal="center" wrapText="1"/>
    </xf>
    <xf numFmtId="0" fontId="1" fillId="6" borderId="0" xfId="0" applyFont="1" applyFill="1" applyAlignment="1">
      <alignment horizontal="center" vertical="center"/>
    </xf>
    <xf numFmtId="0" fontId="1" fillId="6" borderId="0" xfId="0" applyFont="1" applyFill="1" applyAlignment="1">
      <alignment vertical="center" wrapText="1"/>
    </xf>
    <xf numFmtId="0" fontId="1" fillId="6" borderId="0" xfId="0" applyFont="1" applyFill="1" applyAlignment="1">
      <alignment vertical="center"/>
    </xf>
    <xf numFmtId="0" fontId="2" fillId="7" borderId="0" xfId="0" applyFont="1" applyFill="1" applyAlignment="1">
      <alignment horizontal="left" vertical="center"/>
    </xf>
    <xf numFmtId="0" fontId="2" fillId="6" borderId="0" xfId="0" applyFont="1" applyFill="1"/>
    <xf numFmtId="49" fontId="2" fillId="6" borderId="0" xfId="0" applyNumberFormat="1" applyFont="1" applyFill="1" applyAlignment="1">
      <alignment vertical="center"/>
    </xf>
    <xf numFmtId="0" fontId="11" fillId="6" borderId="0" xfId="0" applyFont="1" applyFill="1" applyAlignment="1">
      <alignment horizontal="left" vertical="center"/>
    </xf>
    <xf numFmtId="0" fontId="11" fillId="7" borderId="0" xfId="0" applyFont="1" applyFill="1" applyAlignment="1">
      <alignment horizontal="left" vertical="center"/>
    </xf>
    <xf numFmtId="0" fontId="11" fillId="6" borderId="0" xfId="0" applyFont="1" applyFill="1" applyAlignment="1">
      <alignment vertical="center"/>
    </xf>
    <xf numFmtId="15" fontId="2" fillId="6" borderId="0" xfId="0" applyNumberFormat="1" applyFont="1" applyFill="1" applyAlignment="1">
      <alignment horizontal="left" vertical="center" wrapText="1"/>
    </xf>
    <xf numFmtId="0" fontId="2" fillId="7" borderId="0" xfId="0" applyFont="1" applyFill="1" applyAlignment="1">
      <alignment vertical="center"/>
    </xf>
    <xf numFmtId="15" fontId="2" fillId="6" borderId="0" xfId="0" applyNumberFormat="1" applyFont="1" applyFill="1" applyAlignment="1">
      <alignment horizontal="left" vertical="center"/>
    </xf>
  </cellXfs>
  <cellStyles count="11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20% - Accent1" xfId="50"/>
    <cellStyle name="20% - Accent2" xfId="51"/>
    <cellStyle name="20% - Accent3" xfId="52"/>
    <cellStyle name="20% - Accent4" xfId="53"/>
    <cellStyle name="20% - Accent5" xfId="54"/>
    <cellStyle name="20% - Accent6" xfId="55"/>
    <cellStyle name="40% - Accent1" xfId="56"/>
    <cellStyle name="40% - Accent2" xfId="57"/>
    <cellStyle name="40% - Accent3" xfId="58"/>
    <cellStyle name="40% - Accent4" xfId="59"/>
    <cellStyle name="40% - Accent5" xfId="60"/>
    <cellStyle name="40% - Accent6" xfId="61"/>
    <cellStyle name="60% - Accent1" xfId="62"/>
    <cellStyle name="60% - Accent2" xfId="63"/>
    <cellStyle name="60% - Accent3" xfId="64"/>
    <cellStyle name="60% - Accent4" xfId="65"/>
    <cellStyle name="60% - Accent5" xfId="66"/>
    <cellStyle name="60% - Accent6" xfId="67"/>
    <cellStyle name="Accent1" xfId="68"/>
    <cellStyle name="Accent2" xfId="69"/>
    <cellStyle name="Accent3" xfId="70"/>
    <cellStyle name="Accent4" xfId="71"/>
    <cellStyle name="Accent5" xfId="72"/>
    <cellStyle name="Accent6" xfId="73"/>
    <cellStyle name="Bad" xfId="74"/>
    <cellStyle name="Calculation" xfId="75"/>
    <cellStyle name="Check Cell" xfId="76"/>
    <cellStyle name="Explanatory Text" xfId="77"/>
    <cellStyle name="Good" xfId="78"/>
    <cellStyle name="Heading 1" xfId="79"/>
    <cellStyle name="Heading 2" xfId="80"/>
    <cellStyle name="Heading 3" xfId="81"/>
    <cellStyle name="Heading 4" xfId="82"/>
    <cellStyle name="Input" xfId="83"/>
    <cellStyle name="Linked Cell" xfId="84"/>
    <cellStyle name="Neutral" xfId="85"/>
    <cellStyle name="Normal 2" xfId="86"/>
    <cellStyle name="Normal 2 2" xfId="87"/>
    <cellStyle name="Note" xfId="88"/>
    <cellStyle name="Output" xfId="89"/>
    <cellStyle name="Title" xfId="90"/>
    <cellStyle name="Total" xfId="91"/>
    <cellStyle name="Warning Text" xfId="92"/>
    <cellStyle name="差_formulation records of 4017011-suspension" xfId="93"/>
    <cellStyle name="常规 2" xfId="94"/>
    <cellStyle name="常规 2 2" xfId="95"/>
    <cellStyle name="常规 2 2 2" xfId="96"/>
    <cellStyle name="常规 2 3" xfId="97"/>
    <cellStyle name="常规 2 3 2" xfId="98"/>
    <cellStyle name="常规 2 4" xfId="99"/>
    <cellStyle name="常规 3" xfId="100"/>
    <cellStyle name="常规 3 2" xfId="101"/>
    <cellStyle name="常规 4" xfId="102"/>
    <cellStyle name="常规 4 2" xfId="103"/>
    <cellStyle name="常规 5" xfId="104"/>
    <cellStyle name="常规 5 2" xfId="105"/>
    <cellStyle name="常规 6" xfId="106"/>
    <cellStyle name="常规 6 2" xfId="107"/>
    <cellStyle name="常规 7" xfId="108"/>
    <cellStyle name="好_formulation records of 4017011-suspension" xfId="109"/>
  </cellStyles>
  <dxfs count="1">
    <dxf>
      <fill>
        <patternFill patternType="solid">
          <bgColor rgb="FFFFFF00"/>
        </patternFill>
      </fill>
    </dxf>
  </dxfs>
  <tableStyles count="0" defaultTableStyle="TableStyleMedium9" defaultPivotStyle="PivotStyleLight16"/>
  <colors>
    <mruColors>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232139778148"/>
          <c:y val="0.0921501706484642"/>
          <c:w val="0.774693947928042"/>
          <c:h val="0.688282138794084"/>
        </c:manualLayout>
      </c:layout>
      <c:scatterChart>
        <c:scatterStyle val="lineMarker"/>
        <c:varyColors val="0"/>
        <c:ser>
          <c:idx val="0"/>
          <c:order val="0"/>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dLbls>
            <c:delete val="1"/>
          </c:dLbls>
          <c:errBars>
            <c:errDir val="y"/>
            <c:errBarType val="both"/>
            <c:errValType val="cust"/>
            <c:noEndCap val="0"/>
            <c:plus>
              <c:numRef>
                <c:f>'HW356054'!$L$5:$L$12</c:f>
                <c:numCache>
                  <c:formatCode>General</c:formatCode>
                  <c:ptCount val="8"/>
                  <c:pt idx="0">
                    <c:v>36.115555282085</c:v>
                  </c:pt>
                  <c:pt idx="1">
                    <c:v>39.9</c:v>
                  </c:pt>
                  <c:pt idx="2">
                    <c:v>44.1</c:v>
                  </c:pt>
                  <c:pt idx="3">
                    <c:v>30.3</c:v>
                  </c:pt>
                  <c:pt idx="4">
                    <c:v>15</c:v>
                  </c:pt>
                  <c:pt idx="5">
                    <c:v>17.1</c:v>
                  </c:pt>
                  <c:pt idx="6">
                    <c:v>30.3</c:v>
                  </c:pt>
                  <c:pt idx="7">
                    <c:v>22.7</c:v>
                  </c:pt>
                </c:numCache>
              </c:numRef>
            </c:plus>
            <c:minus>
              <c:numRef>
                <c:f>'HW356054'!$L$5:$L$12</c:f>
                <c:numCache>
                  <c:formatCode>General</c:formatCode>
                  <c:ptCount val="8"/>
                  <c:pt idx="0">
                    <c:v>36.115555282085</c:v>
                  </c:pt>
                  <c:pt idx="1">
                    <c:v>39.9</c:v>
                  </c:pt>
                  <c:pt idx="2">
                    <c:v>44.1</c:v>
                  </c:pt>
                  <c:pt idx="3">
                    <c:v>30.3</c:v>
                  </c:pt>
                  <c:pt idx="4">
                    <c:v>15</c:v>
                  </c:pt>
                  <c:pt idx="5">
                    <c:v>17.1</c:v>
                  </c:pt>
                  <c:pt idx="6">
                    <c:v>30.3</c:v>
                  </c:pt>
                  <c:pt idx="7">
                    <c:v>22.7</c:v>
                  </c:pt>
                </c:numCache>
              </c:numRef>
            </c:minus>
            <c:spPr>
              <a:ln w="12700" cap="flat" cmpd="sng" algn="ctr">
                <a:solidFill>
                  <a:srgbClr val="000000"/>
                </a:solidFill>
                <a:prstDash val="solid"/>
                <a:round/>
              </a:ln>
            </c:spPr>
          </c:errBars>
          <c:xVal>
            <c:numRef>
              <c:f>'HW356054'!$G$5:$G$12</c:f>
              <c:numCache>
                <c:formatCode>General</c:formatCode>
                <c:ptCount val="8"/>
                <c:pt idx="0">
                  <c:v>0.25</c:v>
                </c:pt>
                <c:pt idx="1">
                  <c:v>0.5</c:v>
                </c:pt>
                <c:pt idx="2">
                  <c:v>1</c:v>
                </c:pt>
                <c:pt idx="3">
                  <c:v>2</c:v>
                </c:pt>
                <c:pt idx="4">
                  <c:v>4</c:v>
                </c:pt>
                <c:pt idx="5">
                  <c:v>8</c:v>
                </c:pt>
                <c:pt idx="6">
                  <c:v>10</c:v>
                </c:pt>
                <c:pt idx="7">
                  <c:v>24</c:v>
                </c:pt>
              </c:numCache>
            </c:numRef>
          </c:xVal>
          <c:yVal>
            <c:numRef>
              <c:f>'HW356054'!$K$5:$K$12</c:f>
              <c:numCache>
                <c:formatCode>0</c:formatCode>
                <c:ptCount val="8"/>
                <c:pt idx="0">
                  <c:v>158</c:v>
                </c:pt>
                <c:pt idx="1">
                  <c:v>189</c:v>
                </c:pt>
                <c:pt idx="2">
                  <c:v>185</c:v>
                </c:pt>
                <c:pt idx="3">
                  <c:v>150</c:v>
                </c:pt>
                <c:pt idx="4">
                  <c:v>143</c:v>
                </c:pt>
                <c:pt idx="5">
                  <c:v>124</c:v>
                </c:pt>
                <c:pt idx="6" c:formatCode="0.0">
                  <c:v>93</c:v>
                </c:pt>
                <c:pt idx="7" c:formatCode="0.0">
                  <c:v>15.3</c:v>
                </c:pt>
              </c:numCache>
            </c:numRef>
          </c:yVal>
          <c:smooth val="0"/>
        </c:ser>
        <c:dLbls>
          <c:showLegendKey val="0"/>
          <c:showVal val="0"/>
          <c:showCatName val="0"/>
          <c:showSerName val="0"/>
          <c:showPercent val="0"/>
          <c:showBubbleSize val="0"/>
        </c:dLbls>
        <c:axId val="471077240"/>
        <c:axId val="471078416"/>
      </c:scatterChart>
      <c:valAx>
        <c:axId val="471077240"/>
        <c:scaling>
          <c:orientation val="minMax"/>
        </c:scaling>
        <c:delete val="0"/>
        <c:axPos val="b"/>
        <c:title>
          <c:tx>
            <c:rich>
              <a:bodyPr rot="0" spcFirstLastPara="0" vertOverflow="ellipsis" vert="horz" wrap="square" anchor="ctr" anchorCtr="1"/>
              <a:lstStyle/>
              <a:p>
                <a:pPr>
                  <a:defRPr lang="en-US" sz="12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r>
                  <a:rPr lang="en-US"/>
                  <a:t>Time (h)</a:t>
                </a:r>
                <a:endParaRPr lang="en-US"/>
              </a:p>
            </c:rich>
          </c:tx>
          <c:layout>
            <c:manualLayout>
              <c:xMode val="edge"/>
              <c:yMode val="edge"/>
              <c:x val="0.44007858546169"/>
              <c:y val="0.887372013651888"/>
            </c:manualLayout>
          </c:layout>
          <c:overlay val="0"/>
          <c:spPr>
            <a:noFill/>
            <a:ln w="25400">
              <a:noFill/>
            </a:ln>
          </c:spPr>
        </c:title>
        <c:numFmt formatCode="General" sourceLinked="0"/>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75"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p>
        </c:txPr>
        <c:crossAx val="471078416"/>
        <c:crossesAt val="0.1"/>
        <c:crossBetween val="midCat"/>
      </c:valAx>
      <c:valAx>
        <c:axId val="471078416"/>
        <c:scaling>
          <c:logBase val="10"/>
          <c:orientation val="minMax"/>
        </c:scaling>
        <c:delete val="0"/>
        <c:axPos val="l"/>
        <c:title>
          <c:tx>
            <c:rich>
              <a:bodyPr rot="-5400000" spcFirstLastPara="0" vertOverflow="ellipsis" vert="horz" wrap="square" anchor="ctr" anchorCtr="1"/>
              <a:lstStyle/>
              <a:p>
                <a:pPr>
                  <a:defRPr lang="en-US" sz="12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r>
                  <a:rPr lang="en-US"/>
                  <a:t>Conc.(ng/mL)</a:t>
                </a:r>
                <a:endParaRPr lang="en-US"/>
              </a:p>
            </c:rich>
          </c:tx>
          <c:layout>
            <c:manualLayout>
              <c:xMode val="edge"/>
              <c:yMode val="edge"/>
              <c:x val="0.00982318271119848"/>
              <c:y val="0.197952218430034"/>
            </c:manualLayout>
          </c:layout>
          <c:overlay val="0"/>
          <c:spPr>
            <a:noFill/>
            <a:ln w="25400">
              <a:noFill/>
            </a:ln>
          </c:spPr>
        </c:title>
        <c:numFmt formatCode="0;" sourceLinked="0"/>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75"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p>
        </c:txPr>
        <c:crossAx val="471077240"/>
        <c:crosses val="autoZero"/>
        <c:crossBetween val="midCat"/>
      </c:valAx>
      <c:spPr>
        <a:noFill/>
        <a:ln w="25400">
          <a:noFill/>
        </a:ln>
      </c:spPr>
    </c:plotArea>
    <c:plotVisOnly val="1"/>
    <c:dispBlanksAs val="gap"/>
    <c:showDLblsOverMax val="0"/>
    <c:extLst>
      <c:ext uri="{0b15fc19-7d7d-44ad-8c2d-2c3a37ce22c3}">
        <chartProps xmlns="https://web.wps.cn/et/2018/main" chartId="{eb0acd19-4315-4781-9d80-d7df4359e575}"/>
      </c:ext>
    </c:extLst>
  </c:chart>
  <c:spPr>
    <a:solidFill>
      <a:srgbClr val="FFFFFF"/>
    </a:solidFill>
    <a:ln w="3175" cap="flat" cmpd="sng" algn="ctr">
      <a:solidFill>
        <a:srgbClr val="000000"/>
      </a:solidFill>
      <a:prstDash val="solid"/>
      <a:round/>
    </a:ln>
  </c:spPr>
  <c:txPr>
    <a:bodyPr/>
    <a:lstStyle/>
    <a:p>
      <a:pPr>
        <a:defRPr lang="zh-CN" sz="1200" b="0" i="0" u="none" strike="noStrike" baseline="0">
          <a:solidFill>
            <a:srgbClr val="000000"/>
          </a:solidFill>
          <a:latin typeface="Times New Roman" panose="02020603050405020304" pitchFamily="12"/>
          <a:ea typeface="Times New Roman" panose="02020603050405020304" pitchFamily="12"/>
          <a:cs typeface="Times New Roman" panose="02020603050405020304" pitchFamily="1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784376257883"/>
          <c:y val="0.196283391405343"/>
          <c:w val="0.786722590369274"/>
          <c:h val="0.606271777003499"/>
        </c:manualLayout>
      </c:layout>
      <c:scatterChart>
        <c:scatterStyle val="lineMarker"/>
        <c:varyColors val="0"/>
        <c:ser>
          <c:idx val="1"/>
          <c:order val="0"/>
          <c:tx>
            <c:strRef>
              <c:f>'HW356054'!$H$4</c:f>
              <c:strCache>
                <c:ptCount val="1"/>
                <c:pt idx="0">
                  <c:v>A1</c:v>
                </c:pt>
              </c:strCache>
            </c:strRef>
          </c:tx>
          <c:spPr>
            <a:ln w="12700" cap="rnd" cmpd="sng" algn="ctr">
              <a:solidFill>
                <a:srgbClr val="FF00FF"/>
              </a:solidFill>
              <a:prstDash val="solid"/>
              <a:round/>
            </a:ln>
          </c:spPr>
          <c:marker>
            <c:symbol val="square"/>
            <c:size val="5"/>
            <c:spPr>
              <a:solidFill>
                <a:srgbClr val="FF00FF"/>
              </a:solidFill>
              <a:ln w="9525" cap="flat" cmpd="sng" algn="ctr">
                <a:solidFill>
                  <a:srgbClr val="FF00FF"/>
                </a:solidFill>
                <a:prstDash val="solid"/>
                <a:round/>
              </a:ln>
            </c:spPr>
          </c:marker>
          <c:dLbls>
            <c:delete val="1"/>
          </c:dLbls>
          <c:xVal>
            <c:numRef>
              <c:f>'HW356054'!$G$5:$G$12</c:f>
              <c:numCache>
                <c:formatCode>General</c:formatCode>
                <c:ptCount val="8"/>
                <c:pt idx="0">
                  <c:v>0.25</c:v>
                </c:pt>
                <c:pt idx="1">
                  <c:v>0.5</c:v>
                </c:pt>
                <c:pt idx="2">
                  <c:v>1</c:v>
                </c:pt>
                <c:pt idx="3">
                  <c:v>2</c:v>
                </c:pt>
                <c:pt idx="4">
                  <c:v>4</c:v>
                </c:pt>
                <c:pt idx="5">
                  <c:v>8</c:v>
                </c:pt>
                <c:pt idx="6">
                  <c:v>10</c:v>
                </c:pt>
                <c:pt idx="7">
                  <c:v>24</c:v>
                </c:pt>
              </c:numCache>
            </c:numRef>
          </c:xVal>
          <c:yVal>
            <c:numRef>
              <c:f>'HW356054'!$H$5:$H$12</c:f>
              <c:numCache>
                <c:formatCode>0</c:formatCode>
                <c:ptCount val="8"/>
                <c:pt idx="0">
                  <c:v>119</c:v>
                </c:pt>
                <c:pt idx="1">
                  <c:v>144</c:v>
                </c:pt>
                <c:pt idx="2">
                  <c:v>143</c:v>
                </c:pt>
                <c:pt idx="3">
                  <c:v>133</c:v>
                </c:pt>
                <c:pt idx="4">
                  <c:v>147</c:v>
                </c:pt>
                <c:pt idx="5">
                  <c:v>144</c:v>
                </c:pt>
                <c:pt idx="6">
                  <c:v>128</c:v>
                </c:pt>
                <c:pt idx="7" c:formatCode="0.0">
                  <c:v>41.6</c:v>
                </c:pt>
              </c:numCache>
            </c:numRef>
          </c:yVal>
          <c:smooth val="0"/>
        </c:ser>
        <c:ser>
          <c:idx val="0"/>
          <c:order val="1"/>
          <c:tx>
            <c:strRef>
              <c:f>'HW356054'!$I$4</c:f>
              <c:strCache>
                <c:ptCount val="1"/>
                <c:pt idx="0">
                  <c:v>A2</c:v>
                </c:pt>
              </c:strCache>
            </c:strRef>
          </c:tx>
          <c:spPr>
            <a:ln w="12700" cap="rnd" cmpd="sng" algn="ctr">
              <a:solidFill>
                <a:schemeClr val="accent1">
                  <a:shade val="95000"/>
                  <a:satMod val="105000"/>
                </a:schemeClr>
              </a:solidFill>
              <a:prstDash val="solid"/>
              <a:round/>
            </a:ln>
          </c:spPr>
          <c:dLbls>
            <c:delete val="1"/>
          </c:dLbls>
          <c:xVal>
            <c:numRef>
              <c:f>'HW356054'!$G$5:$G$12</c:f>
              <c:numCache>
                <c:formatCode>General</c:formatCode>
                <c:ptCount val="8"/>
                <c:pt idx="0">
                  <c:v>0.25</c:v>
                </c:pt>
                <c:pt idx="1">
                  <c:v>0.5</c:v>
                </c:pt>
                <c:pt idx="2">
                  <c:v>1</c:v>
                </c:pt>
                <c:pt idx="3">
                  <c:v>2</c:v>
                </c:pt>
                <c:pt idx="4">
                  <c:v>4</c:v>
                </c:pt>
                <c:pt idx="5">
                  <c:v>8</c:v>
                </c:pt>
                <c:pt idx="6">
                  <c:v>10</c:v>
                </c:pt>
                <c:pt idx="7">
                  <c:v>24</c:v>
                </c:pt>
              </c:numCache>
            </c:numRef>
          </c:xVal>
          <c:yVal>
            <c:numRef>
              <c:f>'HW356054'!$I$5:$I$12</c:f>
              <c:numCache>
                <c:formatCode>0</c:formatCode>
                <c:ptCount val="8"/>
                <c:pt idx="0">
                  <c:v>190</c:v>
                </c:pt>
                <c:pt idx="1">
                  <c:v>219</c:v>
                </c:pt>
                <c:pt idx="2">
                  <c:v>231</c:v>
                </c:pt>
                <c:pt idx="3">
                  <c:v>185</c:v>
                </c:pt>
                <c:pt idx="4">
                  <c:v>155</c:v>
                </c:pt>
                <c:pt idx="5">
                  <c:v>116</c:v>
                </c:pt>
                <c:pt idx="6" c:formatCode="0.0">
                  <c:v>75.3</c:v>
                </c:pt>
                <c:pt idx="7" c:formatCode="0.00">
                  <c:v>2.41</c:v>
                </c:pt>
              </c:numCache>
            </c:numRef>
          </c:yVal>
          <c:smooth val="0"/>
        </c:ser>
        <c:ser>
          <c:idx val="2"/>
          <c:order val="2"/>
          <c:tx>
            <c:strRef>
              <c:f>'HW356054'!$J$4</c:f>
              <c:strCache>
                <c:ptCount val="1"/>
                <c:pt idx="0">
                  <c:v>A3</c:v>
                </c:pt>
              </c:strCache>
            </c:strRef>
          </c:tx>
          <c:spPr>
            <a:ln w="12700" cap="rnd" cmpd="sng" algn="ctr">
              <a:solidFill>
                <a:schemeClr val="accent3">
                  <a:shade val="95000"/>
                  <a:satMod val="105000"/>
                </a:schemeClr>
              </a:solidFill>
              <a:prstDash val="solid"/>
              <a:round/>
            </a:ln>
          </c:spPr>
          <c:dLbls>
            <c:delete val="1"/>
          </c:dLbls>
          <c:xVal>
            <c:numRef>
              <c:f>'HW356054'!$G$5:$G$12</c:f>
              <c:numCache>
                <c:formatCode>General</c:formatCode>
                <c:ptCount val="8"/>
                <c:pt idx="0">
                  <c:v>0.25</c:v>
                </c:pt>
                <c:pt idx="1">
                  <c:v>0.5</c:v>
                </c:pt>
                <c:pt idx="2">
                  <c:v>1</c:v>
                </c:pt>
                <c:pt idx="3">
                  <c:v>2</c:v>
                </c:pt>
                <c:pt idx="4">
                  <c:v>4</c:v>
                </c:pt>
                <c:pt idx="5">
                  <c:v>8</c:v>
                </c:pt>
                <c:pt idx="6">
                  <c:v>10</c:v>
                </c:pt>
                <c:pt idx="7">
                  <c:v>24</c:v>
                </c:pt>
              </c:numCache>
            </c:numRef>
          </c:xVal>
          <c:yVal>
            <c:numRef>
              <c:f>'HW356054'!$J$5:$J$12</c:f>
              <c:numCache>
                <c:formatCode>0</c:formatCode>
                <c:ptCount val="8"/>
                <c:pt idx="0">
                  <c:v>166</c:v>
                </c:pt>
                <c:pt idx="1">
                  <c:v>205</c:v>
                </c:pt>
                <c:pt idx="2">
                  <c:v>181</c:v>
                </c:pt>
                <c:pt idx="3">
                  <c:v>132</c:v>
                </c:pt>
                <c:pt idx="4">
                  <c:v>126</c:v>
                </c:pt>
                <c:pt idx="5">
                  <c:v>113</c:v>
                </c:pt>
                <c:pt idx="6" c:formatCode="0.0">
                  <c:v>75.8</c:v>
                </c:pt>
                <c:pt idx="7" c:formatCode="0.00">
                  <c:v>2.01</c:v>
                </c:pt>
              </c:numCache>
            </c:numRef>
          </c:yVal>
          <c:smooth val="0"/>
        </c:ser>
        <c:dLbls>
          <c:showLegendKey val="0"/>
          <c:showVal val="0"/>
          <c:showCatName val="0"/>
          <c:showSerName val="0"/>
          <c:showPercent val="0"/>
          <c:showBubbleSize val="0"/>
        </c:dLbls>
        <c:axId val="471078808"/>
        <c:axId val="271760600"/>
      </c:scatterChart>
      <c:valAx>
        <c:axId val="471078808"/>
        <c:scaling>
          <c:orientation val="minMax"/>
        </c:scaling>
        <c:delete val="0"/>
        <c:axPos val="b"/>
        <c:title>
          <c:tx>
            <c:rich>
              <a:bodyPr rot="0" spcFirstLastPara="0" vertOverflow="ellipsis" vert="horz" wrap="square" anchor="ctr" anchorCtr="1"/>
              <a:lstStyle/>
              <a:p>
                <a:pPr>
                  <a:defRPr lang="en-US" sz="1075"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r>
                  <a:rPr lang="en-US"/>
                  <a:t>Time (h)</a:t>
                </a:r>
                <a:endParaRPr lang="en-US"/>
              </a:p>
            </c:rich>
          </c:tx>
          <c:layout>
            <c:manualLayout>
              <c:xMode val="edge"/>
              <c:yMode val="edge"/>
              <c:x val="0.452288610982459"/>
              <c:y val="0.916376306620209"/>
            </c:manualLayout>
          </c:layout>
          <c:overlay val="0"/>
          <c:spPr>
            <a:noFill/>
            <a:ln w="25400">
              <a:noFill/>
            </a:ln>
          </c:spPr>
        </c:title>
        <c:numFmt formatCode="General" sourceLinked="0"/>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75"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p>
        </c:txPr>
        <c:crossAx val="271760600"/>
        <c:crossesAt val="0.1"/>
        <c:crossBetween val="midCat"/>
      </c:valAx>
      <c:valAx>
        <c:axId val="271760600"/>
        <c:scaling>
          <c:logBase val="10"/>
          <c:orientation val="minMax"/>
        </c:scaling>
        <c:delete val="0"/>
        <c:axPos val="l"/>
        <c:title>
          <c:tx>
            <c:rich>
              <a:bodyPr rot="-5400000" spcFirstLastPara="0" vertOverflow="ellipsis" vert="horz" wrap="square" anchor="ctr" anchorCtr="1"/>
              <a:lstStyle/>
              <a:p>
                <a:pPr>
                  <a:defRPr lang="en-US" sz="1075"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r>
                  <a:rPr lang="en-US"/>
                  <a:t>Conc.(ng/mL)</a:t>
                </a:r>
                <a:endParaRPr lang="en-US"/>
              </a:p>
            </c:rich>
          </c:tx>
          <c:layout>
            <c:manualLayout>
              <c:xMode val="edge"/>
              <c:yMode val="edge"/>
              <c:x val="0.000441409819729764"/>
              <c:y val="0.364692218350755"/>
            </c:manualLayout>
          </c:layout>
          <c:overlay val="0"/>
          <c:spPr>
            <a:noFill/>
            <a:ln w="25400">
              <a:noFill/>
            </a:ln>
          </c:spPr>
        </c:title>
        <c:numFmt formatCode="General" sourceLinked="0"/>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75"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p>
        </c:txPr>
        <c:crossAx val="471078808"/>
        <c:crosses val="autoZero"/>
        <c:crossBetween val="midCat"/>
      </c:valAx>
      <c:spPr>
        <a:noFill/>
        <a:ln w="25400">
          <a:noFill/>
        </a:ln>
      </c:spPr>
    </c:plotArea>
    <c:legend>
      <c:legendPos val="r"/>
      <c:layout>
        <c:manualLayout>
          <c:xMode val="edge"/>
          <c:yMode val="edge"/>
          <c:x val="0.880445900033738"/>
          <c:y val="0.00116144018583043"/>
          <c:w val="0.117176732092838"/>
          <c:h val="0.704209534783762"/>
        </c:manualLayout>
      </c:layout>
      <c:overlay val="0"/>
      <c:spPr>
        <a:solidFill>
          <a:srgbClr val="FFFFFF"/>
        </a:solidFill>
        <a:ln w="25400">
          <a:noFill/>
        </a:ln>
      </c:spPr>
      <c:txPr>
        <a:bodyPr rot="0" spcFirstLastPara="0" vertOverflow="ellipsis" vert="horz" wrap="square" anchor="ctr" anchorCtr="1"/>
        <a:lstStyle/>
        <a:p>
          <a:pPr>
            <a:defRPr lang="en-US" sz="11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p>
      </c:txPr>
    </c:legend>
    <c:plotVisOnly val="1"/>
    <c:dispBlanksAs val="gap"/>
    <c:showDLblsOverMax val="0"/>
    <c:extLst>
      <c:ext uri="{0b15fc19-7d7d-44ad-8c2d-2c3a37ce22c3}">
        <chartProps xmlns="https://web.wps.cn/et/2018/main" chartId="{782bc2df-42b8-40e5-adbd-a6131ff74a9d}"/>
      </c:ext>
    </c:extLst>
  </c:chart>
  <c:spPr>
    <a:solidFill>
      <a:srgbClr val="FFFFFF"/>
    </a:solidFill>
    <a:ln w="3175" cap="flat" cmpd="sng" algn="ctr">
      <a:solidFill>
        <a:srgbClr val="000000"/>
      </a:solidFill>
      <a:prstDash val="solid"/>
      <a:round/>
    </a:ln>
  </c:spPr>
  <c:txPr>
    <a:bodyPr/>
    <a:lstStyle/>
    <a:p>
      <a:pPr>
        <a:defRPr lang="zh-CN" sz="1200" b="0" i="0" u="none" strike="noStrike" baseline="0">
          <a:solidFill>
            <a:srgbClr val="000000"/>
          </a:solidFill>
          <a:latin typeface="Times New Roman" panose="02020603050405020304" pitchFamily="12"/>
          <a:ea typeface="Times New Roman" panose="02020603050405020304" pitchFamily="12"/>
          <a:cs typeface="Times New Roman" panose="02020603050405020304" pitchFamily="12"/>
        </a:defRPr>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447675</xdr:colOff>
      <xdr:row>0</xdr:row>
      <xdr:rowOff>38100</xdr:rowOff>
    </xdr:from>
    <xdr:to>
      <xdr:col>4</xdr:col>
      <xdr:colOff>95250</xdr:colOff>
      <xdr:row>0</xdr:row>
      <xdr:rowOff>1009650</xdr:rowOff>
    </xdr:to>
    <xdr:pic>
      <xdr:nvPicPr>
        <xdr:cNvPr id="3" name="Picture 186"/>
        <xdr:cNvPicPr>
          <a:picLocks noChangeAspect="1" noChangeArrowheads="1"/>
        </xdr:cNvPicPr>
      </xdr:nvPicPr>
      <xdr:blipFill>
        <a:blip r:embed="rId1" cstate="print"/>
        <a:srcRect/>
        <a:stretch>
          <a:fillRect/>
        </a:stretch>
      </xdr:blipFill>
      <xdr:spPr>
        <a:xfrm>
          <a:off x="2372995" y="38100"/>
          <a:ext cx="1104265" cy="9715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49</xdr:row>
      <xdr:rowOff>0</xdr:rowOff>
    </xdr:from>
    <xdr:to>
      <xdr:col>9</xdr:col>
      <xdr:colOff>0</xdr:colOff>
      <xdr:row>65</xdr:row>
      <xdr:rowOff>0</xdr:rowOff>
    </xdr:to>
    <xdr:pic>
      <xdr:nvPicPr>
        <xdr:cNvPr id="4" name="Picture 1" descr="Picture"/>
        <xdr:cNvPicPr>
          <a:picLocks noChangeAspect="1"/>
        </xdr:cNvPicPr>
      </xdr:nvPicPr>
      <xdr:blipFill>
        <a:blip r:embed="rId1"/>
        <a:stretch>
          <a:fillRect/>
        </a:stretch>
      </xdr:blipFill>
      <xdr:spPr>
        <a:xfrm>
          <a:off x="638175" y="15266035"/>
          <a:ext cx="10735945" cy="60960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25</xdr:row>
      <xdr:rowOff>0</xdr:rowOff>
    </xdr:from>
    <xdr:to>
      <xdr:col>3</xdr:col>
      <xdr:colOff>1478410</xdr:colOff>
      <xdr:row>37</xdr:row>
      <xdr:rowOff>107000</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360545" y="5809615"/>
          <a:ext cx="4232275"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47</xdr:row>
      <xdr:rowOff>0</xdr:rowOff>
    </xdr:from>
    <xdr:to>
      <xdr:col>7</xdr:col>
      <xdr:colOff>1427296</xdr:colOff>
      <xdr:row>58</xdr:row>
      <xdr:rowOff>75250</xdr:rowOff>
    </xdr:to>
    <xdr:pic>
      <xdr:nvPicPr>
        <xdr:cNvPr id="3" name="图片 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1574780" y="10942320"/>
          <a:ext cx="4250055" cy="248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370418</xdr:colOff>
      <xdr:row>27</xdr:row>
      <xdr:rowOff>147108</xdr:rowOff>
    </xdr:from>
    <xdr:to>
      <xdr:col>12</xdr:col>
      <xdr:colOff>264583</xdr:colOff>
      <xdr:row>27</xdr:row>
      <xdr:rowOff>2937933</xdr:rowOff>
    </xdr:to>
    <xdr:graphicFrame>
      <xdr:nvGraphicFramePr>
        <xdr:cNvPr id="2" name="Chart 1"/>
        <xdr:cNvGraphicFramePr/>
      </xdr:nvGraphicFramePr>
      <xdr:xfrm>
        <a:off x="789305" y="9641205"/>
        <a:ext cx="5890260" cy="2790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306917</xdr:colOff>
      <xdr:row>25</xdr:row>
      <xdr:rowOff>177799</xdr:rowOff>
    </xdr:from>
    <xdr:to>
      <xdr:col>12</xdr:col>
      <xdr:colOff>285750</xdr:colOff>
      <xdr:row>25</xdr:row>
      <xdr:rowOff>2911474</xdr:rowOff>
    </xdr:to>
    <xdr:graphicFrame>
      <xdr:nvGraphicFramePr>
        <xdr:cNvPr id="3" name="Chart 2"/>
        <xdr:cNvGraphicFramePr/>
      </xdr:nvGraphicFramePr>
      <xdr:xfrm>
        <a:off x="725805" y="6147435"/>
        <a:ext cx="5975350" cy="27336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19"/>
  <sheetViews>
    <sheetView zoomScale="90" zoomScaleNormal="90" workbookViewId="0">
      <selection activeCell="A1" sqref="A1"/>
    </sheetView>
  </sheetViews>
  <sheetFormatPr defaultColWidth="10.4272727272727" defaultRowHeight="15.5"/>
  <cols>
    <col min="1" max="1" width="5.13636363636364" style="253" customWidth="1"/>
    <col min="2" max="2" width="22.4272727272727" style="253" customWidth="1"/>
    <col min="3" max="16384" width="10.4272727272727" style="253"/>
  </cols>
  <sheetData>
    <row r="1" s="251" customFormat="1" ht="124.5" customHeight="1" spans="1:11">
      <c r="A1" s="254"/>
      <c r="B1" s="255"/>
      <c r="C1" s="256" t="s">
        <v>0</v>
      </c>
      <c r="D1" s="256"/>
      <c r="E1" s="256"/>
      <c r="F1" s="254"/>
      <c r="G1" s="254"/>
      <c r="H1" s="254"/>
      <c r="I1" s="254"/>
      <c r="J1" s="254"/>
      <c r="K1" s="254"/>
    </row>
    <row r="3" ht="16.5" customHeight="1" spans="1:11">
      <c r="A3" s="257"/>
      <c r="B3" s="258"/>
      <c r="C3" s="258"/>
      <c r="D3" s="258"/>
      <c r="E3" s="258"/>
      <c r="F3" s="258"/>
      <c r="G3" s="258"/>
      <c r="H3" s="258"/>
      <c r="I3" s="258"/>
      <c r="J3" s="258"/>
      <c r="K3" s="258"/>
    </row>
    <row r="4" s="252" customFormat="1" ht="37.9" customHeight="1" spans="2:10">
      <c r="B4" s="259" t="s">
        <v>1</v>
      </c>
      <c r="C4" s="260" t="s">
        <v>2</v>
      </c>
      <c r="D4" s="260"/>
      <c r="E4" s="260"/>
      <c r="F4" s="260"/>
      <c r="G4" s="260"/>
      <c r="H4" s="260"/>
      <c r="I4" s="260"/>
      <c r="J4" s="267"/>
    </row>
    <row r="5" ht="27" customHeight="1" spans="2:9">
      <c r="B5" s="259" t="s">
        <v>3</v>
      </c>
      <c r="C5" s="253" t="str">
        <f>Setting!B1</f>
        <v>3D_SN322418</v>
      </c>
      <c r="D5" s="261"/>
      <c r="E5" s="261"/>
      <c r="F5" s="261"/>
      <c r="G5" s="261"/>
      <c r="H5" s="261"/>
      <c r="I5" s="261"/>
    </row>
    <row r="6" ht="27" customHeight="1" spans="2:9">
      <c r="B6" s="259" t="s">
        <v>4</v>
      </c>
      <c r="C6" s="262" t="s">
        <v>5</v>
      </c>
      <c r="D6" s="261"/>
      <c r="E6" s="261"/>
      <c r="F6" s="261"/>
      <c r="G6" s="261"/>
      <c r="H6" s="261"/>
      <c r="I6" s="261"/>
    </row>
    <row r="7" ht="27" customHeight="1" spans="2:9">
      <c r="B7" s="259" t="s">
        <v>6</v>
      </c>
      <c r="C7" s="253" t="str">
        <f>Setting!B2</f>
        <v>HW356054</v>
      </c>
      <c r="D7" s="261"/>
      <c r="E7" s="261"/>
      <c r="F7" s="261"/>
      <c r="G7" s="261"/>
      <c r="H7" s="261"/>
      <c r="I7" s="261"/>
    </row>
    <row r="8" ht="24" customHeight="1" spans="2:8">
      <c r="B8" s="259" t="s">
        <v>7</v>
      </c>
      <c r="C8" s="263" t="s">
        <v>8</v>
      </c>
      <c r="D8" s="252"/>
      <c r="E8" s="252"/>
      <c r="F8" s="252"/>
      <c r="G8" s="252"/>
      <c r="H8" s="252"/>
    </row>
    <row r="9" ht="25.5" customHeight="1" spans="2:10">
      <c r="B9" s="259" t="s">
        <v>9</v>
      </c>
      <c r="C9" s="264" t="s">
        <v>10</v>
      </c>
      <c r="D9" s="260"/>
      <c r="E9" s="260"/>
      <c r="F9" s="260"/>
      <c r="G9" s="260"/>
      <c r="H9" s="260"/>
      <c r="I9" s="252"/>
      <c r="J9" s="252"/>
    </row>
    <row r="10" ht="25.5" customHeight="1" spans="2:3">
      <c r="B10" s="259" t="s">
        <v>11</v>
      </c>
      <c r="C10" s="265" t="s">
        <v>12</v>
      </c>
    </row>
    <row r="11" ht="25.5" customHeight="1" spans="2:8">
      <c r="B11" s="259" t="s">
        <v>13</v>
      </c>
      <c r="C11" s="252" t="s">
        <v>14</v>
      </c>
      <c r="D11" s="261"/>
      <c r="E11" s="261"/>
      <c r="F11" s="261"/>
      <c r="G11" s="261"/>
      <c r="H11" s="261"/>
    </row>
    <row r="12" ht="28.5" customHeight="1" spans="2:9">
      <c r="B12" s="258" t="s">
        <v>15</v>
      </c>
      <c r="C12" s="263" t="s">
        <v>16</v>
      </c>
      <c r="D12" s="252"/>
      <c r="E12" s="252"/>
      <c r="F12" s="252"/>
      <c r="G12" s="252"/>
      <c r="H12" s="252"/>
      <c r="I12" s="252"/>
    </row>
    <row r="13" ht="23.25" customHeight="1" spans="2:13">
      <c r="B13" s="259" t="s">
        <v>17</v>
      </c>
      <c r="C13" s="252" t="s">
        <v>18</v>
      </c>
      <c r="D13" s="261"/>
      <c r="E13" s="261"/>
      <c r="F13" s="261"/>
      <c r="G13" s="261"/>
      <c r="H13" s="261"/>
      <c r="I13" s="261"/>
      <c r="J13" s="261"/>
      <c r="K13" s="261"/>
      <c r="L13" s="261"/>
      <c r="M13" s="261"/>
    </row>
    <row r="14" ht="36.75" customHeight="1" spans="2:14">
      <c r="B14" s="259" t="s">
        <v>19</v>
      </c>
      <c r="C14" s="266" t="s">
        <v>20</v>
      </c>
      <c r="D14" s="261"/>
      <c r="E14" s="261"/>
      <c r="F14" s="261"/>
      <c r="G14" s="261"/>
      <c r="H14" s="261"/>
      <c r="I14" s="261"/>
      <c r="J14" s="261"/>
      <c r="K14" s="261"/>
      <c r="L14" s="261"/>
      <c r="M14" s="261"/>
      <c r="N14" s="268"/>
    </row>
    <row r="15" ht="63.75" customHeight="1" spans="2:3">
      <c r="B15" s="259" t="s">
        <v>21</v>
      </c>
      <c r="C15" s="266" t="s">
        <v>22</v>
      </c>
    </row>
    <row r="19" spans="5:5">
      <c r="E19" s="259" t="s">
        <v>23</v>
      </c>
    </row>
  </sheetData>
  <mergeCells count="11">
    <mergeCell ref="C1:E1"/>
    <mergeCell ref="C4:I4"/>
    <mergeCell ref="C5:I5"/>
    <mergeCell ref="C6:I6"/>
    <mergeCell ref="C8:H8"/>
    <mergeCell ref="C9:H9"/>
    <mergeCell ref="C11:H11"/>
    <mergeCell ref="C12:I12"/>
    <mergeCell ref="C13:M13"/>
    <mergeCell ref="C14:M14"/>
    <mergeCell ref="C15:M15"/>
  </mergeCells>
  <pageMargins left="0.75" right="0.75" top="1" bottom="1" header="0.5" footer="0.5"/>
  <pageSetup paperSize="9" scale="65" firstPageNumber="4294963191" orientation="portrait" useFirstPageNumber="1"/>
  <headerFooter alignWithMargins="0"/>
  <colBreaks count="1" manualBreakCount="1">
    <brk id="13"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6"/>
  <sheetViews>
    <sheetView zoomScale="90" zoomScaleNormal="90" workbookViewId="0">
      <selection activeCell="A1" sqref="A1"/>
    </sheetView>
  </sheetViews>
  <sheetFormatPr defaultColWidth="11.1363636363636" defaultRowHeight="14"/>
  <cols>
    <col min="1" max="1" width="4" style="220" customWidth="1"/>
    <col min="2" max="2" width="5.13636363636364" style="220" customWidth="1"/>
    <col min="3" max="3" width="22" style="220" customWidth="1"/>
    <col min="4" max="4" width="13.2818181818182" style="220" customWidth="1"/>
    <col min="5" max="5" width="22.2818181818182" style="220" customWidth="1"/>
    <col min="6" max="6" width="25.8545454545455" style="220" customWidth="1"/>
    <col min="7" max="9" width="23.4272727272727" style="220" customWidth="1"/>
    <col min="10" max="10" width="7.13636363636364" style="220" customWidth="1"/>
    <col min="11" max="16384" width="11.1363636363636" style="220"/>
  </cols>
  <sheetData>
    <row r="1" ht="17.25" customHeight="1" spans="1:10">
      <c r="A1" s="221"/>
      <c r="B1" s="221"/>
      <c r="C1" s="221"/>
      <c r="D1" s="221"/>
      <c r="E1" s="221"/>
      <c r="F1" s="221"/>
      <c r="G1" s="221"/>
      <c r="H1" s="221"/>
      <c r="I1" s="221"/>
      <c r="J1" s="221"/>
    </row>
    <row r="2" ht="22.35" customHeight="1" spans="1:10">
      <c r="A2" s="221"/>
      <c r="B2" s="222" t="s">
        <v>24</v>
      </c>
      <c r="C2" s="222"/>
      <c r="D2" s="222"/>
      <c r="E2" s="222"/>
      <c r="F2" s="222"/>
      <c r="G2" s="222"/>
      <c r="H2" s="222"/>
      <c r="I2" s="222"/>
      <c r="J2" s="222"/>
    </row>
    <row r="3" ht="11.25" customHeight="1" spans="1:10">
      <c r="A3" s="223"/>
      <c r="B3" s="223"/>
      <c r="C3" s="223"/>
      <c r="D3" s="223"/>
      <c r="E3" s="223"/>
      <c r="F3" s="223"/>
      <c r="G3" s="223"/>
      <c r="H3" s="223"/>
      <c r="I3" s="221"/>
      <c r="J3" s="221"/>
    </row>
    <row r="4" ht="22.9" customHeight="1" spans="1:10">
      <c r="A4" s="221"/>
      <c r="B4" s="157"/>
      <c r="C4" s="224" t="s">
        <v>25</v>
      </c>
      <c r="D4" s="224"/>
      <c r="E4" s="224"/>
      <c r="F4" s="224"/>
      <c r="G4" s="224"/>
      <c r="H4" s="224"/>
      <c r="I4" s="224"/>
      <c r="J4" s="221"/>
    </row>
    <row r="5" ht="22.9" customHeight="1" spans="1:10">
      <c r="A5" s="221"/>
      <c r="B5" s="221"/>
      <c r="C5" s="225" t="s">
        <v>26</v>
      </c>
      <c r="D5" s="225"/>
      <c r="E5" s="226" t="s">
        <v>27</v>
      </c>
      <c r="F5" s="226" t="s">
        <v>28</v>
      </c>
      <c r="G5" s="226" t="s">
        <v>29</v>
      </c>
      <c r="H5" s="226" t="s">
        <v>30</v>
      </c>
      <c r="I5" s="229" t="s">
        <v>31</v>
      </c>
      <c r="J5" s="221"/>
    </row>
    <row r="6" ht="32.65" customHeight="1" spans="1:10">
      <c r="A6" s="221"/>
      <c r="B6" s="221"/>
      <c r="C6" s="227" t="s">
        <v>32</v>
      </c>
      <c r="D6" s="227"/>
      <c r="E6" s="33" t="s">
        <v>33</v>
      </c>
      <c r="F6" s="33" t="s">
        <v>34</v>
      </c>
      <c r="G6" s="33" t="s">
        <v>34</v>
      </c>
      <c r="H6" s="33" t="s">
        <v>35</v>
      </c>
      <c r="I6" s="230" t="s">
        <v>36</v>
      </c>
      <c r="J6" s="221"/>
    </row>
    <row r="7" ht="16.5" customHeight="1" spans="1:10">
      <c r="A7" s="221"/>
      <c r="B7" s="221"/>
      <c r="C7" s="228"/>
      <c r="D7" s="228"/>
      <c r="E7" s="228"/>
      <c r="F7" s="228"/>
      <c r="G7" s="228"/>
      <c r="H7" s="228"/>
      <c r="I7" s="228"/>
      <c r="J7" s="221"/>
    </row>
    <row r="8" ht="22.9" customHeight="1" spans="1:10">
      <c r="A8" s="221"/>
      <c r="B8" s="221"/>
      <c r="C8" s="224" t="s">
        <v>37</v>
      </c>
      <c r="D8" s="224"/>
      <c r="E8" s="224"/>
      <c r="F8" s="224"/>
      <c r="G8" s="224"/>
      <c r="H8" s="224"/>
      <c r="I8" s="224"/>
      <c r="J8" s="221"/>
    </row>
    <row r="9" ht="22.9" customHeight="1" spans="1:10">
      <c r="A9" s="221"/>
      <c r="B9" s="221"/>
      <c r="C9" s="225" t="s">
        <v>38</v>
      </c>
      <c r="D9" s="225"/>
      <c r="E9" s="225"/>
      <c r="F9" s="226" t="s">
        <v>39</v>
      </c>
      <c r="G9" s="226"/>
      <c r="H9" s="229" t="s">
        <v>40</v>
      </c>
      <c r="I9" s="229"/>
      <c r="J9" s="221"/>
    </row>
    <row r="10" ht="22.9" customHeight="1" spans="1:10">
      <c r="A10" s="221"/>
      <c r="B10" s="221"/>
      <c r="C10" s="227" t="s">
        <v>41</v>
      </c>
      <c r="D10" s="227"/>
      <c r="E10" s="227"/>
      <c r="F10" s="33" t="s">
        <v>42</v>
      </c>
      <c r="G10" s="33"/>
      <c r="H10" s="230" t="s">
        <v>43</v>
      </c>
      <c r="I10" s="230"/>
      <c r="J10" s="221"/>
    </row>
    <row r="11" ht="22.9" customHeight="1" spans="1:10">
      <c r="A11" s="221"/>
      <c r="B11" s="221"/>
      <c r="C11" s="227" t="s">
        <v>44</v>
      </c>
      <c r="D11" s="227"/>
      <c r="E11" s="227"/>
      <c r="F11" s="33" t="s">
        <v>45</v>
      </c>
      <c r="G11" s="33"/>
      <c r="H11" s="230" t="s">
        <v>46</v>
      </c>
      <c r="I11" s="230"/>
      <c r="J11" s="221"/>
    </row>
    <row r="12" ht="22.9" customHeight="1" spans="1:10">
      <c r="A12" s="221"/>
      <c r="B12" s="221"/>
      <c r="C12" s="227" t="s">
        <v>47</v>
      </c>
      <c r="D12" s="227"/>
      <c r="E12" s="227"/>
      <c r="F12" s="33" t="s">
        <v>48</v>
      </c>
      <c r="G12" s="33"/>
      <c r="H12" s="230" t="s">
        <v>49</v>
      </c>
      <c r="I12" s="230"/>
      <c r="J12" s="221"/>
    </row>
    <row r="13" ht="16.15" customHeight="1" spans="1:10">
      <c r="A13" s="221"/>
      <c r="B13" s="221"/>
      <c r="C13" s="228"/>
      <c r="D13" s="228"/>
      <c r="E13" s="228"/>
      <c r="F13" s="228"/>
      <c r="G13" s="228"/>
      <c r="H13" s="228"/>
      <c r="I13" s="228"/>
      <c r="J13" s="221"/>
    </row>
    <row r="14" ht="16.15" customHeight="1" spans="1:10">
      <c r="A14" s="221"/>
      <c r="B14" s="231"/>
      <c r="C14" s="231"/>
      <c r="D14" s="231"/>
      <c r="E14" s="231"/>
      <c r="F14" s="231"/>
      <c r="G14" s="231"/>
      <c r="H14" s="231"/>
      <c r="I14" s="231"/>
      <c r="J14" s="231"/>
    </row>
    <row r="15" ht="32.65" customHeight="1" spans="1:10">
      <c r="A15" s="232"/>
      <c r="B15" s="233" t="s">
        <v>50</v>
      </c>
      <c r="C15" s="233"/>
      <c r="D15" s="233"/>
      <c r="E15" s="233"/>
      <c r="F15" s="233"/>
      <c r="G15" s="233"/>
      <c r="H15" s="233"/>
      <c r="I15" s="233"/>
      <c r="J15" s="233"/>
    </row>
    <row r="16" ht="22.9" customHeight="1" spans="1:10">
      <c r="A16" s="221"/>
      <c r="B16" s="234"/>
      <c r="C16" s="235" t="s">
        <v>51</v>
      </c>
      <c r="D16" s="235"/>
      <c r="E16" s="235" t="s">
        <v>52</v>
      </c>
      <c r="F16" s="235"/>
      <c r="G16" s="235" t="s">
        <v>53</v>
      </c>
      <c r="H16" s="235" t="s">
        <v>54</v>
      </c>
      <c r="I16" s="235" t="s">
        <v>55</v>
      </c>
      <c r="J16" s="247"/>
    </row>
    <row r="17" ht="32.65" customHeight="1" spans="1:10">
      <c r="A17" s="221"/>
      <c r="B17" s="236"/>
      <c r="C17" s="237" t="s">
        <v>32</v>
      </c>
      <c r="D17" s="237"/>
      <c r="E17" s="237" t="s">
        <v>56</v>
      </c>
      <c r="F17" s="237"/>
      <c r="G17" s="237" t="s">
        <v>36</v>
      </c>
      <c r="H17" s="237" t="s">
        <v>57</v>
      </c>
      <c r="I17" s="237" t="s">
        <v>58</v>
      </c>
      <c r="J17" s="248"/>
    </row>
    <row r="18" ht="9.75" customHeight="1" spans="1:10">
      <c r="A18" s="221"/>
      <c r="B18" s="236"/>
      <c r="C18" s="221"/>
      <c r="D18" s="221"/>
      <c r="E18" s="221"/>
      <c r="F18" s="221"/>
      <c r="G18" s="221"/>
      <c r="H18" s="221"/>
      <c r="I18" s="221"/>
      <c r="J18" s="248"/>
    </row>
    <row r="19" ht="22.9" customHeight="1" spans="1:10">
      <c r="A19" s="221"/>
      <c r="B19" s="236"/>
      <c r="C19" s="221" t="s">
        <v>59</v>
      </c>
      <c r="D19" s="221"/>
      <c r="E19" s="238">
        <v>45792</v>
      </c>
      <c r="F19" s="238"/>
      <c r="G19" s="221"/>
      <c r="H19" s="221"/>
      <c r="I19" s="221"/>
      <c r="J19" s="248"/>
    </row>
    <row r="20" ht="22.9" customHeight="1" spans="1:10">
      <c r="A20" s="221"/>
      <c r="B20" s="236"/>
      <c r="C20" s="108" t="s">
        <v>60</v>
      </c>
      <c r="D20" s="108"/>
      <c r="E20" s="108"/>
      <c r="F20" s="108"/>
      <c r="G20" s="108"/>
      <c r="H20" s="108"/>
      <c r="I20" s="108"/>
      <c r="J20" s="248"/>
    </row>
    <row r="21" ht="93.6" customHeight="1" spans="1:10">
      <c r="A21" s="221"/>
      <c r="B21" s="236"/>
      <c r="C21" s="239" t="s">
        <v>61</v>
      </c>
      <c r="D21" s="239"/>
      <c r="E21" s="239"/>
      <c r="F21" s="239"/>
      <c r="G21" s="239"/>
      <c r="H21" s="239"/>
      <c r="I21" s="239"/>
      <c r="J21" s="248"/>
    </row>
    <row r="22" ht="22.9" customHeight="1" spans="1:10">
      <c r="A22" s="221"/>
      <c r="B22" s="236"/>
      <c r="C22" s="108" t="s">
        <v>62</v>
      </c>
      <c r="D22" s="108"/>
      <c r="E22" s="108"/>
      <c r="F22" s="108"/>
      <c r="G22" s="108"/>
      <c r="H22" s="108"/>
      <c r="I22" s="108"/>
      <c r="J22" s="248"/>
    </row>
    <row r="23" ht="22.9" customHeight="1" spans="1:10">
      <c r="A23" s="221"/>
      <c r="B23" s="236"/>
      <c r="C23" s="235" t="s">
        <v>63</v>
      </c>
      <c r="D23" s="235"/>
      <c r="E23" s="235" t="s">
        <v>64</v>
      </c>
      <c r="F23" s="235"/>
      <c r="G23" s="235" t="s">
        <v>65</v>
      </c>
      <c r="H23" s="235" t="s">
        <v>66</v>
      </c>
      <c r="I23" s="235"/>
      <c r="J23" s="248"/>
    </row>
    <row r="24" ht="22.9" customHeight="1" spans="1:10">
      <c r="A24" s="221"/>
      <c r="B24" s="236"/>
      <c r="C24" s="237" t="s">
        <v>34</v>
      </c>
      <c r="D24" s="237"/>
      <c r="E24" s="237" t="s">
        <v>67</v>
      </c>
      <c r="F24" s="237"/>
      <c r="G24" s="237" t="s">
        <v>68</v>
      </c>
      <c r="H24" s="237" t="s">
        <v>34</v>
      </c>
      <c r="I24" s="237"/>
      <c r="J24" s="248"/>
    </row>
    <row r="25" ht="16.35" customHeight="1" spans="1:10">
      <c r="A25" s="221"/>
      <c r="B25" s="240"/>
      <c r="C25" s="241"/>
      <c r="D25" s="241"/>
      <c r="E25" s="241"/>
      <c r="F25" s="241"/>
      <c r="G25" s="241"/>
      <c r="H25" s="241"/>
      <c r="I25" s="241"/>
      <c r="J25" s="249"/>
    </row>
    <row r="26" ht="16.35" customHeight="1" spans="1:10">
      <c r="A26" s="221"/>
      <c r="B26" s="221"/>
      <c r="C26" s="221"/>
      <c r="D26" s="221"/>
      <c r="E26" s="221"/>
      <c r="F26" s="221"/>
      <c r="G26" s="221"/>
      <c r="H26" s="221"/>
      <c r="I26" s="221"/>
      <c r="J26" s="221"/>
    </row>
    <row r="27" ht="32.65" customHeight="1" spans="1:10">
      <c r="A27" s="33"/>
      <c r="B27" s="242" t="s">
        <v>69</v>
      </c>
      <c r="C27" s="242"/>
      <c r="D27" s="242"/>
      <c r="E27" s="242"/>
      <c r="F27" s="242"/>
      <c r="G27" s="242"/>
      <c r="H27" s="242"/>
      <c r="I27" s="242"/>
      <c r="J27" s="242"/>
    </row>
    <row r="28" ht="22.9" customHeight="1" spans="1:10">
      <c r="A28" s="221"/>
      <c r="B28" s="243"/>
      <c r="C28" s="158" t="s">
        <v>70</v>
      </c>
      <c r="D28" s="158"/>
      <c r="E28" s="244">
        <v>45792</v>
      </c>
      <c r="F28" s="244"/>
      <c r="G28" s="158"/>
      <c r="H28" s="158"/>
      <c r="I28" s="158"/>
      <c r="J28" s="250"/>
    </row>
    <row r="29" ht="22.9" customHeight="1" spans="1:10">
      <c r="A29" s="221"/>
      <c r="B29" s="243"/>
      <c r="C29" s="157" t="s">
        <v>71</v>
      </c>
      <c r="D29" s="157"/>
      <c r="E29" s="157"/>
      <c r="F29" s="157"/>
      <c r="G29" s="158"/>
      <c r="H29" s="158"/>
      <c r="I29" s="158"/>
      <c r="J29" s="250"/>
    </row>
    <row r="30" ht="32.65" customHeight="1" spans="1:10">
      <c r="A30" s="221"/>
      <c r="B30" s="243"/>
      <c r="C30" s="237" t="s">
        <v>72</v>
      </c>
      <c r="D30" s="239" t="s">
        <v>73</v>
      </c>
      <c r="E30" s="239"/>
      <c r="F30" s="239"/>
      <c r="G30" s="239"/>
      <c r="H30" s="239"/>
      <c r="I30" s="239"/>
      <c r="J30" s="250"/>
    </row>
    <row r="31" ht="22.9" customHeight="1" spans="1:10">
      <c r="A31" s="221"/>
      <c r="B31" s="243"/>
      <c r="C31" s="237" t="s">
        <v>74</v>
      </c>
      <c r="D31" s="239" t="s">
        <v>73</v>
      </c>
      <c r="E31" s="239"/>
      <c r="F31" s="239"/>
      <c r="G31" s="239"/>
      <c r="H31" s="239"/>
      <c r="I31" s="239"/>
      <c r="J31" s="250"/>
    </row>
    <row r="32" ht="22.9" customHeight="1" spans="1:10">
      <c r="A32" s="221"/>
      <c r="B32" s="236"/>
      <c r="C32" s="237"/>
      <c r="D32" s="239" t="s">
        <v>75</v>
      </c>
      <c r="E32" s="239"/>
      <c r="F32" s="239"/>
      <c r="G32" s="239"/>
      <c r="H32" s="239"/>
      <c r="I32" s="239"/>
      <c r="J32" s="248"/>
    </row>
    <row r="33" ht="22.9" customHeight="1" spans="1:10">
      <c r="A33" s="221"/>
      <c r="B33" s="243"/>
      <c r="C33" s="237"/>
      <c r="D33" s="239" t="s">
        <v>76</v>
      </c>
      <c r="E33" s="239"/>
      <c r="F33" s="239"/>
      <c r="G33" s="239"/>
      <c r="H33" s="239"/>
      <c r="I33" s="239"/>
      <c r="J33" s="250"/>
    </row>
    <row r="34" ht="22.9" customHeight="1" spans="1:10">
      <c r="A34" s="221"/>
      <c r="B34" s="236"/>
      <c r="C34" s="157" t="s">
        <v>77</v>
      </c>
      <c r="D34" s="157"/>
      <c r="E34" s="157"/>
      <c r="F34" s="157"/>
      <c r="G34" s="221"/>
      <c r="H34" s="221"/>
      <c r="I34" s="221"/>
      <c r="J34" s="248"/>
    </row>
    <row r="35" ht="22.9" customHeight="1" spans="1:10">
      <c r="A35" s="158"/>
      <c r="B35" s="243"/>
      <c r="C35" s="239" t="s">
        <v>78</v>
      </c>
      <c r="D35" s="239"/>
      <c r="E35" s="237" t="s">
        <v>79</v>
      </c>
      <c r="F35" s="239" t="s">
        <v>80</v>
      </c>
      <c r="G35" s="237" t="s">
        <v>81</v>
      </c>
      <c r="H35" s="237" t="s">
        <v>82</v>
      </c>
      <c r="I35" s="237" t="s">
        <v>83</v>
      </c>
      <c r="J35" s="250"/>
    </row>
    <row r="36" ht="22.9" customHeight="1" spans="1:10">
      <c r="A36" s="158"/>
      <c r="B36" s="243"/>
      <c r="C36" s="239" t="s">
        <v>84</v>
      </c>
      <c r="D36" s="239"/>
      <c r="E36" s="237" t="s">
        <v>85</v>
      </c>
      <c r="F36" s="237"/>
      <c r="G36" s="237"/>
      <c r="H36" s="237" t="s">
        <v>86</v>
      </c>
      <c r="I36" s="237" t="s">
        <v>87</v>
      </c>
      <c r="J36" s="250"/>
    </row>
    <row r="37" ht="32.65" customHeight="1" spans="1:10">
      <c r="A37" s="158"/>
      <c r="B37" s="243"/>
      <c r="C37" s="239" t="s">
        <v>88</v>
      </c>
      <c r="D37" s="239"/>
      <c r="E37" s="237" t="s">
        <v>89</v>
      </c>
      <c r="F37" s="239" t="s">
        <v>90</v>
      </c>
      <c r="G37" s="237" t="s">
        <v>91</v>
      </c>
      <c r="H37" s="237"/>
      <c r="I37" s="237"/>
      <c r="J37" s="250"/>
    </row>
    <row r="38" ht="32.65" customHeight="1" spans="1:10">
      <c r="A38" s="158"/>
      <c r="B38" s="243"/>
      <c r="C38" s="239" t="s">
        <v>92</v>
      </c>
      <c r="D38" s="239"/>
      <c r="E38" s="237" t="s">
        <v>93</v>
      </c>
      <c r="F38" s="239" t="s">
        <v>94</v>
      </c>
      <c r="G38" s="237" t="s">
        <v>95</v>
      </c>
      <c r="H38" s="237"/>
      <c r="I38" s="237"/>
      <c r="J38" s="250"/>
    </row>
    <row r="39" ht="22.9" customHeight="1" spans="1:10">
      <c r="A39" s="158"/>
      <c r="B39" s="243"/>
      <c r="C39" s="239" t="s">
        <v>96</v>
      </c>
      <c r="D39" s="239"/>
      <c r="E39" s="237" t="s">
        <v>97</v>
      </c>
      <c r="F39" s="239" t="s">
        <v>98</v>
      </c>
      <c r="G39" s="237" t="s">
        <v>99</v>
      </c>
      <c r="H39" s="237"/>
      <c r="I39" s="237"/>
      <c r="J39" s="250"/>
    </row>
    <row r="40" ht="9.75" customHeight="1" spans="1:10">
      <c r="A40" s="221"/>
      <c r="B40" s="236"/>
      <c r="C40" s="221"/>
      <c r="D40" s="221"/>
      <c r="E40" s="221"/>
      <c r="F40" s="221"/>
      <c r="G40" s="221"/>
      <c r="H40" s="221"/>
      <c r="I40" s="221"/>
      <c r="J40" s="248"/>
    </row>
    <row r="41" ht="22.9" customHeight="1" spans="1:10">
      <c r="A41" s="221"/>
      <c r="B41" s="236"/>
      <c r="C41" s="157" t="s">
        <v>100</v>
      </c>
      <c r="D41" s="157"/>
      <c r="E41" s="157"/>
      <c r="F41" s="157"/>
      <c r="G41" s="221"/>
      <c r="H41" s="221"/>
      <c r="I41" s="221"/>
      <c r="J41" s="248"/>
    </row>
    <row r="42" ht="49.9" customHeight="1" spans="1:10">
      <c r="A42" s="33"/>
      <c r="B42" s="227"/>
      <c r="C42" s="237" t="s">
        <v>101</v>
      </c>
      <c r="D42" s="237"/>
      <c r="E42" s="237" t="s">
        <v>102</v>
      </c>
      <c r="F42" s="237" t="s">
        <v>103</v>
      </c>
      <c r="G42" s="237" t="s">
        <v>104</v>
      </c>
      <c r="H42" s="237" t="s">
        <v>105</v>
      </c>
      <c r="I42" s="237" t="s">
        <v>106</v>
      </c>
      <c r="J42" s="230"/>
    </row>
    <row r="43" ht="32.65" customHeight="1" spans="1:10">
      <c r="A43" s="221"/>
      <c r="B43" s="236"/>
      <c r="C43" s="237" t="s">
        <v>107</v>
      </c>
      <c r="D43" s="237"/>
      <c r="E43" s="237" t="s">
        <v>72</v>
      </c>
      <c r="F43" s="237" t="s">
        <v>108</v>
      </c>
      <c r="G43" s="237" t="s">
        <v>109</v>
      </c>
      <c r="H43" s="237" t="s">
        <v>108</v>
      </c>
      <c r="I43" s="237" t="s">
        <v>110</v>
      </c>
      <c r="J43" s="248"/>
    </row>
    <row r="44" ht="22.9" customHeight="1" spans="1:10">
      <c r="A44" s="221"/>
      <c r="B44" s="236"/>
      <c r="C44" s="237"/>
      <c r="D44" s="237"/>
      <c r="E44" s="237" t="s">
        <v>74</v>
      </c>
      <c r="F44" s="237" t="s">
        <v>108</v>
      </c>
      <c r="G44" s="237" t="s">
        <v>111</v>
      </c>
      <c r="H44" s="237" t="s">
        <v>112</v>
      </c>
      <c r="I44" s="237" t="s">
        <v>113</v>
      </c>
      <c r="J44" s="248"/>
    </row>
    <row r="45" ht="17.25" customHeight="1" spans="1:10">
      <c r="A45" s="221"/>
      <c r="B45" s="236"/>
      <c r="C45" s="221"/>
      <c r="D45" s="221"/>
      <c r="E45" s="221"/>
      <c r="F45" s="221"/>
      <c r="G45" s="221"/>
      <c r="H45" s="221"/>
      <c r="I45" s="221"/>
      <c r="J45" s="248"/>
    </row>
    <row r="46" ht="22.9" customHeight="1" spans="1:10">
      <c r="A46" s="221"/>
      <c r="B46" s="236"/>
      <c r="C46" s="157" t="s">
        <v>66</v>
      </c>
      <c r="D46" s="157"/>
      <c r="E46" s="158"/>
      <c r="F46" s="158"/>
      <c r="G46" s="158"/>
      <c r="H46" s="158"/>
      <c r="I46" s="158"/>
      <c r="J46" s="248"/>
    </row>
    <row r="47" ht="22.9" customHeight="1" spans="1:10">
      <c r="A47" s="221"/>
      <c r="B47" s="236"/>
      <c r="C47" s="158" t="s">
        <v>34</v>
      </c>
      <c r="D47" s="158"/>
      <c r="E47" s="158"/>
      <c r="F47" s="158"/>
      <c r="G47" s="158"/>
      <c r="H47" s="158"/>
      <c r="I47" s="158"/>
      <c r="J47" s="248"/>
    </row>
    <row r="48" ht="16.5" customHeight="1" spans="1:10">
      <c r="A48" s="221"/>
      <c r="B48" s="240"/>
      <c r="C48" s="241"/>
      <c r="D48" s="241"/>
      <c r="E48" s="241"/>
      <c r="F48" s="241"/>
      <c r="G48" s="241"/>
      <c r="H48" s="241"/>
      <c r="I48" s="241"/>
      <c r="J48" s="249"/>
    </row>
    <row r="49" ht="16.35" customHeight="1"/>
    <row r="50" ht="30" customHeight="1" spans="2:9">
      <c r="B50" s="245"/>
      <c r="C50" s="246"/>
      <c r="D50" s="246"/>
      <c r="E50" s="246"/>
      <c r="F50" s="246"/>
      <c r="G50" s="246"/>
      <c r="H50" s="246"/>
      <c r="I50" s="246"/>
    </row>
    <row r="51" ht="30" customHeight="1" spans="3:9">
      <c r="C51" s="246"/>
      <c r="D51" s="246"/>
      <c r="E51" s="246"/>
      <c r="F51" s="246"/>
      <c r="G51" s="246"/>
      <c r="H51" s="246"/>
      <c r="I51" s="246"/>
    </row>
    <row r="52" ht="30" customHeight="1" spans="3:9">
      <c r="C52" s="246"/>
      <c r="D52" s="246"/>
      <c r="E52" s="246"/>
      <c r="F52" s="246"/>
      <c r="G52" s="246"/>
      <c r="H52" s="246"/>
      <c r="I52" s="246"/>
    </row>
    <row r="53" ht="30" customHeight="1" spans="3:9">
      <c r="C53" s="246"/>
      <c r="D53" s="246"/>
      <c r="E53" s="246"/>
      <c r="F53" s="246"/>
      <c r="G53" s="246"/>
      <c r="H53" s="246"/>
      <c r="I53" s="246"/>
    </row>
    <row r="54" ht="30" customHeight="1" spans="3:9">
      <c r="C54" s="246"/>
      <c r="D54" s="246"/>
      <c r="E54" s="246"/>
      <c r="F54" s="246"/>
      <c r="G54" s="246"/>
      <c r="H54" s="246"/>
      <c r="I54" s="246"/>
    </row>
    <row r="55" ht="30" customHeight="1" spans="3:9">
      <c r="C55" s="246"/>
      <c r="D55" s="246"/>
      <c r="E55" s="246"/>
      <c r="F55" s="246"/>
      <c r="G55" s="246"/>
      <c r="H55" s="246"/>
      <c r="I55" s="246"/>
    </row>
    <row r="56" ht="30" customHeight="1" spans="3:9">
      <c r="C56" s="246"/>
      <c r="D56" s="246"/>
      <c r="E56" s="246"/>
      <c r="F56" s="246"/>
      <c r="G56" s="246"/>
      <c r="H56" s="246"/>
      <c r="I56" s="246"/>
    </row>
    <row r="57" ht="30" customHeight="1" spans="3:9">
      <c r="C57" s="246"/>
      <c r="D57" s="246"/>
      <c r="E57" s="246"/>
      <c r="F57" s="246"/>
      <c r="G57" s="246"/>
      <c r="H57" s="246"/>
      <c r="I57" s="246"/>
    </row>
    <row r="58" ht="30" customHeight="1" spans="3:9">
      <c r="C58" s="246"/>
      <c r="D58" s="246"/>
      <c r="E58" s="246"/>
      <c r="F58" s="246"/>
      <c r="G58" s="246"/>
      <c r="H58" s="246"/>
      <c r="I58" s="246"/>
    </row>
    <row r="59" ht="30" customHeight="1" spans="3:9">
      <c r="C59" s="246"/>
      <c r="D59" s="246"/>
      <c r="E59" s="246"/>
      <c r="F59" s="246"/>
      <c r="G59" s="246"/>
      <c r="H59" s="246"/>
      <c r="I59" s="246"/>
    </row>
    <row r="60" ht="30" customHeight="1" spans="3:9">
      <c r="C60" s="246"/>
      <c r="D60" s="246"/>
      <c r="E60" s="246"/>
      <c r="F60" s="246"/>
      <c r="G60" s="246"/>
      <c r="H60" s="246"/>
      <c r="I60" s="246"/>
    </row>
    <row r="61" ht="30" customHeight="1" spans="3:9">
      <c r="C61" s="246"/>
      <c r="D61" s="246"/>
      <c r="E61" s="246"/>
      <c r="F61" s="246"/>
      <c r="G61" s="246"/>
      <c r="H61" s="246"/>
      <c r="I61" s="246"/>
    </row>
    <row r="62" ht="30" customHeight="1" spans="3:9">
      <c r="C62" s="246"/>
      <c r="D62" s="246"/>
      <c r="E62" s="246"/>
      <c r="F62" s="246"/>
      <c r="G62" s="246"/>
      <c r="H62" s="246"/>
      <c r="I62" s="246"/>
    </row>
    <row r="63" ht="30" customHeight="1" spans="3:9">
      <c r="C63" s="246"/>
      <c r="D63" s="246"/>
      <c r="E63" s="246"/>
      <c r="F63" s="246"/>
      <c r="G63" s="246"/>
      <c r="H63" s="246"/>
      <c r="I63" s="246"/>
    </row>
    <row r="64" ht="30" customHeight="1" spans="3:9">
      <c r="C64" s="246"/>
      <c r="D64" s="246"/>
      <c r="E64" s="246"/>
      <c r="F64" s="246"/>
      <c r="G64" s="246"/>
      <c r="H64" s="246"/>
      <c r="I64" s="246"/>
    </row>
    <row r="65" ht="30" customHeight="1" spans="3:9">
      <c r="C65" s="246"/>
      <c r="D65" s="246"/>
      <c r="E65" s="246"/>
      <c r="F65" s="246"/>
      <c r="G65" s="246"/>
      <c r="H65" s="246"/>
      <c r="I65" s="246"/>
    </row>
    <row r="66" ht="16.35" customHeight="1" spans="3:3">
      <c r="C66" s="246"/>
    </row>
  </sheetData>
  <mergeCells count="63">
    <mergeCell ref="B2:J2"/>
    <mergeCell ref="C4:I4"/>
    <mergeCell ref="C5:D5"/>
    <mergeCell ref="C6:D6"/>
    <mergeCell ref="C8:I8"/>
    <mergeCell ref="C9:E9"/>
    <mergeCell ref="F9:G9"/>
    <mergeCell ref="H9:I9"/>
    <mergeCell ref="C10:E10"/>
    <mergeCell ref="F10:G10"/>
    <mergeCell ref="H10:I10"/>
    <mergeCell ref="C11:E11"/>
    <mergeCell ref="F11:G11"/>
    <mergeCell ref="H11:I11"/>
    <mergeCell ref="C12:E12"/>
    <mergeCell ref="F12:G12"/>
    <mergeCell ref="H12:I12"/>
    <mergeCell ref="B15:J15"/>
    <mergeCell ref="C16:D16"/>
    <mergeCell ref="E16:F16"/>
    <mergeCell ref="C17:D17"/>
    <mergeCell ref="E17:F17"/>
    <mergeCell ref="C19:D19"/>
    <mergeCell ref="E19:F19"/>
    <mergeCell ref="C20:I20"/>
    <mergeCell ref="C21:I21"/>
    <mergeCell ref="C22:I22"/>
    <mergeCell ref="C23:D23"/>
    <mergeCell ref="E23:F23"/>
    <mergeCell ref="H23:I23"/>
    <mergeCell ref="C24:D24"/>
    <mergeCell ref="E24:F24"/>
    <mergeCell ref="H24:I24"/>
    <mergeCell ref="B27:J27"/>
    <mergeCell ref="C28:D28"/>
    <mergeCell ref="E28:F28"/>
    <mergeCell ref="C29:F29"/>
    <mergeCell ref="D30:I30"/>
    <mergeCell ref="D31:I31"/>
    <mergeCell ref="D32:I32"/>
    <mergeCell ref="D33:I33"/>
    <mergeCell ref="C34:F34"/>
    <mergeCell ref="C35:D35"/>
    <mergeCell ref="C36:D36"/>
    <mergeCell ref="E36:G36"/>
    <mergeCell ref="C37:D37"/>
    <mergeCell ref="C38:D38"/>
    <mergeCell ref="C39:D39"/>
    <mergeCell ref="C41:F41"/>
    <mergeCell ref="C42:D42"/>
    <mergeCell ref="C46:D46"/>
    <mergeCell ref="C47:I47"/>
    <mergeCell ref="A10:A12"/>
    <mergeCell ref="A30:A31"/>
    <mergeCell ref="A43:A44"/>
    <mergeCell ref="B10:B12"/>
    <mergeCell ref="B30:B31"/>
    <mergeCell ref="B43:B44"/>
    <mergeCell ref="H36:H39"/>
    <mergeCell ref="I36:I39"/>
    <mergeCell ref="J30:J31"/>
    <mergeCell ref="C50:I65"/>
    <mergeCell ref="C43:D44"/>
  </mergeCells>
  <pageMargins left="0.7" right="0.7" top="0.75" bottom="0.75" header="0.3" footer="0.3"/>
  <pageSetup paperSize="1" orientation="portrait" horizontalDpi="1200" verticalDpi="1200"/>
  <headerFooter/>
  <ignoredErrors>
    <ignoredError sqref="B6:J67" numberStoredAsText="1"/>
  </ignoredError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
  <sheetViews>
    <sheetView zoomScale="90" zoomScaleNormal="90" workbookViewId="0">
      <selection activeCell="E25" sqref="E25"/>
    </sheetView>
  </sheetViews>
  <sheetFormatPr defaultColWidth="11.4272727272727" defaultRowHeight="14"/>
  <cols>
    <col min="1" max="1" width="4.28181818181818" style="194" customWidth="1"/>
    <col min="2" max="2" width="16.7090909090909" style="194" customWidth="1"/>
    <col min="3" max="3" width="16.2818181818182" style="194" customWidth="1"/>
    <col min="4" max="4" width="11.1363636363636" style="194" customWidth="1"/>
    <col min="5" max="5" width="18.1363636363636" style="194" customWidth="1"/>
    <col min="6" max="10" width="13.2818181818182" style="194" customWidth="1"/>
    <col min="11" max="11" width="36.4272727272727" style="194" customWidth="1"/>
    <col min="12" max="12" width="11.1363636363636" style="194" customWidth="1"/>
    <col min="13" max="16384" width="11.4272727272727" style="194"/>
  </cols>
  <sheetData>
    <row r="1" ht="20.1" customHeight="1" spans="1:11">
      <c r="A1" s="195"/>
      <c r="B1" s="195"/>
      <c r="C1" s="195"/>
      <c r="D1" s="195"/>
      <c r="E1" s="195"/>
      <c r="F1" s="195"/>
      <c r="G1" s="195"/>
      <c r="H1" s="195"/>
      <c r="I1" s="195"/>
      <c r="J1" s="195"/>
      <c r="K1" s="195"/>
    </row>
    <row r="2" ht="20.1" customHeight="1" spans="1:11">
      <c r="A2" s="195"/>
      <c r="B2" s="196" t="s">
        <v>114</v>
      </c>
      <c r="C2" s="196"/>
      <c r="D2" s="197"/>
      <c r="E2" s="197"/>
      <c r="F2" s="197"/>
      <c r="G2" s="197"/>
      <c r="H2" s="197"/>
      <c r="I2" s="197"/>
      <c r="J2" s="197"/>
      <c r="K2" s="197"/>
    </row>
    <row r="3" ht="39.95" customHeight="1" spans="1:11">
      <c r="A3" s="198"/>
      <c r="B3" s="199" t="s">
        <v>115</v>
      </c>
      <c r="C3" s="200" t="s">
        <v>116</v>
      </c>
      <c r="D3" s="201" t="s">
        <v>117</v>
      </c>
      <c r="E3" s="201" t="s">
        <v>118</v>
      </c>
      <c r="F3" s="201" t="s">
        <v>119</v>
      </c>
      <c r="G3" s="201" t="s">
        <v>120</v>
      </c>
      <c r="H3" s="201" t="s">
        <v>121</v>
      </c>
      <c r="I3" s="201" t="s">
        <v>122</v>
      </c>
      <c r="J3" s="215" t="s">
        <v>123</v>
      </c>
      <c r="K3" s="216" t="s">
        <v>124</v>
      </c>
    </row>
    <row r="4" ht="20.1" customHeight="1" spans="1:11">
      <c r="A4" s="195"/>
      <c r="B4" s="202" t="s">
        <v>125</v>
      </c>
      <c r="C4" s="33" t="s">
        <v>126</v>
      </c>
      <c r="D4" s="33" t="s">
        <v>127</v>
      </c>
      <c r="E4" s="203" t="s">
        <v>128</v>
      </c>
      <c r="F4" s="204">
        <v>3</v>
      </c>
      <c r="G4" s="204" t="s">
        <v>129</v>
      </c>
      <c r="H4" s="204" t="s">
        <v>130</v>
      </c>
      <c r="I4" s="204" t="s">
        <v>36</v>
      </c>
      <c r="J4" s="217" t="s">
        <v>130</v>
      </c>
      <c r="K4" s="218" t="s">
        <v>131</v>
      </c>
    </row>
    <row r="5" ht="20.1" customHeight="1" spans="1:11">
      <c r="A5" s="195"/>
      <c r="B5" s="202"/>
      <c r="C5" s="33" t="s">
        <v>132</v>
      </c>
      <c r="D5" s="33" t="s">
        <v>127</v>
      </c>
      <c r="E5" s="203"/>
      <c r="F5" s="204"/>
      <c r="G5" s="204"/>
      <c r="H5" s="204"/>
      <c r="I5" s="204"/>
      <c r="J5" s="217"/>
      <c r="K5" s="218"/>
    </row>
    <row r="6" ht="20.1" customHeight="1" spans="1:11">
      <c r="A6" s="195"/>
      <c r="B6" s="202"/>
      <c r="C6" s="205" t="s">
        <v>133</v>
      </c>
      <c r="D6" s="203" t="s">
        <v>127</v>
      </c>
      <c r="E6" s="203"/>
      <c r="F6" s="204"/>
      <c r="G6" s="204"/>
      <c r="H6" s="204"/>
      <c r="I6" s="204"/>
      <c r="J6" s="217"/>
      <c r="K6" s="218"/>
    </row>
    <row r="7" ht="20.1" customHeight="1" spans="1:11">
      <c r="A7" s="195"/>
      <c r="B7" s="206"/>
      <c r="C7" s="206"/>
      <c r="D7" s="206"/>
      <c r="E7" s="206"/>
      <c r="F7" s="206"/>
      <c r="G7" s="206"/>
      <c r="H7" s="206"/>
      <c r="I7" s="206"/>
      <c r="J7" s="206"/>
      <c r="K7" s="206"/>
    </row>
    <row r="8" ht="39.95" customHeight="1" spans="1:11">
      <c r="A8" s="195"/>
      <c r="B8" s="207" t="s">
        <v>134</v>
      </c>
      <c r="C8" s="208" t="s">
        <v>135</v>
      </c>
      <c r="D8" s="208"/>
      <c r="E8" s="208"/>
      <c r="F8" s="208"/>
      <c r="G8" s="208"/>
      <c r="H8" s="208"/>
      <c r="I8" s="208"/>
      <c r="J8" s="208"/>
      <c r="K8" s="208"/>
    </row>
    <row r="9" ht="20.1" customHeight="1" spans="1:16">
      <c r="A9" s="195"/>
      <c r="B9" s="209" t="s">
        <v>136</v>
      </c>
      <c r="C9" s="210" t="s">
        <v>137</v>
      </c>
      <c r="D9" s="210"/>
      <c r="E9" s="210"/>
      <c r="F9" s="210"/>
      <c r="G9" s="210"/>
      <c r="H9" s="210"/>
      <c r="I9" s="210"/>
      <c r="J9" s="210"/>
      <c r="K9" s="210"/>
      <c r="P9" s="194">
        <v>1</v>
      </c>
    </row>
    <row r="10" ht="20.1" customHeight="1" spans="1:11">
      <c r="A10" s="195"/>
      <c r="B10" s="209" t="s">
        <v>138</v>
      </c>
      <c r="C10" s="210" t="s">
        <v>139</v>
      </c>
      <c r="D10" s="210"/>
      <c r="E10" s="210"/>
      <c r="F10" s="210"/>
      <c r="G10" s="210"/>
      <c r="H10" s="210"/>
      <c r="I10" s="210"/>
      <c r="J10" s="210"/>
      <c r="K10" s="210"/>
    </row>
    <row r="11" ht="20.1" customHeight="1" spans="1:11">
      <c r="A11" s="195"/>
      <c r="B11" s="209" t="s">
        <v>140</v>
      </c>
      <c r="C11" s="210" t="s">
        <v>141</v>
      </c>
      <c r="D11" s="210"/>
      <c r="E11" s="210"/>
      <c r="F11" s="210"/>
      <c r="G11" s="210"/>
      <c r="H11" s="210"/>
      <c r="I11" s="210"/>
      <c r="J11" s="210"/>
      <c r="K11" s="210"/>
    </row>
    <row r="12" ht="20.1" customHeight="1" spans="1:11">
      <c r="A12" s="195"/>
      <c r="B12" s="209" t="s">
        <v>142</v>
      </c>
      <c r="C12" s="210" t="s">
        <v>143</v>
      </c>
      <c r="D12" s="210"/>
      <c r="E12" s="210"/>
      <c r="F12" s="210"/>
      <c r="G12" s="210"/>
      <c r="H12" s="210"/>
      <c r="I12" s="210"/>
      <c r="J12" s="210"/>
      <c r="K12" s="210"/>
    </row>
    <row r="13" ht="20.1" customHeight="1" spans="1:11">
      <c r="A13" s="195"/>
      <c r="B13" s="209" t="s">
        <v>144</v>
      </c>
      <c r="C13" s="211" t="s">
        <v>145</v>
      </c>
      <c r="D13" s="212"/>
      <c r="E13" s="212"/>
      <c r="F13" s="212"/>
      <c r="G13" s="212"/>
      <c r="H13" s="212"/>
      <c r="I13" s="212"/>
      <c r="J13" s="212"/>
      <c r="K13" s="219"/>
    </row>
    <row r="14" ht="39.95" customHeight="1" spans="1:11">
      <c r="A14" s="195"/>
      <c r="B14" s="209" t="s">
        <v>146</v>
      </c>
      <c r="C14" s="210" t="s">
        <v>147</v>
      </c>
      <c r="D14" s="210"/>
      <c r="E14" s="210"/>
      <c r="F14" s="210"/>
      <c r="G14" s="210"/>
      <c r="H14" s="210"/>
      <c r="I14" s="210"/>
      <c r="J14" s="210"/>
      <c r="K14" s="210"/>
    </row>
    <row r="15" ht="39.95" customHeight="1" spans="1:11">
      <c r="A15" s="195"/>
      <c r="B15" s="213" t="s">
        <v>148</v>
      </c>
      <c r="C15" s="214" t="s">
        <v>149</v>
      </c>
      <c r="D15" s="214"/>
      <c r="E15" s="214"/>
      <c r="F15" s="214"/>
      <c r="G15" s="214"/>
      <c r="H15" s="214"/>
      <c r="I15" s="214"/>
      <c r="J15" s="214"/>
      <c r="K15" s="214"/>
    </row>
  </sheetData>
  <mergeCells count="17">
    <mergeCell ref="C8:K8"/>
    <mergeCell ref="C9:K9"/>
    <mergeCell ref="C10:K10"/>
    <mergeCell ref="C11:K11"/>
    <mergeCell ref="C12:K12"/>
    <mergeCell ref="C13:K13"/>
    <mergeCell ref="C14:K14"/>
    <mergeCell ref="C15:K15"/>
    <mergeCell ref="A4:A6"/>
    <mergeCell ref="B4:B6"/>
    <mergeCell ref="E4:E6"/>
    <mergeCell ref="F4:F6"/>
    <mergeCell ref="G4:G6"/>
    <mergeCell ref="H4:H6"/>
    <mergeCell ref="I4:I6"/>
    <mergeCell ref="J4:J6"/>
    <mergeCell ref="K4:K6"/>
  </mergeCells>
  <pageMargins left="0.7" right="0.7" top="0.75" bottom="0.75" header="0.3" footer="0.3"/>
  <pageSetup paperSize="9" orientation="portrait" horizontalDpi="2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96"/>
  <sheetViews>
    <sheetView zoomScale="90" zoomScaleNormal="90" zoomScaleSheetLayoutView="75" workbookViewId="0">
      <selection activeCell="A1" sqref="A1"/>
    </sheetView>
  </sheetViews>
  <sheetFormatPr defaultColWidth="9.13636363636364" defaultRowHeight="15.5"/>
  <cols>
    <col min="1" max="1" width="13" style="105" customWidth="1"/>
    <col min="2" max="2" width="49.4272727272727" style="105" customWidth="1"/>
    <col min="3" max="3" width="39.4272727272727" style="105" customWidth="1"/>
    <col min="4" max="4" width="32.2818181818182" style="105" customWidth="1"/>
    <col min="5" max="5" width="31.5727272727273" style="105" customWidth="1"/>
    <col min="6" max="6" width="21.7090909090909" style="105" customWidth="1"/>
    <col min="7" max="7" width="18.7090909090909" style="106" customWidth="1"/>
    <col min="8" max="8" width="24.7090909090909" style="105" customWidth="1"/>
    <col min="9" max="9" width="23.8545454545455" style="105" customWidth="1"/>
    <col min="10" max="10" width="15.4272727272727" style="105" customWidth="1"/>
    <col min="11" max="16384" width="9.13636363636364" style="105"/>
  </cols>
  <sheetData>
    <row r="1" s="102" customFormat="1" ht="17.5" spans="1:7">
      <c r="A1" s="107" t="s">
        <v>150</v>
      </c>
      <c r="G1" s="12"/>
    </row>
    <row r="2" s="102" customFormat="1" spans="2:7">
      <c r="B2" s="108"/>
      <c r="G2" s="12"/>
    </row>
    <row r="3" s="102" customFormat="1" ht="21.75" customHeight="1" spans="2:8">
      <c r="B3" s="109" t="s">
        <v>151</v>
      </c>
      <c r="C3" s="110" t="s">
        <v>152</v>
      </c>
      <c r="D3" s="111"/>
      <c r="E3" s="112"/>
      <c r="F3" s="112"/>
      <c r="G3" s="113"/>
      <c r="H3" s="114"/>
    </row>
    <row r="4" s="102" customFormat="1" ht="21.75" customHeight="1" spans="2:8">
      <c r="B4" s="109" t="s">
        <v>153</v>
      </c>
      <c r="C4" s="115" t="str">
        <f>CONCATENATE(Setting!B3," Plasma")</f>
        <v>ICR Mouse Plasma</v>
      </c>
      <c r="D4" s="115"/>
      <c r="E4" s="114"/>
      <c r="F4" s="114"/>
      <c r="G4" s="116"/>
      <c r="H4" s="114"/>
    </row>
    <row r="5" s="102" customFormat="1" ht="21.75" customHeight="1" spans="2:8">
      <c r="B5" s="109" t="s">
        <v>154</v>
      </c>
      <c r="C5" s="117" t="str">
        <f>Setting!$B$2</f>
        <v>HW356054</v>
      </c>
      <c r="D5" s="117"/>
      <c r="E5" s="118"/>
      <c r="F5" s="114"/>
      <c r="G5" s="116"/>
      <c r="H5" s="114"/>
    </row>
    <row r="6" ht="21.75" customHeight="1" spans="2:8">
      <c r="B6" s="109" t="s">
        <v>155</v>
      </c>
      <c r="C6" s="117" t="s">
        <v>156</v>
      </c>
      <c r="D6" s="119"/>
      <c r="E6" s="119"/>
      <c r="F6" s="120"/>
      <c r="G6" s="121"/>
      <c r="H6" s="120"/>
    </row>
    <row r="7" ht="21.75" customHeight="1" spans="2:8">
      <c r="B7" s="122" t="s">
        <v>157</v>
      </c>
      <c r="C7" s="123" t="s">
        <v>158</v>
      </c>
      <c r="D7" s="124"/>
      <c r="E7" s="125"/>
      <c r="F7" s="125"/>
      <c r="G7" s="125"/>
      <c r="H7" s="125"/>
    </row>
    <row r="8" ht="21.75" customHeight="1" spans="2:8">
      <c r="B8" s="126"/>
      <c r="C8" s="127" t="s">
        <v>159</v>
      </c>
      <c r="D8" s="128"/>
      <c r="E8" s="129"/>
      <c r="F8" s="129"/>
      <c r="G8" s="129"/>
      <c r="H8" s="129"/>
    </row>
    <row r="9" ht="21.75" customHeight="1" spans="2:7">
      <c r="B9" s="130"/>
      <c r="C9" s="131" t="s">
        <v>160</v>
      </c>
      <c r="D9" s="132"/>
      <c r="E9" s="132"/>
      <c r="F9" s="132"/>
      <c r="G9" s="105"/>
    </row>
    <row r="10" ht="21.75" customHeight="1" spans="2:7">
      <c r="B10" s="130"/>
      <c r="C10" s="131" t="s">
        <v>161</v>
      </c>
      <c r="D10" s="132"/>
      <c r="E10" s="133"/>
      <c r="F10" s="133"/>
      <c r="G10" s="105"/>
    </row>
    <row r="11" spans="2:8">
      <c r="B11" s="122" t="s">
        <v>162</v>
      </c>
      <c r="C11" s="123" t="s">
        <v>163</v>
      </c>
      <c r="D11" s="124"/>
      <c r="E11" s="125"/>
      <c r="F11" s="125"/>
      <c r="G11" s="125"/>
      <c r="H11" s="125"/>
    </row>
    <row r="12" ht="19.5" spans="2:7">
      <c r="B12" s="130"/>
      <c r="C12" s="131" t="s">
        <v>164</v>
      </c>
      <c r="D12" s="134"/>
      <c r="G12" s="105"/>
    </row>
    <row r="13" spans="2:7">
      <c r="B13" s="130"/>
      <c r="C13" s="131" t="s">
        <v>165</v>
      </c>
      <c r="D13" s="134"/>
      <c r="G13" s="105"/>
    </row>
    <row r="14" ht="29.45" customHeight="1" spans="2:7">
      <c r="B14" s="135"/>
      <c r="C14" s="136" t="s">
        <v>166</v>
      </c>
      <c r="D14" s="136" t="s">
        <v>167</v>
      </c>
      <c r="E14" s="102"/>
      <c r="G14" s="105"/>
    </row>
    <row r="15" spans="2:7">
      <c r="B15" s="130"/>
      <c r="C15" s="137">
        <v>0.5</v>
      </c>
      <c r="D15" s="138">
        <v>45</v>
      </c>
      <c r="E15" s="102"/>
      <c r="G15" s="105"/>
    </row>
    <row r="16" spans="2:7">
      <c r="B16" s="130"/>
      <c r="C16" s="137">
        <v>1.1</v>
      </c>
      <c r="D16" s="138">
        <v>95</v>
      </c>
      <c r="E16" s="102"/>
      <c r="G16" s="105"/>
    </row>
    <row r="17" spans="2:7">
      <c r="B17" s="130"/>
      <c r="C17" s="137">
        <v>1.8</v>
      </c>
      <c r="D17" s="138">
        <v>95</v>
      </c>
      <c r="E17" s="102"/>
      <c r="G17" s="105"/>
    </row>
    <row r="18" spans="2:7">
      <c r="B18" s="130"/>
      <c r="C18" s="137">
        <v>1.81</v>
      </c>
      <c r="D18" s="138">
        <v>45</v>
      </c>
      <c r="E18" s="102"/>
      <c r="G18" s="105"/>
    </row>
    <row r="19" spans="2:7">
      <c r="B19" s="130"/>
      <c r="C19" s="137">
        <v>2.5</v>
      </c>
      <c r="D19" s="139" t="s">
        <v>168</v>
      </c>
      <c r="E19" s="102"/>
      <c r="G19" s="105"/>
    </row>
    <row r="20" s="102" customFormat="1" spans="2:8">
      <c r="B20" s="126"/>
      <c r="C20" s="140" t="s">
        <v>169</v>
      </c>
      <c r="D20" s="140"/>
      <c r="E20" s="140"/>
      <c r="F20" s="141" t="s">
        <v>170</v>
      </c>
      <c r="G20" s="141"/>
      <c r="H20" s="141"/>
    </row>
    <row r="21" spans="2:7">
      <c r="B21" s="102"/>
      <c r="C21" s="142" t="s">
        <v>171</v>
      </c>
      <c r="G21" s="105"/>
    </row>
    <row r="22" spans="2:7">
      <c r="B22" s="143" t="s">
        <v>172</v>
      </c>
      <c r="C22" s="144" t="s">
        <v>173</v>
      </c>
      <c r="G22" s="105"/>
    </row>
    <row r="23" spans="2:7">
      <c r="B23" s="143" t="s">
        <v>174</v>
      </c>
      <c r="C23" s="142" t="str">
        <f>CONCATENATE(Setting!B2,": 1.37 min")</f>
        <v>HW356054: 1.37 min</v>
      </c>
      <c r="D23" s="134"/>
      <c r="E23" s="134"/>
      <c r="F23" s="134"/>
      <c r="G23" s="105"/>
    </row>
    <row r="24" spans="2:8">
      <c r="B24" s="145"/>
      <c r="C24" s="146" t="str">
        <f>CONCATENATE("IS: 1.29 min")</f>
        <v>IS: 1.29 min</v>
      </c>
      <c r="D24" s="147"/>
      <c r="E24" s="147"/>
      <c r="F24" s="147"/>
      <c r="G24" s="148"/>
      <c r="H24" s="148"/>
    </row>
    <row r="25" spans="2:7">
      <c r="B25" s="143" t="s">
        <v>175</v>
      </c>
      <c r="C25" s="134"/>
      <c r="D25" s="134"/>
      <c r="E25" s="134"/>
      <c r="F25" s="134"/>
      <c r="G25" s="105"/>
    </row>
    <row r="26" spans="3:7">
      <c r="C26" s="134"/>
      <c r="D26" s="134"/>
      <c r="E26" s="134"/>
      <c r="F26" s="134"/>
      <c r="G26" s="105"/>
    </row>
    <row r="27" spans="3:7">
      <c r="C27" s="134"/>
      <c r="D27" s="134"/>
      <c r="E27" s="134"/>
      <c r="F27" s="134"/>
      <c r="G27" s="105"/>
    </row>
    <row r="28" spans="3:7">
      <c r="C28" s="134"/>
      <c r="D28" s="134"/>
      <c r="E28" s="134"/>
      <c r="F28" s="134"/>
      <c r="G28" s="105"/>
    </row>
    <row r="29" spans="3:7">
      <c r="C29" s="134"/>
      <c r="D29" s="134"/>
      <c r="E29" s="134"/>
      <c r="F29" s="134"/>
      <c r="G29" s="105"/>
    </row>
    <row r="30" spans="3:7">
      <c r="C30" s="134"/>
      <c r="D30" s="134"/>
      <c r="E30" s="134"/>
      <c r="F30" s="134"/>
      <c r="G30" s="105"/>
    </row>
    <row r="31" spans="3:7">
      <c r="C31" s="134"/>
      <c r="D31" s="134"/>
      <c r="E31" s="134"/>
      <c r="F31" s="134"/>
      <c r="G31" s="105"/>
    </row>
    <row r="32" spans="3:7">
      <c r="C32" s="134"/>
      <c r="D32" s="134"/>
      <c r="E32" s="134"/>
      <c r="F32" s="134"/>
      <c r="G32" s="105"/>
    </row>
    <row r="33" spans="3:7">
      <c r="C33" s="134"/>
      <c r="D33" s="134"/>
      <c r="E33" s="134"/>
      <c r="F33" s="134"/>
      <c r="G33" s="105"/>
    </row>
    <row r="34" spans="3:7">
      <c r="C34" s="134"/>
      <c r="D34" s="134"/>
      <c r="E34" s="134"/>
      <c r="F34" s="134"/>
      <c r="G34" s="105"/>
    </row>
    <row r="35" spans="3:7">
      <c r="C35" s="134"/>
      <c r="D35" s="134"/>
      <c r="E35" s="134"/>
      <c r="F35" s="134"/>
      <c r="G35" s="105"/>
    </row>
    <row r="36" spans="3:7">
      <c r="C36" s="134"/>
      <c r="D36" s="134"/>
      <c r="E36" s="134"/>
      <c r="F36" s="134"/>
      <c r="G36" s="105"/>
    </row>
    <row r="37" spans="3:7">
      <c r="C37" s="134"/>
      <c r="D37" s="134"/>
      <c r="E37" s="134"/>
      <c r="F37" s="134"/>
      <c r="G37" s="105"/>
    </row>
    <row r="38" spans="3:7">
      <c r="C38" s="134"/>
      <c r="D38" s="134"/>
      <c r="E38" s="134"/>
      <c r="F38" s="134"/>
      <c r="G38" s="105"/>
    </row>
    <row r="39" spans="3:7">
      <c r="C39" s="134"/>
      <c r="D39" s="134"/>
      <c r="E39" s="134"/>
      <c r="F39" s="134"/>
      <c r="G39" s="105"/>
    </row>
    <row r="40" spans="3:7">
      <c r="C40" s="134"/>
      <c r="D40" s="134"/>
      <c r="E40" s="134"/>
      <c r="F40" s="134"/>
      <c r="G40" s="105"/>
    </row>
    <row r="42" ht="68.25" customHeight="1" spans="2:8">
      <c r="B42" s="149" t="s">
        <v>176</v>
      </c>
      <c r="C42" s="150" t="s">
        <v>177</v>
      </c>
      <c r="D42" s="150"/>
      <c r="E42" s="150"/>
      <c r="F42" s="150"/>
      <c r="G42" s="150"/>
      <c r="H42" s="150"/>
    </row>
    <row r="43" ht="17.25" customHeight="1" spans="2:8">
      <c r="B43" s="151"/>
      <c r="C43" s="152"/>
      <c r="D43" s="152"/>
      <c r="E43" s="152"/>
      <c r="F43" s="152"/>
      <c r="G43" s="152"/>
      <c r="H43" s="152"/>
    </row>
    <row r="44" s="103" customFormat="1" spans="1:7">
      <c r="A44" s="153" t="str">
        <f>Setting!B2</f>
        <v>HW356054</v>
      </c>
      <c r="B44" s="154"/>
      <c r="C44" s="155"/>
      <c r="D44" s="155"/>
      <c r="E44" s="155"/>
      <c r="G44" s="156"/>
    </row>
    <row r="45" ht="21.75" customHeight="1" spans="1:6">
      <c r="A45" s="102"/>
      <c r="B45" s="157" t="s">
        <v>178</v>
      </c>
      <c r="C45" s="158" t="s">
        <v>179</v>
      </c>
      <c r="D45" s="158"/>
      <c r="E45" s="158"/>
      <c r="F45" s="159"/>
    </row>
    <row r="46" ht="16.9" customHeight="1" spans="1:6">
      <c r="A46" s="102"/>
      <c r="B46" s="157"/>
      <c r="C46" s="158"/>
      <c r="D46" s="158"/>
      <c r="E46" s="158"/>
      <c r="F46" s="159"/>
    </row>
    <row r="47" ht="16.5" customHeight="1" spans="1:10">
      <c r="A47" s="102"/>
      <c r="B47" s="160" t="str">
        <f>CONCATENATE("SD Curve and QC of ",Setting!$B$2," in ",Bioanalysis!$C$4)</f>
        <v>SD Curve and QC of HW356054 in ICR Mouse Plasma</v>
      </c>
      <c r="C47" s="160"/>
      <c r="D47" s="160"/>
      <c r="E47" s="160"/>
      <c r="G47" s="161"/>
      <c r="H47" s="161"/>
      <c r="I47" s="161"/>
      <c r="J47" s="161"/>
    </row>
    <row r="48" s="104" customFormat="1" ht="34.5" customHeight="1" spans="1:10">
      <c r="A48" s="162"/>
      <c r="B48" s="22" t="s">
        <v>180</v>
      </c>
      <c r="C48" s="22" t="s">
        <v>181</v>
      </c>
      <c r="D48" s="22" t="s">
        <v>182</v>
      </c>
      <c r="E48" s="22" t="s">
        <v>183</v>
      </c>
      <c r="G48" s="163"/>
      <c r="H48" s="163"/>
      <c r="I48" s="163"/>
      <c r="J48" s="163"/>
    </row>
    <row r="49" spans="1:10">
      <c r="A49" s="102"/>
      <c r="B49" s="6" t="s">
        <v>184</v>
      </c>
      <c r="C49" s="12">
        <f>VLOOKUP(B49,'Raw Data'!$A$16:$K$552,3,0)</f>
        <v>0</v>
      </c>
      <c r="D49" s="164" t="str">
        <f>VLOOKUP($B49,'Raw Data'!$A$16:$K$552,10,0)</f>
        <v>N/A</v>
      </c>
      <c r="E49" s="165" t="str">
        <f>VLOOKUP($B49,'Raw Data'!$A$16:$K$552,11,0)</f>
        <v>N/A</v>
      </c>
      <c r="G49" s="15"/>
      <c r="H49" s="106"/>
      <c r="I49" s="106"/>
      <c r="J49" s="106"/>
    </row>
    <row r="50" spans="1:10">
      <c r="A50" s="102"/>
      <c r="B50" s="6" t="s">
        <v>185</v>
      </c>
      <c r="C50" s="12">
        <f>VLOOKUP(B50,'Raw Data'!$A$16:$K$552,3,0)</f>
        <v>0</v>
      </c>
      <c r="D50" s="164" t="str">
        <f>VLOOKUP($B50,'Raw Data'!$A$16:$K$552,10,0)</f>
        <v>N/A</v>
      </c>
      <c r="E50" s="165" t="str">
        <f>VLOOKUP($B50,'Raw Data'!$A$16:$K$552,11,0)</f>
        <v>N/A</v>
      </c>
      <c r="G50" s="15"/>
      <c r="H50" s="106"/>
      <c r="I50" s="106"/>
      <c r="J50" s="106"/>
    </row>
    <row r="51" spans="1:10">
      <c r="A51" s="102"/>
      <c r="B51" s="12" t="s">
        <v>186</v>
      </c>
      <c r="C51" s="12">
        <f>VLOOKUP(B51,'Raw Data'!$A$16:$K$552,3,0)</f>
        <v>0.5</v>
      </c>
      <c r="D51" s="166">
        <f>VLOOKUP($B51,'Raw Data'!$A$16:$K$552,10,0)</f>
        <v>0.5</v>
      </c>
      <c r="E51" s="167">
        <f>VLOOKUP($B51,'Raw Data'!$A$16:$K$552,11,0)-100</f>
        <v>0.0999999999999943</v>
      </c>
      <c r="G51" s="15"/>
      <c r="H51" s="106"/>
      <c r="I51" s="106"/>
      <c r="J51" s="106"/>
    </row>
    <row r="52" spans="1:10">
      <c r="A52" s="102"/>
      <c r="B52" s="12" t="s">
        <v>187</v>
      </c>
      <c r="C52" s="12">
        <f>VLOOKUP(B52,'Raw Data'!$A$16:$K$552,3,0)</f>
        <v>1</v>
      </c>
      <c r="D52" s="166">
        <f>VLOOKUP($B52,'Raw Data'!$A$16:$K$552,10,0)</f>
        <v>0.949</v>
      </c>
      <c r="E52" s="167">
        <f>VLOOKUP($B52,'Raw Data'!$A$16:$K$552,11,0)-100</f>
        <v>-5.09999999999999</v>
      </c>
      <c r="G52" s="15"/>
      <c r="H52" s="106"/>
      <c r="I52" s="106"/>
      <c r="J52" s="106"/>
    </row>
    <row r="53" spans="1:10">
      <c r="A53" s="102"/>
      <c r="B53" s="12" t="s">
        <v>188</v>
      </c>
      <c r="C53" s="12">
        <f>VLOOKUP(B53,'Raw Data'!$A$16:$K$552,3,0)</f>
        <v>2</v>
      </c>
      <c r="D53" s="164">
        <f>VLOOKUP($B53,'Raw Data'!$A$16:$K$552,10,0)</f>
        <v>2.19</v>
      </c>
      <c r="E53" s="167">
        <f>VLOOKUP($B53,'Raw Data'!$A$16:$K$552,11,0)-100</f>
        <v>9.59999999999999</v>
      </c>
      <c r="G53" s="15"/>
      <c r="H53" s="106"/>
      <c r="I53" s="106"/>
      <c r="J53" s="106"/>
    </row>
    <row r="54" spans="1:10">
      <c r="A54" s="102"/>
      <c r="B54" s="12" t="s">
        <v>189</v>
      </c>
      <c r="C54" s="12">
        <f>VLOOKUP(B54,'Raw Data'!$A$16:$K$552,3,0)</f>
        <v>5</v>
      </c>
      <c r="D54" s="164">
        <f>VLOOKUP($B54,'Raw Data'!$A$16:$K$552,10,0)</f>
        <v>5.12</v>
      </c>
      <c r="E54" s="167">
        <f>VLOOKUP($B54,'Raw Data'!$A$16:$K$552,11,0)-100</f>
        <v>2.40000000000001</v>
      </c>
      <c r="G54" s="15"/>
      <c r="H54" s="106"/>
      <c r="I54" s="106"/>
      <c r="J54" s="106"/>
    </row>
    <row r="55" spans="1:10">
      <c r="A55" s="102"/>
      <c r="B55" s="12" t="s">
        <v>190</v>
      </c>
      <c r="C55" s="12">
        <f>VLOOKUP(B55,'Raw Data'!$A$16:$K$552,3,0)</f>
        <v>20</v>
      </c>
      <c r="D55" s="167">
        <f>VLOOKUP($B55,'Raw Data'!$A$16:$K$552,10,0)</f>
        <v>18.5</v>
      </c>
      <c r="E55" s="167">
        <f>VLOOKUP($B55,'Raw Data'!$A$16:$K$552,11,0)-100</f>
        <v>-7.5</v>
      </c>
      <c r="G55" s="15"/>
      <c r="H55" s="106"/>
      <c r="I55" s="106"/>
      <c r="J55" s="106"/>
    </row>
    <row r="56" spans="1:10">
      <c r="A56" s="102"/>
      <c r="B56" s="12" t="s">
        <v>191</v>
      </c>
      <c r="C56" s="12">
        <f>VLOOKUP(B56,'Raw Data'!$A$16:$K$552,3,0)</f>
        <v>100</v>
      </c>
      <c r="D56" s="168">
        <f>VLOOKUP($B56,'Raw Data'!$A$16:$K$552,10,0)</f>
        <v>100</v>
      </c>
      <c r="E56" s="167">
        <f>VLOOKUP($B56,'Raw Data'!$A$16:$K$552,11,0)-100</f>
        <v>0.200000000000003</v>
      </c>
      <c r="G56" s="15"/>
      <c r="H56" s="106"/>
      <c r="I56" s="106"/>
      <c r="J56" s="106"/>
    </row>
    <row r="57" spans="1:10">
      <c r="A57" s="102"/>
      <c r="B57" s="12" t="s">
        <v>192</v>
      </c>
      <c r="C57" s="12">
        <f>VLOOKUP(B57,'Raw Data'!$A$16:$K$552,3,0)</f>
        <v>500</v>
      </c>
      <c r="D57" s="168">
        <f>VLOOKUP($B57,'Raw Data'!$A$16:$K$552,10,0)</f>
        <v>405</v>
      </c>
      <c r="E57" s="167">
        <f>VLOOKUP($B57,'Raw Data'!$A$16:$K$552,11,0)-100</f>
        <v>-19</v>
      </c>
      <c r="G57" s="15"/>
      <c r="H57" s="106"/>
      <c r="I57" s="106"/>
      <c r="J57" s="106"/>
    </row>
    <row r="58" spans="2:10">
      <c r="B58" s="169" t="s">
        <v>193</v>
      </c>
      <c r="C58" s="169">
        <f>VLOOKUP(B58,'Raw Data'!$A$16:$K$552,3,0)</f>
        <v>1000</v>
      </c>
      <c r="D58" s="170">
        <f>VLOOKUP($B58,'Raw Data'!$A$16:$K$552,10,0)</f>
        <v>1000</v>
      </c>
      <c r="E58" s="171">
        <f>VLOOKUP($B58,'Raw Data'!$A$16:$K$552,11,0)-100</f>
        <v>0.400000000000006</v>
      </c>
      <c r="G58" s="15"/>
      <c r="H58" s="106"/>
      <c r="I58" s="106"/>
      <c r="J58" s="106"/>
    </row>
    <row r="59" spans="2:10">
      <c r="B59" s="12" t="s">
        <v>194</v>
      </c>
      <c r="C59" s="12">
        <f>VLOOKUP(B59,'Raw Data'!$A$16:$K$552,3,0)</f>
        <v>1.5</v>
      </c>
      <c r="D59" s="164">
        <f>VLOOKUP($B59,'Raw Data'!$A$16:$K$552,10,0)</f>
        <v>2</v>
      </c>
      <c r="E59" s="167">
        <f>VLOOKUP($B59,'Raw Data'!$A$16:$K$552,11,0)-100</f>
        <v>33</v>
      </c>
      <c r="H59" s="106"/>
      <c r="I59" s="106"/>
      <c r="J59" s="106"/>
    </row>
    <row r="60" spans="2:10">
      <c r="B60" s="12" t="s">
        <v>195</v>
      </c>
      <c r="C60" s="12">
        <f>VLOOKUP(B60,'Raw Data'!$A$16:$K$552,3,0)</f>
        <v>400</v>
      </c>
      <c r="D60" s="168">
        <f>VLOOKUP($B60,'Raw Data'!$A$16:$K$552,10,0)</f>
        <v>394</v>
      </c>
      <c r="E60" s="167">
        <f>VLOOKUP($B60,'Raw Data'!$A$16:$K$552,11,0)-100</f>
        <v>-1.5</v>
      </c>
      <c r="H60" s="106"/>
      <c r="I60" s="106"/>
      <c r="J60" s="106"/>
    </row>
    <row r="61" spans="2:10">
      <c r="B61" s="169" t="s">
        <v>196</v>
      </c>
      <c r="C61" s="169">
        <f>VLOOKUP(B61,'Raw Data'!$A$16:$K$552,3,0)</f>
        <v>800</v>
      </c>
      <c r="D61" s="170">
        <f>VLOOKUP($B61,'Raw Data'!$A$16:$K$552,10,0)</f>
        <v>802</v>
      </c>
      <c r="E61" s="171">
        <f>VLOOKUP($B61,'Raw Data'!$A$16:$K$552,11,0)-100</f>
        <v>0.200000000000003</v>
      </c>
      <c r="H61" s="106"/>
      <c r="I61" s="106"/>
      <c r="J61" s="106"/>
    </row>
    <row r="62" spans="2:10">
      <c r="B62" s="12" t="s">
        <v>197</v>
      </c>
      <c r="C62" s="12">
        <f>VLOOKUP(B62,'Raw Data'!$A$16:$K$552,3,0)</f>
        <v>1.5</v>
      </c>
      <c r="D62" s="164">
        <f>VLOOKUP($B62,'Raw Data'!$A$16:$K$552,10,0)</f>
        <v>1.72</v>
      </c>
      <c r="E62" s="167">
        <f>VLOOKUP($B62,'Raw Data'!$A$16:$K$552,11,0)-100</f>
        <v>14.8</v>
      </c>
      <c r="H62" s="106"/>
      <c r="I62" s="106"/>
      <c r="J62" s="106"/>
    </row>
    <row r="63" spans="2:10">
      <c r="B63" s="12" t="s">
        <v>198</v>
      </c>
      <c r="C63" s="12">
        <f>VLOOKUP(B63,'Raw Data'!$A$16:$K$552,3,0)</f>
        <v>400</v>
      </c>
      <c r="D63" s="168">
        <f>VLOOKUP($B63,'Raw Data'!$A$16:$K$552,10,0)</f>
        <v>414</v>
      </c>
      <c r="E63" s="167">
        <f>VLOOKUP($B63,'Raw Data'!$A$16:$K$552,11,0)-100</f>
        <v>3.5</v>
      </c>
      <c r="H63" s="106"/>
      <c r="I63" s="106"/>
      <c r="J63" s="106"/>
    </row>
    <row r="64" ht="16.25" spans="2:10">
      <c r="B64" s="169" t="s">
        <v>199</v>
      </c>
      <c r="C64" s="169">
        <f>VLOOKUP(B64,'Raw Data'!$A$16:$K$552,3,0)</f>
        <v>800</v>
      </c>
      <c r="D64" s="170">
        <f>VLOOKUP($B64,'Raw Data'!$A$16:$K$552,10,0)</f>
        <v>878</v>
      </c>
      <c r="E64" s="171">
        <f>VLOOKUP($B64,'Raw Data'!$A$16:$K$552,11,0)-100</f>
        <v>9.7</v>
      </c>
      <c r="H64" s="106"/>
      <c r="I64" s="106"/>
      <c r="J64" s="106"/>
    </row>
    <row r="65" spans="2:10">
      <c r="B65" s="172" t="s">
        <v>200</v>
      </c>
      <c r="C65" s="173"/>
      <c r="D65" s="174"/>
      <c r="E65" s="173"/>
      <c r="H65" s="106"/>
      <c r="I65" s="106"/>
      <c r="J65" s="106"/>
    </row>
    <row r="66" spans="2:10">
      <c r="B66" s="131" t="s">
        <v>201</v>
      </c>
      <c r="C66" s="106"/>
      <c r="D66" s="175"/>
      <c r="E66" s="106"/>
      <c r="H66" s="106"/>
      <c r="I66" s="106"/>
      <c r="J66" s="106"/>
    </row>
    <row r="67" spans="2:10">
      <c r="B67" s="132"/>
      <c r="C67" s="106"/>
      <c r="D67" s="175"/>
      <c r="E67" s="106"/>
      <c r="H67" s="106"/>
      <c r="I67" s="106"/>
      <c r="J67" s="106"/>
    </row>
    <row r="68" hidden="1" spans="2:10">
      <c r="B68" s="132"/>
      <c r="C68" s="106"/>
      <c r="D68" s="106"/>
      <c r="E68" s="106"/>
      <c r="H68" s="106"/>
      <c r="I68" s="106"/>
      <c r="J68" s="106"/>
    </row>
    <row r="69" ht="16.5" hidden="1" customHeight="1" spans="2:10">
      <c r="B69" s="176" t="str">
        <f>CONCATENATE("RSA-SD Curve and QC of ",Setting!$B$2," in ",Bioanalysis!$C$4)</f>
        <v>RSA-SD Curve and QC of HW356054 in ICR Mouse Plasma</v>
      </c>
      <c r="C69" s="176"/>
      <c r="D69" s="176"/>
      <c r="E69" s="176"/>
      <c r="G69" s="161"/>
      <c r="H69" s="161"/>
      <c r="I69" s="161"/>
      <c r="J69" s="161"/>
    </row>
    <row r="70" s="104" customFormat="1" ht="34.5" hidden="1" customHeight="1" spans="2:10">
      <c r="B70" s="177" t="s">
        <v>180</v>
      </c>
      <c r="C70" s="177" t="s">
        <v>181</v>
      </c>
      <c r="D70" s="177" t="s">
        <v>182</v>
      </c>
      <c r="E70" s="177" t="s">
        <v>183</v>
      </c>
      <c r="G70" s="163"/>
      <c r="H70" s="163"/>
      <c r="I70" s="163"/>
      <c r="J70" s="163"/>
    </row>
    <row r="71" hidden="1" spans="2:10">
      <c r="B71" s="178"/>
      <c r="C71" s="106" t="e">
        <f>VLOOKUP(B71,'Raw Data'!$A$16:$K$552,3,0)</f>
        <v>#N/A</v>
      </c>
      <c r="D71" s="179" t="e">
        <f>VLOOKUP($B71,'Raw Data'!$A$16:$K$552,10,0)</f>
        <v>#N/A</v>
      </c>
      <c r="E71" s="180" t="e">
        <f>VLOOKUP($B71,'Raw Data'!$A$16:$K$552,11,0)</f>
        <v>#N/A</v>
      </c>
      <c r="H71" s="106"/>
      <c r="I71" s="106"/>
      <c r="J71" s="106"/>
    </row>
    <row r="72" hidden="1" spans="2:10">
      <c r="B72" s="178"/>
      <c r="C72" s="106" t="e">
        <f>VLOOKUP(B72,'Raw Data'!$A$16:$K$552,3,0)</f>
        <v>#N/A</v>
      </c>
      <c r="D72" s="179" t="e">
        <f>VLOOKUP($B72,'Raw Data'!$A$16:$K$552,10,0)</f>
        <v>#N/A</v>
      </c>
      <c r="E72" s="180" t="e">
        <f>VLOOKUP($B72,'Raw Data'!$A$16:$K$552,11,0)</f>
        <v>#N/A</v>
      </c>
      <c r="H72" s="106"/>
      <c r="I72" s="106"/>
      <c r="J72" s="106"/>
    </row>
    <row r="73" hidden="1" spans="2:10">
      <c r="B73" s="106"/>
      <c r="C73" s="106" t="e">
        <f>VLOOKUP(B73,'Raw Data'!$A$16:$K$552,3,0)</f>
        <v>#N/A</v>
      </c>
      <c r="D73" s="179" t="e">
        <f>VLOOKUP($B73,'Raw Data'!$A$16:$K$552,10,0)</f>
        <v>#N/A</v>
      </c>
      <c r="E73" s="181" t="e">
        <f>VLOOKUP($B73,'Raw Data'!$A$16:$K$552,11,0)-100</f>
        <v>#N/A</v>
      </c>
      <c r="H73" s="106"/>
      <c r="I73" s="106"/>
      <c r="J73" s="106"/>
    </row>
    <row r="74" hidden="1" spans="2:10">
      <c r="B74" s="106"/>
      <c r="C74" s="106" t="e">
        <f>VLOOKUP(B74,'Raw Data'!$A$16:$K$552,3,0)</f>
        <v>#N/A</v>
      </c>
      <c r="D74" s="181" t="e">
        <f>VLOOKUP($B74,'Raw Data'!$A$16:$K$552,10,0)</f>
        <v>#N/A</v>
      </c>
      <c r="E74" s="181" t="e">
        <f>VLOOKUP($B74,'Raw Data'!$A$16:$K$552,11,0)-100</f>
        <v>#N/A</v>
      </c>
      <c r="H74" s="106"/>
      <c r="I74" s="106"/>
      <c r="J74" s="106"/>
    </row>
    <row r="75" hidden="1" spans="2:10">
      <c r="B75" s="106"/>
      <c r="C75" s="106" t="e">
        <f>VLOOKUP(B75,'Raw Data'!$A$16:$K$552,3,0)</f>
        <v>#N/A</v>
      </c>
      <c r="D75" s="181" t="e">
        <f>VLOOKUP($B75,'Raw Data'!$A$16:$K$552,10,0)</f>
        <v>#N/A</v>
      </c>
      <c r="E75" s="181" t="e">
        <f>VLOOKUP($B75,'Raw Data'!$A$16:$K$552,11,0)-100</f>
        <v>#N/A</v>
      </c>
      <c r="H75" s="106"/>
      <c r="I75" s="106"/>
      <c r="J75" s="106"/>
    </row>
    <row r="76" hidden="1" spans="2:10">
      <c r="B76" s="106"/>
      <c r="C76" s="106" t="e">
        <f>VLOOKUP(B76,'Raw Data'!$A$16:$K$552,3,0)</f>
        <v>#N/A</v>
      </c>
      <c r="D76" s="181" t="e">
        <f>VLOOKUP($B76,'Raw Data'!$A$16:$K$552,10,0)</f>
        <v>#N/A</v>
      </c>
      <c r="E76" s="181" t="e">
        <f>VLOOKUP($B76,'Raw Data'!$A$16:$K$552,11,0)-100</f>
        <v>#N/A</v>
      </c>
      <c r="H76" s="106"/>
      <c r="I76" s="106"/>
      <c r="J76" s="106"/>
    </row>
    <row r="77" hidden="1" spans="2:10">
      <c r="B77" s="106"/>
      <c r="C77" s="106" t="e">
        <f>VLOOKUP(B77,'Raw Data'!$A$16:$K$552,3,0)</f>
        <v>#N/A</v>
      </c>
      <c r="D77" s="175" t="e">
        <f>VLOOKUP($B77,'Raw Data'!$A$16:$K$552,10,0)</f>
        <v>#N/A</v>
      </c>
      <c r="E77" s="181" t="e">
        <f>VLOOKUP($B77,'Raw Data'!$A$16:$K$552,11,0)-100</f>
        <v>#N/A</v>
      </c>
      <c r="H77" s="106"/>
      <c r="I77" s="106"/>
      <c r="J77" s="106"/>
    </row>
    <row r="78" hidden="1" spans="2:10">
      <c r="B78" s="106"/>
      <c r="C78" s="106" t="e">
        <f>VLOOKUP(B78,'Raw Data'!$A$16:$K$552,3,0)</f>
        <v>#N/A</v>
      </c>
      <c r="D78" s="175" t="e">
        <f>VLOOKUP($B78,'Raw Data'!$A$16:$K$552,10,0)</f>
        <v>#N/A</v>
      </c>
      <c r="E78" s="181" t="e">
        <f>VLOOKUP($B78,'Raw Data'!$A$16:$K$552,11,0)-100</f>
        <v>#N/A</v>
      </c>
      <c r="H78" s="106"/>
      <c r="I78" s="106"/>
      <c r="J78" s="106"/>
    </row>
    <row r="79" hidden="1" spans="2:10">
      <c r="B79" s="106"/>
      <c r="C79" s="106" t="e">
        <f>VLOOKUP(B79,'Raw Data'!$A$16:$K$552,3,0)</f>
        <v>#N/A</v>
      </c>
      <c r="D79" s="175" t="e">
        <f>VLOOKUP($B79,'Raw Data'!$A$16:$K$552,10,0)</f>
        <v>#N/A</v>
      </c>
      <c r="E79" s="181" t="e">
        <f>VLOOKUP($B79,'Raw Data'!$A$16:$K$552,11,0)-100</f>
        <v>#N/A</v>
      </c>
      <c r="H79" s="106"/>
      <c r="I79" s="106"/>
      <c r="J79" s="106"/>
    </row>
    <row r="80" hidden="1" spans="2:10">
      <c r="B80" s="182"/>
      <c r="C80" s="182" t="e">
        <f>VLOOKUP(B80,'Raw Data'!$A$16:$K$552,3,0)</f>
        <v>#N/A</v>
      </c>
      <c r="D80" s="183" t="e">
        <f>VLOOKUP($B80,'Raw Data'!$A$16:$K$552,10,0)</f>
        <v>#N/A</v>
      </c>
      <c r="E80" s="184" t="e">
        <f>VLOOKUP($B80,'Raw Data'!$A$16:$K$552,11,0)-100</f>
        <v>#N/A</v>
      </c>
      <c r="H80" s="106"/>
      <c r="I80" s="106"/>
      <c r="J80" s="106"/>
    </row>
    <row r="81" hidden="1" spans="2:10">
      <c r="B81" s="106"/>
      <c r="C81" s="106" t="e">
        <f>VLOOKUP(B81,'Raw Data'!$A$16:$K$552,3,0)</f>
        <v>#N/A</v>
      </c>
      <c r="D81" s="181" t="e">
        <f>VLOOKUP($B81,'Raw Data'!$A$16:$K$552,10,0)</f>
        <v>#N/A</v>
      </c>
      <c r="E81" s="181" t="e">
        <f>VLOOKUP($B81,'Raw Data'!$A$16:$K$552,11,0)-100</f>
        <v>#N/A</v>
      </c>
      <c r="H81" s="106"/>
      <c r="I81" s="106"/>
      <c r="J81" s="106"/>
    </row>
    <row r="82" hidden="1" spans="2:10">
      <c r="B82" s="106"/>
      <c r="C82" s="106" t="e">
        <f>VLOOKUP(B82,'Raw Data'!$A$16:$K$552,3,0)</f>
        <v>#N/A</v>
      </c>
      <c r="D82" s="175" t="e">
        <f>VLOOKUP($B82,'Raw Data'!$A$16:$K$552,10,0)</f>
        <v>#N/A</v>
      </c>
      <c r="E82" s="181" t="e">
        <f>VLOOKUP($B82,'Raw Data'!$A$16:$K$552,11,0)-100</f>
        <v>#N/A</v>
      </c>
      <c r="H82" s="106"/>
      <c r="I82" s="106"/>
      <c r="J82" s="106"/>
    </row>
    <row r="83" hidden="1" spans="2:10">
      <c r="B83" s="182"/>
      <c r="C83" s="182" t="e">
        <f>VLOOKUP(B83,'Raw Data'!$A$16:$K$552,3,0)</f>
        <v>#N/A</v>
      </c>
      <c r="D83" s="183" t="e">
        <f>VLOOKUP($B83,'Raw Data'!$A$16:$K$552,10,0)</f>
        <v>#N/A</v>
      </c>
      <c r="E83" s="184" t="e">
        <f>VLOOKUP($B83,'Raw Data'!$A$16:$K$552,11,0)-100</f>
        <v>#N/A</v>
      </c>
      <c r="H83" s="106"/>
      <c r="I83" s="106"/>
      <c r="J83" s="106"/>
    </row>
    <row r="84" hidden="1" spans="2:10">
      <c r="B84" s="106"/>
      <c r="C84" s="106" t="e">
        <f>VLOOKUP(B84,'Raw Data'!$A$16:$K$552,3,0)</f>
        <v>#N/A</v>
      </c>
      <c r="D84" s="181" t="e">
        <f>VLOOKUP($B84,'Raw Data'!$A$16:$K$552,10,0)</f>
        <v>#N/A</v>
      </c>
      <c r="E84" s="181" t="e">
        <f>VLOOKUP($B84,'Raw Data'!$A$16:$K$552,11,0)-100</f>
        <v>#N/A</v>
      </c>
      <c r="H84" s="106"/>
      <c r="I84" s="106"/>
      <c r="J84" s="106"/>
    </row>
    <row r="85" hidden="1" spans="2:10">
      <c r="B85" s="106"/>
      <c r="C85" s="106" t="e">
        <f>VLOOKUP(B85,'Raw Data'!$A$16:$K$552,3,0)</f>
        <v>#N/A</v>
      </c>
      <c r="D85" s="175" t="e">
        <f>VLOOKUP($B85,'Raw Data'!$A$16:$K$552,10,0)</f>
        <v>#N/A</v>
      </c>
      <c r="E85" s="181" t="e">
        <f>VLOOKUP($B85,'Raw Data'!$A$16:$K$552,11,0)-100</f>
        <v>#N/A</v>
      </c>
      <c r="H85" s="106"/>
      <c r="I85" s="106"/>
      <c r="J85" s="106"/>
    </row>
    <row r="86" ht="16.25" hidden="1" spans="2:10">
      <c r="B86" s="182"/>
      <c r="C86" s="182" t="e">
        <f>VLOOKUP(B86,'Raw Data'!$A$16:$K$552,3,0)</f>
        <v>#N/A</v>
      </c>
      <c r="D86" s="183" t="e">
        <f>VLOOKUP($B86,'Raw Data'!$A$16:$K$552,10,0)</f>
        <v>#N/A</v>
      </c>
      <c r="E86" s="183" t="e">
        <f>VLOOKUP($B86,'Raw Data'!$A$16:$K$552,11,0)-100</f>
        <v>#N/A</v>
      </c>
      <c r="H86" s="106"/>
      <c r="I86" s="106"/>
      <c r="J86" s="106"/>
    </row>
    <row r="87" hidden="1" spans="2:10">
      <c r="B87" s="185" t="s">
        <v>200</v>
      </c>
      <c r="C87" s="173"/>
      <c r="D87" s="174"/>
      <c r="E87" s="173"/>
      <c r="H87" s="106"/>
      <c r="I87" s="106"/>
      <c r="J87" s="106"/>
    </row>
    <row r="88" hidden="1" spans="2:10">
      <c r="B88" s="132"/>
      <c r="C88" s="106"/>
      <c r="D88" s="175"/>
      <c r="E88" s="106"/>
      <c r="H88" s="106"/>
      <c r="I88" s="106"/>
      <c r="J88" s="106"/>
    </row>
    <row r="89" hidden="1" spans="2:10">
      <c r="B89" s="132"/>
      <c r="C89" s="106"/>
      <c r="D89" s="175"/>
      <c r="E89" s="106"/>
      <c r="H89" s="106"/>
      <c r="I89" s="106"/>
      <c r="J89" s="106"/>
    </row>
    <row r="90" hidden="1" spans="2:10">
      <c r="B90" s="132"/>
      <c r="C90" s="106"/>
      <c r="D90" s="106"/>
      <c r="E90" s="106"/>
      <c r="H90" s="106"/>
      <c r="I90" s="106"/>
      <c r="J90" s="106"/>
    </row>
    <row r="91" ht="16.25" hidden="1" spans="2:10">
      <c r="B91" s="160" t="str">
        <f>CONCATENATE("DLQC of ",Setting!$B$2," in ",Bioanalysis!$C$4)</f>
        <v>DLQC of HW356054 in ICR Mouse Plasma</v>
      </c>
      <c r="C91" s="160"/>
      <c r="D91" s="160"/>
      <c r="E91" s="160"/>
      <c r="F91" s="160"/>
      <c r="H91" s="106"/>
      <c r="I91" s="106"/>
      <c r="J91" s="106"/>
    </row>
    <row r="92" ht="30" hidden="1" spans="2:10">
      <c r="B92" s="22" t="s">
        <v>180</v>
      </c>
      <c r="C92" s="22" t="s">
        <v>202</v>
      </c>
      <c r="D92" s="22" t="s">
        <v>203</v>
      </c>
      <c r="E92" s="22" t="s">
        <v>204</v>
      </c>
      <c r="F92" s="22" t="s">
        <v>205</v>
      </c>
      <c r="H92" s="106"/>
      <c r="I92" s="106"/>
      <c r="J92" s="106"/>
    </row>
    <row r="93" hidden="1" spans="2:10">
      <c r="B93" s="6"/>
      <c r="C93" s="186" t="e">
        <f>VLOOKUP($B93,'Raw Data'!$A$16:$K$552,4,0)</f>
        <v>#N/A</v>
      </c>
      <c r="D93" s="187" t="e">
        <f>VLOOKUP($B93,'Raw Data'!$A$16:$K$552,3,0)</f>
        <v>#N/A</v>
      </c>
      <c r="E93" s="187" t="e">
        <f>VLOOKUP($B93,'Raw Data'!$A$16:$K$552,10,0)</f>
        <v>#N/A</v>
      </c>
      <c r="F93" s="188" t="e">
        <f>VLOOKUP($B93,'Raw Data'!$A$16:$K$552,11,0)-100</f>
        <v>#N/A</v>
      </c>
      <c r="H93" s="106"/>
      <c r="I93" s="106"/>
      <c r="J93" s="106"/>
    </row>
    <row r="94" hidden="1" spans="2:10">
      <c r="B94" s="6"/>
      <c r="C94" s="12" t="e">
        <f>VLOOKUP($B94,'Raw Data'!$A$16:$K$552,4,0)</f>
        <v>#N/A</v>
      </c>
      <c r="D94" s="168" t="e">
        <f>VLOOKUP($B94,'Raw Data'!$A$16:$K$552,3,0)</f>
        <v>#N/A</v>
      </c>
      <c r="E94" s="168" t="e">
        <f>VLOOKUP($B94,'Raw Data'!$A$16:$K$552,10,0)</f>
        <v>#N/A</v>
      </c>
      <c r="F94" s="165" t="e">
        <f>VLOOKUP($B94,'Raw Data'!$A$16:$K$552,11,0)-100</f>
        <v>#N/A</v>
      </c>
      <c r="H94" s="106"/>
      <c r="I94" s="106"/>
      <c r="J94" s="106"/>
    </row>
    <row r="95" ht="16.25" hidden="1" spans="2:10">
      <c r="B95" s="189"/>
      <c r="C95" s="190" t="e">
        <f>VLOOKUP($B95,'Raw Data'!$A$16:$K$552,4,0)</f>
        <v>#N/A</v>
      </c>
      <c r="D95" s="191" t="e">
        <f>VLOOKUP($B95,'Raw Data'!$A$16:$K$552,3,0)</f>
        <v>#N/A</v>
      </c>
      <c r="E95" s="191" t="e">
        <f>VLOOKUP($B95,'Raw Data'!$A$16:$K$552,10,0)</f>
        <v>#N/A</v>
      </c>
      <c r="F95" s="192" t="e">
        <f>VLOOKUP($B95,'Raw Data'!$A$16:$K$552,11,0)-100</f>
        <v>#N/A</v>
      </c>
      <c r="H95" s="106"/>
      <c r="I95" s="106"/>
      <c r="J95" s="106"/>
    </row>
    <row r="96" hidden="1" spans="2:7">
      <c r="B96" s="193"/>
      <c r="C96" s="193"/>
      <c r="D96" s="193"/>
      <c r="E96" s="193"/>
      <c r="F96" s="193"/>
      <c r="G96" s="105"/>
    </row>
  </sheetData>
  <mergeCells count="8">
    <mergeCell ref="C20:E20"/>
    <mergeCell ref="C42:H42"/>
    <mergeCell ref="C45:E45"/>
    <mergeCell ref="B47:E47"/>
    <mergeCell ref="G47:J47"/>
    <mergeCell ref="B69:E69"/>
    <mergeCell ref="G69:J69"/>
    <mergeCell ref="B91:F91"/>
  </mergeCells>
  <conditionalFormatting sqref="C4">
    <cfRule type="containsBlanks" dxfId="0" priority="8">
      <formula>LEN(TRIM(C4))=0</formula>
    </cfRule>
  </conditionalFormatting>
  <pageMargins left="0.429861111111111" right="0.25" top="0.359722222222222" bottom="0.4" header="0.4" footer="0.419444444444444"/>
  <pageSetup paperSize="9" scale="50" firstPageNumber="4294963191" orientation="portrait" useFirstPageNumber="1"/>
  <headerFooter alignWithMargins="0">
    <oddFooter>&amp;C3</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34"/>
  <sheetViews>
    <sheetView tabSelected="1" zoomScale="90" zoomScaleNormal="90" workbookViewId="0">
      <selection activeCell="A1" sqref="A1"/>
    </sheetView>
  </sheetViews>
  <sheetFormatPr defaultColWidth="9.13636363636364" defaultRowHeight="15.5"/>
  <cols>
    <col min="1" max="1" width="6" style="20" customWidth="1"/>
    <col min="2" max="4" width="51.4272727272727" style="20" hidden="1" customWidth="1"/>
    <col min="5" max="5" width="9.13636363636364" style="20" customWidth="1"/>
    <col min="6" max="6" width="7.85454545454545" style="20" customWidth="1"/>
    <col min="7" max="7" width="13.5727272727273" style="20" customWidth="1"/>
    <col min="8" max="10" width="10.4272727272727" style="20" customWidth="1"/>
    <col min="11" max="13" width="12" style="20" customWidth="1"/>
    <col min="14" max="16384" width="9.13636363636364" style="20"/>
  </cols>
  <sheetData>
    <row r="1" ht="45" customHeight="1" spans="5:13">
      <c r="E1" s="21" t="str">
        <f>CONCATENATE("Individual and Mean Plasma Concentration-Time Data of ",Setting!$B$2," after an i.g. Dose of ",Setting!$B$8," ",Setting!C8," in ",Setting!$B$3)</f>
        <v>Individual and Mean Plasma Concentration-Time Data of HW356054 after an i.g. Dose of 10 mg/kg in ICR Mouse</v>
      </c>
      <c r="F1" s="22"/>
      <c r="G1" s="22"/>
      <c r="H1" s="22"/>
      <c r="I1" s="22"/>
      <c r="J1" s="22"/>
      <c r="K1" s="22"/>
      <c r="L1" s="22"/>
      <c r="M1" s="71"/>
    </row>
    <row r="2" spans="5:13">
      <c r="E2" s="23" t="s">
        <v>206</v>
      </c>
      <c r="F2" s="24" t="s">
        <v>206</v>
      </c>
      <c r="G2" s="25" t="s">
        <v>207</v>
      </c>
      <c r="H2" s="26" t="s">
        <v>208</v>
      </c>
      <c r="I2" s="24"/>
      <c r="J2" s="24"/>
      <c r="K2" s="72" t="s">
        <v>209</v>
      </c>
      <c r="L2" s="73" t="s">
        <v>210</v>
      </c>
      <c r="M2" s="74" t="s">
        <v>211</v>
      </c>
    </row>
    <row r="3" spans="5:13">
      <c r="E3" s="27" t="s">
        <v>212</v>
      </c>
      <c r="F3" s="6" t="s">
        <v>213</v>
      </c>
      <c r="G3" s="28" t="s">
        <v>214</v>
      </c>
      <c r="H3" s="29" t="s">
        <v>215</v>
      </c>
      <c r="I3" s="6"/>
      <c r="J3" s="6"/>
      <c r="K3" s="75" t="s">
        <v>215</v>
      </c>
      <c r="L3" s="76"/>
      <c r="M3" s="77"/>
    </row>
    <row r="4" spans="5:13">
      <c r="E4" s="30"/>
      <c r="F4" s="31"/>
      <c r="G4" s="32" t="s">
        <v>216</v>
      </c>
      <c r="H4" s="33" t="s">
        <v>126</v>
      </c>
      <c r="I4" s="33" t="s">
        <v>132</v>
      </c>
      <c r="J4" s="33" t="s">
        <v>133</v>
      </c>
      <c r="K4" s="78"/>
      <c r="L4" s="79"/>
      <c r="M4" s="80"/>
    </row>
    <row r="5" spans="2:13">
      <c r="B5" s="15" t="s">
        <v>217</v>
      </c>
      <c r="C5" s="15" t="s">
        <v>218</v>
      </c>
      <c r="D5" s="15" t="s">
        <v>219</v>
      </c>
      <c r="E5" s="34">
        <f>Setting!B8</f>
        <v>10</v>
      </c>
      <c r="F5" s="25" t="str">
        <f>Setting!$A14</f>
        <v>IG</v>
      </c>
      <c r="G5" s="29">
        <f>Setting!A15</f>
        <v>0.25</v>
      </c>
      <c r="H5" s="35">
        <f>IF(OR(VLOOKUP(B5,'Raw Data'!$A$16:$K$1543,10,0)="NA",VLOOKUP(B5,'Raw Data'!$A$16:$K$1543,10,0)="No Peak",VLOOKUP(B5,'Raw Data'!$A$16:$K$1543,10,0)&lt;Setting!$B$4),0,VLOOKUP(B5,'Raw Data'!$A$16:$K$1543,10,0))</f>
        <v>119</v>
      </c>
      <c r="I5" s="35">
        <f>IF(OR(VLOOKUP(C5,'Raw Data'!$A$16:$K$1543,10,0)="NA",VLOOKUP(C5,'Raw Data'!$A$16:$K$1543,10,0)="No Peak",VLOOKUP(C5,'Raw Data'!$A$16:$K$1543,10,0)&lt;Setting!$B$4),0,VLOOKUP(C5,'Raw Data'!$A$16:$K$1543,10,0))</f>
        <v>190</v>
      </c>
      <c r="J5" s="35">
        <f>IF(OR(VLOOKUP(D5,'Raw Data'!$A$16:$K$1543,10,0)="NA",VLOOKUP(D5,'Raw Data'!$A$16:$K$1543,10,0)="No Peak",VLOOKUP(D5,'Raw Data'!$A$16:$K$1543,10,0)&lt;Setting!$B$4),0,VLOOKUP(D5,'Raw Data'!$A$16:$K$1543,10,0))</f>
        <v>166</v>
      </c>
      <c r="K5" s="81">
        <f>IFERROR(ROUND(AVERAGE(H5:J5),3-(1+INT(LOG10(AVERAGE(H5:J5))))),0)</f>
        <v>158</v>
      </c>
      <c r="L5" s="82">
        <f>IF(COUNT(H5:J5)&gt;2,STDEV(H5:J5),"NA")</f>
        <v>36.115555282085</v>
      </c>
      <c r="M5" s="83">
        <f t="shared" ref="M5:M9" si="0">IFERROR(L5/K5*100,"NA")</f>
        <v>22.8579463810664</v>
      </c>
    </row>
    <row r="6" spans="2:13">
      <c r="B6" s="15" t="s">
        <v>220</v>
      </c>
      <c r="C6" s="15" t="s">
        <v>221</v>
      </c>
      <c r="D6" s="15" t="s">
        <v>222</v>
      </c>
      <c r="E6" s="36"/>
      <c r="F6" s="28"/>
      <c r="G6" s="29">
        <f>Setting!A16</f>
        <v>0.5</v>
      </c>
      <c r="H6" s="37">
        <f>IF(OR(VLOOKUP(B6,'Raw Data'!$A$16:$K$1543,10,0)="NA",VLOOKUP(B6,'Raw Data'!$A$16:$K$1543,10,0)="No Peak",VLOOKUP(B6,'Raw Data'!$A$16:$K$1543,10,0)&lt;Setting!$B$4),"BLOQ",VLOOKUP(B6,'Raw Data'!$A$16:$K$1543,10,0))</f>
        <v>144</v>
      </c>
      <c r="I6" s="37">
        <f>IF(OR(VLOOKUP(C6,'Raw Data'!$A$16:$K$1543,10,0)="NA",VLOOKUP(C6,'Raw Data'!$A$16:$K$1543,10,0)="No Peak",VLOOKUP(C6,'Raw Data'!$A$16:$K$1543,10,0)&lt;Setting!$B$4),"BLOQ",VLOOKUP(C6,'Raw Data'!$A$16:$K$1543,10,0))</f>
        <v>219</v>
      </c>
      <c r="J6" s="37">
        <f>IF(OR(VLOOKUP(D6,'Raw Data'!$A$16:$K$1543,10,0)="NA",VLOOKUP(D6,'Raw Data'!$A$16:$K$1543,10,0)="No Peak",VLOOKUP(D6,'Raw Data'!$A$16:$K$1543,10,0)&lt;Setting!$B$4),"BLOQ",VLOOKUP(D6,'Raw Data'!$A$16:$K$1543,10,0))</f>
        <v>205</v>
      </c>
      <c r="K6" s="81">
        <f>IFERROR(ROUND(AVERAGE(H6:J6),3-(1+INT(LOG10(AVERAGE(H6:J6))))),"BLOQ")</f>
        <v>189</v>
      </c>
      <c r="L6" s="82">
        <f t="shared" ref="L6:L12" si="1">IF(COUNT(H6:J6)&gt;2,ROUND(STDEV(H6:J6),3-(1+INT(LOG10(STDEV(H6:J6))))),"NA")</f>
        <v>39.9</v>
      </c>
      <c r="M6" s="83">
        <f t="shared" si="0"/>
        <v>21.1111111111111</v>
      </c>
    </row>
    <row r="7" spans="2:13">
      <c r="B7" s="15" t="s">
        <v>223</v>
      </c>
      <c r="C7" s="15" t="s">
        <v>224</v>
      </c>
      <c r="D7" s="15" t="s">
        <v>225</v>
      </c>
      <c r="E7" s="36"/>
      <c r="F7" s="28"/>
      <c r="G7" s="29">
        <f>Setting!A17</f>
        <v>1</v>
      </c>
      <c r="H7" s="37">
        <f>IF(OR(VLOOKUP(B7,'Raw Data'!$A$16:$K$1543,10,0)="NA",VLOOKUP(B7,'Raw Data'!$A$16:$K$1543,10,0)="No Peak",VLOOKUP(B7,'Raw Data'!$A$16:$K$1543,10,0)&lt;Setting!$B$4),"BLOQ",VLOOKUP(B7,'Raw Data'!$A$16:$K$1543,10,0))</f>
        <v>143</v>
      </c>
      <c r="I7" s="37">
        <f>IF(OR(VLOOKUP(C7,'Raw Data'!$A$16:$K$1543,10,0)="NA",VLOOKUP(C7,'Raw Data'!$A$16:$K$1543,10,0)="No Peak",VLOOKUP(C7,'Raw Data'!$A$16:$K$1543,10,0)&lt;Setting!$B$4),"BLOQ",VLOOKUP(C7,'Raw Data'!$A$16:$K$1543,10,0))</f>
        <v>231</v>
      </c>
      <c r="J7" s="37">
        <f>IF(OR(VLOOKUP(D7,'Raw Data'!$A$16:$K$1543,10,0)="NA",VLOOKUP(D7,'Raw Data'!$A$16:$K$1543,10,0)="No Peak",VLOOKUP(D7,'Raw Data'!$A$16:$K$1543,10,0)&lt;Setting!$B$4),"BLOQ",VLOOKUP(D7,'Raw Data'!$A$16:$K$1543,10,0))</f>
        <v>181</v>
      </c>
      <c r="K7" s="81">
        <f>IFERROR(ROUND(AVERAGE(H7:J7),3-(1+INT(LOG10(AVERAGE(H7:J7))))),"BLOQ")</f>
        <v>185</v>
      </c>
      <c r="L7" s="82">
        <f t="shared" si="1"/>
        <v>44.1</v>
      </c>
      <c r="M7" s="83">
        <f t="shared" si="0"/>
        <v>23.8378378378378</v>
      </c>
    </row>
    <row r="8" spans="2:13">
      <c r="B8" s="15" t="s">
        <v>226</v>
      </c>
      <c r="C8" s="15" t="s">
        <v>227</v>
      </c>
      <c r="D8" s="15" t="s">
        <v>228</v>
      </c>
      <c r="E8" s="36"/>
      <c r="F8" s="28"/>
      <c r="G8" s="29">
        <f>Setting!A18</f>
        <v>2</v>
      </c>
      <c r="H8" s="37">
        <f>IF(OR(VLOOKUP(B8,'Raw Data'!$A$16:$K$1543,10,0)="NA",VLOOKUP(B8,'Raw Data'!$A$16:$K$1543,10,0)="No Peak",VLOOKUP(B8,'Raw Data'!$A$16:$K$1543,10,0)&lt;Setting!$B$4),"BLOQ",VLOOKUP(B8,'Raw Data'!$A$16:$K$1543,10,0))</f>
        <v>133</v>
      </c>
      <c r="I8" s="37">
        <f>IF(OR(VLOOKUP(C8,'Raw Data'!$A$16:$K$1543,10,0)="NA",VLOOKUP(C8,'Raw Data'!$A$16:$K$1543,10,0)="No Peak",VLOOKUP(C8,'Raw Data'!$A$16:$K$1543,10,0)&lt;Setting!$B$4),"BLOQ",VLOOKUP(C8,'Raw Data'!$A$16:$K$1543,10,0))</f>
        <v>185</v>
      </c>
      <c r="J8" s="37">
        <f>IF(OR(VLOOKUP(D8,'Raw Data'!$A$16:$K$1543,10,0)="NA",VLOOKUP(D8,'Raw Data'!$A$16:$K$1543,10,0)="No Peak",VLOOKUP(D8,'Raw Data'!$A$16:$K$1543,10,0)&lt;Setting!$B$4),"BLOQ",VLOOKUP(D8,'Raw Data'!$A$16:$K$1543,10,0))</f>
        <v>132</v>
      </c>
      <c r="K8" s="81">
        <f>IFERROR(ROUND(AVERAGE(H8:J8),3-(1+INT(LOG10(AVERAGE(H8:J8))))),"BLOQ")</f>
        <v>150</v>
      </c>
      <c r="L8" s="82">
        <f t="shared" si="1"/>
        <v>30.3</v>
      </c>
      <c r="M8" s="83">
        <f t="shared" si="0"/>
        <v>20.2</v>
      </c>
    </row>
    <row r="9" spans="2:13">
      <c r="B9" s="15" t="s">
        <v>229</v>
      </c>
      <c r="C9" s="15" t="s">
        <v>230</v>
      </c>
      <c r="D9" s="15" t="s">
        <v>231</v>
      </c>
      <c r="E9" s="36"/>
      <c r="F9" s="28"/>
      <c r="G9" s="29">
        <f>Setting!A19</f>
        <v>4</v>
      </c>
      <c r="H9" s="37">
        <f>IF(OR(VLOOKUP(B9,'Raw Data'!$A$16:$K$1543,10,0)="NA",VLOOKUP(B9,'Raw Data'!$A$16:$K$1543,10,0)="No Peak",VLOOKUP(B9,'Raw Data'!$A$16:$K$1543,10,0)&lt;Setting!$B$4),"BLOQ",VLOOKUP(B9,'Raw Data'!$A$16:$K$1543,10,0))</f>
        <v>147</v>
      </c>
      <c r="I9" s="37">
        <f>IF(OR(VLOOKUP(C9,'Raw Data'!$A$16:$K$1543,10,0)="NA",VLOOKUP(C9,'Raw Data'!$A$16:$K$1543,10,0)="No Peak",VLOOKUP(C9,'Raw Data'!$A$16:$K$1543,10,0)&lt;Setting!$B$4),"BLOQ",VLOOKUP(C9,'Raw Data'!$A$16:$K$1543,10,0))</f>
        <v>155</v>
      </c>
      <c r="J9" s="37">
        <f>IF(OR(VLOOKUP(D9,'Raw Data'!$A$16:$K$1543,10,0)="NA",VLOOKUP(D9,'Raw Data'!$A$16:$K$1543,10,0)="No Peak",VLOOKUP(D9,'Raw Data'!$A$16:$K$1543,10,0)&lt;Setting!$B$4),"BLOQ",VLOOKUP(D9,'Raw Data'!$A$16:$K$1543,10,0))</f>
        <v>126</v>
      </c>
      <c r="K9" s="81">
        <f t="shared" ref="K9:K10" si="2">IFERROR(ROUND(AVERAGE(H9:J9),3-(1+INT(LOG10(AVERAGE(H9:J9))))),"BLOQ")</f>
        <v>143</v>
      </c>
      <c r="L9" s="82">
        <f t="shared" si="1"/>
        <v>15</v>
      </c>
      <c r="M9" s="83">
        <f t="shared" si="0"/>
        <v>10.4895104895105</v>
      </c>
    </row>
    <row r="10" spans="2:13">
      <c r="B10" s="15" t="s">
        <v>232</v>
      </c>
      <c r="C10" s="15" t="s">
        <v>233</v>
      </c>
      <c r="D10" s="15" t="s">
        <v>234</v>
      </c>
      <c r="E10" s="36"/>
      <c r="F10" s="28"/>
      <c r="G10" s="29">
        <f>Setting!A20</f>
        <v>8</v>
      </c>
      <c r="H10" s="37">
        <f>IF(OR(VLOOKUP(B10,'Raw Data'!$A$16:$K$1543,10,0)="NA",VLOOKUP(B10,'Raw Data'!$A$16:$K$1543,10,0)="No Peak",VLOOKUP(B10,'Raw Data'!$A$16:$K$1543,10,0)&lt;Setting!$B$4),"BLOQ",VLOOKUP(B10,'Raw Data'!$A$16:$K$1543,10,0))</f>
        <v>144</v>
      </c>
      <c r="I10" s="37">
        <f>IF(OR(VLOOKUP(C10,'Raw Data'!$A$16:$K$1543,10,0)="NA",VLOOKUP(C10,'Raw Data'!$A$16:$K$1543,10,0)="No Peak",VLOOKUP(C10,'Raw Data'!$A$16:$K$1543,10,0)&lt;Setting!$B$4),"BLOQ",VLOOKUP(C10,'Raw Data'!$A$16:$K$1543,10,0))</f>
        <v>116</v>
      </c>
      <c r="J10" s="37">
        <f>IF(OR(VLOOKUP(D10,'Raw Data'!$A$16:$K$1543,10,0)="NA",VLOOKUP(D10,'Raw Data'!$A$16:$K$1543,10,0)="No Peak",VLOOKUP(D10,'Raw Data'!$A$16:$K$1543,10,0)&lt;Setting!$B$4),"BLOQ",VLOOKUP(D10,'Raw Data'!$A$16:$K$1543,10,0))</f>
        <v>113</v>
      </c>
      <c r="K10" s="81">
        <f t="shared" si="2"/>
        <v>124</v>
      </c>
      <c r="L10" s="82">
        <f t="shared" si="1"/>
        <v>17.1</v>
      </c>
      <c r="M10" s="83">
        <f t="shared" ref="M10:M11" si="3">IFERROR(L10/K10*100,"NA")</f>
        <v>13.7903225806452</v>
      </c>
    </row>
    <row r="11" spans="2:13">
      <c r="B11" s="15" t="s">
        <v>235</v>
      </c>
      <c r="C11" s="15" t="s">
        <v>236</v>
      </c>
      <c r="D11" s="15" t="s">
        <v>237</v>
      </c>
      <c r="E11" s="36"/>
      <c r="F11" s="28"/>
      <c r="G11" s="29">
        <f>Setting!A21</f>
        <v>10</v>
      </c>
      <c r="H11" s="37">
        <f>IF(OR(VLOOKUP(B11,'Raw Data'!$A$16:$K$1543,10,0)="NA",VLOOKUP(B11,'Raw Data'!$A$16:$K$1543,10,0)="No Peak",VLOOKUP(B11,'Raw Data'!$A$16:$K$1543,10,0)&lt;Setting!$B$4),"BLOQ",VLOOKUP(B11,'Raw Data'!$A$16:$K$1543,10,0))</f>
        <v>128</v>
      </c>
      <c r="I11" s="38">
        <f>IF(OR(VLOOKUP(C11,'Raw Data'!$A$16:$K$1543,10,0)="NA",VLOOKUP(C11,'Raw Data'!$A$16:$K$1543,10,0)="No Peak",VLOOKUP(C11,'Raw Data'!$A$16:$K$1543,10,0)&lt;Setting!$B$4),"BLOQ",VLOOKUP(C11,'Raw Data'!$A$16:$K$1543,10,0))</f>
        <v>75.3</v>
      </c>
      <c r="J11" s="38">
        <f>IF(OR(VLOOKUP(D11,'Raw Data'!$A$16:$K$1543,10,0)="NA",VLOOKUP(D11,'Raw Data'!$A$16:$K$1543,10,0)="No Peak",VLOOKUP(D11,'Raw Data'!$A$16:$K$1543,10,0)&lt;Setting!$B$4),"BLOQ",VLOOKUP(D11,'Raw Data'!$A$16:$K$1543,10,0))</f>
        <v>75.8</v>
      </c>
      <c r="K11" s="84">
        <f t="shared" ref="K11:K12" si="4">IFERROR(ROUND(AVERAGE(H11:J11),3-(1+INT(LOG10(AVERAGE(H11:J11))))),"BLOQ")</f>
        <v>93</v>
      </c>
      <c r="L11" s="82">
        <f t="shared" si="1"/>
        <v>30.3</v>
      </c>
      <c r="M11" s="83">
        <f t="shared" si="3"/>
        <v>32.5806451612903</v>
      </c>
    </row>
    <row r="12" spans="2:13">
      <c r="B12" s="15" t="s">
        <v>238</v>
      </c>
      <c r="C12" s="15" t="s">
        <v>239</v>
      </c>
      <c r="D12" s="15" t="s">
        <v>240</v>
      </c>
      <c r="E12" s="36"/>
      <c r="F12" s="28"/>
      <c r="G12" s="29">
        <f>Setting!A22</f>
        <v>24</v>
      </c>
      <c r="H12" s="38">
        <f>IF(OR(VLOOKUP(B12,'Raw Data'!$A$16:$K$1543,10,0)="NA",VLOOKUP(B12,'Raw Data'!$A$16:$K$1543,10,0)="No Peak",VLOOKUP(B12,'Raw Data'!$A$16:$K$1543,10,0)&lt;Setting!$B$4),"BLOQ",VLOOKUP(B12,'Raw Data'!$A$16:$K$1543,10,0))</f>
        <v>41.6</v>
      </c>
      <c r="I12" s="85">
        <f>IF(OR(VLOOKUP(C12,'Raw Data'!$A$16:$K$1543,10,0)="NA",VLOOKUP(C12,'Raw Data'!$A$16:$K$1543,10,0)="No Peak",VLOOKUP(C12,'Raw Data'!$A$16:$K$1543,10,0)&lt;Setting!$B$4),"BLOQ",VLOOKUP(C12,'Raw Data'!$A$16:$K$1543,10,0))</f>
        <v>2.41</v>
      </c>
      <c r="J12" s="85">
        <f>IF(OR(VLOOKUP(D12,'Raw Data'!$A$16:$K$1543,10,0)="NA",VLOOKUP(D12,'Raw Data'!$A$16:$K$1543,10,0)="No Peak",VLOOKUP(D12,'Raw Data'!$A$16:$K$1543,10,0)&lt;Setting!$B$4),"BLOQ",VLOOKUP(D12,'Raw Data'!$A$16:$K$1543,10,0))</f>
        <v>2.01</v>
      </c>
      <c r="K12" s="84">
        <f t="shared" si="4"/>
        <v>15.3</v>
      </c>
      <c r="L12" s="82">
        <f t="shared" si="1"/>
        <v>22.7</v>
      </c>
      <c r="M12" s="83">
        <f t="shared" ref="M12" si="5">IFERROR(L12/K12*100,"NA")</f>
        <v>148.366013071895</v>
      </c>
    </row>
    <row r="13" ht="16.25" spans="2:13">
      <c r="B13" s="15"/>
      <c r="C13" s="15"/>
      <c r="D13" s="15"/>
      <c r="E13" s="36"/>
      <c r="F13" s="28"/>
      <c r="G13" s="29"/>
      <c r="H13" s="37"/>
      <c r="I13" s="37"/>
      <c r="J13" s="37"/>
      <c r="K13" s="81"/>
      <c r="L13" s="86"/>
      <c r="M13" s="83"/>
    </row>
    <row r="14" ht="15.75" customHeight="1" spans="5:13">
      <c r="E14" s="39" t="s">
        <v>241</v>
      </c>
      <c r="F14" s="40"/>
      <c r="G14" s="41" t="s">
        <v>242</v>
      </c>
      <c r="H14" s="41" t="str">
        <f>H4</f>
        <v>A1</v>
      </c>
      <c r="I14" s="41" t="str">
        <f>I4</f>
        <v>A2</v>
      </c>
      <c r="J14" s="41" t="str">
        <f>J4</f>
        <v>A3</v>
      </c>
      <c r="K14" s="87" t="s">
        <v>209</v>
      </c>
      <c r="L14" s="88" t="s">
        <v>210</v>
      </c>
      <c r="M14" s="89" t="s">
        <v>211</v>
      </c>
    </row>
    <row r="15" ht="15.75" customHeight="1" spans="5:13">
      <c r="E15" s="42" t="s">
        <v>243</v>
      </c>
      <c r="F15" s="43"/>
      <c r="G15" s="44" t="s">
        <v>34</v>
      </c>
      <c r="H15" s="45">
        <v>0.998</v>
      </c>
      <c r="I15" s="50">
        <v>1</v>
      </c>
      <c r="J15" s="45">
        <v>0.999</v>
      </c>
      <c r="K15" s="90" t="s">
        <v>34</v>
      </c>
      <c r="L15" s="76" t="s">
        <v>34</v>
      </c>
      <c r="M15" s="77" t="s">
        <v>34</v>
      </c>
    </row>
    <row r="16" ht="18.6" customHeight="1" spans="5:13">
      <c r="E16" s="46" t="s">
        <v>244</v>
      </c>
      <c r="F16" s="47" t="s">
        <v>245</v>
      </c>
      <c r="G16" s="48" t="s">
        <v>246</v>
      </c>
      <c r="H16" s="49">
        <v>0.0786</v>
      </c>
      <c r="I16" s="45">
        <v>0.243</v>
      </c>
      <c r="J16" s="45">
        <v>0.255</v>
      </c>
      <c r="K16" s="91">
        <f>IFERROR(ROUND(AVERAGE(H16:J16),3-(1+INT(LOG10(AVERAGE(H16:J16))))),"NR")</f>
        <v>0.192</v>
      </c>
      <c r="L16" s="92">
        <f>IF(COUNT(H16:J16)&gt;2,ROUND(STDEV(H16:J16),3-(1+INT(LOG10(STDEV(H16:J16))))),"NA")</f>
        <v>0.0986</v>
      </c>
      <c r="M16" s="83">
        <f t="shared" ref="M16:M23" si="6">IFERROR(L16/K16*100,"NA")</f>
        <v>51.3541666666667</v>
      </c>
    </row>
    <row r="17" ht="17.25" customHeight="1" spans="5:13">
      <c r="E17" s="46" t="s">
        <v>247</v>
      </c>
      <c r="F17" s="47" t="s">
        <v>248</v>
      </c>
      <c r="G17" s="48" t="s">
        <v>249</v>
      </c>
      <c r="H17" s="50">
        <v>8.82</v>
      </c>
      <c r="I17" s="50">
        <v>2.85</v>
      </c>
      <c r="J17" s="50">
        <v>2.72</v>
      </c>
      <c r="K17" s="93">
        <f t="shared" ref="K17:K23" si="7">IFERROR(ROUND(AVERAGE(H17:J17),3-(1+INT(LOG10(AVERAGE(H17:J17))))),"NR")</f>
        <v>4.8</v>
      </c>
      <c r="L17" s="94">
        <f>IF(COUNT(H17:J17)&gt;2,ROUND(STDEV(H17:J17),3-(1+INT(LOG10(STDEV(H17:J17))))),"NA")</f>
        <v>3.48</v>
      </c>
      <c r="M17" s="83">
        <f t="shared" si="6"/>
        <v>72.5</v>
      </c>
    </row>
    <row r="18" ht="18.75" customHeight="1" spans="5:13">
      <c r="E18" s="46" t="s">
        <v>250</v>
      </c>
      <c r="F18" s="47"/>
      <c r="G18" s="48" t="s">
        <v>249</v>
      </c>
      <c r="H18" s="50">
        <v>4</v>
      </c>
      <c r="I18" s="50">
        <v>1</v>
      </c>
      <c r="J18" s="45">
        <v>0.5</v>
      </c>
      <c r="K18" s="93">
        <f t="shared" si="7"/>
        <v>1.83</v>
      </c>
      <c r="L18" s="94">
        <f>IF(COUNT(H18:J18)&gt;2,STDEV(H18:J18),"NA")</f>
        <v>1.89296944860009</v>
      </c>
      <c r="M18" s="83">
        <f t="shared" si="6"/>
        <v>103.440953475415</v>
      </c>
    </row>
    <row r="19" ht="18.75" customHeight="1" spans="5:13">
      <c r="E19" s="46" t="s">
        <v>251</v>
      </c>
      <c r="F19" s="47"/>
      <c r="G19" s="48" t="s">
        <v>252</v>
      </c>
      <c r="H19" s="51">
        <v>147</v>
      </c>
      <c r="I19" s="51">
        <v>231</v>
      </c>
      <c r="J19" s="51">
        <v>205</v>
      </c>
      <c r="K19" s="81">
        <f t="shared" si="7"/>
        <v>194</v>
      </c>
      <c r="L19" s="82">
        <f>IF(COUNT(H19:J19)&gt;2,ROUND(STDEV(H19:J19),3-(1+INT(LOG10(STDEV(H19:J19))))),"NA")</f>
        <v>43</v>
      </c>
      <c r="M19" s="83">
        <f t="shared" si="6"/>
        <v>22.1649484536082</v>
      </c>
    </row>
    <row r="20" ht="18.75" customHeight="1" spans="5:13">
      <c r="E20" s="46" t="s">
        <v>253</v>
      </c>
      <c r="F20" s="47"/>
      <c r="G20" s="48" t="s">
        <v>254</v>
      </c>
      <c r="H20" s="51">
        <v>2580</v>
      </c>
      <c r="I20" s="51">
        <v>2010</v>
      </c>
      <c r="J20" s="51">
        <v>1790</v>
      </c>
      <c r="K20" s="81">
        <f t="shared" si="7"/>
        <v>2130</v>
      </c>
      <c r="L20" s="86">
        <f>IF(COUNT(H20:J20)&gt;2,ROUND(STDEV(H20:J20),3-(1+INT(LOG10(STDEV(H20:J20))))),"NA")</f>
        <v>408</v>
      </c>
      <c r="M20" s="83">
        <f t="shared" si="6"/>
        <v>19.1549295774648</v>
      </c>
    </row>
    <row r="21" ht="18.75" customHeight="1" spans="5:13">
      <c r="E21" s="46" t="s">
        <v>255</v>
      </c>
      <c r="F21" s="47"/>
      <c r="G21" s="48" t="s">
        <v>254</v>
      </c>
      <c r="H21" s="51" t="s">
        <v>256</v>
      </c>
      <c r="I21" s="51">
        <v>2020</v>
      </c>
      <c r="J21" s="51">
        <v>1800</v>
      </c>
      <c r="K21" s="81">
        <f t="shared" si="7"/>
        <v>1910</v>
      </c>
      <c r="L21" s="86" t="str">
        <f>IF(COUNT(H21:J21)&gt;2,ROUND(STDEV(H21:J21),3-(1+INT(LOG10(STDEV(H21:J21))))),"NA")</f>
        <v>NA</v>
      </c>
      <c r="M21" s="83" t="str">
        <f t="shared" si="6"/>
        <v>NA</v>
      </c>
    </row>
    <row r="22" ht="21.75" customHeight="1" spans="5:13">
      <c r="E22" s="46" t="s">
        <v>257</v>
      </c>
      <c r="F22" s="47" t="s">
        <v>258</v>
      </c>
      <c r="G22" s="48" t="s">
        <v>249</v>
      </c>
      <c r="H22" s="50">
        <v>8.92</v>
      </c>
      <c r="I22" s="50">
        <v>5.89</v>
      </c>
      <c r="J22" s="50">
        <v>6.26</v>
      </c>
      <c r="K22" s="93">
        <f t="shared" si="7"/>
        <v>7.02</v>
      </c>
      <c r="L22" s="94">
        <f>IF(COUNT(H22:J22)&gt;2,ROUND(STDEV(H22:J22),3-(1+INT(LOG10(STDEV(H22:J22))))),"NA")</f>
        <v>1.65</v>
      </c>
      <c r="M22" s="83">
        <f t="shared" si="6"/>
        <v>23.5042735042735</v>
      </c>
    </row>
    <row r="23" ht="19.5" customHeight="1" spans="5:13">
      <c r="E23" s="46" t="s">
        <v>259</v>
      </c>
      <c r="F23" s="47" t="s">
        <v>260</v>
      </c>
      <c r="G23" s="48" t="s">
        <v>249</v>
      </c>
      <c r="H23" s="52" t="s">
        <v>256</v>
      </c>
      <c r="I23" s="50">
        <v>6</v>
      </c>
      <c r="J23" s="50">
        <v>6.36</v>
      </c>
      <c r="K23" s="93">
        <f t="shared" si="7"/>
        <v>6.18</v>
      </c>
      <c r="L23" s="94" t="str">
        <f>IF(COUNT(H23:J23)&gt;2,ROUND(STDEV(H23:J23),3-(1+INT(LOG10(STDEV(H23:J23))))),"NA")</f>
        <v>NA</v>
      </c>
      <c r="M23" s="83" t="str">
        <f t="shared" si="6"/>
        <v>NA</v>
      </c>
    </row>
    <row r="24" ht="17.25" customHeight="1" spans="5:13">
      <c r="E24" s="53"/>
      <c r="F24" s="54"/>
      <c r="G24" s="55"/>
      <c r="H24" s="56"/>
      <c r="I24" s="56"/>
      <c r="J24" s="56"/>
      <c r="K24" s="95"/>
      <c r="L24" s="96"/>
      <c r="M24" s="97"/>
    </row>
    <row r="25" ht="37.5" customHeight="1" spans="5:13">
      <c r="E25" s="57" t="str">
        <f>CONCATENATE("Individual Semi logarithmic-Plasma Concentration-Time Profile of ",Setting!$B$2," after an i.g. Dose of ",Setting!$B$8," ",Setting!C8," in ",Setting!$B$3)</f>
        <v>Individual Semi logarithmic-Plasma Concentration-Time Profile of HW356054 after an i.g. Dose of 10 mg/kg in ICR Mouse</v>
      </c>
      <c r="F25" s="58"/>
      <c r="G25" s="58"/>
      <c r="H25" s="58"/>
      <c r="I25" s="58"/>
      <c r="J25" s="58"/>
      <c r="K25" s="58"/>
      <c r="L25" s="58"/>
      <c r="M25" s="98"/>
    </row>
    <row r="26" ht="236.25" customHeight="1" spans="5:13">
      <c r="E26" s="59" t="s">
        <v>261</v>
      </c>
      <c r="F26" s="60"/>
      <c r="G26" s="60"/>
      <c r="H26" s="60"/>
      <c r="I26" s="60"/>
      <c r="J26" s="60"/>
      <c r="K26" s="60"/>
      <c r="L26" s="60"/>
      <c r="M26" s="99"/>
    </row>
    <row r="27" ht="41.25" customHeight="1" spans="5:13">
      <c r="E27" s="61" t="str">
        <f>CONCATENATE("Mean Semi logarithmic-Plasma Concentration-Time Profile of ",Setting!$B$2," after an i.g. Dose of ",Setting!$B$8," ",Setting!C8," in ",Setting!$B$3,"")</f>
        <v>Mean Semi logarithmic-Plasma Concentration-Time Profile of HW356054 after an i.g. Dose of 10 mg/kg in ICR Mouse</v>
      </c>
      <c r="F27" s="62"/>
      <c r="G27" s="62"/>
      <c r="H27" s="62"/>
      <c r="I27" s="62"/>
      <c r="J27" s="62"/>
      <c r="K27" s="62"/>
      <c r="L27" s="62"/>
      <c r="M27" s="100"/>
    </row>
    <row r="28" ht="239.25" customHeight="1" spans="5:13">
      <c r="E28" s="59"/>
      <c r="F28" s="60"/>
      <c r="G28" s="60"/>
      <c r="H28" s="60"/>
      <c r="I28" s="60"/>
      <c r="J28" s="60"/>
      <c r="K28" s="60"/>
      <c r="L28" s="60"/>
      <c r="M28" s="99"/>
    </row>
    <row r="30" ht="22.5" customHeight="1" spans="5:14">
      <c r="E30" s="63" t="s">
        <v>262</v>
      </c>
      <c r="F30" s="64" t="str">
        <f>CONCATENATE("1) BLOQ = Below the lower limit of quantification (",Setting!$B$4," ",Setting!$B$5,") if it shows in the table above.")</f>
        <v>1) BLOQ = Below the lower limit of quantification (0.5  ng/mL) if it shows in the table above.</v>
      </c>
      <c r="G30" s="65"/>
      <c r="H30" s="65"/>
      <c r="I30" s="65"/>
      <c r="J30" s="65"/>
      <c r="K30" s="65"/>
      <c r="L30" s="65"/>
      <c r="M30" s="65"/>
      <c r="N30" s="101"/>
    </row>
    <row r="31" ht="22.5" customHeight="1" spans="5:14">
      <c r="E31" s="66"/>
      <c r="F31" s="67" t="s">
        <v>263</v>
      </c>
      <c r="N31" s="101"/>
    </row>
    <row r="32" ht="22.5" customHeight="1" spans="5:14">
      <c r="E32" s="66"/>
      <c r="F32" s="67" t="s">
        <v>264</v>
      </c>
      <c r="N32" s="101"/>
    </row>
    <row r="33" ht="22.5" customHeight="1" spans="5:14">
      <c r="E33" s="66"/>
      <c r="F33" s="67" t="s">
        <v>265</v>
      </c>
      <c r="N33" s="101"/>
    </row>
    <row r="34" ht="22.5" customHeight="1" spans="5:14">
      <c r="E34" s="68"/>
      <c r="F34" s="69"/>
      <c r="G34" s="70"/>
      <c r="H34" s="70"/>
      <c r="I34" s="70"/>
      <c r="J34" s="70"/>
      <c r="K34" s="70"/>
      <c r="L34" s="70"/>
      <c r="M34" s="70"/>
      <c r="N34" s="101"/>
    </row>
  </sheetData>
  <mergeCells count="22">
    <mergeCell ref="E1:M1"/>
    <mergeCell ref="H2:J2"/>
    <mergeCell ref="H3:J3"/>
    <mergeCell ref="E14:F14"/>
    <mergeCell ref="E15:F15"/>
    <mergeCell ref="E16:F16"/>
    <mergeCell ref="E17:F17"/>
    <mergeCell ref="E18:F18"/>
    <mergeCell ref="E19:F19"/>
    <mergeCell ref="E20:F20"/>
    <mergeCell ref="E21:F21"/>
    <mergeCell ref="E22:F22"/>
    <mergeCell ref="E23:F23"/>
    <mergeCell ref="E24:F24"/>
    <mergeCell ref="E25:M25"/>
    <mergeCell ref="E26:M26"/>
    <mergeCell ref="E27:M27"/>
    <mergeCell ref="E28:M28"/>
    <mergeCell ref="E5:E13"/>
    <mergeCell ref="F5:F13"/>
    <mergeCell ref="L2:L4"/>
    <mergeCell ref="M2:M4"/>
  </mergeCells>
  <pageMargins left="0.75" right="0.75" top="1" bottom="1" header="0.5" footer="0.5"/>
  <pageSetup paperSize="9" firstPageNumber="4294963191" orientation="portrait" useFirstPageNumber="1"/>
  <headerFooter alignWithMargins="0"/>
  <ignoredErrors>
    <ignoredError sqref="L18:L19" formula="1"/>
  </ignoredError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R69"/>
  <sheetViews>
    <sheetView zoomScale="89" zoomScaleNormal="89" workbookViewId="0">
      <selection activeCell="A1" sqref="A1"/>
    </sheetView>
  </sheetViews>
  <sheetFormatPr defaultColWidth="9" defaultRowHeight="15.5"/>
  <cols>
    <col min="1" max="1" width="51.4272727272727" style="15" customWidth="1"/>
    <col min="2" max="2" width="17" style="15" customWidth="1"/>
    <col min="3" max="3" width="16.4272727272727" style="15" customWidth="1"/>
    <col min="4" max="4" width="9.42727272727273" style="15" customWidth="1"/>
    <col min="5" max="6" width="15.4272727272727" style="15" customWidth="1"/>
    <col min="7" max="7" width="12.2818181818182" style="15" customWidth="1"/>
    <col min="8" max="9" width="9.42727272727273" style="15" customWidth="1"/>
    <col min="10" max="10" width="17.2818181818182" style="15" customWidth="1"/>
    <col min="11" max="13" width="9.42727272727273" style="15" customWidth="1"/>
    <col min="14" max="14" width="25.8545454545455" style="15" customWidth="1"/>
    <col min="15" max="16" width="9.42727272727273" style="15" customWidth="1"/>
    <col min="17" max="17" width="16.7090909090909" style="15" customWidth="1"/>
    <col min="18" max="16384" width="9.13636363636364" style="15"/>
  </cols>
  <sheetData>
    <row r="1" s="16" customFormat="1" spans="1:1">
      <c r="A1" s="18"/>
    </row>
    <row r="2" spans="1:1">
      <c r="A2" s="15" t="s">
        <v>266</v>
      </c>
    </row>
    <row r="3" spans="1:1">
      <c r="A3" s="15" t="s">
        <v>267</v>
      </c>
    </row>
    <row r="4" spans="1:1">
      <c r="A4" s="15" t="s">
        <v>268</v>
      </c>
    </row>
    <row r="6" spans="1:1">
      <c r="A6" s="15" t="s">
        <v>269</v>
      </c>
    </row>
    <row r="7" spans="1:1">
      <c r="A7" s="15" t="s">
        <v>270</v>
      </c>
    </row>
    <row r="8" spans="1:1">
      <c r="A8" s="15" t="s">
        <v>271</v>
      </c>
    </row>
    <row r="10" spans="1:6">
      <c r="A10" s="15" t="s">
        <v>272</v>
      </c>
      <c r="B10" s="15" t="s">
        <v>273</v>
      </c>
      <c r="C10" s="15" t="s">
        <v>274</v>
      </c>
      <c r="D10" s="15" t="s">
        <v>275</v>
      </c>
      <c r="E10" s="15" t="s">
        <v>276</v>
      </c>
      <c r="F10" s="15" t="s">
        <v>277</v>
      </c>
    </row>
    <row r="11" spans="1:2">
      <c r="A11" s="15" t="s">
        <v>278</v>
      </c>
      <c r="B11" s="19">
        <v>3.82e-6</v>
      </c>
    </row>
    <row r="12" spans="1:2">
      <c r="A12" s="15" t="s">
        <v>279</v>
      </c>
      <c r="B12" s="15">
        <v>0.00166</v>
      </c>
    </row>
    <row r="13" spans="1:2">
      <c r="A13" s="15" t="s">
        <v>280</v>
      </c>
      <c r="B13" s="15">
        <v>0.9979</v>
      </c>
    </row>
    <row r="14" spans="1:1">
      <c r="A14" s="15" t="s">
        <v>281</v>
      </c>
    </row>
    <row r="16" spans="6:7">
      <c r="F16" s="13">
        <f>AVERAGE(F22:F26,F30:F31,F58:F60,F62:F64)</f>
        <v>741692.307692308</v>
      </c>
      <c r="G16" s="14">
        <f>F16*1.5</f>
        <v>1112538.46153846</v>
      </c>
    </row>
    <row r="17" spans="6:7">
      <c r="F17" s="13"/>
      <c r="G17" s="14">
        <f>F16*0.5</f>
        <v>370846.153846154</v>
      </c>
    </row>
    <row r="19" s="17" customFormat="1" ht="62" spans="1:18">
      <c r="A19" s="17" t="s">
        <v>180</v>
      </c>
      <c r="B19" s="17" t="s">
        <v>282</v>
      </c>
      <c r="C19" s="17" t="s">
        <v>283</v>
      </c>
      <c r="D19" s="17" t="s">
        <v>284</v>
      </c>
      <c r="E19" s="17" t="s">
        <v>285</v>
      </c>
      <c r="F19" s="17" t="s">
        <v>286</v>
      </c>
      <c r="G19" s="17" t="s">
        <v>287</v>
      </c>
      <c r="H19" s="17" t="s">
        <v>288</v>
      </c>
      <c r="I19" s="17" t="s">
        <v>289</v>
      </c>
      <c r="J19" s="17" t="s">
        <v>290</v>
      </c>
      <c r="K19" s="17" t="s">
        <v>291</v>
      </c>
      <c r="L19" s="17" t="s">
        <v>292</v>
      </c>
      <c r="M19" s="17" t="s">
        <v>293</v>
      </c>
      <c r="N19" s="17" t="s">
        <v>294</v>
      </c>
      <c r="O19" s="17" t="s">
        <v>295</v>
      </c>
      <c r="P19" s="17" t="s">
        <v>296</v>
      </c>
      <c r="Q19" s="17" t="s">
        <v>297</v>
      </c>
      <c r="R19" s="17" t="s">
        <v>298</v>
      </c>
    </row>
    <row r="20" spans="1:18">
      <c r="A20" s="15" t="s">
        <v>299</v>
      </c>
      <c r="B20" s="15" t="s">
        <v>300</v>
      </c>
      <c r="C20" s="15" t="s">
        <v>301</v>
      </c>
      <c r="D20" s="15">
        <v>1</v>
      </c>
      <c r="E20" s="19">
        <v>0</v>
      </c>
      <c r="F20" s="19">
        <v>0</v>
      </c>
      <c r="G20" s="15" t="e">
        <v>#DIV/0!</v>
      </c>
      <c r="I20" s="15">
        <v>0</v>
      </c>
      <c r="J20" s="15" t="e">
        <v>#DIV/0!</v>
      </c>
      <c r="K20" s="15" t="s">
        <v>301</v>
      </c>
      <c r="L20" s="15">
        <v>24</v>
      </c>
      <c r="M20" s="15">
        <v>5</v>
      </c>
      <c r="N20" s="15" t="s">
        <v>302</v>
      </c>
      <c r="O20" s="15">
        <v>0</v>
      </c>
      <c r="P20" s="15">
        <v>0</v>
      </c>
      <c r="Q20" s="15" t="s">
        <v>32</v>
      </c>
      <c r="R20" s="15" t="s">
        <v>303</v>
      </c>
    </row>
    <row r="21" spans="1:18">
      <c r="A21" s="15" t="s">
        <v>184</v>
      </c>
      <c r="B21" s="15" t="s">
        <v>304</v>
      </c>
      <c r="C21" s="15">
        <v>0</v>
      </c>
      <c r="D21" s="15">
        <v>1</v>
      </c>
      <c r="E21" s="19">
        <v>0</v>
      </c>
      <c r="F21" s="19">
        <v>0</v>
      </c>
      <c r="G21" s="15" t="e">
        <v>#DIV/0!</v>
      </c>
      <c r="I21" s="15">
        <v>0</v>
      </c>
      <c r="J21" s="15" t="s">
        <v>301</v>
      </c>
      <c r="K21" s="15" t="s">
        <v>301</v>
      </c>
      <c r="L21" s="15">
        <v>1</v>
      </c>
      <c r="M21" s="15">
        <v>5</v>
      </c>
      <c r="N21" s="15" t="s">
        <v>305</v>
      </c>
      <c r="O21" s="15">
        <v>0</v>
      </c>
      <c r="P21" s="15">
        <v>0</v>
      </c>
      <c r="Q21" s="15" t="s">
        <v>32</v>
      </c>
      <c r="R21" s="15" t="s">
        <v>303</v>
      </c>
    </row>
    <row r="22" spans="1:18">
      <c r="A22" s="15" t="s">
        <v>185</v>
      </c>
      <c r="B22" s="15" t="s">
        <v>306</v>
      </c>
      <c r="C22" s="15">
        <v>0</v>
      </c>
      <c r="D22" s="15">
        <v>1</v>
      </c>
      <c r="E22" s="19">
        <v>0</v>
      </c>
      <c r="F22" s="19">
        <v>708000</v>
      </c>
      <c r="G22" s="15">
        <v>0</v>
      </c>
      <c r="I22" s="15">
        <v>0</v>
      </c>
      <c r="J22" s="15" t="s">
        <v>301</v>
      </c>
      <c r="K22" s="15" t="s">
        <v>301</v>
      </c>
      <c r="L22" s="15">
        <v>2</v>
      </c>
      <c r="M22" s="15">
        <v>5</v>
      </c>
      <c r="N22" s="15" t="s">
        <v>307</v>
      </c>
      <c r="O22" s="15">
        <v>0</v>
      </c>
      <c r="P22" s="15">
        <v>1.29</v>
      </c>
      <c r="Q22" s="15" t="s">
        <v>32</v>
      </c>
      <c r="R22" s="15" t="s">
        <v>303</v>
      </c>
    </row>
    <row r="23" spans="1:18">
      <c r="A23" s="15" t="s">
        <v>186</v>
      </c>
      <c r="B23" s="15" t="s">
        <v>308</v>
      </c>
      <c r="C23" s="15">
        <v>0.5</v>
      </c>
      <c r="D23" s="15">
        <v>1</v>
      </c>
      <c r="E23" s="19">
        <v>636</v>
      </c>
      <c r="F23" s="19">
        <v>760000</v>
      </c>
      <c r="G23" s="15">
        <v>0.000836</v>
      </c>
      <c r="H23" s="15">
        <v>1</v>
      </c>
      <c r="I23" s="15">
        <v>0</v>
      </c>
      <c r="J23" s="15">
        <v>0.5</v>
      </c>
      <c r="K23" s="15">
        <v>100.1</v>
      </c>
      <c r="L23" s="15">
        <v>3</v>
      </c>
      <c r="M23" s="15">
        <v>5</v>
      </c>
      <c r="N23" s="15" t="s">
        <v>309</v>
      </c>
      <c r="O23" s="15">
        <v>1.37</v>
      </c>
      <c r="P23" s="15">
        <v>1.29</v>
      </c>
      <c r="Q23" s="15" t="s">
        <v>32</v>
      </c>
      <c r="R23" s="15" t="s">
        <v>303</v>
      </c>
    </row>
    <row r="24" spans="1:18">
      <c r="A24" s="15" t="s">
        <v>188</v>
      </c>
      <c r="B24" s="15" t="s">
        <v>308</v>
      </c>
      <c r="C24" s="15">
        <v>2</v>
      </c>
      <c r="D24" s="15">
        <v>1</v>
      </c>
      <c r="E24" s="19">
        <v>2840</v>
      </c>
      <c r="F24" s="19">
        <v>777000</v>
      </c>
      <c r="G24" s="15">
        <v>0.00365</v>
      </c>
      <c r="H24" s="15">
        <v>1</v>
      </c>
      <c r="I24" s="15">
        <v>0</v>
      </c>
      <c r="J24" s="15">
        <v>2.19</v>
      </c>
      <c r="K24" s="15">
        <v>109.6</v>
      </c>
      <c r="L24" s="15">
        <v>5</v>
      </c>
      <c r="M24" s="15">
        <v>5</v>
      </c>
      <c r="N24" s="15" t="s">
        <v>310</v>
      </c>
      <c r="O24" s="15">
        <v>1.38</v>
      </c>
      <c r="P24" s="15">
        <v>1.3</v>
      </c>
      <c r="Q24" s="15" t="s">
        <v>32</v>
      </c>
      <c r="R24" s="15" t="s">
        <v>303</v>
      </c>
    </row>
    <row r="25" spans="1:18">
      <c r="A25" s="15" t="s">
        <v>191</v>
      </c>
      <c r="B25" s="15" t="s">
        <v>308</v>
      </c>
      <c r="C25" s="15">
        <v>100</v>
      </c>
      <c r="D25" s="15">
        <v>1</v>
      </c>
      <c r="E25" s="19">
        <v>125000</v>
      </c>
      <c r="F25" s="19">
        <v>752000</v>
      </c>
      <c r="G25" s="15">
        <v>0.167</v>
      </c>
      <c r="H25" s="15">
        <v>1</v>
      </c>
      <c r="I25" s="15">
        <v>0</v>
      </c>
      <c r="J25" s="15">
        <v>100</v>
      </c>
      <c r="K25" s="15">
        <v>100.2</v>
      </c>
      <c r="L25" s="15">
        <v>8</v>
      </c>
      <c r="M25" s="15">
        <v>5</v>
      </c>
      <c r="N25" s="15" t="s">
        <v>311</v>
      </c>
      <c r="O25" s="15">
        <v>1.38</v>
      </c>
      <c r="P25" s="15">
        <v>1.3</v>
      </c>
      <c r="Q25" s="15" t="s">
        <v>32</v>
      </c>
      <c r="R25" s="15" t="s">
        <v>303</v>
      </c>
    </row>
    <row r="26" spans="1:18">
      <c r="A26" s="15" t="s">
        <v>193</v>
      </c>
      <c r="B26" s="15" t="s">
        <v>308</v>
      </c>
      <c r="C26" s="15">
        <v>1000</v>
      </c>
      <c r="D26" s="15">
        <v>1</v>
      </c>
      <c r="E26" s="19">
        <v>1190000</v>
      </c>
      <c r="F26" s="19">
        <v>715000</v>
      </c>
      <c r="G26" s="15">
        <v>1.67</v>
      </c>
      <c r="H26" s="15">
        <v>1</v>
      </c>
      <c r="I26" s="15">
        <v>0</v>
      </c>
      <c r="J26" s="15">
        <v>1000</v>
      </c>
      <c r="K26" s="15">
        <v>100.4</v>
      </c>
      <c r="L26" s="15">
        <v>10</v>
      </c>
      <c r="M26" s="15">
        <v>5</v>
      </c>
      <c r="N26" s="15" t="s">
        <v>312</v>
      </c>
      <c r="O26" s="15">
        <v>1.37</v>
      </c>
      <c r="P26" s="15">
        <v>1.29</v>
      </c>
      <c r="Q26" s="15" t="s">
        <v>32</v>
      </c>
      <c r="R26" s="15" t="s">
        <v>303</v>
      </c>
    </row>
    <row r="27" spans="1:18">
      <c r="A27" s="15" t="s">
        <v>313</v>
      </c>
      <c r="B27" s="15" t="s">
        <v>304</v>
      </c>
      <c r="C27" s="15">
        <v>0</v>
      </c>
      <c r="D27" s="15">
        <v>1</v>
      </c>
      <c r="E27" s="19">
        <v>0</v>
      </c>
      <c r="F27" s="19">
        <v>0</v>
      </c>
      <c r="G27" s="15" t="e">
        <v>#DIV/0!</v>
      </c>
      <c r="I27" s="15">
        <v>0</v>
      </c>
      <c r="J27" s="15" t="s">
        <v>301</v>
      </c>
      <c r="K27" s="15" t="s">
        <v>301</v>
      </c>
      <c r="L27" s="15">
        <v>11</v>
      </c>
      <c r="M27" s="15">
        <v>5</v>
      </c>
      <c r="N27" s="15" t="s">
        <v>314</v>
      </c>
      <c r="O27" s="15">
        <v>0</v>
      </c>
      <c r="P27" s="15">
        <v>0</v>
      </c>
      <c r="Q27" s="15" t="s">
        <v>32</v>
      </c>
      <c r="R27" s="15" t="s">
        <v>303</v>
      </c>
    </row>
    <row r="28" spans="1:18">
      <c r="A28" s="15" t="s">
        <v>315</v>
      </c>
      <c r="B28" s="15" t="s">
        <v>304</v>
      </c>
      <c r="C28" s="15">
        <v>0</v>
      </c>
      <c r="D28" s="15">
        <v>1</v>
      </c>
      <c r="E28" s="19">
        <v>0</v>
      </c>
      <c r="F28" s="19">
        <v>0</v>
      </c>
      <c r="G28" s="15" t="e">
        <v>#DIV/0!</v>
      </c>
      <c r="I28" s="15">
        <v>0</v>
      </c>
      <c r="J28" s="15" t="s">
        <v>301</v>
      </c>
      <c r="K28" s="15" t="s">
        <v>301</v>
      </c>
      <c r="L28" s="15">
        <v>12</v>
      </c>
      <c r="M28" s="15">
        <v>5</v>
      </c>
      <c r="N28" s="15" t="s">
        <v>316</v>
      </c>
      <c r="O28" s="15">
        <v>0</v>
      </c>
      <c r="P28" s="15">
        <v>0</v>
      </c>
      <c r="Q28" s="15" t="s">
        <v>32</v>
      </c>
      <c r="R28" s="15" t="s">
        <v>303</v>
      </c>
    </row>
    <row r="29" spans="1:18">
      <c r="A29" s="15" t="s">
        <v>317</v>
      </c>
      <c r="B29" s="15" t="s">
        <v>318</v>
      </c>
      <c r="C29" s="15">
        <v>1.5</v>
      </c>
      <c r="D29" s="15">
        <v>1</v>
      </c>
      <c r="E29" s="19">
        <v>2230</v>
      </c>
      <c r="F29" s="19">
        <v>670000</v>
      </c>
      <c r="G29" s="15">
        <v>0.00332</v>
      </c>
      <c r="H29" s="15">
        <v>0</v>
      </c>
      <c r="I29" s="15">
        <v>0</v>
      </c>
      <c r="J29" s="15">
        <v>2</v>
      </c>
      <c r="K29" s="15">
        <v>133</v>
      </c>
      <c r="L29" s="15">
        <v>13</v>
      </c>
      <c r="M29" s="15">
        <v>5</v>
      </c>
      <c r="N29" s="15" t="s">
        <v>319</v>
      </c>
      <c r="O29" s="15">
        <v>1.37</v>
      </c>
      <c r="P29" s="15">
        <v>1.29</v>
      </c>
      <c r="Q29" s="15" t="s">
        <v>32</v>
      </c>
      <c r="R29" s="15" t="s">
        <v>303</v>
      </c>
    </row>
    <row r="30" spans="1:18">
      <c r="A30" s="15" t="s">
        <v>195</v>
      </c>
      <c r="B30" s="15" t="s">
        <v>318</v>
      </c>
      <c r="C30" s="15">
        <v>400</v>
      </c>
      <c r="D30" s="15">
        <v>1</v>
      </c>
      <c r="E30" s="19">
        <v>499000</v>
      </c>
      <c r="F30" s="19">
        <v>761000</v>
      </c>
      <c r="G30" s="15">
        <v>0.656</v>
      </c>
      <c r="H30" s="15">
        <v>1</v>
      </c>
      <c r="I30" s="15">
        <v>0</v>
      </c>
      <c r="J30" s="15">
        <v>394</v>
      </c>
      <c r="K30" s="15">
        <v>98.5</v>
      </c>
      <c r="L30" s="15">
        <v>14</v>
      </c>
      <c r="M30" s="15">
        <v>5</v>
      </c>
      <c r="N30" s="15" t="s">
        <v>320</v>
      </c>
      <c r="O30" s="15">
        <v>1.38</v>
      </c>
      <c r="P30" s="15">
        <v>1.3</v>
      </c>
      <c r="Q30" s="15" t="s">
        <v>32</v>
      </c>
      <c r="R30" s="15" t="s">
        <v>303</v>
      </c>
    </row>
    <row r="31" spans="1:18">
      <c r="A31" s="15" t="s">
        <v>196</v>
      </c>
      <c r="B31" s="15" t="s">
        <v>318</v>
      </c>
      <c r="C31" s="15">
        <v>800</v>
      </c>
      <c r="D31" s="15">
        <v>1</v>
      </c>
      <c r="E31" s="19">
        <v>935000</v>
      </c>
      <c r="F31" s="19">
        <v>701000</v>
      </c>
      <c r="G31" s="15">
        <v>1.33</v>
      </c>
      <c r="H31" s="15">
        <v>1</v>
      </c>
      <c r="I31" s="15">
        <v>0</v>
      </c>
      <c r="J31" s="15">
        <v>802</v>
      </c>
      <c r="K31" s="15">
        <v>100.2</v>
      </c>
      <c r="L31" s="15">
        <v>15</v>
      </c>
      <c r="M31" s="15">
        <v>5</v>
      </c>
      <c r="N31" s="15" t="s">
        <v>321</v>
      </c>
      <c r="O31" s="15">
        <v>1.38</v>
      </c>
      <c r="P31" s="15">
        <v>1.3</v>
      </c>
      <c r="Q31" s="15" t="s">
        <v>32</v>
      </c>
      <c r="R31" s="15" t="s">
        <v>303</v>
      </c>
    </row>
    <row r="32" spans="1:18">
      <c r="A32" s="15" t="s">
        <v>299</v>
      </c>
      <c r="B32" s="15" t="s">
        <v>300</v>
      </c>
      <c r="C32" s="15" t="s">
        <v>301</v>
      </c>
      <c r="D32" s="15">
        <v>1</v>
      </c>
      <c r="E32" s="19">
        <v>0</v>
      </c>
      <c r="F32" s="19">
        <v>0</v>
      </c>
      <c r="G32" s="15" t="e">
        <v>#DIV/0!</v>
      </c>
      <c r="I32" s="15">
        <v>0</v>
      </c>
      <c r="J32" s="15" t="e">
        <v>#DIV/0!</v>
      </c>
      <c r="K32" s="15" t="s">
        <v>301</v>
      </c>
      <c r="L32" s="15">
        <v>23</v>
      </c>
      <c r="M32" s="15">
        <v>5</v>
      </c>
      <c r="N32" s="15" t="s">
        <v>322</v>
      </c>
      <c r="O32" s="15">
        <v>0</v>
      </c>
      <c r="P32" s="15">
        <v>0</v>
      </c>
      <c r="Q32" s="15" t="s">
        <v>32</v>
      </c>
      <c r="R32" s="15" t="s">
        <v>303</v>
      </c>
    </row>
    <row r="33" spans="1:18">
      <c r="A33" s="15" t="s">
        <v>238</v>
      </c>
      <c r="B33" s="15" t="s">
        <v>300</v>
      </c>
      <c r="C33" s="15" t="s">
        <v>301</v>
      </c>
      <c r="D33" s="15">
        <v>1</v>
      </c>
      <c r="E33" s="19">
        <v>49100</v>
      </c>
      <c r="F33" s="19">
        <v>710000</v>
      </c>
      <c r="G33" s="15">
        <v>0.0691</v>
      </c>
      <c r="I33" s="15">
        <v>0</v>
      </c>
      <c r="J33" s="15">
        <v>41.6</v>
      </c>
      <c r="K33" s="15" t="s">
        <v>301</v>
      </c>
      <c r="L33" s="15">
        <v>73</v>
      </c>
      <c r="M33" s="15">
        <v>5</v>
      </c>
      <c r="N33" s="15" t="s">
        <v>323</v>
      </c>
      <c r="O33" s="15">
        <v>1.37</v>
      </c>
      <c r="P33" s="15">
        <v>1.29</v>
      </c>
      <c r="Q33" s="15" t="s">
        <v>32</v>
      </c>
      <c r="R33" s="15" t="s">
        <v>303</v>
      </c>
    </row>
    <row r="34" spans="1:18">
      <c r="A34" s="15" t="s">
        <v>239</v>
      </c>
      <c r="B34" s="15" t="s">
        <v>300</v>
      </c>
      <c r="C34" s="15" t="s">
        <v>301</v>
      </c>
      <c r="D34" s="15">
        <v>1</v>
      </c>
      <c r="E34" s="19">
        <v>2780</v>
      </c>
      <c r="F34" s="19">
        <v>691000</v>
      </c>
      <c r="G34" s="15">
        <v>0.00402</v>
      </c>
      <c r="I34" s="15">
        <v>0</v>
      </c>
      <c r="J34" s="15">
        <v>2.41</v>
      </c>
      <c r="K34" s="15" t="s">
        <v>301</v>
      </c>
      <c r="L34" s="15">
        <v>74</v>
      </c>
      <c r="M34" s="15">
        <v>5</v>
      </c>
      <c r="N34" s="15" t="s">
        <v>324</v>
      </c>
      <c r="O34" s="15">
        <v>1.37</v>
      </c>
      <c r="P34" s="15">
        <v>1.29</v>
      </c>
      <c r="Q34" s="15" t="s">
        <v>32</v>
      </c>
      <c r="R34" s="15" t="s">
        <v>303</v>
      </c>
    </row>
    <row r="35" spans="1:18">
      <c r="A35" s="15" t="s">
        <v>240</v>
      </c>
      <c r="B35" s="15" t="s">
        <v>300</v>
      </c>
      <c r="C35" s="15" t="s">
        <v>301</v>
      </c>
      <c r="D35" s="15">
        <v>1</v>
      </c>
      <c r="E35" s="19">
        <v>2380</v>
      </c>
      <c r="F35" s="19">
        <v>709000</v>
      </c>
      <c r="G35" s="15">
        <v>0.00335</v>
      </c>
      <c r="I35" s="15">
        <v>0</v>
      </c>
      <c r="J35" s="15">
        <v>2.01</v>
      </c>
      <c r="K35" s="15" t="s">
        <v>301</v>
      </c>
      <c r="L35" s="15">
        <v>75</v>
      </c>
      <c r="M35" s="15">
        <v>5</v>
      </c>
      <c r="N35" s="15" t="s">
        <v>325</v>
      </c>
      <c r="O35" s="15">
        <v>1.38</v>
      </c>
      <c r="P35" s="15">
        <v>1.3</v>
      </c>
      <c r="Q35" s="15" t="s">
        <v>32</v>
      </c>
      <c r="R35" s="15" t="s">
        <v>303</v>
      </c>
    </row>
    <row r="36" spans="1:18">
      <c r="A36" s="15" t="s">
        <v>235</v>
      </c>
      <c r="B36" s="15" t="s">
        <v>300</v>
      </c>
      <c r="C36" s="15" t="s">
        <v>301</v>
      </c>
      <c r="D36" s="15">
        <v>1</v>
      </c>
      <c r="E36" s="19">
        <v>159000</v>
      </c>
      <c r="F36" s="19">
        <v>749000</v>
      </c>
      <c r="G36" s="15">
        <v>0.212</v>
      </c>
      <c r="I36" s="15">
        <v>0</v>
      </c>
      <c r="J36" s="15">
        <v>128</v>
      </c>
      <c r="K36" s="15" t="s">
        <v>301</v>
      </c>
      <c r="L36" s="15">
        <v>76</v>
      </c>
      <c r="M36" s="15">
        <v>5</v>
      </c>
      <c r="N36" s="15" t="s">
        <v>326</v>
      </c>
      <c r="O36" s="15">
        <v>1.37</v>
      </c>
      <c r="P36" s="15">
        <v>1.29</v>
      </c>
      <c r="Q36" s="15" t="s">
        <v>32</v>
      </c>
      <c r="R36" s="15" t="s">
        <v>303</v>
      </c>
    </row>
    <row r="37" spans="1:18">
      <c r="A37" s="15" t="s">
        <v>236</v>
      </c>
      <c r="B37" s="15" t="s">
        <v>300</v>
      </c>
      <c r="C37" s="15" t="s">
        <v>301</v>
      </c>
      <c r="D37" s="15">
        <v>1</v>
      </c>
      <c r="E37" s="19">
        <v>92000</v>
      </c>
      <c r="F37" s="19">
        <v>735000</v>
      </c>
      <c r="G37" s="15">
        <v>0.125</v>
      </c>
      <c r="I37" s="15">
        <v>0</v>
      </c>
      <c r="J37" s="15">
        <v>75.3</v>
      </c>
      <c r="K37" s="15" t="s">
        <v>301</v>
      </c>
      <c r="L37" s="15">
        <v>77</v>
      </c>
      <c r="M37" s="15">
        <v>5</v>
      </c>
      <c r="N37" s="15" t="s">
        <v>327</v>
      </c>
      <c r="O37" s="15">
        <v>1.37</v>
      </c>
      <c r="P37" s="15">
        <v>1.29</v>
      </c>
      <c r="Q37" s="15" t="s">
        <v>32</v>
      </c>
      <c r="R37" s="15" t="s">
        <v>303</v>
      </c>
    </row>
    <row r="38" spans="1:18">
      <c r="A38" s="15" t="s">
        <v>237</v>
      </c>
      <c r="B38" s="15" t="s">
        <v>300</v>
      </c>
      <c r="C38" s="15" t="s">
        <v>301</v>
      </c>
      <c r="D38" s="15">
        <v>1</v>
      </c>
      <c r="E38" s="19">
        <v>93900</v>
      </c>
      <c r="F38" s="19">
        <v>745000</v>
      </c>
      <c r="G38" s="15">
        <v>0.126</v>
      </c>
      <c r="I38" s="15">
        <v>0</v>
      </c>
      <c r="J38" s="15">
        <v>75.8</v>
      </c>
      <c r="K38" s="15" t="s">
        <v>301</v>
      </c>
      <c r="L38" s="15">
        <v>78</v>
      </c>
      <c r="M38" s="15">
        <v>5</v>
      </c>
      <c r="N38" s="15" t="s">
        <v>328</v>
      </c>
      <c r="O38" s="15">
        <v>1.37</v>
      </c>
      <c r="P38" s="15">
        <v>1.29</v>
      </c>
      <c r="Q38" s="15" t="s">
        <v>32</v>
      </c>
      <c r="R38" s="15" t="s">
        <v>303</v>
      </c>
    </row>
    <row r="39" spans="1:18">
      <c r="A39" s="15" t="s">
        <v>232</v>
      </c>
      <c r="B39" s="15" t="s">
        <v>300</v>
      </c>
      <c r="C39" s="15" t="s">
        <v>301</v>
      </c>
      <c r="D39" s="15">
        <v>1</v>
      </c>
      <c r="E39" s="19">
        <v>173000</v>
      </c>
      <c r="F39" s="19">
        <v>723000</v>
      </c>
      <c r="G39" s="15">
        <v>0.239</v>
      </c>
      <c r="I39" s="15">
        <v>0</v>
      </c>
      <c r="J39" s="15">
        <v>144</v>
      </c>
      <c r="K39" s="15" t="s">
        <v>301</v>
      </c>
      <c r="L39" s="15">
        <v>79</v>
      </c>
      <c r="M39" s="15">
        <v>5</v>
      </c>
      <c r="N39" s="15" t="s">
        <v>329</v>
      </c>
      <c r="O39" s="15">
        <v>1.37</v>
      </c>
      <c r="P39" s="15">
        <v>1.29</v>
      </c>
      <c r="Q39" s="15" t="s">
        <v>32</v>
      </c>
      <c r="R39" s="15" t="s">
        <v>303</v>
      </c>
    </row>
    <row r="40" spans="1:18">
      <c r="A40" s="15" t="s">
        <v>233</v>
      </c>
      <c r="B40" s="15" t="s">
        <v>300</v>
      </c>
      <c r="C40" s="15" t="s">
        <v>301</v>
      </c>
      <c r="D40" s="15">
        <v>1</v>
      </c>
      <c r="E40" s="19">
        <v>140000</v>
      </c>
      <c r="F40" s="19">
        <v>723000</v>
      </c>
      <c r="G40" s="15">
        <v>0.194</v>
      </c>
      <c r="I40" s="15">
        <v>0</v>
      </c>
      <c r="J40" s="15">
        <v>116</v>
      </c>
      <c r="K40" s="15" t="s">
        <v>301</v>
      </c>
      <c r="L40" s="15">
        <v>80</v>
      </c>
      <c r="M40" s="15">
        <v>5</v>
      </c>
      <c r="N40" s="15" t="s">
        <v>330</v>
      </c>
      <c r="O40" s="15">
        <v>1.37</v>
      </c>
      <c r="P40" s="15">
        <v>1.29</v>
      </c>
      <c r="Q40" s="15" t="s">
        <v>32</v>
      </c>
      <c r="R40" s="15" t="s">
        <v>303</v>
      </c>
    </row>
    <row r="41" spans="1:18">
      <c r="A41" s="15" t="s">
        <v>234</v>
      </c>
      <c r="B41" s="15" t="s">
        <v>300</v>
      </c>
      <c r="C41" s="15" t="s">
        <v>301</v>
      </c>
      <c r="D41" s="15">
        <v>1</v>
      </c>
      <c r="E41" s="19">
        <v>131000</v>
      </c>
      <c r="F41" s="19">
        <v>692000</v>
      </c>
      <c r="G41" s="15">
        <v>0.189</v>
      </c>
      <c r="I41" s="15">
        <v>0</v>
      </c>
      <c r="J41" s="15">
        <v>113</v>
      </c>
      <c r="K41" s="15" t="s">
        <v>301</v>
      </c>
      <c r="L41" s="15">
        <v>81</v>
      </c>
      <c r="M41" s="15">
        <v>5</v>
      </c>
      <c r="N41" s="15" t="s">
        <v>331</v>
      </c>
      <c r="O41" s="15">
        <v>1.37</v>
      </c>
      <c r="P41" s="15">
        <v>1.29</v>
      </c>
      <c r="Q41" s="15" t="s">
        <v>32</v>
      </c>
      <c r="R41" s="15" t="s">
        <v>303</v>
      </c>
    </row>
    <row r="42" spans="1:18">
      <c r="A42" s="15" t="s">
        <v>229</v>
      </c>
      <c r="B42" s="15" t="s">
        <v>300</v>
      </c>
      <c r="C42" s="15" t="s">
        <v>301</v>
      </c>
      <c r="D42" s="15">
        <v>1</v>
      </c>
      <c r="E42" s="19">
        <v>168000</v>
      </c>
      <c r="F42" s="19">
        <v>688000</v>
      </c>
      <c r="G42" s="15">
        <v>0.245</v>
      </c>
      <c r="I42" s="15">
        <v>0</v>
      </c>
      <c r="J42" s="15">
        <v>147</v>
      </c>
      <c r="K42" s="15" t="s">
        <v>301</v>
      </c>
      <c r="L42" s="15">
        <v>82</v>
      </c>
      <c r="M42" s="15">
        <v>5</v>
      </c>
      <c r="N42" s="15" t="s">
        <v>332</v>
      </c>
      <c r="O42" s="15">
        <v>1.37</v>
      </c>
      <c r="P42" s="15">
        <v>1.29</v>
      </c>
      <c r="Q42" s="15" t="s">
        <v>32</v>
      </c>
      <c r="R42" s="15" t="s">
        <v>303</v>
      </c>
    </row>
    <row r="43" spans="1:18">
      <c r="A43" s="15" t="s">
        <v>230</v>
      </c>
      <c r="B43" s="15" t="s">
        <v>300</v>
      </c>
      <c r="C43" s="15" t="s">
        <v>301</v>
      </c>
      <c r="D43" s="15">
        <v>1</v>
      </c>
      <c r="E43" s="19">
        <v>184000</v>
      </c>
      <c r="F43" s="19">
        <v>713000</v>
      </c>
      <c r="G43" s="15">
        <v>0.258</v>
      </c>
      <c r="I43" s="15">
        <v>0</v>
      </c>
      <c r="J43" s="15">
        <v>155</v>
      </c>
      <c r="K43" s="15" t="s">
        <v>301</v>
      </c>
      <c r="L43" s="15">
        <v>83</v>
      </c>
      <c r="M43" s="15">
        <v>5</v>
      </c>
      <c r="N43" s="15" t="s">
        <v>333</v>
      </c>
      <c r="O43" s="15">
        <v>1.37</v>
      </c>
      <c r="P43" s="15">
        <v>1.29</v>
      </c>
      <c r="Q43" s="15" t="s">
        <v>32</v>
      </c>
      <c r="R43" s="15" t="s">
        <v>303</v>
      </c>
    </row>
    <row r="44" spans="1:18">
      <c r="A44" s="15" t="s">
        <v>231</v>
      </c>
      <c r="B44" s="15" t="s">
        <v>300</v>
      </c>
      <c r="C44" s="15" t="s">
        <v>301</v>
      </c>
      <c r="D44" s="15">
        <v>1</v>
      </c>
      <c r="E44" s="19">
        <v>144000</v>
      </c>
      <c r="F44" s="19">
        <v>687000</v>
      </c>
      <c r="G44" s="15">
        <v>0.209</v>
      </c>
      <c r="I44" s="15">
        <v>0</v>
      </c>
      <c r="J44" s="15">
        <v>126</v>
      </c>
      <c r="K44" s="15" t="s">
        <v>301</v>
      </c>
      <c r="L44" s="15">
        <v>84</v>
      </c>
      <c r="M44" s="15">
        <v>5</v>
      </c>
      <c r="N44" s="15" t="s">
        <v>334</v>
      </c>
      <c r="O44" s="15">
        <v>1.37</v>
      </c>
      <c r="P44" s="15">
        <v>1.29</v>
      </c>
      <c r="Q44" s="15" t="s">
        <v>32</v>
      </c>
      <c r="R44" s="15" t="s">
        <v>303</v>
      </c>
    </row>
    <row r="45" spans="1:18">
      <c r="A45" s="15" t="s">
        <v>226</v>
      </c>
      <c r="B45" s="15" t="s">
        <v>300</v>
      </c>
      <c r="C45" s="15" t="s">
        <v>301</v>
      </c>
      <c r="D45" s="15">
        <v>1</v>
      </c>
      <c r="E45" s="19">
        <v>159000</v>
      </c>
      <c r="F45" s="19">
        <v>718000</v>
      </c>
      <c r="G45" s="15">
        <v>0.221</v>
      </c>
      <c r="I45" s="15">
        <v>0</v>
      </c>
      <c r="J45" s="15">
        <v>133</v>
      </c>
      <c r="K45" s="15" t="s">
        <v>301</v>
      </c>
      <c r="L45" s="15">
        <v>85</v>
      </c>
      <c r="M45" s="15">
        <v>5</v>
      </c>
      <c r="N45" s="15" t="s">
        <v>335</v>
      </c>
      <c r="O45" s="15">
        <v>1.37</v>
      </c>
      <c r="P45" s="15">
        <v>1.29</v>
      </c>
      <c r="Q45" s="15" t="s">
        <v>32</v>
      </c>
      <c r="R45" s="15" t="s">
        <v>303</v>
      </c>
    </row>
    <row r="46" spans="1:18">
      <c r="A46" s="15" t="s">
        <v>227</v>
      </c>
      <c r="B46" s="15" t="s">
        <v>300</v>
      </c>
      <c r="C46" s="15" t="s">
        <v>301</v>
      </c>
      <c r="D46" s="15">
        <v>1</v>
      </c>
      <c r="E46" s="19">
        <v>228000</v>
      </c>
      <c r="F46" s="19">
        <v>743000</v>
      </c>
      <c r="G46" s="15">
        <v>0.307</v>
      </c>
      <c r="I46" s="15">
        <v>0</v>
      </c>
      <c r="J46" s="15">
        <v>185</v>
      </c>
      <c r="K46" s="15" t="s">
        <v>301</v>
      </c>
      <c r="L46" s="15">
        <v>86</v>
      </c>
      <c r="M46" s="15">
        <v>5</v>
      </c>
      <c r="N46" s="15" t="s">
        <v>336</v>
      </c>
      <c r="O46" s="15">
        <v>1.37</v>
      </c>
      <c r="P46" s="15">
        <v>1.29</v>
      </c>
      <c r="Q46" s="15" t="s">
        <v>32</v>
      </c>
      <c r="R46" s="15" t="s">
        <v>303</v>
      </c>
    </row>
    <row r="47" spans="1:18">
      <c r="A47" s="15" t="s">
        <v>228</v>
      </c>
      <c r="B47" s="15" t="s">
        <v>300</v>
      </c>
      <c r="C47" s="15" t="s">
        <v>301</v>
      </c>
      <c r="D47" s="15">
        <v>1</v>
      </c>
      <c r="E47" s="19">
        <v>173000</v>
      </c>
      <c r="F47" s="19">
        <v>792000</v>
      </c>
      <c r="G47" s="15">
        <v>0.219</v>
      </c>
      <c r="I47" s="15">
        <v>0</v>
      </c>
      <c r="J47" s="15">
        <v>132</v>
      </c>
      <c r="K47" s="15" t="s">
        <v>301</v>
      </c>
      <c r="L47" s="15">
        <v>87</v>
      </c>
      <c r="M47" s="15">
        <v>5</v>
      </c>
      <c r="N47" s="15" t="s">
        <v>337</v>
      </c>
      <c r="O47" s="15">
        <v>1.37</v>
      </c>
      <c r="P47" s="15">
        <v>1.29</v>
      </c>
      <c r="Q47" s="15" t="s">
        <v>32</v>
      </c>
      <c r="R47" s="15" t="s">
        <v>303</v>
      </c>
    </row>
    <row r="48" spans="1:18">
      <c r="A48" s="15" t="s">
        <v>223</v>
      </c>
      <c r="B48" s="15" t="s">
        <v>300</v>
      </c>
      <c r="C48" s="15" t="s">
        <v>301</v>
      </c>
      <c r="D48" s="15">
        <v>1</v>
      </c>
      <c r="E48" s="19">
        <v>167000</v>
      </c>
      <c r="F48" s="19">
        <v>703000</v>
      </c>
      <c r="G48" s="15">
        <v>0.237</v>
      </c>
      <c r="I48" s="15">
        <v>0</v>
      </c>
      <c r="J48" s="15">
        <v>143</v>
      </c>
      <c r="K48" s="15" t="s">
        <v>301</v>
      </c>
      <c r="L48" s="15">
        <v>88</v>
      </c>
      <c r="M48" s="15">
        <v>5</v>
      </c>
      <c r="N48" s="15" t="s">
        <v>338</v>
      </c>
      <c r="O48" s="15">
        <v>1.37</v>
      </c>
      <c r="P48" s="15">
        <v>1.29</v>
      </c>
      <c r="Q48" s="15" t="s">
        <v>32</v>
      </c>
      <c r="R48" s="15" t="s">
        <v>303</v>
      </c>
    </row>
    <row r="49" spans="1:18">
      <c r="A49" s="15" t="s">
        <v>224</v>
      </c>
      <c r="B49" s="15" t="s">
        <v>300</v>
      </c>
      <c r="C49" s="15" t="s">
        <v>301</v>
      </c>
      <c r="D49" s="15">
        <v>1</v>
      </c>
      <c r="E49" s="19">
        <v>255000</v>
      </c>
      <c r="F49" s="19">
        <v>664000</v>
      </c>
      <c r="G49" s="15">
        <v>0.383</v>
      </c>
      <c r="I49" s="15">
        <v>0</v>
      </c>
      <c r="J49" s="15">
        <v>231</v>
      </c>
      <c r="K49" s="15" t="s">
        <v>301</v>
      </c>
      <c r="L49" s="15">
        <v>89</v>
      </c>
      <c r="M49" s="15">
        <v>5</v>
      </c>
      <c r="N49" s="15" t="s">
        <v>339</v>
      </c>
      <c r="O49" s="15">
        <v>1.37</v>
      </c>
      <c r="P49" s="15">
        <v>1.29</v>
      </c>
      <c r="Q49" s="15" t="s">
        <v>32</v>
      </c>
      <c r="R49" s="15" t="s">
        <v>303</v>
      </c>
    </row>
    <row r="50" spans="1:18">
      <c r="A50" s="15" t="s">
        <v>225</v>
      </c>
      <c r="B50" s="15" t="s">
        <v>300</v>
      </c>
      <c r="C50" s="15" t="s">
        <v>301</v>
      </c>
      <c r="D50" s="15">
        <v>1</v>
      </c>
      <c r="E50" s="19">
        <v>216000</v>
      </c>
      <c r="F50" s="19">
        <v>714000</v>
      </c>
      <c r="G50" s="15">
        <v>0.302</v>
      </c>
      <c r="I50" s="15">
        <v>0</v>
      </c>
      <c r="J50" s="15">
        <v>181</v>
      </c>
      <c r="K50" s="15" t="s">
        <v>301</v>
      </c>
      <c r="L50" s="15">
        <v>90</v>
      </c>
      <c r="M50" s="15">
        <v>5</v>
      </c>
      <c r="N50" s="15" t="s">
        <v>340</v>
      </c>
      <c r="O50" s="15">
        <v>1.37</v>
      </c>
      <c r="P50" s="15">
        <v>1.29</v>
      </c>
      <c r="Q50" s="15" t="s">
        <v>32</v>
      </c>
      <c r="R50" s="15" t="s">
        <v>303</v>
      </c>
    </row>
    <row r="51" spans="1:18">
      <c r="A51" s="15" t="s">
        <v>220</v>
      </c>
      <c r="B51" s="15" t="s">
        <v>300</v>
      </c>
      <c r="C51" s="15" t="s">
        <v>301</v>
      </c>
      <c r="D51" s="15">
        <v>1</v>
      </c>
      <c r="E51" s="19">
        <v>164000</v>
      </c>
      <c r="F51" s="19">
        <v>683000</v>
      </c>
      <c r="G51" s="15">
        <v>0.24</v>
      </c>
      <c r="I51" s="15">
        <v>0</v>
      </c>
      <c r="J51" s="15">
        <v>144</v>
      </c>
      <c r="K51" s="15" t="s">
        <v>301</v>
      </c>
      <c r="L51" s="15">
        <v>91</v>
      </c>
      <c r="M51" s="15">
        <v>5</v>
      </c>
      <c r="N51" s="15" t="s">
        <v>341</v>
      </c>
      <c r="O51" s="15">
        <v>1.37</v>
      </c>
      <c r="P51" s="15">
        <v>1.29</v>
      </c>
      <c r="Q51" s="15" t="s">
        <v>32</v>
      </c>
      <c r="R51" s="15" t="s">
        <v>303</v>
      </c>
    </row>
    <row r="52" spans="1:18">
      <c r="A52" s="15" t="s">
        <v>221</v>
      </c>
      <c r="B52" s="15" t="s">
        <v>300</v>
      </c>
      <c r="C52" s="15" t="s">
        <v>301</v>
      </c>
      <c r="D52" s="15">
        <v>1</v>
      </c>
      <c r="E52" s="19">
        <v>247000</v>
      </c>
      <c r="F52" s="19">
        <v>678000</v>
      </c>
      <c r="G52" s="15">
        <v>0.365</v>
      </c>
      <c r="I52" s="15">
        <v>0</v>
      </c>
      <c r="J52" s="15">
        <v>219</v>
      </c>
      <c r="K52" s="15" t="s">
        <v>301</v>
      </c>
      <c r="L52" s="15">
        <v>92</v>
      </c>
      <c r="M52" s="15">
        <v>5</v>
      </c>
      <c r="N52" s="15" t="s">
        <v>342</v>
      </c>
      <c r="O52" s="15">
        <v>1.37</v>
      </c>
      <c r="P52" s="15">
        <v>1.29</v>
      </c>
      <c r="Q52" s="15" t="s">
        <v>32</v>
      </c>
      <c r="R52" s="15" t="s">
        <v>303</v>
      </c>
    </row>
    <row r="53" spans="1:18">
      <c r="A53" s="15" t="s">
        <v>222</v>
      </c>
      <c r="B53" s="15" t="s">
        <v>300</v>
      </c>
      <c r="C53" s="15" t="s">
        <v>301</v>
      </c>
      <c r="D53" s="15">
        <v>1</v>
      </c>
      <c r="E53" s="19">
        <v>227000</v>
      </c>
      <c r="F53" s="19">
        <v>665000</v>
      </c>
      <c r="G53" s="15">
        <v>0.341</v>
      </c>
      <c r="I53" s="15">
        <v>0</v>
      </c>
      <c r="J53" s="15">
        <v>205</v>
      </c>
      <c r="K53" s="15" t="s">
        <v>301</v>
      </c>
      <c r="L53" s="15">
        <v>93</v>
      </c>
      <c r="M53" s="15">
        <v>5</v>
      </c>
      <c r="N53" s="15" t="s">
        <v>343</v>
      </c>
      <c r="O53" s="15">
        <v>1.37</v>
      </c>
      <c r="P53" s="15">
        <v>1.29</v>
      </c>
      <c r="Q53" s="15" t="s">
        <v>32</v>
      </c>
      <c r="R53" s="15" t="s">
        <v>303</v>
      </c>
    </row>
    <row r="54" spans="1:18">
      <c r="A54" s="15" t="s">
        <v>217</v>
      </c>
      <c r="B54" s="15" t="s">
        <v>300</v>
      </c>
      <c r="C54" s="15" t="s">
        <v>301</v>
      </c>
      <c r="D54" s="15">
        <v>1</v>
      </c>
      <c r="E54" s="19">
        <v>133000</v>
      </c>
      <c r="F54" s="19">
        <v>672000</v>
      </c>
      <c r="G54" s="15">
        <v>0.197</v>
      </c>
      <c r="I54" s="15">
        <v>0</v>
      </c>
      <c r="J54" s="15">
        <v>119</v>
      </c>
      <c r="K54" s="15" t="s">
        <v>301</v>
      </c>
      <c r="L54" s="15">
        <v>94</v>
      </c>
      <c r="M54" s="15">
        <v>5</v>
      </c>
      <c r="N54" s="15" t="s">
        <v>344</v>
      </c>
      <c r="O54" s="15">
        <v>1.37</v>
      </c>
      <c r="P54" s="15">
        <v>1.29</v>
      </c>
      <c r="Q54" s="15" t="s">
        <v>32</v>
      </c>
      <c r="R54" s="15" t="s">
        <v>303</v>
      </c>
    </row>
    <row r="55" spans="1:18">
      <c r="A55" s="15" t="s">
        <v>218</v>
      </c>
      <c r="B55" s="15" t="s">
        <v>300</v>
      </c>
      <c r="C55" s="15" t="s">
        <v>301</v>
      </c>
      <c r="D55" s="15">
        <v>1</v>
      </c>
      <c r="E55" s="19">
        <v>222000</v>
      </c>
      <c r="F55" s="19">
        <v>701000</v>
      </c>
      <c r="G55" s="15">
        <v>0.316</v>
      </c>
      <c r="I55" s="15">
        <v>0</v>
      </c>
      <c r="J55" s="15">
        <v>190</v>
      </c>
      <c r="K55" s="15" t="s">
        <v>301</v>
      </c>
      <c r="L55" s="15">
        <v>95</v>
      </c>
      <c r="M55" s="15">
        <v>5</v>
      </c>
      <c r="N55" s="15" t="s">
        <v>345</v>
      </c>
      <c r="O55" s="15">
        <v>1.37</v>
      </c>
      <c r="P55" s="15">
        <v>1.29</v>
      </c>
      <c r="Q55" s="15" t="s">
        <v>32</v>
      </c>
      <c r="R55" s="15" t="s">
        <v>303</v>
      </c>
    </row>
    <row r="56" spans="1:18">
      <c r="A56" s="15" t="s">
        <v>219</v>
      </c>
      <c r="B56" s="15" t="s">
        <v>300</v>
      </c>
      <c r="C56" s="15" t="s">
        <v>301</v>
      </c>
      <c r="D56" s="15">
        <v>1</v>
      </c>
      <c r="E56" s="19">
        <v>198000</v>
      </c>
      <c r="F56" s="19">
        <v>716000</v>
      </c>
      <c r="G56" s="15">
        <v>0.276</v>
      </c>
      <c r="I56" s="15">
        <v>0</v>
      </c>
      <c r="J56" s="15">
        <v>166</v>
      </c>
      <c r="K56" s="15" t="s">
        <v>301</v>
      </c>
      <c r="L56" s="15">
        <v>96</v>
      </c>
      <c r="M56" s="15">
        <v>5</v>
      </c>
      <c r="N56" s="15" t="s">
        <v>346</v>
      </c>
      <c r="O56" s="15">
        <v>1.37</v>
      </c>
      <c r="P56" s="15">
        <v>1.29</v>
      </c>
      <c r="Q56" s="15" t="s">
        <v>32</v>
      </c>
      <c r="R56" s="15" t="s">
        <v>303</v>
      </c>
    </row>
    <row r="57" spans="1:18">
      <c r="A57" s="15" t="s">
        <v>299</v>
      </c>
      <c r="B57" s="15" t="s">
        <v>300</v>
      </c>
      <c r="C57" s="15" t="s">
        <v>301</v>
      </c>
      <c r="D57" s="15">
        <v>1</v>
      </c>
      <c r="E57" s="19">
        <v>0</v>
      </c>
      <c r="F57" s="19">
        <v>0</v>
      </c>
      <c r="G57" s="15" t="e">
        <v>#DIV/0!</v>
      </c>
      <c r="I57" s="15">
        <v>0</v>
      </c>
      <c r="J57" s="15" t="e">
        <v>#DIV/0!</v>
      </c>
      <c r="K57" s="15" t="s">
        <v>301</v>
      </c>
      <c r="L57" s="15">
        <v>22</v>
      </c>
      <c r="M57" s="15">
        <v>5</v>
      </c>
      <c r="N57" s="15" t="s">
        <v>347</v>
      </c>
      <c r="O57" s="15">
        <v>0</v>
      </c>
      <c r="P57" s="15">
        <v>0</v>
      </c>
      <c r="Q57" s="15" t="s">
        <v>32</v>
      </c>
      <c r="R57" s="15" t="s">
        <v>303</v>
      </c>
    </row>
    <row r="58" spans="1:18">
      <c r="A58" s="15" t="s">
        <v>197</v>
      </c>
      <c r="B58" s="15" t="s">
        <v>318</v>
      </c>
      <c r="C58" s="15">
        <v>1.5</v>
      </c>
      <c r="D58" s="15">
        <v>1</v>
      </c>
      <c r="E58" s="19">
        <v>2250</v>
      </c>
      <c r="F58" s="19">
        <v>785000</v>
      </c>
      <c r="G58" s="15">
        <v>0.00287</v>
      </c>
      <c r="H58" s="15">
        <v>1</v>
      </c>
      <c r="I58" s="15">
        <v>0</v>
      </c>
      <c r="J58" s="15">
        <v>1.72</v>
      </c>
      <c r="K58" s="15">
        <v>114.8</v>
      </c>
      <c r="L58" s="15">
        <v>16</v>
      </c>
      <c r="M58" s="15">
        <v>5</v>
      </c>
      <c r="N58" s="15" t="s">
        <v>348</v>
      </c>
      <c r="O58" s="15">
        <v>1.37</v>
      </c>
      <c r="P58" s="15">
        <v>1.29</v>
      </c>
      <c r="Q58" s="15" t="s">
        <v>32</v>
      </c>
      <c r="R58" s="15" t="s">
        <v>303</v>
      </c>
    </row>
    <row r="59" spans="1:18">
      <c r="A59" s="15" t="s">
        <v>198</v>
      </c>
      <c r="B59" s="15" t="s">
        <v>318</v>
      </c>
      <c r="C59" s="15">
        <v>400</v>
      </c>
      <c r="D59" s="15">
        <v>1</v>
      </c>
      <c r="E59" s="19">
        <v>515000</v>
      </c>
      <c r="F59" s="19">
        <v>747000</v>
      </c>
      <c r="G59" s="15">
        <v>0.688</v>
      </c>
      <c r="H59" s="15">
        <v>1</v>
      </c>
      <c r="I59" s="15">
        <v>0</v>
      </c>
      <c r="J59" s="15">
        <v>414</v>
      </c>
      <c r="K59" s="15">
        <v>103.5</v>
      </c>
      <c r="L59" s="15">
        <v>17</v>
      </c>
      <c r="M59" s="15">
        <v>5</v>
      </c>
      <c r="N59" s="15" t="s">
        <v>349</v>
      </c>
      <c r="O59" s="15">
        <v>1.37</v>
      </c>
      <c r="P59" s="15">
        <v>1.29</v>
      </c>
      <c r="Q59" s="15" t="s">
        <v>32</v>
      </c>
      <c r="R59" s="15" t="s">
        <v>303</v>
      </c>
    </row>
    <row r="60" spans="1:18">
      <c r="A60" s="15" t="s">
        <v>199</v>
      </c>
      <c r="B60" s="15" t="s">
        <v>318</v>
      </c>
      <c r="C60" s="15">
        <v>800</v>
      </c>
      <c r="D60" s="15">
        <v>1</v>
      </c>
      <c r="E60" s="19">
        <v>1000000</v>
      </c>
      <c r="F60" s="19">
        <v>685000</v>
      </c>
      <c r="G60" s="15">
        <v>1.46</v>
      </c>
      <c r="H60" s="15">
        <v>1</v>
      </c>
      <c r="I60" s="15">
        <v>0</v>
      </c>
      <c r="J60" s="15">
        <v>878</v>
      </c>
      <c r="K60" s="15">
        <v>109.7</v>
      </c>
      <c r="L60" s="15">
        <v>18</v>
      </c>
      <c r="M60" s="15">
        <v>5</v>
      </c>
      <c r="N60" s="15" t="s">
        <v>350</v>
      </c>
      <c r="O60" s="15">
        <v>1.38</v>
      </c>
      <c r="P60" s="15">
        <v>1.3</v>
      </c>
      <c r="Q60" s="15" t="s">
        <v>32</v>
      </c>
      <c r="R60" s="15" t="s">
        <v>303</v>
      </c>
    </row>
    <row r="61" spans="1:18">
      <c r="A61" s="15" t="s">
        <v>299</v>
      </c>
      <c r="B61" s="15" t="s">
        <v>300</v>
      </c>
      <c r="C61" s="15" t="s">
        <v>301</v>
      </c>
      <c r="D61" s="15">
        <v>1</v>
      </c>
      <c r="E61" s="19">
        <v>0</v>
      </c>
      <c r="F61" s="19">
        <v>0</v>
      </c>
      <c r="G61" s="15" t="e">
        <v>#DIV/0!</v>
      </c>
      <c r="I61" s="15">
        <v>0</v>
      </c>
      <c r="J61" s="15" t="e">
        <v>#DIV/0!</v>
      </c>
      <c r="K61" s="15" t="s">
        <v>301</v>
      </c>
      <c r="L61" s="15">
        <v>21</v>
      </c>
      <c r="M61" s="15">
        <v>5</v>
      </c>
      <c r="N61" s="15" t="s">
        <v>351</v>
      </c>
      <c r="O61" s="15">
        <v>0</v>
      </c>
      <c r="P61" s="15">
        <v>0</v>
      </c>
      <c r="Q61" s="15" t="s">
        <v>32</v>
      </c>
      <c r="R61" s="15" t="s">
        <v>303</v>
      </c>
    </row>
    <row r="62" spans="1:18">
      <c r="A62" s="15" t="s">
        <v>187</v>
      </c>
      <c r="B62" s="15" t="s">
        <v>308</v>
      </c>
      <c r="C62" s="15">
        <v>1</v>
      </c>
      <c r="D62" s="15">
        <v>1</v>
      </c>
      <c r="E62" s="19">
        <v>1260</v>
      </c>
      <c r="F62" s="19">
        <v>798000</v>
      </c>
      <c r="G62" s="15">
        <v>0.00158</v>
      </c>
      <c r="H62" s="15">
        <v>1</v>
      </c>
      <c r="I62" s="15">
        <v>0</v>
      </c>
      <c r="J62" s="15">
        <v>0.949</v>
      </c>
      <c r="K62" s="15">
        <v>94.9</v>
      </c>
      <c r="L62" s="15">
        <v>4</v>
      </c>
      <c r="M62" s="15">
        <v>5</v>
      </c>
      <c r="N62" s="15" t="s">
        <v>352</v>
      </c>
      <c r="O62" s="15">
        <v>1.37</v>
      </c>
      <c r="P62" s="15">
        <v>1.29</v>
      </c>
      <c r="Q62" s="15" t="s">
        <v>32</v>
      </c>
      <c r="R62" s="15" t="s">
        <v>303</v>
      </c>
    </row>
    <row r="63" spans="1:18">
      <c r="A63" s="15" t="s">
        <v>189</v>
      </c>
      <c r="B63" s="15" t="s">
        <v>308</v>
      </c>
      <c r="C63" s="15">
        <v>5</v>
      </c>
      <c r="D63" s="15">
        <v>1</v>
      </c>
      <c r="E63" s="19">
        <v>6330</v>
      </c>
      <c r="F63" s="19">
        <v>743000</v>
      </c>
      <c r="G63" s="15">
        <v>0.00852</v>
      </c>
      <c r="H63" s="15">
        <v>1</v>
      </c>
      <c r="I63" s="15">
        <v>0</v>
      </c>
      <c r="J63" s="15">
        <v>5.12</v>
      </c>
      <c r="K63" s="15">
        <v>102.4</v>
      </c>
      <c r="L63" s="15">
        <v>6</v>
      </c>
      <c r="M63" s="15">
        <v>5</v>
      </c>
      <c r="N63" s="15" t="s">
        <v>353</v>
      </c>
      <c r="O63" s="15">
        <v>1.37</v>
      </c>
      <c r="P63" s="15">
        <v>1.29</v>
      </c>
      <c r="Q63" s="15" t="s">
        <v>32</v>
      </c>
      <c r="R63" s="15" t="s">
        <v>303</v>
      </c>
    </row>
    <row r="64" spans="1:18">
      <c r="A64" s="15" t="s">
        <v>190</v>
      </c>
      <c r="B64" s="15" t="s">
        <v>308</v>
      </c>
      <c r="C64" s="15">
        <v>20</v>
      </c>
      <c r="D64" s="15">
        <v>1</v>
      </c>
      <c r="E64" s="19">
        <v>21800</v>
      </c>
      <c r="F64" s="19">
        <v>710000</v>
      </c>
      <c r="G64" s="15">
        <v>0.0308</v>
      </c>
      <c r="H64" s="15">
        <v>1</v>
      </c>
      <c r="I64" s="15">
        <v>0</v>
      </c>
      <c r="J64" s="15">
        <v>18.5</v>
      </c>
      <c r="K64" s="15">
        <v>92.5</v>
      </c>
      <c r="L64" s="15">
        <v>7</v>
      </c>
      <c r="M64" s="15">
        <v>5</v>
      </c>
      <c r="N64" s="15" t="s">
        <v>354</v>
      </c>
      <c r="O64" s="15">
        <v>1.37</v>
      </c>
      <c r="P64" s="15">
        <v>1.29</v>
      </c>
      <c r="Q64" s="15" t="s">
        <v>32</v>
      </c>
      <c r="R64" s="15" t="s">
        <v>303</v>
      </c>
    </row>
    <row r="65" spans="1:18">
      <c r="A65" s="15" t="s">
        <v>355</v>
      </c>
      <c r="B65" s="15" t="s">
        <v>308</v>
      </c>
      <c r="C65" s="15">
        <v>500</v>
      </c>
      <c r="D65" s="15">
        <v>1</v>
      </c>
      <c r="E65" s="19">
        <v>519000</v>
      </c>
      <c r="F65" s="19">
        <v>770000</v>
      </c>
      <c r="G65" s="15">
        <v>0.674</v>
      </c>
      <c r="H65" s="15">
        <v>0</v>
      </c>
      <c r="I65" s="15">
        <v>0</v>
      </c>
      <c r="J65" s="15">
        <v>405</v>
      </c>
      <c r="K65" s="15">
        <v>81</v>
      </c>
      <c r="L65" s="15">
        <v>9</v>
      </c>
      <c r="M65" s="15">
        <v>5</v>
      </c>
      <c r="N65" s="15" t="s">
        <v>356</v>
      </c>
      <c r="O65" s="15">
        <v>1.38</v>
      </c>
      <c r="P65" s="15">
        <v>1.29</v>
      </c>
      <c r="Q65" s="15" t="s">
        <v>32</v>
      </c>
      <c r="R65" s="15" t="s">
        <v>303</v>
      </c>
    </row>
    <row r="66" spans="1:18">
      <c r="A66" s="15" t="s">
        <v>299</v>
      </c>
      <c r="B66" s="15" t="s">
        <v>300</v>
      </c>
      <c r="C66" s="15" t="s">
        <v>301</v>
      </c>
      <c r="D66" s="15">
        <v>1</v>
      </c>
      <c r="E66" s="19">
        <v>0</v>
      </c>
      <c r="F66" s="19">
        <v>0</v>
      </c>
      <c r="G66" s="15" t="e">
        <v>#DIV/0!</v>
      </c>
      <c r="I66" s="15">
        <v>0</v>
      </c>
      <c r="J66" s="15" t="e">
        <v>#DIV/0!</v>
      </c>
      <c r="K66" s="15" t="s">
        <v>301</v>
      </c>
      <c r="L66" s="15">
        <v>20</v>
      </c>
      <c r="M66" s="15">
        <v>5</v>
      </c>
      <c r="N66" s="15" t="s">
        <v>357</v>
      </c>
      <c r="O66" s="15">
        <v>0</v>
      </c>
      <c r="P66" s="15">
        <v>0</v>
      </c>
      <c r="Q66" s="15" t="s">
        <v>32</v>
      </c>
      <c r="R66" s="15" t="s">
        <v>303</v>
      </c>
    </row>
    <row r="68" spans="5:6">
      <c r="E68" s="19"/>
      <c r="F68" s="19"/>
    </row>
    <row r="69" spans="5:6">
      <c r="E69" s="19"/>
      <c r="F69" s="19"/>
    </row>
  </sheetData>
  <sortState ref="A34:R67">
    <sortCondition ref="C109" descending="1"/>
  </sortState>
  <pageMargins left="0.75" right="0.75" top="1" bottom="1" header="0.5" footer="0.5"/>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F34"/>
  <sheetViews>
    <sheetView zoomScale="90" zoomScaleNormal="90" workbookViewId="0">
      <selection activeCell="L24" sqref="L24"/>
    </sheetView>
  </sheetViews>
  <sheetFormatPr defaultColWidth="9.13636363636364" defaultRowHeight="13" outlineLevelCol="5"/>
  <cols>
    <col min="1" max="1" width="22.5727272727273" customWidth="1"/>
    <col min="2" max="2" width="24.2818181818182" customWidth="1"/>
  </cols>
  <sheetData>
    <row r="1" ht="15.5" spans="1:2">
      <c r="A1" s="1" t="s">
        <v>358</v>
      </c>
      <c r="B1" s="2" t="s">
        <v>359</v>
      </c>
    </row>
    <row r="2" ht="19.9" customHeight="1" spans="1:2">
      <c r="A2" s="1" t="s">
        <v>360</v>
      </c>
      <c r="B2" s="2" t="s">
        <v>32</v>
      </c>
    </row>
    <row r="3" ht="15.5" spans="1:2">
      <c r="A3" s="1" t="s">
        <v>361</v>
      </c>
      <c r="B3" s="2" t="s">
        <v>362</v>
      </c>
    </row>
    <row r="4" ht="15.5" spans="1:2">
      <c r="A4" s="1" t="s">
        <v>363</v>
      </c>
      <c r="B4" s="3">
        <v>0.5</v>
      </c>
    </row>
    <row r="5" ht="15.5" spans="1:2">
      <c r="A5" s="1"/>
      <c r="B5" s="2" t="s">
        <v>364</v>
      </c>
    </row>
    <row r="6" ht="15.5" spans="1:2">
      <c r="A6" s="1"/>
      <c r="B6" s="2"/>
    </row>
    <row r="7" ht="15" spans="1:2">
      <c r="A7" s="4" t="s">
        <v>365</v>
      </c>
      <c r="B7" s="4" t="s">
        <v>366</v>
      </c>
    </row>
    <row r="8" ht="15.5" spans="1:3">
      <c r="A8" s="5" t="s">
        <v>206</v>
      </c>
      <c r="B8" s="6">
        <v>10</v>
      </c>
      <c r="C8" s="6" t="s">
        <v>367</v>
      </c>
    </row>
    <row r="9" ht="15.75" spans="1:2">
      <c r="A9" s="7" t="s">
        <v>368</v>
      </c>
      <c r="B9" s="8" t="s">
        <v>369</v>
      </c>
    </row>
    <row r="10" ht="15.5" spans="1:2">
      <c r="A10" s="9" t="str">
        <f>B2</f>
        <v>HW356054</v>
      </c>
      <c r="B10" s="6" t="s">
        <v>126</v>
      </c>
    </row>
    <row r="11" ht="15.5" spans="1:2">
      <c r="A11" s="5"/>
      <c r="B11" s="6" t="s">
        <v>132</v>
      </c>
    </row>
    <row r="12" ht="15.5" spans="1:2">
      <c r="A12" s="5"/>
      <c r="B12" s="6" t="s">
        <v>133</v>
      </c>
    </row>
    <row r="13" ht="15.5" spans="1:2">
      <c r="A13" s="1"/>
      <c r="B13" s="2"/>
    </row>
    <row r="14" ht="16.25" spans="1:2">
      <c r="A14" s="10" t="str">
        <f>B7</f>
        <v>IG</v>
      </c>
      <c r="B14" s="11"/>
    </row>
    <row r="15" ht="15.5" spans="1:2">
      <c r="A15" s="11">
        <v>0.25</v>
      </c>
      <c r="B15" s="11"/>
    </row>
    <row r="16" ht="15.5" spans="1:2">
      <c r="A16" s="12">
        <v>0.5</v>
      </c>
      <c r="B16" s="12"/>
    </row>
    <row r="17" ht="15.5" spans="1:2">
      <c r="A17" s="12">
        <v>1</v>
      </c>
      <c r="B17" s="12"/>
    </row>
    <row r="18" ht="15.5" spans="1:2">
      <c r="A18" s="12">
        <v>2</v>
      </c>
      <c r="B18" s="12"/>
    </row>
    <row r="19" ht="15.5" spans="1:6">
      <c r="A19" s="12">
        <v>4</v>
      </c>
      <c r="B19" s="12"/>
      <c r="E19" s="13"/>
      <c r="F19" s="14"/>
    </row>
    <row r="20" ht="15.5" spans="1:6">
      <c r="A20" s="12">
        <v>8</v>
      </c>
      <c r="B20" s="12"/>
      <c r="E20" s="13"/>
      <c r="F20" s="14"/>
    </row>
    <row r="21" ht="15.5" spans="1:2">
      <c r="A21" s="12">
        <v>10</v>
      </c>
      <c r="B21" s="12"/>
    </row>
    <row r="22" ht="15.5" spans="1:2">
      <c r="A22" s="12">
        <v>24</v>
      </c>
      <c r="B22" s="12"/>
    </row>
    <row r="23" ht="15.5" spans="1:2">
      <c r="A23" s="12"/>
      <c r="B23" s="12"/>
    </row>
    <row r="24" ht="15.5" spans="1:2">
      <c r="A24" s="12"/>
      <c r="B24" s="12"/>
    </row>
    <row r="25" ht="15.5" spans="1:2">
      <c r="A25" s="6"/>
      <c r="B25" s="15"/>
    </row>
    <row r="26" ht="15.5" spans="1:2">
      <c r="A26" s="6"/>
      <c r="B26" s="15"/>
    </row>
    <row r="27" ht="15.5" spans="1:2">
      <c r="A27" s="6"/>
      <c r="B27" s="15"/>
    </row>
    <row r="28" ht="15.5" spans="2:2">
      <c r="B28" s="15"/>
    </row>
    <row r="29" ht="15.5" spans="2:2">
      <c r="B29" s="15"/>
    </row>
    <row r="30" ht="15.5" spans="2:2">
      <c r="B30" s="15"/>
    </row>
    <row r="31" ht="15.5" spans="2:2">
      <c r="B31" s="15"/>
    </row>
    <row r="32" ht="15.5" spans="2:2">
      <c r="B32" s="15"/>
    </row>
    <row r="33" ht="15.5" spans="2:2">
      <c r="B33" s="15"/>
    </row>
    <row r="34" ht="15.5" spans="2:2">
      <c r="B34" s="15"/>
    </row>
  </sheetData>
  <sortState ref="A27:E34">
    <sortCondition ref="A27"/>
  </sortState>
  <mergeCells count="1">
    <mergeCell ref="A10:A12"/>
  </mergeCells>
  <conditionalFormatting sqref="B8:C8">
    <cfRule type="containsBlanks" dxfId="0" priority="1" stopIfTrue="1">
      <formula>LEN(TRIM(B8))=0</formula>
    </cfRule>
  </conditionalFormatting>
  <conditionalFormatting sqref="B1:B4">
    <cfRule type="containsBlanks" dxfId="0" priority="19" stopIfTrue="1">
      <formula>LEN(TRIM(B1))=0</formula>
    </cfRule>
  </conditionalFormatting>
  <conditionalFormatting sqref="B10:B12 A15">
    <cfRule type="containsBlanks" dxfId="0" priority="41" stopIfTrue="1">
      <formula>LEN(TRIM(A10))=0</formula>
    </cfRule>
  </conditionalFormatting>
  <pageMargins left="0.7" right="0.7" top="0.75" bottom="0.75" header="0.3" footer="0.3"/>
  <pageSetup paperSize="9" orientation="portrait"/>
  <headerFooter/>
  <ignoredErrors>
    <ignoredError sqref="B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Cover</vt:lpstr>
      <vt:lpstr>Formulation</vt:lpstr>
      <vt:lpstr>In-Life</vt:lpstr>
      <vt:lpstr>Bioanalysis</vt:lpstr>
      <vt:lpstr>HW356054</vt:lpstr>
      <vt:lpstr>Raw Data</vt:lpstr>
      <vt:lpstr>Setting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Chen</dc:creator>
  <cp:lastModifiedBy>徐招兵</cp:lastModifiedBy>
  <dcterms:created xsi:type="dcterms:W3CDTF">2005-09-02T12:52:00Z</dcterms:created>
  <cp:lastPrinted>2025-03-17T01:08:00Z</cp:lastPrinted>
  <dcterms:modified xsi:type="dcterms:W3CDTF">2025-05-20T08:57:30Z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DB330A6F83074569AB0591C5CC73F96A_13</vt:lpwstr>
  </property>
</Properties>
</file>