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wnloads\"/>
    </mc:Choice>
  </mc:AlternateContent>
  <xr:revisionPtr revIDLastSave="0" documentId="13_ncr:1_{2C639851-4572-4F1E-9071-44C2E36C328D}" xr6:coauthVersionLast="47" xr6:coauthVersionMax="47" xr10:uidLastSave="{00000000-0000-0000-0000-000000000000}"/>
  <bookViews>
    <workbookView xWindow="-120" yWindow="-120" windowWidth="29040" windowHeight="16440" xr2:uid="{D6392B07-18E1-41AF-BBB7-CD4FA0469804}"/>
  </bookViews>
  <sheets>
    <sheet name="Hoja1" sheetId="1" r:id="rId1"/>
  </sheets>
  <definedNames>
    <definedName name="Instante__s">Hoja1!$A$18:$A$37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9" i="1" l="1"/>
  <c r="D110" i="1" s="1"/>
  <c r="X98" i="1"/>
  <c r="X96" i="1"/>
  <c r="D107" i="1" s="1"/>
  <c r="X87" i="1"/>
  <c r="A39" i="1"/>
  <c r="B39" i="1" s="1"/>
  <c r="E39" i="1" s="1"/>
  <c r="X86" i="1"/>
  <c r="AA132" i="1"/>
  <c r="X95" i="1"/>
  <c r="D100" i="1"/>
  <c r="Y39" i="1"/>
  <c r="X39" i="1"/>
  <c r="W39" i="1"/>
  <c r="V39" i="1"/>
  <c r="AA95" i="1"/>
  <c r="T105" i="1"/>
  <c r="T106" i="1" s="1"/>
  <c r="T107" i="1" s="1"/>
  <c r="T102" i="1" s="1"/>
  <c r="O83" i="1" s="1"/>
  <c r="T98" i="1"/>
  <c r="T99" i="1"/>
  <c r="T100" i="1"/>
  <c r="T97" i="1"/>
  <c r="M76" i="1"/>
  <c r="N76" i="1" s="1"/>
  <c r="P75" i="1"/>
  <c r="M70" i="1"/>
  <c r="Y37" i="1"/>
  <c r="X37" i="1"/>
  <c r="W37" i="1"/>
  <c r="V37" i="1"/>
  <c r="D37" i="1"/>
  <c r="G37" i="1" s="1"/>
  <c r="C37" i="1"/>
  <c r="F37" i="1" s="1"/>
  <c r="I63" i="1" s="1"/>
  <c r="B37" i="1"/>
  <c r="E37" i="1" s="1"/>
  <c r="Y36" i="1"/>
  <c r="X36" i="1"/>
  <c r="W36" i="1"/>
  <c r="V36" i="1"/>
  <c r="D36" i="1"/>
  <c r="G36" i="1" s="1"/>
  <c r="G62" i="1" s="1"/>
  <c r="C36" i="1"/>
  <c r="F36" i="1" s="1"/>
  <c r="B36" i="1"/>
  <c r="E36" i="1" s="1"/>
  <c r="Y35" i="1"/>
  <c r="X35" i="1"/>
  <c r="W35" i="1"/>
  <c r="V35" i="1"/>
  <c r="D35" i="1"/>
  <c r="G35" i="1" s="1"/>
  <c r="Q61" i="1" s="1"/>
  <c r="C35" i="1"/>
  <c r="F35" i="1" s="1"/>
  <c r="B35" i="1"/>
  <c r="E35" i="1" s="1"/>
  <c r="Y34" i="1"/>
  <c r="X34" i="1"/>
  <c r="W34" i="1"/>
  <c r="V34" i="1"/>
  <c r="D34" i="1"/>
  <c r="G34" i="1" s="1"/>
  <c r="P60" i="1" s="1"/>
  <c r="C34" i="1"/>
  <c r="F34" i="1" s="1"/>
  <c r="I60" i="1" s="1"/>
  <c r="B34" i="1"/>
  <c r="E34" i="1" s="1"/>
  <c r="Y33" i="1"/>
  <c r="X33" i="1"/>
  <c r="W33" i="1"/>
  <c r="V33" i="1"/>
  <c r="D33" i="1"/>
  <c r="G33" i="1" s="1"/>
  <c r="G59" i="1" s="1"/>
  <c r="C33" i="1"/>
  <c r="F33" i="1" s="1"/>
  <c r="I59" i="1" s="1"/>
  <c r="B33" i="1"/>
  <c r="E33" i="1" s="1"/>
  <c r="Y32" i="1"/>
  <c r="X32" i="1"/>
  <c r="W32" i="1"/>
  <c r="V32" i="1"/>
  <c r="D32" i="1"/>
  <c r="G32" i="1" s="1"/>
  <c r="C32" i="1"/>
  <c r="F32" i="1" s="1"/>
  <c r="B32" i="1"/>
  <c r="E32" i="1" s="1"/>
  <c r="Y31" i="1"/>
  <c r="X31" i="1"/>
  <c r="W31" i="1"/>
  <c r="V31" i="1"/>
  <c r="D31" i="1"/>
  <c r="G31" i="1" s="1"/>
  <c r="C31" i="1"/>
  <c r="F31" i="1" s="1"/>
  <c r="B31" i="1"/>
  <c r="E31" i="1" s="1"/>
  <c r="K57" i="1" s="1"/>
  <c r="Y30" i="1"/>
  <c r="X30" i="1"/>
  <c r="W30" i="1"/>
  <c r="V30" i="1"/>
  <c r="D30" i="1"/>
  <c r="G30" i="1" s="1"/>
  <c r="C30" i="1"/>
  <c r="F30" i="1" s="1"/>
  <c r="B30" i="1"/>
  <c r="E30" i="1" s="1"/>
  <c r="Y29" i="1"/>
  <c r="X29" i="1"/>
  <c r="W29" i="1"/>
  <c r="V29" i="1"/>
  <c r="D29" i="1"/>
  <c r="G29" i="1" s="1"/>
  <c r="C29" i="1"/>
  <c r="F29" i="1" s="1"/>
  <c r="B29" i="1"/>
  <c r="E29" i="1" s="1"/>
  <c r="K55" i="1" s="1"/>
  <c r="Y28" i="1"/>
  <c r="X28" i="1"/>
  <c r="W28" i="1"/>
  <c r="V28" i="1"/>
  <c r="D28" i="1"/>
  <c r="G28" i="1" s="1"/>
  <c r="C28" i="1"/>
  <c r="F28" i="1" s="1"/>
  <c r="B28" i="1"/>
  <c r="E28" i="1" s="1"/>
  <c r="Y27" i="1"/>
  <c r="X27" i="1"/>
  <c r="W27" i="1"/>
  <c r="V27" i="1"/>
  <c r="D27" i="1"/>
  <c r="G27" i="1" s="1"/>
  <c r="F53" i="1" s="1"/>
  <c r="C27" i="1"/>
  <c r="F27" i="1" s="1"/>
  <c r="B27" i="1"/>
  <c r="E27" i="1" s="1"/>
  <c r="Y26" i="1"/>
  <c r="X26" i="1"/>
  <c r="W26" i="1"/>
  <c r="V26" i="1"/>
  <c r="D26" i="1"/>
  <c r="G26" i="1" s="1"/>
  <c r="C26" i="1"/>
  <c r="F26" i="1" s="1"/>
  <c r="B26" i="1"/>
  <c r="E26" i="1" s="1"/>
  <c r="Y25" i="1"/>
  <c r="X25" i="1"/>
  <c r="W25" i="1"/>
  <c r="V25" i="1"/>
  <c r="D25" i="1"/>
  <c r="G25" i="1" s="1"/>
  <c r="C25" i="1"/>
  <c r="F25" i="1" s="1"/>
  <c r="I51" i="1" s="1"/>
  <c r="B25" i="1"/>
  <c r="E25" i="1" s="1"/>
  <c r="Y24" i="1"/>
  <c r="X24" i="1"/>
  <c r="W24" i="1"/>
  <c r="V24" i="1"/>
  <c r="D24" i="1"/>
  <c r="G24" i="1" s="1"/>
  <c r="G50" i="1" s="1"/>
  <c r="C24" i="1"/>
  <c r="F24" i="1" s="1"/>
  <c r="B24" i="1"/>
  <c r="E24" i="1" s="1"/>
  <c r="Y23" i="1"/>
  <c r="X23" i="1"/>
  <c r="W23" i="1"/>
  <c r="V23" i="1"/>
  <c r="D23" i="1"/>
  <c r="G23" i="1" s="1"/>
  <c r="C23" i="1"/>
  <c r="F23" i="1" s="1"/>
  <c r="B23" i="1"/>
  <c r="E23" i="1" s="1"/>
  <c r="Y22" i="1"/>
  <c r="X22" i="1"/>
  <c r="W22" i="1"/>
  <c r="V22" i="1"/>
  <c r="D22" i="1"/>
  <c r="G22" i="1" s="1"/>
  <c r="C22" i="1"/>
  <c r="F22" i="1" s="1"/>
  <c r="H48" i="1" s="1"/>
  <c r="B22" i="1"/>
  <c r="E22" i="1" s="1"/>
  <c r="Y21" i="1"/>
  <c r="X21" i="1"/>
  <c r="W21" i="1"/>
  <c r="V21" i="1"/>
  <c r="D21" i="1"/>
  <c r="G21" i="1" s="1"/>
  <c r="C21" i="1"/>
  <c r="F21" i="1" s="1"/>
  <c r="B21" i="1"/>
  <c r="E21" i="1" s="1"/>
  <c r="Y20" i="1"/>
  <c r="X20" i="1"/>
  <c r="W20" i="1"/>
  <c r="V20" i="1"/>
  <c r="D20" i="1"/>
  <c r="G20" i="1" s="1"/>
  <c r="G46" i="1" s="1"/>
  <c r="C20" i="1"/>
  <c r="F20" i="1" s="1"/>
  <c r="B20" i="1"/>
  <c r="E20" i="1" s="1"/>
  <c r="Y19" i="1"/>
  <c r="X19" i="1"/>
  <c r="W19" i="1"/>
  <c r="V19" i="1"/>
  <c r="D19" i="1"/>
  <c r="G19" i="1" s="1"/>
  <c r="Q45" i="1" s="1"/>
  <c r="C19" i="1"/>
  <c r="F19" i="1" s="1"/>
  <c r="B19" i="1"/>
  <c r="E19" i="1" s="1"/>
  <c r="Y18" i="1"/>
  <c r="X18" i="1"/>
  <c r="W18" i="1"/>
  <c r="V18" i="1"/>
  <c r="D18" i="1"/>
  <c r="G18" i="1" s="1"/>
  <c r="O44" i="1" s="1"/>
  <c r="C18" i="1"/>
  <c r="F18" i="1" s="1"/>
  <c r="B18" i="1"/>
  <c r="E18" i="1" s="1"/>
  <c r="N12" i="1"/>
  <c r="H94" i="1" l="1"/>
  <c r="L91" i="1"/>
  <c r="J91" i="1"/>
  <c r="K91" i="1"/>
  <c r="M91" i="1"/>
  <c r="D39" i="1"/>
  <c r="G39" i="1" s="1"/>
  <c r="Q65" i="1" s="1"/>
  <c r="A65" i="1"/>
  <c r="C39" i="1"/>
  <c r="F39" i="1" s="1"/>
  <c r="X89" i="1" s="1"/>
  <c r="M94" i="1"/>
  <c r="I94" i="1"/>
  <c r="L94" i="1"/>
  <c r="G88" i="1"/>
  <c r="F88" i="1"/>
  <c r="O87" i="1"/>
  <c r="O86" i="1"/>
  <c r="H88" i="1"/>
  <c r="K54" i="1"/>
  <c r="N94" i="1"/>
  <c r="J50" i="1"/>
  <c r="K63" i="1"/>
  <c r="N91" i="1"/>
  <c r="D106" i="1"/>
  <c r="D105" i="1"/>
  <c r="I54" i="1"/>
  <c r="X90" i="1"/>
  <c r="D101" i="1" s="1"/>
  <c r="G51" i="1"/>
  <c r="O51" i="1"/>
  <c r="K62" i="1"/>
  <c r="F45" i="1"/>
  <c r="J49" i="1"/>
  <c r="Q53" i="1"/>
  <c r="O59" i="1"/>
  <c r="I55" i="1"/>
  <c r="K45" i="1"/>
  <c r="J45" i="1"/>
  <c r="I45" i="1"/>
  <c r="H45" i="1"/>
  <c r="G47" i="1"/>
  <c r="Q47" i="1"/>
  <c r="F47" i="1"/>
  <c r="P47" i="1"/>
  <c r="O47" i="1"/>
  <c r="I47" i="1"/>
  <c r="H47" i="1"/>
  <c r="K46" i="1"/>
  <c r="J46" i="1"/>
  <c r="I46" i="1"/>
  <c r="H46" i="1"/>
  <c r="G44" i="1"/>
  <c r="Q44" i="1"/>
  <c r="F44" i="1"/>
  <c r="P44" i="1"/>
  <c r="R44" i="1" s="1"/>
  <c r="I44" i="1"/>
  <c r="H44" i="1"/>
  <c r="G57" i="1"/>
  <c r="Q57" i="1"/>
  <c r="F57" i="1"/>
  <c r="P57" i="1"/>
  <c r="O57" i="1"/>
  <c r="J58" i="1"/>
  <c r="K60" i="1"/>
  <c r="J60" i="1"/>
  <c r="G63" i="1"/>
  <c r="Q63" i="1"/>
  <c r="F63" i="1"/>
  <c r="P63" i="1"/>
  <c r="R63" i="1" s="1"/>
  <c r="O63" i="1"/>
  <c r="J57" i="1"/>
  <c r="I58" i="1"/>
  <c r="H58" i="1"/>
  <c r="K47" i="1"/>
  <c r="J47" i="1"/>
  <c r="G48" i="1"/>
  <c r="Q48" i="1"/>
  <c r="F48" i="1"/>
  <c r="P48" i="1"/>
  <c r="R48" i="1" s="1"/>
  <c r="O48" i="1"/>
  <c r="K49" i="1"/>
  <c r="I52" i="1"/>
  <c r="H52" i="1"/>
  <c r="K53" i="1"/>
  <c r="J53" i="1"/>
  <c r="Q54" i="1"/>
  <c r="F54" i="1"/>
  <c r="P54" i="1"/>
  <c r="R54" i="1" s="1"/>
  <c r="O54" i="1"/>
  <c r="I57" i="1"/>
  <c r="H57" i="1"/>
  <c r="G58" i="1"/>
  <c r="Q58" i="1"/>
  <c r="F58" i="1"/>
  <c r="P58" i="1"/>
  <c r="R58" i="1" s="1"/>
  <c r="O58" i="1"/>
  <c r="I61" i="1"/>
  <c r="G54" i="1"/>
  <c r="K58" i="1"/>
  <c r="K48" i="1"/>
  <c r="J48" i="1"/>
  <c r="I49" i="1"/>
  <c r="H49" i="1"/>
  <c r="I50" i="1"/>
  <c r="H50" i="1"/>
  <c r="O52" i="1"/>
  <c r="G52" i="1"/>
  <c r="Q52" i="1"/>
  <c r="F52" i="1"/>
  <c r="G55" i="1"/>
  <c r="Q55" i="1"/>
  <c r="F55" i="1"/>
  <c r="P55" i="1"/>
  <c r="R55" i="1" s="1"/>
  <c r="O55" i="1"/>
  <c r="K50" i="1"/>
  <c r="P61" i="1"/>
  <c r="R61" i="1" s="1"/>
  <c r="O61" i="1"/>
  <c r="G61" i="1"/>
  <c r="K52" i="1"/>
  <c r="J52" i="1"/>
  <c r="P53" i="1"/>
  <c r="O53" i="1"/>
  <c r="G53" i="1"/>
  <c r="H56" i="1"/>
  <c r="H55" i="1"/>
  <c r="L33" i="1"/>
  <c r="K33" i="1"/>
  <c r="J33" i="1"/>
  <c r="K51" i="1"/>
  <c r="J51" i="1"/>
  <c r="I53" i="1"/>
  <c r="G56" i="1"/>
  <c r="Q56" i="1"/>
  <c r="F56" i="1"/>
  <c r="P56" i="1"/>
  <c r="R56" i="1" s="1"/>
  <c r="O56" i="1"/>
  <c r="L25" i="1"/>
  <c r="K25" i="1"/>
  <c r="J25" i="1"/>
  <c r="G49" i="1"/>
  <c r="Q49" i="1"/>
  <c r="F49" i="1"/>
  <c r="P49" i="1"/>
  <c r="O49" i="1"/>
  <c r="K44" i="1"/>
  <c r="J44" i="1"/>
  <c r="P45" i="1"/>
  <c r="R45" i="1" s="1"/>
  <c r="O45" i="1"/>
  <c r="G45" i="1"/>
  <c r="K56" i="1"/>
  <c r="I62" i="1"/>
  <c r="I56" i="1"/>
  <c r="K59" i="1"/>
  <c r="J59" i="1"/>
  <c r="Q46" i="1"/>
  <c r="F46" i="1"/>
  <c r="P46" i="1"/>
  <c r="R46" i="1" s="1"/>
  <c r="O46" i="1"/>
  <c r="O60" i="1"/>
  <c r="G60" i="1"/>
  <c r="Q60" i="1"/>
  <c r="R60" i="1" s="1"/>
  <c r="F60" i="1"/>
  <c r="K61" i="1"/>
  <c r="J61" i="1"/>
  <c r="Q62" i="1"/>
  <c r="F62" i="1"/>
  <c r="P62" i="1"/>
  <c r="R62" i="1" s="1"/>
  <c r="O62" i="1"/>
  <c r="H63" i="1"/>
  <c r="I48" i="1"/>
  <c r="U48" i="1" s="1"/>
  <c r="P52" i="1"/>
  <c r="R52" i="1" s="1"/>
  <c r="F61" i="1"/>
  <c r="O50" i="1"/>
  <c r="P51" i="1"/>
  <c r="H54" i="1"/>
  <c r="J56" i="1"/>
  <c r="P59" i="1"/>
  <c r="H62" i="1"/>
  <c r="T62" i="1" s="1"/>
  <c r="J63" i="1"/>
  <c r="P50" i="1"/>
  <c r="F51" i="1"/>
  <c r="Q51" i="1"/>
  <c r="H53" i="1"/>
  <c r="J55" i="1"/>
  <c r="F59" i="1"/>
  <c r="Q59" i="1"/>
  <c r="H61" i="1"/>
  <c r="F50" i="1"/>
  <c r="Q50" i="1"/>
  <c r="J54" i="1"/>
  <c r="H60" i="1"/>
  <c r="J62" i="1"/>
  <c r="H51" i="1"/>
  <c r="H59" i="1"/>
  <c r="O65" i="1" l="1"/>
  <c r="K39" i="1" s="1"/>
  <c r="J65" i="1"/>
  <c r="I65" i="1"/>
  <c r="H65" i="1"/>
  <c r="K65" i="1"/>
  <c r="G65" i="1"/>
  <c r="P65" i="1"/>
  <c r="R65" i="1" s="1"/>
  <c r="X85" i="1" s="1"/>
  <c r="O88" i="1" s="1"/>
  <c r="F65" i="1"/>
  <c r="R53" i="1"/>
  <c r="R59" i="1"/>
  <c r="X49" i="1"/>
  <c r="R49" i="1"/>
  <c r="R51" i="1"/>
  <c r="R57" i="1"/>
  <c r="W50" i="1"/>
  <c r="R50" i="1"/>
  <c r="R47" i="1"/>
  <c r="I88" i="1"/>
  <c r="O84" i="1"/>
  <c r="T103" i="1"/>
  <c r="O85" i="1" s="1"/>
  <c r="U58" i="1"/>
  <c r="T58" i="1"/>
  <c r="V58" i="1" s="1"/>
  <c r="I32" i="1" s="1"/>
  <c r="X60" i="1"/>
  <c r="W60" i="1"/>
  <c r="X61" i="1"/>
  <c r="W61" i="1"/>
  <c r="L19" i="1"/>
  <c r="K19" i="1"/>
  <c r="J19" i="1"/>
  <c r="U33" i="1"/>
  <c r="AD33" i="1" s="1"/>
  <c r="U49" i="1"/>
  <c r="T49" i="1"/>
  <c r="L22" i="1"/>
  <c r="K22" i="1"/>
  <c r="J22" i="1"/>
  <c r="X46" i="1"/>
  <c r="W46" i="1"/>
  <c r="X52" i="1"/>
  <c r="W52" i="1"/>
  <c r="U61" i="1"/>
  <c r="T61" i="1"/>
  <c r="X63" i="1"/>
  <c r="W63" i="1"/>
  <c r="T55" i="1"/>
  <c r="U55" i="1"/>
  <c r="X57" i="1"/>
  <c r="W57" i="1"/>
  <c r="W58" i="1"/>
  <c r="X58" i="1"/>
  <c r="U45" i="1"/>
  <c r="T45" i="1"/>
  <c r="T33" i="1"/>
  <c r="AC33" i="1" s="1"/>
  <c r="U44" i="1"/>
  <c r="T44" i="1"/>
  <c r="U59" i="1"/>
  <c r="T59" i="1"/>
  <c r="X59" i="1"/>
  <c r="W59" i="1"/>
  <c r="X44" i="1"/>
  <c r="W44" i="1"/>
  <c r="T25" i="1"/>
  <c r="AC25" i="1" s="1"/>
  <c r="X51" i="1"/>
  <c r="W51" i="1"/>
  <c r="X50" i="1"/>
  <c r="Y50" i="1" s="1"/>
  <c r="H24" i="1" s="1"/>
  <c r="L35" i="1"/>
  <c r="K35" i="1"/>
  <c r="J35" i="1"/>
  <c r="X48" i="1"/>
  <c r="W48" i="1"/>
  <c r="X53" i="1"/>
  <c r="W53" i="1"/>
  <c r="K37" i="1"/>
  <c r="J37" i="1"/>
  <c r="L37" i="1"/>
  <c r="L31" i="1"/>
  <c r="K31" i="1"/>
  <c r="J31" i="1"/>
  <c r="T47" i="1"/>
  <c r="U47" i="1"/>
  <c r="U62" i="1"/>
  <c r="V62" i="1" s="1"/>
  <c r="I36" i="1" s="1"/>
  <c r="U51" i="1"/>
  <c r="T51" i="1"/>
  <c r="V51" i="1" s="1"/>
  <c r="I25" i="1" s="1"/>
  <c r="U63" i="1"/>
  <c r="T63" i="1"/>
  <c r="U25" i="1"/>
  <c r="AD25" i="1" s="1"/>
  <c r="U56" i="1"/>
  <c r="T56" i="1"/>
  <c r="X45" i="1"/>
  <c r="W45" i="1"/>
  <c r="T48" i="1"/>
  <c r="V48" i="1" s="1"/>
  <c r="I22" i="1" s="1"/>
  <c r="U57" i="1"/>
  <c r="T57" i="1"/>
  <c r="U52" i="1"/>
  <c r="T52" i="1"/>
  <c r="V52" i="1" s="1"/>
  <c r="I26" i="1" s="1"/>
  <c r="K21" i="1"/>
  <c r="L21" i="1"/>
  <c r="J21" i="1"/>
  <c r="X62" i="1"/>
  <c r="W62" i="1"/>
  <c r="X56" i="1"/>
  <c r="W56" i="1"/>
  <c r="L23" i="1"/>
  <c r="K23" i="1"/>
  <c r="J23" i="1"/>
  <c r="U53" i="1"/>
  <c r="T53" i="1"/>
  <c r="V53" i="1" s="1"/>
  <c r="I27" i="1" s="1"/>
  <c r="L34" i="1"/>
  <c r="K34" i="1"/>
  <c r="J34" i="1"/>
  <c r="L27" i="1"/>
  <c r="K27" i="1"/>
  <c r="J27" i="1"/>
  <c r="K29" i="1"/>
  <c r="J29" i="1"/>
  <c r="L29" i="1"/>
  <c r="L26" i="1"/>
  <c r="K26" i="1"/>
  <c r="J26" i="1"/>
  <c r="X47" i="1"/>
  <c r="W47" i="1"/>
  <c r="J18" i="1"/>
  <c r="L18" i="1"/>
  <c r="K18" i="1"/>
  <c r="W49" i="1"/>
  <c r="Y49" i="1" s="1"/>
  <c r="H23" i="1" s="1"/>
  <c r="L24" i="1"/>
  <c r="K24" i="1"/>
  <c r="J24" i="1"/>
  <c r="J32" i="1"/>
  <c r="L32" i="1"/>
  <c r="K32" i="1"/>
  <c r="X55" i="1"/>
  <c r="W55" i="1"/>
  <c r="L36" i="1"/>
  <c r="K36" i="1"/>
  <c r="J36" i="1"/>
  <c r="L30" i="1"/>
  <c r="K30" i="1"/>
  <c r="J30" i="1"/>
  <c r="U60" i="1"/>
  <c r="T60" i="1"/>
  <c r="U54" i="1"/>
  <c r="T54" i="1"/>
  <c r="V54" i="1" s="1"/>
  <c r="I28" i="1" s="1"/>
  <c r="X54" i="1"/>
  <c r="W54" i="1"/>
  <c r="L20" i="1"/>
  <c r="K20" i="1"/>
  <c r="J20" i="1"/>
  <c r="U50" i="1"/>
  <c r="T50" i="1"/>
  <c r="L28" i="1"/>
  <c r="K28" i="1"/>
  <c r="J28" i="1"/>
  <c r="U46" i="1"/>
  <c r="T46" i="1"/>
  <c r="V46" i="1" s="1"/>
  <c r="I20" i="1" s="1"/>
  <c r="L102" i="1" l="1"/>
  <c r="U65" i="1"/>
  <c r="W65" i="1"/>
  <c r="J39" i="1"/>
  <c r="L39" i="1"/>
  <c r="U39" i="1" s="1"/>
  <c r="AD39" i="1" s="1"/>
  <c r="T65" i="1"/>
  <c r="X65" i="1"/>
  <c r="V56" i="1"/>
  <c r="I30" i="1" s="1"/>
  <c r="Y53" i="1"/>
  <c r="H27" i="1" s="1"/>
  <c r="Y57" i="1"/>
  <c r="H31" i="1" s="1"/>
  <c r="Y48" i="1"/>
  <c r="H22" i="1" s="1"/>
  <c r="Y46" i="1"/>
  <c r="H20" i="1" s="1"/>
  <c r="V49" i="1"/>
  <c r="I23" i="1" s="1"/>
  <c r="N23" i="1" s="1"/>
  <c r="AF23" i="1" s="1"/>
  <c r="Y60" i="1"/>
  <c r="H34" i="1" s="1"/>
  <c r="T39" i="1"/>
  <c r="AC39" i="1" s="1"/>
  <c r="Y58" i="1"/>
  <c r="H32" i="1" s="1"/>
  <c r="O32" i="1" s="1"/>
  <c r="AG32" i="1" s="1"/>
  <c r="V44" i="1"/>
  <c r="I18" i="1" s="1"/>
  <c r="V60" i="1"/>
  <c r="I34" i="1" s="1"/>
  <c r="Y55" i="1"/>
  <c r="H29" i="1" s="1"/>
  <c r="Y45" i="1"/>
  <c r="H19" i="1" s="1"/>
  <c r="Y52" i="1"/>
  <c r="H26" i="1" s="1"/>
  <c r="P26" i="1" s="1"/>
  <c r="AH26" i="1" s="1"/>
  <c r="V57" i="1"/>
  <c r="I31" i="1" s="1"/>
  <c r="M31" i="1" s="1"/>
  <c r="AE31" i="1" s="1"/>
  <c r="Y44" i="1"/>
  <c r="H18" i="1" s="1"/>
  <c r="T28" i="1"/>
  <c r="AC28" i="1"/>
  <c r="T27" i="1"/>
  <c r="AC27" i="1"/>
  <c r="U28" i="1"/>
  <c r="AD28" i="1" s="1"/>
  <c r="T36" i="1"/>
  <c r="AC36" i="1"/>
  <c r="T24" i="1"/>
  <c r="AC24" i="1"/>
  <c r="U27" i="1"/>
  <c r="AD27" i="1" s="1"/>
  <c r="U23" i="1"/>
  <c r="AD23" i="1"/>
  <c r="N26" i="1"/>
  <c r="AF26" i="1" s="1"/>
  <c r="M26" i="1"/>
  <c r="AE26" i="1" s="1"/>
  <c r="P27" i="1"/>
  <c r="AH27" i="1" s="1"/>
  <c r="O27" i="1"/>
  <c r="AG27" i="1" s="1"/>
  <c r="Y51" i="1"/>
  <c r="H25" i="1" s="1"/>
  <c r="V59" i="1"/>
  <c r="I33" i="1" s="1"/>
  <c r="V61" i="1"/>
  <c r="I35" i="1" s="1"/>
  <c r="U22" i="1"/>
  <c r="AD22" i="1" s="1"/>
  <c r="Y61" i="1"/>
  <c r="H35" i="1" s="1"/>
  <c r="T23" i="1"/>
  <c r="AC23" i="1"/>
  <c r="V50" i="1"/>
  <c r="I24" i="1" s="1"/>
  <c r="U36" i="1"/>
  <c r="AD36" i="1" s="1"/>
  <c r="U24" i="1"/>
  <c r="AD24" i="1" s="1"/>
  <c r="T26" i="1"/>
  <c r="AC26" i="1"/>
  <c r="Y56" i="1"/>
  <c r="H30" i="1" s="1"/>
  <c r="V47" i="1"/>
  <c r="I21" i="1" s="1"/>
  <c r="M23" i="1"/>
  <c r="AE23" i="1" s="1"/>
  <c r="N36" i="1"/>
  <c r="AF36" i="1" s="1"/>
  <c r="M36" i="1"/>
  <c r="AE36" i="1" s="1"/>
  <c r="T22" i="1"/>
  <c r="AC22" i="1" s="1"/>
  <c r="O22" i="1"/>
  <c r="AG22" i="1" s="1"/>
  <c r="P22" i="1"/>
  <c r="AH22" i="1" s="1"/>
  <c r="P23" i="1"/>
  <c r="AH23" i="1" s="1"/>
  <c r="O23" i="1"/>
  <c r="AG23" i="1" s="1"/>
  <c r="T34" i="1"/>
  <c r="AC34" i="1" s="1"/>
  <c r="T18" i="1"/>
  <c r="AC18" i="1" s="1"/>
  <c r="U29" i="1"/>
  <c r="AD29" i="1" s="1"/>
  <c r="U34" i="1"/>
  <c r="AD34" i="1"/>
  <c r="Y62" i="1"/>
  <c r="H36" i="1" s="1"/>
  <c r="V63" i="1"/>
  <c r="I37" i="1" s="1"/>
  <c r="T31" i="1"/>
  <c r="AC31" i="1" s="1"/>
  <c r="N30" i="1"/>
  <c r="AF30" i="1" s="1"/>
  <c r="M30" i="1"/>
  <c r="AE30" i="1" s="1"/>
  <c r="T37" i="1"/>
  <c r="AC37" i="1" s="1"/>
  <c r="U19" i="1"/>
  <c r="AD19" i="1" s="1"/>
  <c r="U26" i="1"/>
  <c r="AD26" i="1" s="1"/>
  <c r="T20" i="1"/>
  <c r="AC20" i="1" s="1"/>
  <c r="U18" i="1"/>
  <c r="AD18" i="1" s="1"/>
  <c r="N27" i="1"/>
  <c r="AF27" i="1" s="1"/>
  <c r="M27" i="1"/>
  <c r="AE27" i="1" s="1"/>
  <c r="N22" i="1"/>
  <c r="AF22" i="1" s="1"/>
  <c r="M22" i="1"/>
  <c r="AE22" i="1" s="1"/>
  <c r="U31" i="1"/>
  <c r="AD31" i="1" s="1"/>
  <c r="P20" i="1"/>
  <c r="AH20" i="1" s="1"/>
  <c r="O20" i="1"/>
  <c r="AG20" i="1" s="1"/>
  <c r="N32" i="1"/>
  <c r="AF32" i="1" s="1"/>
  <c r="M32" i="1"/>
  <c r="AE32" i="1" s="1"/>
  <c r="N34" i="1"/>
  <c r="AF34" i="1" s="1"/>
  <c r="M34" i="1"/>
  <c r="AE34" i="1" s="1"/>
  <c r="N20" i="1"/>
  <c r="AF20" i="1" s="1"/>
  <c r="M20" i="1"/>
  <c r="AE20" i="1" s="1"/>
  <c r="U20" i="1"/>
  <c r="AD20" i="1" s="1"/>
  <c r="T30" i="1"/>
  <c r="AC30" i="1" s="1"/>
  <c r="U32" i="1"/>
  <c r="AD32" i="1" s="1"/>
  <c r="T29" i="1"/>
  <c r="AC29" i="1" s="1"/>
  <c r="N25" i="1"/>
  <c r="AF25" i="1" s="1"/>
  <c r="M25" i="1"/>
  <c r="AE25" i="1" s="1"/>
  <c r="U37" i="1"/>
  <c r="AD37" i="1" s="1"/>
  <c r="T35" i="1"/>
  <c r="AC35" i="1" s="1"/>
  <c r="V55" i="1"/>
  <c r="I29" i="1" s="1"/>
  <c r="O29" i="1" s="1"/>
  <c r="AG29" i="1" s="1"/>
  <c r="T21" i="1"/>
  <c r="AC21" i="1" s="1"/>
  <c r="N28" i="1"/>
  <c r="AF28" i="1" s="1"/>
  <c r="M28" i="1"/>
  <c r="AE28" i="1" s="1"/>
  <c r="T32" i="1"/>
  <c r="AC32" i="1" s="1"/>
  <c r="Y54" i="1"/>
  <c r="H28" i="1" s="1"/>
  <c r="U30" i="1"/>
  <c r="AD30" i="1" s="1"/>
  <c r="Y47" i="1"/>
  <c r="H21" i="1" s="1"/>
  <c r="U21" i="1"/>
  <c r="AD21" i="1" s="1"/>
  <c r="U35" i="1"/>
  <c r="AD35" i="1" s="1"/>
  <c r="Y59" i="1"/>
  <c r="H33" i="1" s="1"/>
  <c r="V45" i="1"/>
  <c r="I19" i="1" s="1"/>
  <c r="Y63" i="1"/>
  <c r="H37" i="1" s="1"/>
  <c r="T19" i="1"/>
  <c r="AC19" i="1" s="1"/>
  <c r="V65" i="1" l="1"/>
  <c r="I39" i="1" s="1"/>
  <c r="X92" i="1" s="1"/>
  <c r="Y65" i="1"/>
  <c r="H39" i="1" s="1"/>
  <c r="X93" i="1" s="1"/>
  <c r="D104" i="1" s="1"/>
  <c r="D116" i="1" a="1"/>
  <c r="N127" i="1" s="1"/>
  <c r="P34" i="1"/>
  <c r="AH34" i="1" s="1"/>
  <c r="P32" i="1"/>
  <c r="AH32" i="1" s="1"/>
  <c r="O34" i="1"/>
  <c r="AG34" i="1" s="1"/>
  <c r="O31" i="1"/>
  <c r="AG31" i="1" s="1"/>
  <c r="P19" i="1"/>
  <c r="AH19" i="1" s="1"/>
  <c r="P18" i="1"/>
  <c r="AH18" i="1" s="1"/>
  <c r="M18" i="1"/>
  <c r="AE18" i="1" s="1"/>
  <c r="N18" i="1"/>
  <c r="AF18" i="1" s="1"/>
  <c r="O18" i="1"/>
  <c r="AG18" i="1" s="1"/>
  <c r="P31" i="1"/>
  <c r="AH31" i="1" s="1"/>
  <c r="O26" i="1"/>
  <c r="AG26" i="1" s="1"/>
  <c r="N31" i="1"/>
  <c r="AF31" i="1" s="1"/>
  <c r="P37" i="1"/>
  <c r="AH37" i="1" s="1"/>
  <c r="O37" i="1"/>
  <c r="AG37" i="1" s="1"/>
  <c r="N35" i="1"/>
  <c r="AF35" i="1" s="1"/>
  <c r="M35" i="1"/>
  <c r="AE35" i="1" s="1"/>
  <c r="N19" i="1"/>
  <c r="AF19" i="1" s="1"/>
  <c r="M19" i="1"/>
  <c r="AE19" i="1" s="1"/>
  <c r="N29" i="1"/>
  <c r="AF29" i="1" s="1"/>
  <c r="M29" i="1"/>
  <c r="AE29" i="1" s="1"/>
  <c r="O19" i="1"/>
  <c r="AG19" i="1" s="1"/>
  <c r="P29" i="1"/>
  <c r="AH29" i="1" s="1"/>
  <c r="N33" i="1"/>
  <c r="AF33" i="1" s="1"/>
  <c r="M33" i="1"/>
  <c r="AE33" i="1" s="1"/>
  <c r="O33" i="1"/>
  <c r="AG33" i="1" s="1"/>
  <c r="P33" i="1"/>
  <c r="AH33" i="1" s="1"/>
  <c r="N37" i="1"/>
  <c r="AF37" i="1" s="1"/>
  <c r="M37" i="1"/>
  <c r="AE37" i="1" s="1"/>
  <c r="M21" i="1"/>
  <c r="AE21" i="1" s="1"/>
  <c r="N21" i="1"/>
  <c r="AF21" i="1" s="1"/>
  <c r="N24" i="1"/>
  <c r="AF24" i="1" s="1"/>
  <c r="M24" i="1"/>
  <c r="AE24" i="1" s="1"/>
  <c r="O25" i="1"/>
  <c r="AG25" i="1" s="1"/>
  <c r="P25" i="1"/>
  <c r="AH25" i="1" s="1"/>
  <c r="P36" i="1"/>
  <c r="AH36" i="1" s="1"/>
  <c r="O36" i="1"/>
  <c r="AG36" i="1" s="1"/>
  <c r="P30" i="1"/>
  <c r="AH30" i="1" s="1"/>
  <c r="O30" i="1"/>
  <c r="AG30" i="1" s="1"/>
  <c r="P28" i="1"/>
  <c r="AH28" i="1" s="1"/>
  <c r="O28" i="1"/>
  <c r="AG28" i="1" s="1"/>
  <c r="P35" i="1"/>
  <c r="AH35" i="1" s="1"/>
  <c r="O35" i="1"/>
  <c r="AG35" i="1" s="1"/>
  <c r="O24" i="1"/>
  <c r="AG24" i="1" s="1"/>
  <c r="P21" i="1"/>
  <c r="AH21" i="1" s="1"/>
  <c r="O21" i="1"/>
  <c r="AG21" i="1" s="1"/>
  <c r="P24" i="1"/>
  <c r="AH24" i="1" s="1"/>
  <c r="D109" i="1" l="1"/>
  <c r="O39" i="1"/>
  <c r="AG39" i="1" s="1"/>
  <c r="N39" i="1"/>
  <c r="AF39" i="1" s="1"/>
  <c r="D102" i="1"/>
  <c r="D108" i="1"/>
  <c r="P39" i="1"/>
  <c r="AH39" i="1" s="1"/>
  <c r="M39" i="1"/>
  <c r="AE39" i="1" s="1"/>
  <c r="D103" i="1"/>
  <c r="E120" i="1"/>
  <c r="I121" i="1"/>
  <c r="J123" i="1"/>
  <c r="I118" i="1"/>
  <c r="M122" i="1"/>
  <c r="J117" i="1"/>
  <c r="D122" i="1"/>
  <c r="I126" i="1"/>
  <c r="K121" i="1"/>
  <c r="H125" i="1"/>
  <c r="E126" i="1"/>
  <c r="L119" i="1"/>
  <c r="J119" i="1"/>
  <c r="H122" i="1"/>
  <c r="I124" i="1"/>
  <c r="I122" i="1"/>
  <c r="L127" i="1"/>
  <c r="K123" i="1"/>
  <c r="M125" i="1"/>
  <c r="D119" i="1"/>
  <c r="N122" i="1"/>
  <c r="L126" i="1"/>
  <c r="H126" i="1"/>
  <c r="M116" i="1"/>
  <c r="J122" i="1"/>
  <c r="J121" i="1"/>
  <c r="E121" i="1"/>
  <c r="K120" i="1"/>
  <c r="H121" i="1"/>
  <c r="H118" i="1"/>
  <c r="M117" i="1"/>
  <c r="E117" i="1"/>
  <c r="D121" i="1"/>
  <c r="F124" i="1"/>
  <c r="F123" i="1"/>
  <c r="D118" i="1"/>
  <c r="E125" i="1"/>
  <c r="O118" i="1"/>
  <c r="I123" i="1"/>
  <c r="G121" i="1"/>
  <c r="I116" i="1"/>
  <c r="J126" i="1"/>
  <c r="L118" i="1"/>
  <c r="N126" i="1"/>
  <c r="L120" i="1"/>
  <c r="I125" i="1"/>
  <c r="O125" i="1"/>
  <c r="N120" i="1"/>
  <c r="N116" i="1"/>
  <c r="M127" i="1"/>
  <c r="G122" i="1"/>
  <c r="O117" i="1"/>
  <c r="J120" i="1"/>
  <c r="K126" i="1"/>
  <c r="H123" i="1"/>
  <c r="N123" i="1"/>
  <c r="G118" i="1"/>
  <c r="M126" i="1"/>
  <c r="F126" i="1"/>
  <c r="D124" i="1"/>
  <c r="K124" i="1"/>
  <c r="F125" i="1"/>
  <c r="I119" i="1"/>
  <c r="I120" i="1"/>
  <c r="L122" i="1"/>
  <c r="M119" i="1"/>
  <c r="F122" i="1"/>
  <c r="M123" i="1"/>
  <c r="N118" i="1"/>
  <c r="O122" i="1"/>
  <c r="M121" i="1"/>
  <c r="O116" i="1"/>
  <c r="K118" i="1"/>
  <c r="O126" i="1"/>
  <c r="E127" i="1"/>
  <c r="J124" i="1"/>
  <c r="G124" i="1"/>
  <c r="F116" i="1"/>
  <c r="N119" i="1"/>
  <c r="O123" i="1"/>
  <c r="H124" i="1"/>
  <c r="L123" i="1"/>
  <c r="H116" i="1"/>
  <c r="L116" i="1"/>
  <c r="E122" i="1"/>
  <c r="L117" i="1"/>
  <c r="G120" i="1"/>
  <c r="O120" i="1"/>
  <c r="D120" i="1"/>
  <c r="D127" i="1"/>
  <c r="E116" i="1"/>
  <c r="H119" i="1"/>
  <c r="J118" i="1"/>
  <c r="F119" i="1"/>
  <c r="M120" i="1"/>
  <c r="G117" i="1"/>
  <c r="G127" i="1"/>
  <c r="N125" i="1"/>
  <c r="K116" i="1"/>
  <c r="D117" i="1"/>
  <c r="K119" i="1"/>
  <c r="D116" i="1"/>
  <c r="G119" i="1"/>
  <c r="F120" i="1"/>
  <c r="N121" i="1"/>
  <c r="H120" i="1"/>
  <c r="O119" i="1"/>
  <c r="E118" i="1"/>
  <c r="M118" i="1"/>
  <c r="N124" i="1"/>
  <c r="D125" i="1"/>
  <c r="F117" i="1"/>
  <c r="D123" i="1"/>
  <c r="J116" i="1"/>
  <c r="L121" i="1"/>
  <c r="E119" i="1"/>
  <c r="K127" i="1"/>
  <c r="I127" i="1"/>
  <c r="N117" i="1"/>
  <c r="G125" i="1"/>
  <c r="F121" i="1"/>
  <c r="D126" i="1"/>
  <c r="J125" i="1"/>
  <c r="E123" i="1"/>
  <c r="F118" i="1"/>
  <c r="J127" i="1"/>
  <c r="F127" i="1"/>
  <c r="K122" i="1"/>
  <c r="H127" i="1"/>
  <c r="H117" i="1"/>
  <c r="O127" i="1"/>
  <c r="M124" i="1"/>
  <c r="O121" i="1"/>
  <c r="O124" i="1"/>
  <c r="K125" i="1"/>
  <c r="I117" i="1"/>
  <c r="G126" i="1"/>
  <c r="E124" i="1"/>
  <c r="K117" i="1"/>
  <c r="L125" i="1"/>
  <c r="G123" i="1"/>
  <c r="L124" i="1"/>
  <c r="G116" i="1"/>
  <c r="Q116" i="1" l="1" a="1"/>
  <c r="Q116" i="1" l="1"/>
  <c r="Q127" i="1"/>
  <c r="Q119" i="1"/>
  <c r="Q126" i="1"/>
  <c r="Q118" i="1"/>
  <c r="Q123" i="1"/>
  <c r="Q122" i="1"/>
  <c r="Q125" i="1"/>
  <c r="Q121" i="1"/>
  <c r="Q117" i="1"/>
  <c r="Q120" i="1"/>
  <c r="Q124" i="1"/>
</calcChain>
</file>

<file path=xl/sharedStrings.xml><?xml version="1.0" encoding="utf-8"?>
<sst xmlns="http://schemas.openxmlformats.org/spreadsheetml/2006/main" count="200" uniqueCount="126">
  <si>
    <t>Geometría mecanismo</t>
  </si>
  <si>
    <t>Variables cinemáticas</t>
  </si>
  <si>
    <t>Rbc</t>
  </si>
  <si>
    <t>m</t>
  </si>
  <si>
    <t>rad/s^2</t>
  </si>
  <si>
    <t>Rod</t>
  </si>
  <si>
    <t>rad/s</t>
  </si>
  <si>
    <t>Rde</t>
  </si>
  <si>
    <t>rad</t>
  </si>
  <si>
    <t>Rpe</t>
  </si>
  <si>
    <t>rA</t>
  </si>
  <si>
    <t>rB</t>
  </si>
  <si>
    <t>d</t>
  </si>
  <si>
    <t>h</t>
  </si>
  <si>
    <t>COORDENADAS ABSOLUTAS RESPECTO AL PUNTO O</t>
  </si>
  <si>
    <t>d2</t>
  </si>
  <si>
    <t>h2</t>
  </si>
  <si>
    <t>Tiempo</t>
  </si>
  <si>
    <t>Elemento motor A</t>
  </si>
  <si>
    <t>Engranaje B</t>
  </si>
  <si>
    <t>Barra O-D</t>
  </si>
  <si>
    <t>Eslabón D</t>
  </si>
  <si>
    <t>Barra D-E</t>
  </si>
  <si>
    <t>Eslabón E dado D (relativo)</t>
  </si>
  <si>
    <t>Barra E-P</t>
  </si>
  <si>
    <t>Eslabon E</t>
  </si>
  <si>
    <t>Instante (s)</t>
  </si>
  <si>
    <t>alpha(t) A</t>
  </si>
  <si>
    <t>omega(t) A</t>
  </si>
  <si>
    <t>theta(t) A</t>
  </si>
  <si>
    <t>alpha(t) 2</t>
  </si>
  <si>
    <t>omega(t) 2</t>
  </si>
  <si>
    <t>theta(t) 2</t>
  </si>
  <si>
    <t>alpha(t) Rod</t>
  </si>
  <si>
    <t>omega(t) Rod</t>
  </si>
  <si>
    <t>theta(t) 3</t>
  </si>
  <si>
    <t>R_D_x (m)</t>
  </si>
  <si>
    <t>R_D_y (m)</t>
  </si>
  <si>
    <t>V_D_x (m)</t>
  </si>
  <si>
    <t>V_D_y (m)</t>
  </si>
  <si>
    <t>A_D_x (m)</t>
  </si>
  <si>
    <t>A_D_y (m)</t>
  </si>
  <si>
    <t>alpha(t) Rde</t>
  </si>
  <si>
    <t>omega(t) Rde</t>
  </si>
  <si>
    <t>theta(t) 4</t>
  </si>
  <si>
    <t>R_E/D_x (m)</t>
  </si>
  <si>
    <t>R_E/D_y (m)</t>
  </si>
  <si>
    <t>V_E/D_x (m)</t>
  </si>
  <si>
    <t>V_E/D_y (m)</t>
  </si>
  <si>
    <t>A_E/D_x (m)</t>
  </si>
  <si>
    <t>A_E/D_y (m)</t>
  </si>
  <si>
    <t>alpha(t) Rpe</t>
  </si>
  <si>
    <t>omega(t) Rpe</t>
  </si>
  <si>
    <t>theta(t) 5</t>
  </si>
  <si>
    <t>R_E_x (m)</t>
  </si>
  <si>
    <t>R_E_y (m)</t>
  </si>
  <si>
    <t>V_E_x (m)</t>
  </si>
  <si>
    <t>V_E_y (m)</t>
  </si>
  <si>
    <t>A_E_x (m)</t>
  </si>
  <si>
    <t>A_E_y (m)</t>
  </si>
  <si>
    <t>t_prueba</t>
  </si>
  <si>
    <t>R_C</t>
  </si>
  <si>
    <t>V_C</t>
  </si>
  <si>
    <t>A_C</t>
  </si>
  <si>
    <t>vector R_oc</t>
  </si>
  <si>
    <t>MAG</t>
  </si>
  <si>
    <t>V_c/o</t>
  </si>
  <si>
    <t>A_c/o</t>
  </si>
  <si>
    <t>t</t>
  </si>
  <si>
    <t>x</t>
  </si>
  <si>
    <t>y</t>
  </si>
  <si>
    <t>theta 3</t>
  </si>
  <si>
    <t>omega OD</t>
  </si>
  <si>
    <t>alpha OD</t>
  </si>
  <si>
    <t>2+3</t>
  </si>
  <si>
    <t>phi</t>
  </si>
  <si>
    <t>0.961</t>
  </si>
  <si>
    <t>°</t>
  </si>
  <si>
    <t>222.30</t>
  </si>
  <si>
    <t>Matrix A</t>
  </si>
  <si>
    <t>X</t>
  </si>
  <si>
    <t>F_BH</t>
  </si>
  <si>
    <t>F-BV</t>
  </si>
  <si>
    <t>F_OH</t>
  </si>
  <si>
    <t>masas barras</t>
  </si>
  <si>
    <t>R_OC</t>
  </si>
  <si>
    <t>F_OV</t>
  </si>
  <si>
    <t>m_BC</t>
  </si>
  <si>
    <t>kg</t>
  </si>
  <si>
    <t>theta 4</t>
  </si>
  <si>
    <t>F_DH</t>
  </si>
  <si>
    <t>m_OD</t>
  </si>
  <si>
    <t>theta 5</t>
  </si>
  <si>
    <t>F_DV</t>
  </si>
  <si>
    <t>m_PE</t>
  </si>
  <si>
    <t>F_PH</t>
  </si>
  <si>
    <t>m_DE</t>
  </si>
  <si>
    <t>omega B</t>
  </si>
  <si>
    <t>F_PV</t>
  </si>
  <si>
    <t>T_B</t>
  </si>
  <si>
    <t>Nm</t>
  </si>
  <si>
    <t>alfa B</t>
  </si>
  <si>
    <t>F_EH</t>
  </si>
  <si>
    <t>barras</t>
  </si>
  <si>
    <t>F_EV</t>
  </si>
  <si>
    <t>F_carga</t>
  </si>
  <si>
    <t>alfa OD</t>
  </si>
  <si>
    <t>F_C</t>
  </si>
  <si>
    <t>omega PE</t>
  </si>
  <si>
    <t>Matriz B</t>
  </si>
  <si>
    <t>barras en C.M</t>
  </si>
  <si>
    <t>alfa PE</t>
  </si>
  <si>
    <t>R_BG</t>
  </si>
  <si>
    <t>R_OG</t>
  </si>
  <si>
    <t>omega DE</t>
  </si>
  <si>
    <t>R_DEG</t>
  </si>
  <si>
    <t>alfa DE</t>
  </si>
  <si>
    <t>R_PG</t>
  </si>
  <si>
    <t>Ángulos</t>
  </si>
  <si>
    <t>DETERMINANTE:</t>
  </si>
  <si>
    <t>gamma</t>
  </si>
  <si>
    <t>theta A</t>
  </si>
  <si>
    <t>theta 2</t>
  </si>
  <si>
    <t>g</t>
  </si>
  <si>
    <t>Matrix INVERSA</t>
  </si>
  <si>
    <t>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</si>
</sst>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/>
      <diagonal/>
    </border>
    <border>
      <left style="double">
        <color rgb="FF3F3F3F"/>
      </left>
      <right style="thin">
        <color rgb="FF3F3F3F"/>
      </right>
      <top/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4">
    <xf numFmtId="0" fontId="0" fillId="0" borderId="0"/>
    <xf numFmtId="0" fontId="4" fillId="9" borderId="21" applyNumberFormat="0" applyAlignment="0" applyProtection="0"/>
    <xf numFmtId="0" fontId="5" fillId="10" borderId="22" applyNumberFormat="0" applyAlignment="0" applyProtection="0"/>
    <xf numFmtId="0" fontId="6" fillId="11" borderId="26" applyNumberFormat="0" applyAlignment="0" applyProtection="0"/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2" borderId="0" xfId="0" applyNumberFormat="1" applyFill="1"/>
    <xf numFmtId="0" fontId="0" fillId="0" borderId="5" xfId="0" applyBorder="1"/>
    <xf numFmtId="0" fontId="0" fillId="2" borderId="0" xfId="0" applyFill="1"/>
    <xf numFmtId="164" fontId="0" fillId="2" borderId="0" xfId="0" quotePrefix="1" applyNumberFormat="1" applyFill="1"/>
    <xf numFmtId="0" fontId="0" fillId="0" borderId="6" xfId="0" applyBorder="1" applyAlignment="1">
      <alignment horizontal="center"/>
    </xf>
    <xf numFmtId="0" fontId="0" fillId="2" borderId="7" xfId="0" applyFill="1" applyBorder="1"/>
    <xf numFmtId="0" fontId="0" fillId="0" borderId="8" xfId="0" applyBorder="1"/>
    <xf numFmtId="0" fontId="0" fillId="0" borderId="0" xfId="0" applyAlignment="1">
      <alignment horizontal="center"/>
    </xf>
    <xf numFmtId="2" fontId="0" fillId="2" borderId="0" xfId="0" applyNumberFormat="1" applyFill="1"/>
    <xf numFmtId="2" fontId="0" fillId="2" borderId="7" xfId="0" applyNumberFormat="1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5" fontId="0" fillId="0" borderId="0" xfId="0" applyNumberFormat="1"/>
    <xf numFmtId="165" fontId="0" fillId="5" borderId="0" xfId="0" applyNumberFormat="1" applyFill="1"/>
    <xf numFmtId="165" fontId="0" fillId="6" borderId="0" xfId="0" applyNumberFormat="1" applyFill="1"/>
    <xf numFmtId="165" fontId="0" fillId="7" borderId="0" xfId="0" applyNumberFormat="1" applyFill="1"/>
    <xf numFmtId="165" fontId="0" fillId="7" borderId="14" xfId="0" applyNumberFormat="1" applyFill="1" applyBorder="1"/>
    <xf numFmtId="165" fontId="0" fillId="8" borderId="0" xfId="0" applyNumberFormat="1" applyFill="1"/>
    <xf numFmtId="165" fontId="0" fillId="8" borderId="14" xfId="0" applyNumberFormat="1" applyFill="1" applyBorder="1"/>
    <xf numFmtId="165" fontId="0" fillId="0" borderId="9" xfId="0" applyNumberFormat="1" applyBorder="1"/>
    <xf numFmtId="165" fontId="0" fillId="5" borderId="9" xfId="0" applyNumberFormat="1" applyFill="1" applyBorder="1"/>
    <xf numFmtId="165" fontId="0" fillId="6" borderId="9" xfId="0" applyNumberFormat="1" applyFill="1" applyBorder="1"/>
    <xf numFmtId="0" fontId="0" fillId="2" borderId="16" xfId="0" applyFill="1" applyBorder="1"/>
    <xf numFmtId="164" fontId="0" fillId="2" borderId="16" xfId="0" applyNumberFormat="1" applyFill="1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right"/>
    </xf>
    <xf numFmtId="0" fontId="1" fillId="0" borderId="0" xfId="0" applyFont="1"/>
    <xf numFmtId="164" fontId="0" fillId="4" borderId="0" xfId="0" applyNumberFormat="1" applyFill="1" applyAlignment="1">
      <alignment horizontal="center"/>
    </xf>
    <xf numFmtId="165" fontId="0" fillId="0" borderId="14" xfId="0" applyNumberFormat="1" applyBorder="1"/>
    <xf numFmtId="0" fontId="0" fillId="0" borderId="0" xfId="0" applyAlignment="1">
      <alignment vertical="center"/>
    </xf>
    <xf numFmtId="165" fontId="0" fillId="0" borderId="9" xfId="0" applyNumberFormat="1" applyBorder="1" applyAlignment="1">
      <alignment horizontal="center" vertical="center"/>
    </xf>
    <xf numFmtId="165" fontId="0" fillId="5" borderId="9" xfId="0" applyNumberFormat="1" applyFill="1" applyBorder="1" applyAlignment="1">
      <alignment horizontal="center" vertical="center"/>
    </xf>
    <xf numFmtId="165" fontId="0" fillId="6" borderId="9" xfId="0" applyNumberFormat="1" applyFill="1" applyBorder="1" applyAlignment="1">
      <alignment horizontal="center" vertical="center"/>
    </xf>
    <xf numFmtId="165" fontId="0" fillId="7" borderId="0" xfId="0" applyNumberFormat="1" applyFill="1" applyAlignment="1">
      <alignment horizontal="center" vertical="center"/>
    </xf>
    <xf numFmtId="165" fontId="0" fillId="7" borderId="14" xfId="0" applyNumberFormat="1" applyFill="1" applyBorder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0" fillId="8" borderId="14" xfId="0" applyNumberForma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/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165" fontId="0" fillId="2" borderId="0" xfId="0" applyNumberFormat="1" applyFill="1"/>
    <xf numFmtId="165" fontId="0" fillId="2" borderId="7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5" fillId="10" borderId="22" xfId="2"/>
    <xf numFmtId="0" fontId="5" fillId="10" borderId="22" xfId="2" applyAlignment="1">
      <alignment horizontal="center"/>
    </xf>
    <xf numFmtId="1" fontId="5" fillId="10" borderId="22" xfId="2" applyNumberFormat="1"/>
    <xf numFmtId="165" fontId="5" fillId="10" borderId="22" xfId="2" applyNumberFormat="1"/>
    <xf numFmtId="0" fontId="4" fillId="9" borderId="21" xfId="1"/>
    <xf numFmtId="1" fontId="4" fillId="9" borderId="21" xfId="1" applyNumberFormat="1" applyAlignment="1">
      <alignment horizontal="center"/>
    </xf>
    <xf numFmtId="0" fontId="4" fillId="9" borderId="21" xfId="1" applyAlignment="1">
      <alignment vertical="center"/>
    </xf>
    <xf numFmtId="0" fontId="4" fillId="9" borderId="21" xfId="1" applyAlignment="1">
      <alignment horizontal="center"/>
    </xf>
    <xf numFmtId="165" fontId="0" fillId="0" borderId="3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6" fillId="11" borderId="26" xfId="3" applyAlignment="1">
      <alignment horizontal="center"/>
    </xf>
    <xf numFmtId="0" fontId="5" fillId="10" borderId="23" xfId="2" applyBorder="1" applyAlignment="1">
      <alignment horizontal="center"/>
    </xf>
    <xf numFmtId="0" fontId="5" fillId="10" borderId="24" xfId="2" applyBorder="1" applyAlignment="1">
      <alignment horizontal="center"/>
    </xf>
    <xf numFmtId="0" fontId="5" fillId="10" borderId="25" xfId="2" applyBorder="1" applyAlignment="1">
      <alignment horizontal="center"/>
    </xf>
    <xf numFmtId="0" fontId="5" fillId="10" borderId="22" xfId="2" applyAlignment="1">
      <alignment horizontal="center" vertical="center"/>
    </xf>
    <xf numFmtId="0" fontId="4" fillId="9" borderId="27" xfId="1" applyBorder="1" applyAlignment="1">
      <alignment horizontal="center"/>
    </xf>
    <xf numFmtId="0" fontId="4" fillId="9" borderId="28" xfId="1" applyBorder="1" applyAlignment="1">
      <alignment horizontal="center"/>
    </xf>
    <xf numFmtId="0" fontId="5" fillId="10" borderId="29" xfId="2" applyBorder="1" applyAlignment="1">
      <alignment horizontal="center" vertical="center"/>
    </xf>
    <xf numFmtId="0" fontId="5" fillId="10" borderId="30" xfId="2" applyBorder="1" applyAlignment="1">
      <alignment horizontal="center" vertical="center"/>
    </xf>
    <xf numFmtId="0" fontId="5" fillId="10" borderId="31" xfId="2" applyBorder="1" applyAlignment="1">
      <alignment horizontal="center" vertical="center"/>
    </xf>
    <xf numFmtId="0" fontId="5" fillId="10" borderId="32" xfId="2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9" borderId="21" xfId="1" applyAlignment="1">
      <alignment horizontal="center" vertical="center"/>
    </xf>
    <xf numFmtId="0" fontId="5" fillId="10" borderId="22" xfId="2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">
    <cellStyle name="Check Cell" xfId="2" builtinId="23"/>
    <cellStyle name="Input" xfId="3" builtinId="2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S$82" max="6" page="10" val="0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480060</xdr:colOff>
      <xdr:row>10</xdr:row>
      <xdr:rowOff>11430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218420" y="1885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8</xdr:col>
      <xdr:colOff>99060</xdr:colOff>
      <xdr:row>3</xdr:row>
      <xdr:rowOff>11430</xdr:rowOff>
    </xdr:from>
    <xdr:ext cx="5588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6606540" y="590550"/>
              <a:ext cx="5588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CAA60D5-B283-4424-A7ED-09249270CF8E}"/>
                </a:ext>
              </a:extLst>
            </xdr:cNvPr>
            <xdr:cNvSpPr txBox="1"/>
          </xdr:nvSpPr>
          <xdr:spPr>
            <a:xfrm>
              <a:off x="6606540" y="590550"/>
              <a:ext cx="5588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(𝑡=0)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83820</xdr:colOff>
      <xdr:row>4</xdr:row>
      <xdr:rowOff>11430</xdr:rowOff>
    </xdr:from>
    <xdr:ext cx="5753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6591300" y="773430"/>
              <a:ext cx="57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1B1A491-B11C-4FCC-8608-F51BD2800691}"/>
                </a:ext>
              </a:extLst>
            </xdr:cNvPr>
            <xdr:cNvSpPr txBox="1"/>
          </xdr:nvSpPr>
          <xdr:spPr>
            <a:xfrm>
              <a:off x="6591300" y="773430"/>
              <a:ext cx="57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𝜔(𝑡=0)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106680</xdr:colOff>
      <xdr:row>5</xdr:row>
      <xdr:rowOff>11430</xdr:rowOff>
    </xdr:from>
    <xdr:ext cx="55342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614160" y="956310"/>
              <a:ext cx="5534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C5C7C96-EFED-400E-A03E-85B44EB9EF53}"/>
                </a:ext>
              </a:extLst>
            </xdr:cNvPr>
            <xdr:cNvSpPr txBox="1"/>
          </xdr:nvSpPr>
          <xdr:spPr>
            <a:xfrm>
              <a:off x="6614160" y="956310"/>
              <a:ext cx="5534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𝜃(𝑡=0)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99060</xdr:colOff>
      <xdr:row>85</xdr:row>
      <xdr:rowOff>11430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634210" y="1893760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428625</xdr:colOff>
          <xdr:row>78</xdr:row>
          <xdr:rowOff>0</xdr:rowOff>
        </xdr:from>
        <xdr:to>
          <xdr:col>20</xdr:col>
          <xdr:colOff>733425</xdr:colOff>
          <xdr:row>82</xdr:row>
          <xdr:rowOff>28575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25</xdr:col>
      <xdr:colOff>480060</xdr:colOff>
      <xdr:row>93</xdr:row>
      <xdr:rowOff>11430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205085" y="18783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B8A4-23BC-4B5E-862D-CFA2A2AEB598}">
  <dimension ref="A1:AH132"/>
  <sheetViews>
    <sheetView tabSelected="1" zoomScale="62" zoomScaleNormal="62" workbookViewId="0">
      <selection activeCell="H8" sqref="H8"/>
    </sheetView>
  </sheetViews>
  <sheetFormatPr defaultColWidth="11.42578125" defaultRowHeight="15"/>
  <cols>
    <col min="1" max="1" width="14" bestFit="1" customWidth="1"/>
    <col min="2" max="2" width="11.7109375" customWidth="1"/>
    <col min="3" max="3" width="12" customWidth="1"/>
    <col min="4" max="4" width="10.7109375" customWidth="1"/>
    <col min="5" max="5" width="12.5703125" customWidth="1"/>
    <col min="6" max="7" width="13.7109375" bestFit="1" customWidth="1"/>
    <col min="8" max="9" width="14.42578125" bestFit="1" customWidth="1"/>
    <col min="10" max="10" width="13.7109375" bestFit="1" customWidth="1"/>
    <col min="11" max="11" width="14.140625" bestFit="1" customWidth="1"/>
    <col min="12" max="15" width="13.7109375" bestFit="1" customWidth="1"/>
    <col min="17" max="17" width="13.140625" bestFit="1" customWidth="1"/>
    <col min="18" max="18" width="16.28515625" customWidth="1"/>
    <col min="20" max="20" width="13.28515625" bestFit="1" customWidth="1"/>
    <col min="21" max="21" width="12.7109375" bestFit="1" customWidth="1"/>
    <col min="22" max="22" width="13.28515625" bestFit="1" customWidth="1"/>
    <col min="23" max="24" width="14.28515625" bestFit="1" customWidth="1"/>
    <col min="25" max="25" width="13.28515625" bestFit="1" customWidth="1"/>
    <col min="26" max="26" width="13.42578125" bestFit="1" customWidth="1"/>
    <col min="27" max="27" width="14.28515625" bestFit="1" customWidth="1"/>
    <col min="28" max="28" width="10.140625" bestFit="1" customWidth="1"/>
    <col min="29" max="29" width="10.28515625" bestFit="1" customWidth="1"/>
  </cols>
  <sheetData>
    <row r="1" spans="1:34" ht="15.75" thickBot="1"/>
    <row r="2" spans="1:34" ht="16.5" thickTop="1" thickBot="1">
      <c r="M2" s="74" t="s">
        <v>0</v>
      </c>
      <c r="N2" s="75"/>
      <c r="O2" s="76"/>
    </row>
    <row r="3" spans="1:34" ht="15.75" thickTop="1">
      <c r="I3" s="74" t="s">
        <v>1</v>
      </c>
      <c r="J3" s="75"/>
      <c r="K3" s="76"/>
      <c r="M3" s="3" t="s">
        <v>2</v>
      </c>
      <c r="N3" s="4">
        <v>0.3</v>
      </c>
      <c r="O3" s="5" t="s">
        <v>3</v>
      </c>
    </row>
    <row r="4" spans="1:34">
      <c r="I4" s="3"/>
      <c r="J4" s="6">
        <v>1</v>
      </c>
      <c r="K4" s="5" t="s">
        <v>4</v>
      </c>
      <c r="M4" s="3" t="s">
        <v>5</v>
      </c>
      <c r="N4" s="7">
        <v>1.25</v>
      </c>
      <c r="O4" s="5" t="s">
        <v>3</v>
      </c>
    </row>
    <row r="5" spans="1:34">
      <c r="I5" s="3"/>
      <c r="J5" s="6">
        <v>2</v>
      </c>
      <c r="K5" s="5" t="s">
        <v>6</v>
      </c>
      <c r="M5" s="3" t="s">
        <v>7</v>
      </c>
      <c r="N5" s="4">
        <v>1.1000000000000001</v>
      </c>
      <c r="O5" s="5" t="s">
        <v>3</v>
      </c>
    </row>
    <row r="6" spans="1:34" ht="15.75" thickBot="1">
      <c r="I6" s="8"/>
      <c r="J6" s="9">
        <v>0</v>
      </c>
      <c r="K6" s="10" t="s">
        <v>8</v>
      </c>
      <c r="M6" s="3" t="s">
        <v>9</v>
      </c>
      <c r="N6" s="4">
        <v>1</v>
      </c>
      <c r="O6" s="5" t="s">
        <v>3</v>
      </c>
    </row>
    <row r="7" spans="1:34" ht="15.75" thickTop="1">
      <c r="M7" s="3" t="s">
        <v>10</v>
      </c>
      <c r="N7" s="4">
        <v>0.1</v>
      </c>
      <c r="O7" s="5" t="s">
        <v>3</v>
      </c>
    </row>
    <row r="8" spans="1:34">
      <c r="M8" s="3" t="s">
        <v>11</v>
      </c>
      <c r="N8" s="4">
        <v>0.3</v>
      </c>
      <c r="O8" s="5" t="s">
        <v>3</v>
      </c>
    </row>
    <row r="9" spans="1:34" ht="15.75" thickBot="1">
      <c r="M9" s="3" t="s">
        <v>12</v>
      </c>
      <c r="N9" s="4">
        <v>0.6</v>
      </c>
      <c r="O9" s="5" t="s">
        <v>3</v>
      </c>
    </row>
    <row r="10" spans="1:34" ht="16.5" thickTop="1" thickBot="1">
      <c r="B10" s="11"/>
      <c r="D10" s="11"/>
      <c r="E10" s="11"/>
      <c r="M10" s="3" t="s">
        <v>13</v>
      </c>
      <c r="N10" s="12">
        <v>0.16</v>
      </c>
      <c r="O10" s="5" t="s">
        <v>3</v>
      </c>
      <c r="R10" s="64" t="s">
        <v>14</v>
      </c>
      <c r="S10" s="65"/>
      <c r="T10" s="65"/>
      <c r="U10" s="65"/>
      <c r="V10" s="66"/>
    </row>
    <row r="11" spans="1:34" ht="15.75" thickTop="1">
      <c r="B11" s="11"/>
      <c r="D11" s="11"/>
      <c r="E11" s="11"/>
      <c r="M11" s="3" t="s">
        <v>15</v>
      </c>
      <c r="N11" s="4">
        <v>0</v>
      </c>
      <c r="O11" s="5" t="s">
        <v>3</v>
      </c>
    </row>
    <row r="12" spans="1:34" ht="15.75" thickBot="1">
      <c r="M12" s="8" t="s">
        <v>16</v>
      </c>
      <c r="N12" s="13">
        <f>4/3</f>
        <v>1.3333333333333333</v>
      </c>
      <c r="O12" s="10" t="s">
        <v>3</v>
      </c>
    </row>
    <row r="13" spans="1:34" ht="15.75" thickTop="1"/>
    <row r="15" spans="1:34">
      <c r="A15" s="77" t="s">
        <v>17</v>
      </c>
      <c r="B15" s="77" t="s">
        <v>18</v>
      </c>
      <c r="C15" s="77"/>
      <c r="D15" s="77"/>
      <c r="E15" s="77" t="s">
        <v>19</v>
      </c>
      <c r="F15" s="77"/>
      <c r="G15" s="77"/>
      <c r="H15" s="77" t="s">
        <v>20</v>
      </c>
      <c r="I15" s="77"/>
      <c r="J15" s="77"/>
      <c r="K15" s="77" t="s">
        <v>21</v>
      </c>
      <c r="L15" s="77"/>
      <c r="M15" s="77"/>
      <c r="N15" s="77"/>
      <c r="O15" s="77"/>
      <c r="P15" s="77"/>
      <c r="Q15" s="77" t="s">
        <v>22</v>
      </c>
      <c r="R15" s="77"/>
      <c r="S15" s="77"/>
      <c r="T15" s="77" t="s">
        <v>23</v>
      </c>
      <c r="U15" s="77"/>
      <c r="V15" s="77"/>
      <c r="W15" s="77"/>
      <c r="X15" s="77"/>
      <c r="Y15" s="77"/>
      <c r="Z15" s="77" t="s">
        <v>24</v>
      </c>
      <c r="AA15" s="77"/>
      <c r="AB15" s="77"/>
      <c r="AC15" s="77" t="s">
        <v>25</v>
      </c>
      <c r="AD15" s="77"/>
      <c r="AE15" s="77"/>
      <c r="AF15" s="77"/>
      <c r="AG15" s="77"/>
      <c r="AH15" s="77"/>
    </row>
    <row r="16" spans="1:34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spans="1:34">
      <c r="A17" s="14" t="s">
        <v>26</v>
      </c>
      <c r="B17" s="15" t="s">
        <v>27</v>
      </c>
      <c r="C17" s="15" t="s">
        <v>28</v>
      </c>
      <c r="D17" s="15" t="s">
        <v>29</v>
      </c>
      <c r="E17" s="15" t="s">
        <v>30</v>
      </c>
      <c r="F17" s="15" t="s">
        <v>31</v>
      </c>
      <c r="G17" s="15" t="s">
        <v>32</v>
      </c>
      <c r="H17" s="15" t="s">
        <v>33</v>
      </c>
      <c r="I17" s="15" t="s">
        <v>34</v>
      </c>
      <c r="J17" s="15" t="s">
        <v>35</v>
      </c>
      <c r="K17" s="15" t="s">
        <v>36</v>
      </c>
      <c r="L17" s="15" t="s">
        <v>37</v>
      </c>
      <c r="M17" s="15" t="s">
        <v>38</v>
      </c>
      <c r="N17" s="15" t="s">
        <v>39</v>
      </c>
      <c r="O17" s="15" t="s">
        <v>40</v>
      </c>
      <c r="P17" s="15" t="s">
        <v>41</v>
      </c>
      <c r="Q17" s="14" t="s">
        <v>42</v>
      </c>
      <c r="R17" s="15" t="s">
        <v>43</v>
      </c>
      <c r="S17" s="15" t="s">
        <v>44</v>
      </c>
      <c r="T17" s="15" t="s">
        <v>45</v>
      </c>
      <c r="U17" s="15" t="s">
        <v>46</v>
      </c>
      <c r="V17" s="15" t="s">
        <v>47</v>
      </c>
      <c r="W17" s="15" t="s">
        <v>48</v>
      </c>
      <c r="X17" s="15" t="s">
        <v>49</v>
      </c>
      <c r="Y17" s="16" t="s">
        <v>50</v>
      </c>
      <c r="Z17" s="14" t="s">
        <v>51</v>
      </c>
      <c r="AA17" s="15" t="s">
        <v>52</v>
      </c>
      <c r="AB17" s="15" t="s">
        <v>53</v>
      </c>
      <c r="AC17" s="15" t="s">
        <v>54</v>
      </c>
      <c r="AD17" s="15" t="s">
        <v>55</v>
      </c>
      <c r="AE17" s="15" t="s">
        <v>56</v>
      </c>
      <c r="AF17" s="15" t="s">
        <v>57</v>
      </c>
      <c r="AG17" s="15" t="s">
        <v>58</v>
      </c>
      <c r="AH17" s="16" t="s">
        <v>59</v>
      </c>
    </row>
    <row r="18" spans="1:34">
      <c r="A18" s="17">
        <v>0</v>
      </c>
      <c r="B18" s="18">
        <f t="shared" ref="B18:B39" si="0">$J$4+A18^2</f>
        <v>1</v>
      </c>
      <c r="C18" s="18">
        <f t="shared" ref="C18:C39" si="1">$J$5+($J$4*A18)+((A18^3)/3)</f>
        <v>2</v>
      </c>
      <c r="D18" s="18">
        <f t="shared" ref="D18:D39" si="2">$J$6+($J$5*A18)+((1/2)*$J$4*A18^2)+((1/12)*A18^4)</f>
        <v>0</v>
      </c>
      <c r="E18" s="19">
        <f t="shared" ref="E18:F37" si="3">-($N$7/$N$8)*B18</f>
        <v>-0.33333333333333337</v>
      </c>
      <c r="F18" s="19">
        <f t="shared" si="3"/>
        <v>-0.66666666666666674</v>
      </c>
      <c r="G18" s="19">
        <f t="shared" ref="G18:G39" si="4">($N$7/$N$8)*D18</f>
        <v>0</v>
      </c>
      <c r="H18" s="20">
        <f t="shared" ref="H18:H37" si="5">Y44</f>
        <v>0.42352941176470599</v>
      </c>
      <c r="I18" s="20">
        <f t="shared" ref="I18:I37" si="6">V44</f>
        <v>0.47058823529411764</v>
      </c>
      <c r="J18" s="20">
        <f t="shared" ref="J18:J37" si="7">O44</f>
        <v>0.48995732625372829</v>
      </c>
      <c r="K18" s="20">
        <f t="shared" ref="K18:K37" si="8">-$N$4*COS(O44)</f>
        <v>-1.1029411764705883</v>
      </c>
      <c r="L18" s="20">
        <f t="shared" ref="L18:L37" si="9">$N$4*SIN(O44)</f>
        <v>0.58823529411764708</v>
      </c>
      <c r="M18" s="20">
        <f t="shared" ref="M18:M39" si="10">-I18*$N$4*SIN(J18)</f>
        <v>-0.27681660899653981</v>
      </c>
      <c r="N18" s="20">
        <f t="shared" ref="N18:N39" si="11">-I18*$N$4*COS(J18)</f>
        <v>-0.51903114186851207</v>
      </c>
      <c r="O18" s="20">
        <f t="shared" ref="O18:O39" si="12">(H18*$N$4*SIN(J18))+((I18^2)*$N$4*COS(J18))</f>
        <v>0.49338489721147982</v>
      </c>
      <c r="P18" s="20">
        <f t="shared" ref="P18:P39" si="13">(H18*$N$4*COS(J18))-((I18^2)*$N$4*SIN(J18))</f>
        <v>0.33686138815387756</v>
      </c>
      <c r="Q18" s="21">
        <v>10.816414179720701</v>
      </c>
      <c r="R18" s="21">
        <v>17.0682065552108</v>
      </c>
      <c r="S18" s="21">
        <v>1.8353110644374999</v>
      </c>
      <c r="T18" s="21">
        <f>($N$5*COS(S18))+K18</f>
        <v>-1.3905261821661392</v>
      </c>
      <c r="U18" s="21">
        <f>($N$5*SIN(S18))+L18</f>
        <v>1.6499767242686469</v>
      </c>
      <c r="V18" s="21">
        <f>R18*$N$5*SIN(S18)</f>
        <v>18.122022038042182</v>
      </c>
      <c r="W18" s="21">
        <f>-R18*$N$5*COS(S18)</f>
        <v>4.9085602793931358</v>
      </c>
      <c r="X18" s="21">
        <f>(-Q18*$N$5*SIN(S18))-((R18^2)*$N$5*COS(S18))</f>
        <v>72.296085677103079</v>
      </c>
      <c r="Y18" s="22">
        <f>(Q18*$N$5*COS(S18))-((R18^2)*$N$5*SIN(S18))</f>
        <v>-312.42105387686661</v>
      </c>
      <c r="Z18" s="23">
        <v>9.1119074300791993</v>
      </c>
      <c r="AA18" s="23">
        <v>15.3789531113857</v>
      </c>
      <c r="AB18" s="23">
        <v>3.4166377804546899</v>
      </c>
      <c r="AC18" s="23">
        <f t="shared" ref="AC18:AH33" si="14">K18+T18</f>
        <v>-2.4934673586367273</v>
      </c>
      <c r="AD18" s="23">
        <f t="shared" si="14"/>
        <v>2.2382120183862941</v>
      </c>
      <c r="AE18" s="23">
        <f t="shared" si="14"/>
        <v>17.845205429045642</v>
      </c>
      <c r="AF18" s="23">
        <f t="shared" si="14"/>
        <v>4.3895291375246241</v>
      </c>
      <c r="AG18" s="23">
        <f t="shared" si="14"/>
        <v>72.789470574314564</v>
      </c>
      <c r="AH18" s="24">
        <f t="shared" si="14"/>
        <v>-312.08419248871274</v>
      </c>
    </row>
    <row r="19" spans="1:34">
      <c r="A19" s="17">
        <v>0.2</v>
      </c>
      <c r="B19" s="18">
        <f t="shared" si="0"/>
        <v>1.04</v>
      </c>
      <c r="C19" s="18">
        <f t="shared" si="1"/>
        <v>2.202666666666667</v>
      </c>
      <c r="D19" s="18">
        <f t="shared" si="2"/>
        <v>0.42013333333333336</v>
      </c>
      <c r="E19" s="19">
        <f t="shared" si="3"/>
        <v>-0.34666666666666673</v>
      </c>
      <c r="F19" s="19">
        <f t="shared" si="3"/>
        <v>-0.73422222222222244</v>
      </c>
      <c r="G19" s="19">
        <f t="shared" si="4"/>
        <v>0.14004444444444447</v>
      </c>
      <c r="H19" s="20">
        <f t="shared" si="5"/>
        <v>0.46043482970727345</v>
      </c>
      <c r="I19" s="20">
        <f t="shared" si="6"/>
        <v>0.66527332226823233</v>
      </c>
      <c r="J19" s="20">
        <f t="shared" si="7"/>
        <v>0.58781540321946657</v>
      </c>
      <c r="K19" s="20">
        <f t="shared" si="8"/>
        <v>-1.0401926497709981</v>
      </c>
      <c r="L19" s="20">
        <f t="shared" si="9"/>
        <v>0.69318053302324478</v>
      </c>
      <c r="M19" s="20">
        <f t="shared" si="10"/>
        <v>-0.4611545161360382</v>
      </c>
      <c r="N19" s="20">
        <f t="shared" si="11"/>
        <v>-0.69201241991214779</v>
      </c>
      <c r="O19" s="20">
        <f t="shared" si="12"/>
        <v>0.77954186232478828</v>
      </c>
      <c r="P19" s="20">
        <f t="shared" si="13"/>
        <v>0.1721471285312457</v>
      </c>
      <c r="Q19" s="21">
        <v>10.813005725340499</v>
      </c>
      <c r="R19" s="21">
        <v>17.084121891169001</v>
      </c>
      <c r="S19" s="21">
        <v>1.8232732651028201</v>
      </c>
      <c r="T19" s="21">
        <f t="shared" ref="T19:T39" si="15">($N$5*COS(S19))+K19</f>
        <v>-1.3149760973425626</v>
      </c>
      <c r="U19" s="21">
        <f t="shared" ref="U19:U39" si="16">($N$5*SIN(S19))+L19</f>
        <v>1.7583068433454927</v>
      </c>
      <c r="V19" s="21">
        <f t="shared" ref="V19:V39" si="17">R19*$N$5*SIN(S19)</f>
        <v>18.196747715036384</v>
      </c>
      <c r="W19" s="21">
        <f t="shared" ref="W19:W39" si="18">-R19*$N$5*COS(S19)</f>
        <v>4.6944339119882557</v>
      </c>
      <c r="X19" s="21">
        <f t="shared" ref="X19:X39" si="19">(-Q19*$N$5*SIN(S19))-((R19^2)*$N$5*COS(S19))</f>
        <v>68.683064270719413</v>
      </c>
      <c r="Y19" s="22">
        <f t="shared" ref="Y19:Y39" si="20">(Q19*$N$5*COS(S19))-((R19^2)*$N$5*SIN(S19))</f>
        <v>-313.84669097835268</v>
      </c>
      <c r="Z19" s="23">
        <v>9.1754162145427198</v>
      </c>
      <c r="AA19" s="23">
        <v>15.423609359674201</v>
      </c>
      <c r="AB19" s="23">
        <v>3.3922385174541501</v>
      </c>
      <c r="AC19" s="23">
        <f t="shared" si="14"/>
        <v>-2.3551687471135607</v>
      </c>
      <c r="AD19" s="23">
        <f t="shared" si="14"/>
        <v>2.4514873763687373</v>
      </c>
      <c r="AE19" s="23">
        <f t="shared" si="14"/>
        <v>17.735593198900347</v>
      </c>
      <c r="AF19" s="23">
        <f t="shared" si="14"/>
        <v>4.0024214920761079</v>
      </c>
      <c r="AG19" s="23">
        <f t="shared" si="14"/>
        <v>69.462606133044204</v>
      </c>
      <c r="AH19" s="24">
        <f t="shared" si="14"/>
        <v>-313.67454384982142</v>
      </c>
    </row>
    <row r="20" spans="1:34">
      <c r="A20" s="17">
        <v>0.4</v>
      </c>
      <c r="B20" s="18">
        <f t="shared" si="0"/>
        <v>1.1600000000000001</v>
      </c>
      <c r="C20" s="18">
        <f t="shared" si="1"/>
        <v>2.4213333333333331</v>
      </c>
      <c r="D20" s="18">
        <f t="shared" si="2"/>
        <v>0.88213333333333344</v>
      </c>
      <c r="E20" s="19">
        <f t="shared" si="3"/>
        <v>-0.38666666666666677</v>
      </c>
      <c r="F20" s="19">
        <f t="shared" si="3"/>
        <v>-0.80711111111111111</v>
      </c>
      <c r="G20" s="19">
        <f t="shared" si="4"/>
        <v>0.2940444444444445</v>
      </c>
      <c r="H20" s="20">
        <f t="shared" si="5"/>
        <v>0.53286697911626268</v>
      </c>
      <c r="I20" s="20">
        <f t="shared" si="6"/>
        <v>0.82046048267671978</v>
      </c>
      <c r="J20" s="20">
        <f t="shared" si="7"/>
        <v>0.66817156694246316</v>
      </c>
      <c r="K20" s="20">
        <f t="shared" si="8"/>
        <v>-0.98119473291498083</v>
      </c>
      <c r="L20" s="20">
        <f t="shared" si="9"/>
        <v>0.77443973045027814</v>
      </c>
      <c r="M20" s="20">
        <f t="shared" si="10"/>
        <v>-0.63539719504926406</v>
      </c>
      <c r="N20" s="20">
        <f t="shared" si="11"/>
        <v>-0.80503150416728042</v>
      </c>
      <c r="O20" s="20">
        <f t="shared" si="12"/>
        <v>1.0731698961517051</v>
      </c>
      <c r="P20" s="20">
        <f t="shared" si="13"/>
        <v>1.5279839116411065E-3</v>
      </c>
      <c r="Q20" s="21">
        <v>10.8384286319856</v>
      </c>
      <c r="R20" s="21">
        <v>17.099126656798099</v>
      </c>
      <c r="S20" s="21">
        <v>1.8121591267780901</v>
      </c>
      <c r="T20" s="21">
        <f t="shared" si="15"/>
        <v>-1.2441234920406934</v>
      </c>
      <c r="U20" s="21">
        <f t="shared" si="16"/>
        <v>1.8425541754535339</v>
      </c>
      <c r="V20" s="21">
        <f t="shared" si="17"/>
        <v>18.26382417906628</v>
      </c>
      <c r="W20" s="21">
        <f t="shared" si="18"/>
        <v>4.4958521540053198</v>
      </c>
      <c r="X20" s="21">
        <f t="shared" si="19"/>
        <v>65.298463228614807</v>
      </c>
      <c r="Y20" s="22">
        <f t="shared" si="20"/>
        <v>-315.14517746642645</v>
      </c>
      <c r="Z20" s="23">
        <v>9.2521136808410507</v>
      </c>
      <c r="AA20" s="23">
        <v>15.467256156164201</v>
      </c>
      <c r="AB20" s="23">
        <v>3.3681073228759102</v>
      </c>
      <c r="AC20" s="23">
        <f t="shared" si="14"/>
        <v>-2.2253182249556742</v>
      </c>
      <c r="AD20" s="23">
        <f t="shared" si="14"/>
        <v>2.6169939059038123</v>
      </c>
      <c r="AE20" s="23">
        <f t="shared" si="14"/>
        <v>17.628426984017015</v>
      </c>
      <c r="AF20" s="23">
        <f t="shared" si="14"/>
        <v>3.6908206498380394</v>
      </c>
      <c r="AG20" s="23">
        <f t="shared" si="14"/>
        <v>66.371633124766518</v>
      </c>
      <c r="AH20" s="24">
        <f t="shared" si="14"/>
        <v>-315.14364948251483</v>
      </c>
    </row>
    <row r="21" spans="1:34">
      <c r="A21" s="17">
        <v>0.6</v>
      </c>
      <c r="B21" s="18">
        <f t="shared" si="0"/>
        <v>1.3599999999999999</v>
      </c>
      <c r="C21" s="18">
        <f t="shared" si="1"/>
        <v>2.6720000000000002</v>
      </c>
      <c r="D21" s="18">
        <f t="shared" si="2"/>
        <v>1.3907999999999998</v>
      </c>
      <c r="E21" s="19">
        <f t="shared" si="3"/>
        <v>-0.45333333333333337</v>
      </c>
      <c r="F21" s="19">
        <f t="shared" si="3"/>
        <v>-0.89066666666666683</v>
      </c>
      <c r="G21" s="19">
        <f t="shared" si="4"/>
        <v>0.46360000000000001</v>
      </c>
      <c r="H21" s="20">
        <f t="shared" si="5"/>
        <v>0.67832159349571464</v>
      </c>
      <c r="I21" s="20">
        <f t="shared" si="6"/>
        <v>0.92804359638568934</v>
      </c>
      <c r="J21" s="20">
        <f t="shared" si="7"/>
        <v>0.725525501714401</v>
      </c>
      <c r="K21" s="20">
        <f t="shared" si="8"/>
        <v>-0.93518854977547639</v>
      </c>
      <c r="L21" s="20">
        <f t="shared" si="9"/>
        <v>0.82941086101451633</v>
      </c>
      <c r="M21" s="20">
        <f t="shared" si="10"/>
        <v>-0.76972943833726293</v>
      </c>
      <c r="N21" s="20">
        <f t="shared" si="11"/>
        <v>-0.86789574503235034</v>
      </c>
      <c r="O21" s="20">
        <f t="shared" si="12"/>
        <v>1.3680523854136792</v>
      </c>
      <c r="P21" s="20">
        <f t="shared" si="13"/>
        <v>-7.9983888895802546E-2</v>
      </c>
      <c r="Q21" s="21">
        <v>10.8620024472827</v>
      </c>
      <c r="R21" s="21">
        <v>17.113374936434798</v>
      </c>
      <c r="S21" s="21">
        <v>1.8018367624286999</v>
      </c>
      <c r="T21" s="21">
        <f t="shared" si="15"/>
        <v>-1.1870780306643205</v>
      </c>
      <c r="U21" s="21">
        <f t="shared" si="16"/>
        <v>1.9001824003344354</v>
      </c>
      <c r="V21" s="21">
        <f t="shared" si="17"/>
        <v>18.32451482364521</v>
      </c>
      <c r="W21" s="21">
        <f t="shared" si="18"/>
        <v>4.3106791289947157</v>
      </c>
      <c r="X21" s="21">
        <f t="shared" si="19"/>
        <v>62.139545084577144</v>
      </c>
      <c r="Y21" s="22">
        <f t="shared" si="20"/>
        <v>-316.33031686315729</v>
      </c>
      <c r="Z21" s="23">
        <v>9.3264250765060801</v>
      </c>
      <c r="AA21" s="23">
        <v>15.5100208182948</v>
      </c>
      <c r="AB21" s="23">
        <v>3.3442243038371902</v>
      </c>
      <c r="AC21" s="23">
        <f t="shared" si="14"/>
        <v>-2.1222665804397969</v>
      </c>
      <c r="AD21" s="23">
        <f t="shared" si="14"/>
        <v>2.7295932613489517</v>
      </c>
      <c r="AE21" s="23">
        <f t="shared" si="14"/>
        <v>17.554785385307948</v>
      </c>
      <c r="AF21" s="23">
        <f t="shared" si="14"/>
        <v>3.4427833839623654</v>
      </c>
      <c r="AG21" s="23">
        <f t="shared" si="14"/>
        <v>63.50759746999082</v>
      </c>
      <c r="AH21" s="24">
        <f t="shared" si="14"/>
        <v>-316.4103007520531</v>
      </c>
    </row>
    <row r="22" spans="1:34">
      <c r="A22" s="17">
        <v>0.8</v>
      </c>
      <c r="B22" s="18">
        <f t="shared" si="0"/>
        <v>1.6400000000000001</v>
      </c>
      <c r="C22" s="18">
        <f t="shared" si="1"/>
        <v>2.9706666666666663</v>
      </c>
      <c r="D22" s="18">
        <f t="shared" si="2"/>
        <v>1.9541333333333335</v>
      </c>
      <c r="E22" s="19">
        <f t="shared" si="3"/>
        <v>-0.54666666666666675</v>
      </c>
      <c r="F22" s="19">
        <f t="shared" si="3"/>
        <v>-0.99022222222222223</v>
      </c>
      <c r="G22" s="19">
        <f t="shared" si="4"/>
        <v>0.65137777777777794</v>
      </c>
      <c r="H22" s="20">
        <f t="shared" si="5"/>
        <v>0.91498087482903756</v>
      </c>
      <c r="I22" s="20">
        <f t="shared" si="6"/>
        <v>0.98693943218991576</v>
      </c>
      <c r="J22" s="20">
        <f t="shared" si="7"/>
        <v>0.75762178154699866</v>
      </c>
      <c r="K22" s="20">
        <f t="shared" si="8"/>
        <v>-0.90809045635314578</v>
      </c>
      <c r="L22" s="20">
        <f t="shared" si="9"/>
        <v>0.85899460014620299</v>
      </c>
      <c r="M22" s="20">
        <f t="shared" si="10"/>
        <v>-0.8477756429224973</v>
      </c>
      <c r="N22" s="20">
        <f t="shared" si="11"/>
        <v>-0.89623027937025523</v>
      </c>
      <c r="O22" s="20">
        <f t="shared" si="12"/>
        <v>1.6704886337482812</v>
      </c>
      <c r="P22" s="20">
        <f t="shared" si="13"/>
        <v>-5.8178114724688479E-3</v>
      </c>
      <c r="Q22" s="21">
        <v>10.8842420621245</v>
      </c>
      <c r="R22" s="21">
        <v>17.126991689951598</v>
      </c>
      <c r="S22" s="21">
        <v>1.7921996021984199</v>
      </c>
      <c r="T22" s="21">
        <f t="shared" si="15"/>
        <v>-1.1496492030698549</v>
      </c>
      <c r="U22" s="21">
        <f t="shared" si="16"/>
        <v>1.9321438776862165</v>
      </c>
      <c r="V22" s="21">
        <f t="shared" si="17"/>
        <v>18.379818758505373</v>
      </c>
      <c r="W22" s="21">
        <f t="shared" si="18"/>
        <v>4.1371746476522002</v>
      </c>
      <c r="X22" s="21">
        <f t="shared" si="19"/>
        <v>59.176939304678136</v>
      </c>
      <c r="Y22" s="22">
        <f t="shared" si="20"/>
        <v>-317.42018701122612</v>
      </c>
      <c r="Z22" s="23">
        <v>9.3987188834367004</v>
      </c>
      <c r="AA22" s="23">
        <v>15.5520030738816</v>
      </c>
      <c r="AB22" s="23">
        <v>3.3205698990613701</v>
      </c>
      <c r="AC22" s="23">
        <f t="shared" si="14"/>
        <v>-2.0577396594230004</v>
      </c>
      <c r="AD22" s="23">
        <f t="shared" si="14"/>
        <v>2.7911384778324195</v>
      </c>
      <c r="AE22" s="23">
        <f t="shared" si="14"/>
        <v>17.532043115582876</v>
      </c>
      <c r="AF22" s="23">
        <f t="shared" si="14"/>
        <v>3.2409443682819452</v>
      </c>
      <c r="AG22" s="23">
        <f t="shared" si="14"/>
        <v>60.847427938426421</v>
      </c>
      <c r="AH22" s="24">
        <f t="shared" si="14"/>
        <v>-317.42600482269859</v>
      </c>
    </row>
    <row r="23" spans="1:34">
      <c r="A23" s="17">
        <v>1</v>
      </c>
      <c r="B23" s="18">
        <f t="shared" si="0"/>
        <v>2</v>
      </c>
      <c r="C23" s="18">
        <f t="shared" si="1"/>
        <v>3.3333333333333335</v>
      </c>
      <c r="D23" s="18">
        <f t="shared" si="2"/>
        <v>2.5833333333333335</v>
      </c>
      <c r="E23" s="19">
        <f t="shared" si="3"/>
        <v>-0.66666666666666674</v>
      </c>
      <c r="F23" s="19">
        <f t="shared" si="3"/>
        <v>-1.1111111111111114</v>
      </c>
      <c r="G23" s="19">
        <f t="shared" si="4"/>
        <v>0.86111111111111127</v>
      </c>
      <c r="H23" s="20">
        <f t="shared" si="5"/>
        <v>0.96374447378455652</v>
      </c>
      <c r="I23" s="20">
        <f t="shared" si="6"/>
        <v>0.99852528002614194</v>
      </c>
      <c r="J23" s="20">
        <f t="shared" si="7"/>
        <v>0.76400063859420742</v>
      </c>
      <c r="K23" s="20">
        <f t="shared" si="8"/>
        <v>-0.90259261479903363</v>
      </c>
      <c r="L23" s="20">
        <f t="shared" si="9"/>
        <v>0.86476966396274768</v>
      </c>
      <c r="M23" s="20">
        <f t="shared" si="10"/>
        <v>-0.86349437086651526</v>
      </c>
      <c r="N23" s="20">
        <f t="shared" si="11"/>
        <v>-0.9012615434417327</v>
      </c>
      <c r="O23" s="20">
        <f t="shared" si="12"/>
        <v>1.733349419782575</v>
      </c>
      <c r="P23" s="20">
        <f t="shared" si="13"/>
        <v>7.647686120836994E-3</v>
      </c>
      <c r="Q23" s="21">
        <v>10.9055451711467</v>
      </c>
      <c r="R23" s="21">
        <v>17.1400801934785</v>
      </c>
      <c r="S23" s="21">
        <v>1.7831616086470301</v>
      </c>
      <c r="T23" s="21">
        <f t="shared" si="15"/>
        <v>-1.1344425114755305</v>
      </c>
      <c r="U23" s="21">
        <f t="shared" si="16"/>
        <v>1.9400582881986308</v>
      </c>
      <c r="V23" s="21">
        <f t="shared" si="17"/>
        <v>18.430533250538204</v>
      </c>
      <c r="W23" s="21">
        <f t="shared" si="18"/>
        <v>3.9739258218848623</v>
      </c>
      <c r="X23" s="21">
        <f t="shared" si="19"/>
        <v>56.386798606416882</v>
      </c>
      <c r="Y23" s="22">
        <f t="shared" si="20"/>
        <v>-318.42926744392798</v>
      </c>
      <c r="Z23" s="23">
        <v>9.4692364755954994</v>
      </c>
      <c r="AA23" s="23">
        <v>15.593281445553099</v>
      </c>
      <c r="AB23" s="23">
        <v>3.29712673940409</v>
      </c>
      <c r="AC23" s="23">
        <f t="shared" si="14"/>
        <v>-2.0370351262745641</v>
      </c>
      <c r="AD23" s="23">
        <f t="shared" si="14"/>
        <v>2.8048279521613786</v>
      </c>
      <c r="AE23" s="23">
        <f t="shared" si="14"/>
        <v>17.567038879671689</v>
      </c>
      <c r="AF23" s="23">
        <f t="shared" si="14"/>
        <v>3.0726642784431295</v>
      </c>
      <c r="AG23" s="23">
        <f t="shared" si="14"/>
        <v>58.120148026199459</v>
      </c>
      <c r="AH23" s="24">
        <f t="shared" si="14"/>
        <v>-318.42161975780715</v>
      </c>
    </row>
    <row r="24" spans="1:34">
      <c r="A24" s="17">
        <v>1.1000000000000001</v>
      </c>
      <c r="B24" s="18">
        <f t="shared" si="0"/>
        <v>2.21</v>
      </c>
      <c r="C24" s="18">
        <f t="shared" si="1"/>
        <v>3.5436666666666667</v>
      </c>
      <c r="D24" s="18">
        <f t="shared" si="2"/>
        <v>2.9270083333333337</v>
      </c>
      <c r="E24" s="19">
        <f t="shared" si="3"/>
        <v>-0.73666666666666669</v>
      </c>
      <c r="F24" s="19">
        <f t="shared" si="3"/>
        <v>-1.1812222222222224</v>
      </c>
      <c r="G24" s="19">
        <f t="shared" si="4"/>
        <v>0.9756694444444447</v>
      </c>
      <c r="H24" s="20">
        <f t="shared" si="5"/>
        <v>0.83353665990421522</v>
      </c>
      <c r="I24" s="20">
        <f t="shared" si="6"/>
        <v>0.98683592983945412</v>
      </c>
      <c r="J24" s="20">
        <f t="shared" si="7"/>
        <v>0.75756489578192909</v>
      </c>
      <c r="K24" s="20">
        <f t="shared" si="8"/>
        <v>-0.90813931944885351</v>
      </c>
      <c r="L24" s="20">
        <f t="shared" si="9"/>
        <v>0.85894294133601989</v>
      </c>
      <c r="M24" s="20">
        <f t="shared" si="10"/>
        <v>-0.84763575619236686</v>
      </c>
      <c r="N24" s="20">
        <f t="shared" si="11"/>
        <v>-0.89618450973207842</v>
      </c>
      <c r="O24" s="20">
        <f t="shared" si="12"/>
        <v>1.600347504338699</v>
      </c>
      <c r="P24" s="20">
        <f t="shared" si="13"/>
        <v>-7.9510004566178738E-2</v>
      </c>
      <c r="Q24" s="21">
        <v>10.9159496548662</v>
      </c>
      <c r="R24" s="21">
        <v>17.146454104442501</v>
      </c>
      <c r="S24" s="21">
        <v>1.7788447658003901</v>
      </c>
      <c r="T24" s="21">
        <f t="shared" si="15"/>
        <v>-1.1353452182632735</v>
      </c>
      <c r="U24" s="21">
        <f t="shared" si="16"/>
        <v>1.935222402974089</v>
      </c>
      <c r="V24" s="21">
        <f t="shared" si="17"/>
        <v>18.454376392531234</v>
      </c>
      <c r="W24" s="21">
        <f t="shared" si="18"/>
        <v>3.8957755162800582</v>
      </c>
      <c r="X24" s="21">
        <f t="shared" si="19"/>
        <v>55.050123673299147</v>
      </c>
      <c r="Y24" s="22">
        <f t="shared" si="20"/>
        <v>-318.90728599339081</v>
      </c>
      <c r="Z24" s="23">
        <v>9.5038794427374196</v>
      </c>
      <c r="AA24" s="23">
        <v>15.613676655218001</v>
      </c>
      <c r="AB24" s="23">
        <v>3.2738793215858899</v>
      </c>
      <c r="AC24" s="23">
        <f t="shared" si="14"/>
        <v>-2.0434845377121271</v>
      </c>
      <c r="AD24" s="23">
        <f t="shared" si="14"/>
        <v>2.7941653443101089</v>
      </c>
      <c r="AE24" s="23">
        <f t="shared" si="14"/>
        <v>17.606740636338866</v>
      </c>
      <c r="AF24" s="23">
        <f t="shared" si="14"/>
        <v>2.9995910065479796</v>
      </c>
      <c r="AG24" s="23">
        <f t="shared" si="14"/>
        <v>56.650471177637847</v>
      </c>
      <c r="AH24" s="24">
        <f t="shared" si="14"/>
        <v>-318.98679599795702</v>
      </c>
    </row>
    <row r="25" spans="1:34">
      <c r="A25" s="17">
        <v>1.2</v>
      </c>
      <c r="B25" s="18">
        <f t="shared" si="0"/>
        <v>2.44</v>
      </c>
      <c r="C25" s="18">
        <f t="shared" si="1"/>
        <v>3.7760000000000002</v>
      </c>
      <c r="D25" s="18">
        <f t="shared" si="2"/>
        <v>3.2928000000000002</v>
      </c>
      <c r="E25" s="19">
        <f t="shared" si="3"/>
        <v>-0.81333333333333335</v>
      </c>
      <c r="F25" s="19">
        <f t="shared" si="3"/>
        <v>-1.2586666666666668</v>
      </c>
      <c r="G25" s="19">
        <f t="shared" si="4"/>
        <v>1.0976000000000001</v>
      </c>
      <c r="H25" s="20">
        <f t="shared" si="5"/>
        <v>0.67636499093478375</v>
      </c>
      <c r="I25" s="20">
        <f t="shared" si="6"/>
        <v>0.96336597672142377</v>
      </c>
      <c r="J25" s="20">
        <f t="shared" si="7"/>
        <v>0.74471026649408723</v>
      </c>
      <c r="K25" s="20">
        <f t="shared" si="8"/>
        <v>-0.91910537834310524</v>
      </c>
      <c r="L25" s="20">
        <f t="shared" si="9"/>
        <v>0.8471985030090512</v>
      </c>
      <c r="M25" s="20">
        <f t="shared" si="10"/>
        <v>-0.81616221332824257</v>
      </c>
      <c r="N25" s="20">
        <f t="shared" si="11"/>
        <v>-0.88543485051741921</v>
      </c>
      <c r="O25" s="20">
        <f t="shared" si="12"/>
        <v>1.4260132173995808</v>
      </c>
      <c r="P25" s="20">
        <f t="shared" si="13"/>
        <v>-0.16461220691493628</v>
      </c>
      <c r="Q25" s="21">
        <v>10.9262390064576</v>
      </c>
      <c r="R25" s="21">
        <v>17.1527276189804</v>
      </c>
      <c r="S25" s="21">
        <v>1.7746522834501099</v>
      </c>
      <c r="T25" s="21">
        <f t="shared" si="15"/>
        <v>-1.1417970109435953</v>
      </c>
      <c r="U25" s="21">
        <f t="shared" si="16"/>
        <v>1.9244210597584579</v>
      </c>
      <c r="V25" s="21">
        <f t="shared" si="17"/>
        <v>18.477305100944228</v>
      </c>
      <c r="W25" s="21">
        <f t="shared" si="18"/>
        <v>3.8197689170222606</v>
      </c>
      <c r="X25" s="21">
        <f t="shared" si="19"/>
        <v>53.749464682939234</v>
      </c>
      <c r="Y25" s="22">
        <f t="shared" si="20"/>
        <v>-319.36936353182477</v>
      </c>
      <c r="Z25" s="23">
        <v>9.5381294818152895</v>
      </c>
      <c r="AA25" s="23">
        <v>15.6339181578828</v>
      </c>
      <c r="AB25" s="23">
        <v>3.2508137412428502</v>
      </c>
      <c r="AC25" s="23">
        <f t="shared" si="14"/>
        <v>-2.0609023892867007</v>
      </c>
      <c r="AD25" s="23">
        <f t="shared" si="14"/>
        <v>2.7716195627675093</v>
      </c>
      <c r="AE25" s="23">
        <f t="shared" si="14"/>
        <v>17.661142887615984</v>
      </c>
      <c r="AF25" s="23">
        <f t="shared" si="14"/>
        <v>2.9343340665048414</v>
      </c>
      <c r="AG25" s="23">
        <f t="shared" si="14"/>
        <v>55.175477900338812</v>
      </c>
      <c r="AH25" s="24">
        <f t="shared" si="14"/>
        <v>-319.53397573873968</v>
      </c>
    </row>
    <row r="26" spans="1:34">
      <c r="A26" s="17">
        <v>1.3</v>
      </c>
      <c r="B26" s="18">
        <f t="shared" si="0"/>
        <v>2.6900000000000004</v>
      </c>
      <c r="C26" s="18">
        <f t="shared" si="1"/>
        <v>4.0323333333333338</v>
      </c>
      <c r="D26" s="18">
        <f t="shared" si="2"/>
        <v>3.6830083333333334</v>
      </c>
      <c r="E26" s="19">
        <f t="shared" si="3"/>
        <v>-0.89666666666666694</v>
      </c>
      <c r="F26" s="19">
        <f t="shared" si="3"/>
        <v>-1.3441111111111115</v>
      </c>
      <c r="G26" s="19">
        <f t="shared" si="4"/>
        <v>1.2276694444444447</v>
      </c>
      <c r="H26" s="20">
        <f t="shared" si="5"/>
        <v>0.52945222312752593</v>
      </c>
      <c r="I26" s="20">
        <f t="shared" si="6"/>
        <v>0.92781779873022019</v>
      </c>
      <c r="J26" s="20">
        <f t="shared" si="7"/>
        <v>0.72540346477730444</v>
      </c>
      <c r="K26" s="20">
        <f t="shared" si="8"/>
        <v>-0.93528976157240984</v>
      </c>
      <c r="L26" s="20">
        <f t="shared" si="9"/>
        <v>0.82929672729236348</v>
      </c>
      <c r="M26" s="20">
        <f t="shared" si="10"/>
        <v>-0.76943626401057641</v>
      </c>
      <c r="N26" s="20">
        <f t="shared" si="11"/>
        <v>-0.86777848775702582</v>
      </c>
      <c r="O26" s="20">
        <f t="shared" si="12"/>
        <v>1.2442133221934863</v>
      </c>
      <c r="P26" s="20">
        <f t="shared" si="13"/>
        <v>-0.21870541720457143</v>
      </c>
      <c r="Q26" s="21">
        <v>10.936448037373401</v>
      </c>
      <c r="R26" s="21">
        <v>17.1589097713094</v>
      </c>
      <c r="S26" s="21">
        <v>1.77057719882227</v>
      </c>
      <c r="T26" s="21">
        <f t="shared" si="15"/>
        <v>-1.153589784199667</v>
      </c>
      <c r="U26" s="21">
        <f t="shared" si="16"/>
        <v>1.9074178244428364</v>
      </c>
      <c r="V26" s="21">
        <f t="shared" si="17"/>
        <v>18.499382628550059</v>
      </c>
      <c r="W26" s="21">
        <f t="shared" si="18"/>
        <v>3.7457903913359041</v>
      </c>
      <c r="X26" s="21">
        <f t="shared" si="19"/>
        <v>52.482863990188356</v>
      </c>
      <c r="Y26" s="22">
        <f t="shared" si="20"/>
        <v>-319.81666420223939</v>
      </c>
      <c r="Z26" s="23">
        <v>9.5719948611640007</v>
      </c>
      <c r="AA26" s="23">
        <v>15.654011747171401</v>
      </c>
      <c r="AB26" s="23">
        <v>3.2279174726211002</v>
      </c>
      <c r="AC26" s="23">
        <f t="shared" si="14"/>
        <v>-2.0888795457720768</v>
      </c>
      <c r="AD26" s="23">
        <f t="shared" si="14"/>
        <v>2.7367145517351998</v>
      </c>
      <c r="AE26" s="23">
        <f t="shared" si="14"/>
        <v>17.729946364539483</v>
      </c>
      <c r="AF26" s="23">
        <f t="shared" si="14"/>
        <v>2.8780119035788783</v>
      </c>
      <c r="AG26" s="23">
        <f t="shared" si="14"/>
        <v>53.727077312381844</v>
      </c>
      <c r="AH26" s="24">
        <f t="shared" si="14"/>
        <v>-320.03536961944394</v>
      </c>
    </row>
    <row r="27" spans="1:34">
      <c r="A27" s="17">
        <v>1.4</v>
      </c>
      <c r="B27" s="18">
        <f t="shared" si="0"/>
        <v>2.96</v>
      </c>
      <c r="C27" s="18">
        <f t="shared" si="1"/>
        <v>4.3146666666666667</v>
      </c>
      <c r="D27" s="18">
        <f t="shared" si="2"/>
        <v>4.100133333333333</v>
      </c>
      <c r="E27" s="19">
        <f t="shared" si="3"/>
        <v>-0.9866666666666668</v>
      </c>
      <c r="F27" s="19">
        <f t="shared" si="3"/>
        <v>-1.4382222222222223</v>
      </c>
      <c r="G27" s="19">
        <f t="shared" si="4"/>
        <v>1.3667111111111112</v>
      </c>
      <c r="H27" s="20">
        <f t="shared" si="5"/>
        <v>0.39721440054285417</v>
      </c>
      <c r="I27" s="20">
        <f t="shared" si="6"/>
        <v>0.87973338732406947</v>
      </c>
      <c r="J27" s="20">
        <f t="shared" si="7"/>
        <v>0.69958037141942109</v>
      </c>
      <c r="K27" s="20">
        <f t="shared" si="8"/>
        <v>-0.95639056511301734</v>
      </c>
      <c r="L27" s="20">
        <f t="shared" si="9"/>
        <v>0.80487085110768131</v>
      </c>
      <c r="M27" s="20">
        <f t="shared" si="10"/>
        <v>-0.70807176020336715</v>
      </c>
      <c r="N27" s="20">
        <f t="shared" si="11"/>
        <v>-0.8413687114516557</v>
      </c>
      <c r="O27" s="20">
        <f t="shared" si="12"/>
        <v>1.0598864391510072</v>
      </c>
      <c r="P27" s="20">
        <f t="shared" si="13"/>
        <v>-0.24302226306601582</v>
      </c>
      <c r="Q27" s="21">
        <v>10.9466104176961</v>
      </c>
      <c r="R27" s="21">
        <v>17.165009028299</v>
      </c>
      <c r="S27" s="21">
        <v>1.7666131344562099</v>
      </c>
      <c r="T27" s="21">
        <f t="shared" si="15"/>
        <v>-1.1704151423496554</v>
      </c>
      <c r="U27" s="21">
        <f t="shared" si="16"/>
        <v>1.883848830650674</v>
      </c>
      <c r="V27" s="21">
        <f t="shared" si="17"/>
        <v>18.520666760191286</v>
      </c>
      <c r="W27" s="21">
        <f t="shared" si="18"/>
        <v>3.6737338005447673</v>
      </c>
      <c r="X27" s="21">
        <f t="shared" si="19"/>
        <v>51.248522262588118</v>
      </c>
      <c r="Y27" s="22">
        <f t="shared" si="20"/>
        <v>-320.25025581562215</v>
      </c>
      <c r="Z27" s="23">
        <v>9.6054802126022807</v>
      </c>
      <c r="AA27" s="23">
        <v>15.673962570644401</v>
      </c>
      <c r="AB27" s="23">
        <v>3.2051791853357301</v>
      </c>
      <c r="AC27" s="23">
        <f t="shared" si="14"/>
        <v>-2.1268057074626725</v>
      </c>
      <c r="AD27" s="23">
        <f t="shared" si="14"/>
        <v>2.6887196817583554</v>
      </c>
      <c r="AE27" s="23">
        <f t="shared" si="14"/>
        <v>17.812594999987919</v>
      </c>
      <c r="AF27" s="23">
        <f t="shared" si="14"/>
        <v>2.8323650890931118</v>
      </c>
      <c r="AG27" s="23">
        <f t="shared" si="14"/>
        <v>52.308408701739125</v>
      </c>
      <c r="AH27" s="24">
        <f t="shared" si="14"/>
        <v>-320.49327807868815</v>
      </c>
    </row>
    <row r="28" spans="1:34">
      <c r="A28" s="17">
        <v>1.5</v>
      </c>
      <c r="B28" s="18">
        <f t="shared" si="0"/>
        <v>3.25</v>
      </c>
      <c r="C28" s="18">
        <f t="shared" si="1"/>
        <v>4.625</v>
      </c>
      <c r="D28" s="18">
        <f t="shared" si="2"/>
        <v>4.546875</v>
      </c>
      <c r="E28" s="19">
        <f t="shared" si="3"/>
        <v>-1.0833333333333335</v>
      </c>
      <c r="F28" s="19">
        <f t="shared" si="3"/>
        <v>-1.5416666666666667</v>
      </c>
      <c r="G28" s="19">
        <f t="shared" si="4"/>
        <v>1.5156250000000002</v>
      </c>
      <c r="H28" s="20">
        <f t="shared" si="5"/>
        <v>0.27372098679690082</v>
      </c>
      <c r="I28" s="20">
        <f t="shared" si="6"/>
        <v>0.81851425051861892</v>
      </c>
      <c r="J28" s="20">
        <f t="shared" si="7"/>
        <v>0.66714764320618869</v>
      </c>
      <c r="K28" s="20">
        <f t="shared" si="8"/>
        <v>-0.98198718564678589</v>
      </c>
      <c r="L28" s="20">
        <f t="shared" si="9"/>
        <v>0.77343465607994644</v>
      </c>
      <c r="M28" s="20">
        <f t="shared" si="10"/>
        <v>-0.63306728784640309</v>
      </c>
      <c r="N28" s="20">
        <f t="shared" si="11"/>
        <v>-0.80377050527856675</v>
      </c>
      <c r="O28" s="20">
        <f t="shared" si="12"/>
        <v>0.86960291000218237</v>
      </c>
      <c r="P28" s="20">
        <f t="shared" si="13"/>
        <v>-0.24938409516230375</v>
      </c>
      <c r="Q28" s="21">
        <v>10.9567592382783</v>
      </c>
      <c r="R28" s="21">
        <v>17.171033363010999</v>
      </c>
      <c r="S28" s="21">
        <v>1.76275423557453</v>
      </c>
      <c r="T28" s="21">
        <f t="shared" si="15"/>
        <v>-1.1918465127696221</v>
      </c>
      <c r="U28" s="21">
        <f t="shared" si="16"/>
        <v>1.8532304992000941</v>
      </c>
      <c r="V28" s="21">
        <f t="shared" si="17"/>
        <v>18.541210447456645</v>
      </c>
      <c r="W28" s="21">
        <f t="shared" si="18"/>
        <v>3.6035015075652583</v>
      </c>
      <c r="X28" s="21">
        <f t="shared" si="19"/>
        <v>50.044781530502306</v>
      </c>
      <c r="Y28" s="22">
        <f t="shared" si="20"/>
        <v>-320.67112130507815</v>
      </c>
      <c r="Z28" s="23">
        <v>9.6385866761643904</v>
      </c>
      <c r="AA28" s="23">
        <v>15.6937751883906</v>
      </c>
      <c r="AB28" s="23">
        <v>3.1825885908512199</v>
      </c>
      <c r="AC28" s="23">
        <f t="shared" si="14"/>
        <v>-2.1738336984164079</v>
      </c>
      <c r="AD28" s="23">
        <f t="shared" si="14"/>
        <v>2.6266651552800404</v>
      </c>
      <c r="AE28" s="23">
        <f t="shared" si="14"/>
        <v>17.908143159610244</v>
      </c>
      <c r="AF28" s="23">
        <f t="shared" si="14"/>
        <v>2.7997310022866917</v>
      </c>
      <c r="AG28" s="23">
        <f t="shared" si="14"/>
        <v>50.914384440504485</v>
      </c>
      <c r="AH28" s="24">
        <f t="shared" si="14"/>
        <v>-320.92050540024047</v>
      </c>
    </row>
    <row r="29" spans="1:34">
      <c r="A29" s="17">
        <v>1.6</v>
      </c>
      <c r="B29" s="18">
        <f t="shared" si="0"/>
        <v>3.5600000000000005</v>
      </c>
      <c r="C29" s="18">
        <f t="shared" si="1"/>
        <v>4.9653333333333336</v>
      </c>
      <c r="D29" s="18">
        <f t="shared" si="2"/>
        <v>5.026133333333334</v>
      </c>
      <c r="E29" s="19">
        <f t="shared" si="3"/>
        <v>-1.186666666666667</v>
      </c>
      <c r="F29" s="19">
        <f t="shared" si="3"/>
        <v>-1.6551111111111114</v>
      </c>
      <c r="G29" s="19">
        <f t="shared" si="4"/>
        <v>1.6753777777777783</v>
      </c>
      <c r="H29" s="20">
        <f t="shared" si="5"/>
        <v>0.15202285473735347</v>
      </c>
      <c r="I29" s="20">
        <f t="shared" si="6"/>
        <v>0.74345790302900172</v>
      </c>
      <c r="J29" s="20">
        <f t="shared" si="7"/>
        <v>0.62798882614856466</v>
      </c>
      <c r="K29" s="20">
        <f t="shared" si="8"/>
        <v>-1.0115134323535027</v>
      </c>
      <c r="L29" s="20">
        <f t="shared" si="9"/>
        <v>0.73439810468739375</v>
      </c>
      <c r="M29" s="20">
        <f t="shared" si="10"/>
        <v>-0.54599407489936302</v>
      </c>
      <c r="N29" s="20">
        <f t="shared" si="11"/>
        <v>-0.75201765530320297</v>
      </c>
      <c r="O29" s="20">
        <f t="shared" si="12"/>
        <v>0.67073876544078537</v>
      </c>
      <c r="P29" s="20">
        <f t="shared" si="13"/>
        <v>-0.25215045039938189</v>
      </c>
      <c r="Q29" s="21">
        <v>10.96692754104</v>
      </c>
      <c r="R29" s="21">
        <v>17.176990319334301</v>
      </c>
      <c r="S29" s="21">
        <v>1.7589951159356501</v>
      </c>
      <c r="T29" s="21">
        <f t="shared" si="15"/>
        <v>-1.2173122045189997</v>
      </c>
      <c r="U29" s="21">
        <f t="shared" si="16"/>
        <v>1.8149752029895807</v>
      </c>
      <c r="V29" s="21">
        <f t="shared" si="17"/>
        <v>18.561062356831012</v>
      </c>
      <c r="W29" s="21">
        <f t="shared" si="18"/>
        <v>3.5350035172176275</v>
      </c>
      <c r="X29" s="21">
        <f t="shared" si="19"/>
        <v>48.870110454472552</v>
      </c>
      <c r="Y29" s="22">
        <f t="shared" si="20"/>
        <v>-321.08016864222066</v>
      </c>
      <c r="Z29" s="23">
        <v>9.6713119512024104</v>
      </c>
      <c r="AA29" s="23">
        <v>15.7134536228101</v>
      </c>
      <c r="AB29" s="23">
        <v>3.16013631299603</v>
      </c>
      <c r="AC29" s="23">
        <f t="shared" si="14"/>
        <v>-2.2288256368725023</v>
      </c>
      <c r="AD29" s="23">
        <f t="shared" si="14"/>
        <v>2.5493733076769747</v>
      </c>
      <c r="AE29" s="23">
        <f t="shared" si="14"/>
        <v>18.015068281931651</v>
      </c>
      <c r="AF29" s="23">
        <f t="shared" si="14"/>
        <v>2.7829858619144243</v>
      </c>
      <c r="AG29" s="23">
        <f t="shared" si="14"/>
        <v>49.540849219913341</v>
      </c>
      <c r="AH29" s="24">
        <f t="shared" si="14"/>
        <v>-321.33231909262003</v>
      </c>
    </row>
    <row r="30" spans="1:34">
      <c r="A30" s="17">
        <v>1.8</v>
      </c>
      <c r="B30" s="18">
        <f t="shared" si="0"/>
        <v>4.24</v>
      </c>
      <c r="C30" s="18">
        <f t="shared" si="1"/>
        <v>5.7439999999999998</v>
      </c>
      <c r="D30" s="18">
        <f t="shared" si="2"/>
        <v>6.0948000000000011</v>
      </c>
      <c r="E30" s="19">
        <f t="shared" si="3"/>
        <v>-1.4133333333333336</v>
      </c>
      <c r="F30" s="19">
        <f t="shared" si="3"/>
        <v>-1.9146666666666667</v>
      </c>
      <c r="G30" s="19">
        <f t="shared" si="4"/>
        <v>2.0316000000000005</v>
      </c>
      <c r="H30" s="20">
        <f t="shared" si="5"/>
        <v>0.10806581455380593</v>
      </c>
      <c r="I30" s="20">
        <f t="shared" si="6"/>
        <v>0.54886975383576664</v>
      </c>
      <c r="J30" s="20">
        <f t="shared" si="7"/>
        <v>0.52898113496544719</v>
      </c>
      <c r="K30" s="20">
        <f t="shared" si="8"/>
        <v>-1.0791521160461088</v>
      </c>
      <c r="L30" s="20">
        <f t="shared" si="9"/>
        <v>0.63081749375964979</v>
      </c>
      <c r="M30" s="20">
        <f t="shared" si="10"/>
        <v>-0.34623664251515418</v>
      </c>
      <c r="N30" s="20">
        <f t="shared" si="11"/>
        <v>-0.59231395628557437</v>
      </c>
      <c r="O30" s="20">
        <f t="shared" si="12"/>
        <v>0.39327302167787925</v>
      </c>
      <c r="P30" s="20">
        <f t="shared" si="13"/>
        <v>-7.3419368298228982E-2</v>
      </c>
      <c r="Q30" s="21">
        <v>10.9874576403987</v>
      </c>
      <c r="R30" s="21">
        <v>17.1887304637415</v>
      </c>
      <c r="S30" s="21">
        <v>1.75175673614357</v>
      </c>
      <c r="T30" s="21">
        <f t="shared" si="15"/>
        <v>-1.2771239377790267</v>
      </c>
      <c r="U30" s="21">
        <f t="shared" si="16"/>
        <v>1.7128559208960199</v>
      </c>
      <c r="V30" s="21">
        <f t="shared" si="17"/>
        <v>18.598866875457865</v>
      </c>
      <c r="W30" s="21">
        <f t="shared" si="18"/>
        <v>3.4028842831830075</v>
      </c>
      <c r="X30" s="21">
        <f t="shared" si="19"/>
        <v>46.602409359490409</v>
      </c>
      <c r="Y30" s="22">
        <f t="shared" si="20"/>
        <v>-321.86611665853826</v>
      </c>
      <c r="Z30" s="23">
        <v>9.7355922197954907</v>
      </c>
      <c r="AA30" s="23">
        <v>15.7524215900655</v>
      </c>
      <c r="AB30" s="23">
        <v>3.13781377806297</v>
      </c>
      <c r="AC30" s="23">
        <f t="shared" si="14"/>
        <v>-2.3562760538251357</v>
      </c>
      <c r="AD30" s="23">
        <f t="shared" si="14"/>
        <v>2.3436734146556697</v>
      </c>
      <c r="AE30" s="23">
        <f t="shared" si="14"/>
        <v>18.25263023294271</v>
      </c>
      <c r="AF30" s="23">
        <f t="shared" si="14"/>
        <v>2.8105703268974329</v>
      </c>
      <c r="AG30" s="23">
        <f t="shared" si="14"/>
        <v>46.995682381168287</v>
      </c>
      <c r="AH30" s="24">
        <f t="shared" si="14"/>
        <v>-321.93953602683649</v>
      </c>
    </row>
    <row r="31" spans="1:34">
      <c r="A31" s="17">
        <v>2</v>
      </c>
      <c r="B31" s="18">
        <f t="shared" si="0"/>
        <v>5</v>
      </c>
      <c r="C31" s="18">
        <f t="shared" si="1"/>
        <v>6.6666666666666661</v>
      </c>
      <c r="D31" s="18">
        <f t="shared" si="2"/>
        <v>7.333333333333333</v>
      </c>
      <c r="E31" s="19">
        <f t="shared" si="3"/>
        <v>-1.666666666666667</v>
      </c>
      <c r="F31" s="19">
        <f t="shared" si="3"/>
        <v>-2.2222222222222223</v>
      </c>
      <c r="G31" s="19">
        <f t="shared" si="4"/>
        <v>2.4444444444444446</v>
      </c>
      <c r="H31" s="20">
        <f t="shared" si="5"/>
        <v>0.41456966555826724</v>
      </c>
      <c r="I31" s="20">
        <f t="shared" si="6"/>
        <v>0.29114312794605429</v>
      </c>
      <c r="J31" s="20">
        <f t="shared" si="7"/>
        <v>0.40172669706386016</v>
      </c>
      <c r="K31" s="20">
        <f t="shared" si="8"/>
        <v>-1.1504840172066804</v>
      </c>
      <c r="L31" s="20">
        <f t="shared" si="9"/>
        <v>0.48876019288806533</v>
      </c>
      <c r="M31" s="20">
        <f t="shared" si="10"/>
        <v>-0.14229917137294817</v>
      </c>
      <c r="N31" s="20">
        <f t="shared" si="11"/>
        <v>-0.3349555154214951</v>
      </c>
      <c r="O31" s="20">
        <f t="shared" si="12"/>
        <v>0.30014514618639632</v>
      </c>
      <c r="P31" s="20">
        <f t="shared" si="13"/>
        <v>0.43552634838585352</v>
      </c>
      <c r="Q31" s="21">
        <v>11.0084841714493</v>
      </c>
      <c r="R31" s="21">
        <v>17.200283258084099</v>
      </c>
      <c r="S31" s="21">
        <v>1.7448626341087099</v>
      </c>
      <c r="T31" s="21">
        <f t="shared" si="15"/>
        <v>-1.3409915100612051</v>
      </c>
      <c r="U31" s="21">
        <f t="shared" si="16"/>
        <v>1.5721377333448923</v>
      </c>
      <c r="V31" s="21">
        <f t="shared" si="17"/>
        <v>18.634400571303885</v>
      </c>
      <c r="W31" s="21">
        <f t="shared" si="18"/>
        <v>3.2767828398852563</v>
      </c>
      <c r="X31" s="21">
        <f t="shared" si="19"/>
        <v>44.435248515432988</v>
      </c>
      <c r="Y31" s="22">
        <f t="shared" si="20"/>
        <v>-322.61416689066255</v>
      </c>
      <c r="Z31" s="23">
        <v>9.7982301702476295</v>
      </c>
      <c r="AA31" s="23">
        <v>15.790889350121001</v>
      </c>
      <c r="AB31" s="23">
        <v>3.1156131209848699</v>
      </c>
      <c r="AC31" s="23">
        <f t="shared" si="14"/>
        <v>-2.4914755272678857</v>
      </c>
      <c r="AD31" s="23">
        <f t="shared" si="14"/>
        <v>2.0608979262329576</v>
      </c>
      <c r="AE31" s="23">
        <f t="shared" si="14"/>
        <v>18.492101399930938</v>
      </c>
      <c r="AF31" s="23">
        <f t="shared" si="14"/>
        <v>2.9418273244637612</v>
      </c>
      <c r="AG31" s="23">
        <f t="shared" si="14"/>
        <v>44.735393661619383</v>
      </c>
      <c r="AH31" s="24">
        <f t="shared" si="14"/>
        <v>-322.1786405422767</v>
      </c>
    </row>
    <row r="32" spans="1:34">
      <c r="A32" s="17">
        <v>2.2000000000000002</v>
      </c>
      <c r="B32" s="18">
        <f t="shared" si="0"/>
        <v>5.8400000000000007</v>
      </c>
      <c r="C32" s="18">
        <f t="shared" si="1"/>
        <v>7.7493333333333343</v>
      </c>
      <c r="D32" s="18">
        <f t="shared" si="2"/>
        <v>8.7721333333333344</v>
      </c>
      <c r="E32" s="19">
        <f t="shared" si="3"/>
        <v>-1.9466666666666672</v>
      </c>
      <c r="F32" s="19">
        <f t="shared" si="3"/>
        <v>-2.5831111111111116</v>
      </c>
      <c r="G32" s="19">
        <f t="shared" si="4"/>
        <v>2.9240444444444451</v>
      </c>
      <c r="H32" s="20">
        <f t="shared" si="5"/>
        <v>0.76773279861528976</v>
      </c>
      <c r="I32" s="20">
        <f t="shared" si="6"/>
        <v>2.9026456982363443E-2</v>
      </c>
      <c r="J32" s="20">
        <f t="shared" si="7"/>
        <v>0.24657874364250032</v>
      </c>
      <c r="K32" s="20">
        <f t="shared" si="8"/>
        <v>-1.2121914773448033</v>
      </c>
      <c r="L32" s="20">
        <f t="shared" si="9"/>
        <v>0.30510952501130373</v>
      </c>
      <c r="M32" s="20">
        <f t="shared" si="10"/>
        <v>-8.85624850264995E-3</v>
      </c>
      <c r="N32" s="20">
        <f t="shared" si="11"/>
        <v>-3.5185623771536521E-2</v>
      </c>
      <c r="O32" s="20">
        <f t="shared" si="12"/>
        <v>0.23526390351591209</v>
      </c>
      <c r="P32" s="20">
        <f t="shared" si="13"/>
        <v>0.93038208984334114</v>
      </c>
      <c r="Q32" s="21">
        <v>11.0303256713922</v>
      </c>
      <c r="R32" s="21">
        <v>17.2116987386643</v>
      </c>
      <c r="S32" s="21">
        <v>1.73828249390876</v>
      </c>
      <c r="T32" s="21">
        <f t="shared" si="15"/>
        <v>-1.3955661212322759</v>
      </c>
      <c r="U32" s="21">
        <f t="shared" si="16"/>
        <v>1.3897171683455847</v>
      </c>
      <c r="V32" s="21">
        <f t="shared" si="17"/>
        <v>18.667940006722304</v>
      </c>
      <c r="W32" s="21">
        <f t="shared" si="18"/>
        <v>3.1561891269010292</v>
      </c>
      <c r="X32" s="21">
        <f t="shared" si="19"/>
        <v>42.359800882810099</v>
      </c>
      <c r="Y32" s="22">
        <f t="shared" si="20"/>
        <v>-323.32964150911744</v>
      </c>
      <c r="Z32" s="23">
        <v>9.8590679178959704</v>
      </c>
      <c r="AA32" s="23">
        <v>15.828873282861499</v>
      </c>
      <c r="AB32" s="23">
        <v>3.0935271047921198</v>
      </c>
      <c r="AC32" s="23">
        <f t="shared" si="14"/>
        <v>-2.6077575985770789</v>
      </c>
      <c r="AD32" s="23">
        <f t="shared" si="14"/>
        <v>1.6948266933568883</v>
      </c>
      <c r="AE32" s="23">
        <f t="shared" si="14"/>
        <v>18.659083758219655</v>
      </c>
      <c r="AF32" s="23">
        <f t="shared" si="14"/>
        <v>3.1210035031294927</v>
      </c>
      <c r="AG32" s="23">
        <f t="shared" si="14"/>
        <v>42.595064786326013</v>
      </c>
      <c r="AH32" s="24">
        <f t="shared" si="14"/>
        <v>-322.39925941927407</v>
      </c>
    </row>
    <row r="33" spans="1:34">
      <c r="A33" s="17">
        <v>2.4</v>
      </c>
      <c r="B33" s="18">
        <f t="shared" si="0"/>
        <v>6.76</v>
      </c>
      <c r="C33" s="18">
        <f t="shared" si="1"/>
        <v>9.0079999999999991</v>
      </c>
      <c r="D33" s="18">
        <f t="shared" si="2"/>
        <v>10.444799999999999</v>
      </c>
      <c r="E33" s="19">
        <f t="shared" si="3"/>
        <v>-2.2533333333333334</v>
      </c>
      <c r="F33" s="19">
        <f t="shared" si="3"/>
        <v>-3.0026666666666668</v>
      </c>
      <c r="G33" s="19">
        <f t="shared" si="4"/>
        <v>3.4816000000000003</v>
      </c>
      <c r="H33" s="20">
        <f t="shared" si="5"/>
        <v>0.99896074356690923</v>
      </c>
      <c r="I33" s="20">
        <f t="shared" si="6"/>
        <v>0.39660192501705877</v>
      </c>
      <c r="J33" s="20">
        <f t="shared" si="7"/>
        <v>6.7804882275618761E-2</v>
      </c>
      <c r="K33" s="20">
        <f t="shared" si="8"/>
        <v>-1.2471276619302754</v>
      </c>
      <c r="L33" s="20">
        <f t="shared" si="9"/>
        <v>8.4691173379078361E-2</v>
      </c>
      <c r="M33" s="20">
        <f t="shared" si="10"/>
        <v>-3.3588682394095959E-2</v>
      </c>
      <c r="N33" s="20">
        <f t="shared" si="11"/>
        <v>-0.49461323146357083</v>
      </c>
      <c r="O33" s="20">
        <f t="shared" si="12"/>
        <v>0.28076771726967842</v>
      </c>
      <c r="P33" s="20">
        <f t="shared" si="13"/>
        <v>1.232510240388444</v>
      </c>
      <c r="Q33" s="21">
        <v>11.0533593896188</v>
      </c>
      <c r="R33" s="21">
        <v>17.223024365420901</v>
      </c>
      <c r="S33" s="21">
        <v>1.73199020680572</v>
      </c>
      <c r="T33" s="21">
        <f t="shared" si="15"/>
        <v>-1.4236740580134382</v>
      </c>
      <c r="U33" s="21">
        <f t="shared" si="16"/>
        <v>1.1704311837084607</v>
      </c>
      <c r="V33" s="21">
        <f t="shared" si="17"/>
        <v>18.69972665241529</v>
      </c>
      <c r="W33" s="21">
        <f t="shared" si="18"/>
        <v>3.0406628813675614</v>
      </c>
      <c r="X33" s="21">
        <f t="shared" si="19"/>
        <v>40.368336354965344</v>
      </c>
      <c r="Y33" s="22">
        <f t="shared" si="20"/>
        <v>-324.01727852610838</v>
      </c>
      <c r="Z33" s="23">
        <v>9.9178643690312693</v>
      </c>
      <c r="AA33" s="23">
        <v>15.8663838891342</v>
      </c>
      <c r="AB33" s="23">
        <v>3.0715490511113899</v>
      </c>
      <c r="AC33" s="23">
        <f t="shared" si="14"/>
        <v>-2.6708017199437135</v>
      </c>
      <c r="AD33" s="23">
        <f t="shared" si="14"/>
        <v>1.2551223570875389</v>
      </c>
      <c r="AE33" s="23">
        <f t="shared" si="14"/>
        <v>18.666137970021193</v>
      </c>
      <c r="AF33" s="23">
        <f t="shared" si="14"/>
        <v>2.5460496499039906</v>
      </c>
      <c r="AG33" s="23">
        <f t="shared" si="14"/>
        <v>40.649104072235019</v>
      </c>
      <c r="AH33" s="24">
        <f t="shared" si="14"/>
        <v>-322.78476828571996</v>
      </c>
    </row>
    <row r="34" spans="1:34">
      <c r="A34" s="17">
        <v>2.6</v>
      </c>
      <c r="B34" s="18">
        <f t="shared" si="0"/>
        <v>7.7600000000000007</v>
      </c>
      <c r="C34" s="18">
        <f t="shared" si="1"/>
        <v>10.458666666666668</v>
      </c>
      <c r="D34" s="18">
        <f t="shared" si="2"/>
        <v>12.388133333333334</v>
      </c>
      <c r="E34" s="19">
        <f t="shared" si="3"/>
        <v>-2.5866666666666673</v>
      </c>
      <c r="F34" s="19">
        <f t="shared" si="3"/>
        <v>-3.486222222222223</v>
      </c>
      <c r="G34" s="19">
        <f t="shared" si="4"/>
        <v>4.1293777777777789</v>
      </c>
      <c r="H34" s="20">
        <f t="shared" si="5"/>
        <v>0.3537080466524421</v>
      </c>
      <c r="I34" s="20">
        <f t="shared" si="6"/>
        <v>0.76441305225384859</v>
      </c>
      <c r="J34" s="20">
        <f t="shared" si="7"/>
        <v>-0.11765466781495386</v>
      </c>
      <c r="K34" s="20">
        <f t="shared" si="8"/>
        <v>-1.2413583374715491</v>
      </c>
      <c r="L34" s="20">
        <f t="shared" si="9"/>
        <v>-0.14672926766624214</v>
      </c>
      <c r="M34" s="20">
        <f t="shared" si="10"/>
        <v>0.11216176735172408</v>
      </c>
      <c r="N34" s="20">
        <f t="shared" si="11"/>
        <v>-0.94891051568738982</v>
      </c>
      <c r="O34" s="20">
        <f>(H34*$N$4*SIN(J34))+((I34^2)*$N$4*COS(J34))</f>
        <v>0.67346026095940137</v>
      </c>
      <c r="P34" s="20">
        <f t="shared" si="13"/>
        <v>0.52481635167030216</v>
      </c>
      <c r="Q34" s="21">
        <v>11.0780537071588</v>
      </c>
      <c r="R34" s="21">
        <v>17.2343060519046</v>
      </c>
      <c r="S34" s="21">
        <v>1.7259632190934</v>
      </c>
      <c r="T34" s="21">
        <f t="shared" si="15"/>
        <v>-1.4113578249928402</v>
      </c>
      <c r="U34" s="21">
        <f t="shared" si="16"/>
        <v>0.94005505971545977</v>
      </c>
      <c r="V34" s="21">
        <f t="shared" si="17"/>
        <v>18.729973710509537</v>
      </c>
      <c r="W34" s="21">
        <f t="shared" si="18"/>
        <v>2.9298231966088695</v>
      </c>
      <c r="X34" s="21">
        <f t="shared" si="19"/>
        <v>38.454014501493774</v>
      </c>
      <c r="Y34" s="22">
        <f t="shared" si="20"/>
        <v>-324.68136272399897</v>
      </c>
      <c r="Z34" s="23">
        <v>9.9742684272570301</v>
      </c>
      <c r="AA34" s="23">
        <v>15.903426183052501</v>
      </c>
      <c r="AB34" s="23">
        <v>2.9630765951254601</v>
      </c>
      <c r="AC34" s="23">
        <f t="shared" ref="AC34:AH39" si="21">K34+T34</f>
        <v>-2.6527161624643893</v>
      </c>
      <c r="AD34" s="23">
        <f t="shared" si="21"/>
        <v>0.7933257920492176</v>
      </c>
      <c r="AE34" s="23">
        <f t="shared" si="21"/>
        <v>18.842135477861262</v>
      </c>
      <c r="AF34" s="23">
        <f t="shared" si="21"/>
        <v>1.9809126809214797</v>
      </c>
      <c r="AG34" s="23">
        <f t="shared" si="21"/>
        <v>39.127474762453176</v>
      </c>
      <c r="AH34" s="24">
        <f t="shared" si="21"/>
        <v>-324.15654637232865</v>
      </c>
    </row>
    <row r="35" spans="1:34">
      <c r="A35" s="17">
        <v>2.8</v>
      </c>
      <c r="B35" s="18">
        <f t="shared" si="0"/>
        <v>8.84</v>
      </c>
      <c r="C35" s="18">
        <f t="shared" si="1"/>
        <v>12.117333333333331</v>
      </c>
      <c r="D35" s="18">
        <f t="shared" si="2"/>
        <v>14.64213333333333</v>
      </c>
      <c r="E35" s="19">
        <f t="shared" si="3"/>
        <v>-2.9466666666666668</v>
      </c>
      <c r="F35" s="19">
        <f t="shared" si="3"/>
        <v>-4.0391111111111107</v>
      </c>
      <c r="G35" s="19">
        <f t="shared" si="4"/>
        <v>4.8807111111111103</v>
      </c>
      <c r="H35" s="20">
        <f t="shared" si="5"/>
        <v>0.53958531312070912</v>
      </c>
      <c r="I35" s="20">
        <f t="shared" si="6"/>
        <v>0.99727901166856525</v>
      </c>
      <c r="J35" s="20">
        <f t="shared" si="7"/>
        <v>-0.24210862258631127</v>
      </c>
      <c r="K35" s="20">
        <f t="shared" si="8"/>
        <v>-1.2135432383407159</v>
      </c>
      <c r="L35" s="20">
        <f t="shared" si="9"/>
        <v>-0.29968785206866239</v>
      </c>
      <c r="M35" s="20">
        <f t="shared" si="10"/>
        <v>0.2988724049201108</v>
      </c>
      <c r="N35" s="20">
        <f t="shared" si="11"/>
        <v>-1.2102412013494994</v>
      </c>
      <c r="O35" s="20">
        <f t="shared" si="12"/>
        <v>1.0452409856654636</v>
      </c>
      <c r="P35" s="20">
        <f t="shared" si="13"/>
        <v>0.95286928483932987</v>
      </c>
      <c r="Q35" s="21">
        <v>11.1050157807946</v>
      </c>
      <c r="R35" s="21">
        <v>17.245589100429299</v>
      </c>
      <c r="S35" s="21">
        <v>1.72018202190856</v>
      </c>
      <c r="T35" s="21">
        <f t="shared" si="15"/>
        <v>-1.3772570054921422</v>
      </c>
      <c r="U35" s="21">
        <f t="shared" si="16"/>
        <v>0.7880611090639551</v>
      </c>
      <c r="V35" s="21">
        <f t="shared" si="17"/>
        <v>18.758871628111962</v>
      </c>
      <c r="W35" s="21">
        <f t="shared" si="18"/>
        <v>2.8233403583768597</v>
      </c>
      <c r="X35" s="21">
        <f t="shared" si="19"/>
        <v>36.610698332305475</v>
      </c>
      <c r="Y35" s="22">
        <f t="shared" si="20"/>
        <v>-325.32583605386998</v>
      </c>
      <c r="Z35" s="23">
        <v>10.027775776688699</v>
      </c>
      <c r="AA35" s="23">
        <v>15.939999892436299</v>
      </c>
      <c r="AB35" s="23">
        <v>2.8565356651080802</v>
      </c>
      <c r="AC35" s="23">
        <f t="shared" si="21"/>
        <v>-2.5908002438328581</v>
      </c>
      <c r="AD35" s="23">
        <f t="shared" si="21"/>
        <v>0.48837325699529271</v>
      </c>
      <c r="AE35" s="23">
        <f t="shared" si="21"/>
        <v>19.057744033032073</v>
      </c>
      <c r="AF35" s="23">
        <f t="shared" si="21"/>
        <v>1.6130991570273603</v>
      </c>
      <c r="AG35" s="23">
        <f t="shared" si="21"/>
        <v>37.65593931797094</v>
      </c>
      <c r="AH35" s="24">
        <f t="shared" si="21"/>
        <v>-324.37296676903065</v>
      </c>
    </row>
    <row r="36" spans="1:34">
      <c r="A36" s="17">
        <v>3</v>
      </c>
      <c r="B36" s="18">
        <f t="shared" si="0"/>
        <v>10</v>
      </c>
      <c r="C36" s="18">
        <f t="shared" si="1"/>
        <v>14</v>
      </c>
      <c r="D36" s="18">
        <f t="shared" si="2"/>
        <v>17.25</v>
      </c>
      <c r="E36" s="19">
        <f t="shared" si="3"/>
        <v>-3.3333333333333339</v>
      </c>
      <c r="F36" s="19">
        <f t="shared" si="3"/>
        <v>-4.666666666666667</v>
      </c>
      <c r="G36" s="19">
        <f t="shared" si="4"/>
        <v>5.7500000000000009</v>
      </c>
      <c r="H36" s="20">
        <f t="shared" si="5"/>
        <v>0.81369021913627027</v>
      </c>
      <c r="I36" s="20">
        <f t="shared" si="6"/>
        <v>0.48921409441023972</v>
      </c>
      <c r="J36" s="20">
        <f t="shared" si="7"/>
        <v>2.1996880896020844E-2</v>
      </c>
      <c r="K36" s="20">
        <f t="shared" si="8"/>
        <v>-1.2496975979629978</v>
      </c>
      <c r="L36" s="20">
        <f t="shared" si="9"/>
        <v>2.7493883783732916E-2</v>
      </c>
      <c r="M36" s="20">
        <f t="shared" si="10"/>
        <v>-1.3450395457079274E-2</v>
      </c>
      <c r="N36" s="20">
        <f t="shared" si="11"/>
        <v>-0.61136967867411984</v>
      </c>
      <c r="O36" s="20">
        <f t="shared" si="12"/>
        <v>0.32146216802333161</v>
      </c>
      <c r="P36" s="20">
        <f t="shared" si="13"/>
        <v>1.0102865893075876</v>
      </c>
      <c r="Q36" s="21">
        <v>11.1350655513418</v>
      </c>
      <c r="R36" s="21">
        <v>17.256919090582301</v>
      </c>
      <c r="S36" s="21">
        <v>1.7146297518921401</v>
      </c>
      <c r="T36" s="21">
        <f t="shared" si="15"/>
        <v>-1.4073693967494574</v>
      </c>
      <c r="U36" s="21">
        <f t="shared" si="16"/>
        <v>1.1161350569291557</v>
      </c>
      <c r="V36" s="21">
        <f t="shared" si="17"/>
        <v>18.786592643647158</v>
      </c>
      <c r="W36" s="21">
        <f t="shared" si="18"/>
        <v>2.7209294745245054</v>
      </c>
      <c r="X36" s="21">
        <f t="shared" si="19"/>
        <v>34.832768968186087</v>
      </c>
      <c r="Y36" s="22">
        <f t="shared" si="20"/>
        <v>-325.95439505423286</v>
      </c>
      <c r="Z36" s="23">
        <v>10.0776585824491</v>
      </c>
      <c r="AA36" s="23">
        <v>15.9760994869645</v>
      </c>
      <c r="AB36" s="23">
        <v>2.75146350589092</v>
      </c>
      <c r="AC36" s="23">
        <f t="shared" si="21"/>
        <v>-2.657066994712455</v>
      </c>
      <c r="AD36" s="23">
        <f t="shared" si="21"/>
        <v>1.1436289407128886</v>
      </c>
      <c r="AE36" s="23">
        <f t="shared" si="21"/>
        <v>18.773142248190076</v>
      </c>
      <c r="AF36" s="23">
        <f t="shared" si="21"/>
        <v>2.1095597958503856</v>
      </c>
      <c r="AG36" s="23">
        <f t="shared" si="21"/>
        <v>35.154231136209418</v>
      </c>
      <c r="AH36" s="24">
        <f t="shared" si="21"/>
        <v>-324.94410846492525</v>
      </c>
    </row>
    <row r="37" spans="1:34">
      <c r="A37" s="17">
        <v>3.1</v>
      </c>
      <c r="B37" s="25">
        <f t="shared" si="0"/>
        <v>10.610000000000001</v>
      </c>
      <c r="C37" s="25">
        <f t="shared" si="1"/>
        <v>15.030333333333335</v>
      </c>
      <c r="D37" s="25">
        <f t="shared" si="2"/>
        <v>18.701008333333334</v>
      </c>
      <c r="E37" s="26">
        <f t="shared" si="3"/>
        <v>-3.5366666666666675</v>
      </c>
      <c r="F37" s="26">
        <f t="shared" si="3"/>
        <v>-5.0101111111111125</v>
      </c>
      <c r="G37" s="26">
        <f t="shared" si="4"/>
        <v>6.2336694444444456</v>
      </c>
      <c r="H37" s="27">
        <f t="shared" si="5"/>
        <v>0.80383709244559742</v>
      </c>
      <c r="I37" s="27">
        <f t="shared" si="6"/>
        <v>0.39000631981771711</v>
      </c>
      <c r="J37" s="27">
        <f t="shared" si="7"/>
        <v>0.45015431873466416</v>
      </c>
      <c r="K37" s="27">
        <f t="shared" si="8"/>
        <v>-1.1254749603754384</v>
      </c>
      <c r="L37" s="27">
        <f t="shared" si="9"/>
        <v>0.54388060598619004</v>
      </c>
      <c r="M37" s="27">
        <f t="shared" si="10"/>
        <v>-0.21211687356090381</v>
      </c>
      <c r="N37" s="27">
        <f t="shared" si="11"/>
        <v>-0.43894234734301568</v>
      </c>
      <c r="O37" s="27">
        <f t="shared" si="12"/>
        <v>0.60838169445288826</v>
      </c>
      <c r="P37" s="27">
        <f t="shared" si="13"/>
        <v>0.82197159853978818</v>
      </c>
      <c r="Q37" s="21">
        <v>11.151590985944299</v>
      </c>
      <c r="R37" s="21">
        <v>17.262616225229799</v>
      </c>
      <c r="S37" s="21">
        <v>1.7119348401446199</v>
      </c>
      <c r="T37" s="21">
        <f t="shared" si="15"/>
        <v>-1.2802123982774261</v>
      </c>
      <c r="U37" s="21">
        <f t="shared" si="16"/>
        <v>1.6329427370473746</v>
      </c>
      <c r="V37" s="21">
        <f t="shared" si="17"/>
        <v>18.800061613940144</v>
      </c>
      <c r="W37" s="21">
        <f t="shared" si="18"/>
        <v>2.6711730061773418</v>
      </c>
      <c r="X37" s="21">
        <f t="shared" si="19"/>
        <v>33.966659032957651</v>
      </c>
      <c r="Y37" s="22">
        <f t="shared" si="20"/>
        <v>-326.26381726981901</v>
      </c>
      <c r="Z37" s="23">
        <v>10.100924808473501</v>
      </c>
      <c r="AA37" s="23">
        <v>15.993968294936399</v>
      </c>
      <c r="AB37" s="23">
        <v>2.7305924747291801</v>
      </c>
      <c r="AC37" s="23">
        <f t="shared" si="21"/>
        <v>-2.4056873586528642</v>
      </c>
      <c r="AD37" s="23">
        <f t="shared" si="21"/>
        <v>2.1768233430335648</v>
      </c>
      <c r="AE37" s="23">
        <f t="shared" si="21"/>
        <v>18.587944740379239</v>
      </c>
      <c r="AF37" s="23">
        <f t="shared" si="21"/>
        <v>2.2322306588343261</v>
      </c>
      <c r="AG37" s="23">
        <f t="shared" si="21"/>
        <v>34.575040727410538</v>
      </c>
      <c r="AH37" s="24">
        <f t="shared" si="21"/>
        <v>-325.44184567127922</v>
      </c>
    </row>
    <row r="38" spans="1:34" ht="23.45" customHeight="1">
      <c r="A38" s="45" t="s">
        <v>60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18"/>
      <c r="R38" s="18"/>
      <c r="S38" s="18"/>
      <c r="T38" s="18"/>
      <c r="U38" s="18"/>
      <c r="V38" s="18"/>
      <c r="W38" s="18"/>
      <c r="X38" s="18"/>
      <c r="Y38" s="35"/>
      <c r="Z38" s="18"/>
      <c r="AA38" s="18"/>
      <c r="AB38" s="18"/>
      <c r="AC38" s="18"/>
      <c r="AD38" s="18"/>
      <c r="AE38" s="18"/>
      <c r="AF38" s="18"/>
      <c r="AG38" s="18"/>
      <c r="AH38" s="35"/>
    </row>
    <row r="39" spans="1:34" ht="23.45" customHeight="1">
      <c r="A39" s="44">
        <f>S82</f>
        <v>0.2</v>
      </c>
      <c r="B39" s="37">
        <f t="shared" si="0"/>
        <v>1.04</v>
      </c>
      <c r="C39" s="37">
        <f t="shared" si="1"/>
        <v>2.202666666666667</v>
      </c>
      <c r="D39" s="37">
        <f t="shared" si="2"/>
        <v>0.42013333333333336</v>
      </c>
      <c r="E39" s="38">
        <f t="shared" ref="E39:F39" si="22">-($N$7/$N$8)*B39</f>
        <v>-0.34666666666666673</v>
      </c>
      <c r="F39" s="38">
        <f t="shared" si="22"/>
        <v>-0.73422222222222244</v>
      </c>
      <c r="G39" s="38">
        <f t="shared" si="4"/>
        <v>0.14004444444444447</v>
      </c>
      <c r="H39" s="39">
        <f>Y65</f>
        <v>0.46043482970727345</v>
      </c>
      <c r="I39" s="39">
        <f>V65</f>
        <v>0.66527332226823233</v>
      </c>
      <c r="J39" s="39">
        <f>O65</f>
        <v>0.58781540321946657</v>
      </c>
      <c r="K39" s="39">
        <f>-$N$4*COS(O65)</f>
        <v>-1.0401926497709981</v>
      </c>
      <c r="L39" s="39">
        <f>$N$4*SIN(O65)</f>
        <v>0.69318053302324478</v>
      </c>
      <c r="M39" s="39">
        <f t="shared" si="10"/>
        <v>-0.4611545161360382</v>
      </c>
      <c r="N39" s="39">
        <f t="shared" si="11"/>
        <v>-0.69201241991214779</v>
      </c>
      <c r="O39" s="39">
        <f t="shared" si="12"/>
        <v>0.77954186232478828</v>
      </c>
      <c r="P39" s="39">
        <f t="shared" si="13"/>
        <v>0.1721471285312457</v>
      </c>
      <c r="Q39" s="40">
        <v>11.151590985944299</v>
      </c>
      <c r="R39" s="40">
        <v>17.262616225229799</v>
      </c>
      <c r="S39" s="40">
        <v>1.7119348401446199</v>
      </c>
      <c r="T39" s="40">
        <f t="shared" si="15"/>
        <v>-1.1949300876729858</v>
      </c>
      <c r="U39" s="40">
        <f t="shared" si="16"/>
        <v>1.7822426640844293</v>
      </c>
      <c r="V39" s="40">
        <f t="shared" si="17"/>
        <v>18.800061613940144</v>
      </c>
      <c r="W39" s="40">
        <f t="shared" si="18"/>
        <v>2.6711730061773418</v>
      </c>
      <c r="X39" s="40">
        <f t="shared" si="19"/>
        <v>33.966659032957651</v>
      </c>
      <c r="Y39" s="41">
        <f t="shared" si="20"/>
        <v>-326.26381726981901</v>
      </c>
      <c r="Z39" s="42">
        <v>10.100924808473501</v>
      </c>
      <c r="AA39" s="42">
        <v>15.993968294936399</v>
      </c>
      <c r="AB39" s="42">
        <v>2.7305924747291801</v>
      </c>
      <c r="AC39" s="42">
        <f t="shared" si="21"/>
        <v>-2.2351227374439837</v>
      </c>
      <c r="AD39" s="42">
        <f t="shared" si="21"/>
        <v>2.4754231971076743</v>
      </c>
      <c r="AE39" s="42">
        <f t="shared" si="21"/>
        <v>18.338907097804107</v>
      </c>
      <c r="AF39" s="42">
        <f t="shared" si="21"/>
        <v>1.979160586265194</v>
      </c>
      <c r="AG39" s="42">
        <f t="shared" si="21"/>
        <v>34.746200895282442</v>
      </c>
      <c r="AH39" s="43">
        <f t="shared" si="21"/>
        <v>-326.09167014128775</v>
      </c>
    </row>
    <row r="40" spans="1:34" ht="18" customHeight="1"/>
    <row r="41" spans="1:34" hidden="1"/>
    <row r="42" spans="1:34" hidden="1">
      <c r="F42" s="79" t="s">
        <v>61</v>
      </c>
      <c r="G42" s="79"/>
      <c r="H42" s="79" t="s">
        <v>62</v>
      </c>
      <c r="I42" s="79"/>
      <c r="J42" s="79" t="s">
        <v>63</v>
      </c>
      <c r="K42" s="79"/>
      <c r="P42" s="79" t="s">
        <v>64</v>
      </c>
      <c r="Q42" s="79"/>
      <c r="R42" t="s">
        <v>65</v>
      </c>
      <c r="T42" s="79" t="s">
        <v>66</v>
      </c>
      <c r="U42" s="79"/>
      <c r="W42" s="79" t="s">
        <v>67</v>
      </c>
      <c r="X42" s="79"/>
    </row>
    <row r="43" spans="1:34" hidden="1">
      <c r="A43" s="11" t="s">
        <v>68</v>
      </c>
      <c r="F43" s="11" t="s">
        <v>69</v>
      </c>
      <c r="G43" s="11" t="s">
        <v>70</v>
      </c>
      <c r="H43" s="11" t="s">
        <v>69</v>
      </c>
      <c r="I43" s="11" t="s">
        <v>70</v>
      </c>
      <c r="J43" s="11" t="s">
        <v>69</v>
      </c>
      <c r="K43" s="11" t="s">
        <v>70</v>
      </c>
      <c r="N43" t="s">
        <v>32</v>
      </c>
      <c r="O43" s="11" t="s">
        <v>71</v>
      </c>
      <c r="P43" s="11" t="s">
        <v>69</v>
      </c>
      <c r="Q43" s="11" t="s">
        <v>70</v>
      </c>
      <c r="T43" s="11" t="s">
        <v>69</v>
      </c>
      <c r="U43" s="11" t="s">
        <v>70</v>
      </c>
      <c r="V43" s="11" t="s">
        <v>72</v>
      </c>
      <c r="W43" s="11" t="s">
        <v>69</v>
      </c>
      <c r="X43" s="11" t="s">
        <v>70</v>
      </c>
      <c r="Y43" s="11" t="s">
        <v>73</v>
      </c>
    </row>
    <row r="44" spans="1:34" hidden="1">
      <c r="A44" s="17">
        <v>0</v>
      </c>
      <c r="F44">
        <f t="shared" ref="F44:F63" si="23">$N$3*COS(G18)</f>
        <v>0.3</v>
      </c>
      <c r="G44">
        <f t="shared" ref="G44:G63" si="24">$N$3*SIN(G18)</f>
        <v>0</v>
      </c>
      <c r="H44">
        <f t="shared" ref="H44:H63" si="25">-F18*$N$3*SIN(G18)</f>
        <v>0</v>
      </c>
      <c r="I44">
        <f t="shared" ref="I44:I63" si="26">F18*$N$3*COS(G18)</f>
        <v>-0.2</v>
      </c>
      <c r="J44">
        <f t="shared" ref="J44:J63" si="27">(-E18*$N$3*SIN(G18))+(-(F18^2)*$N$3*COS(G18))</f>
        <v>-0.13333333333333336</v>
      </c>
      <c r="K44">
        <f t="shared" ref="K44:K63" si="28">(E18*$N$3*COS(G18))+((F18^2)*$N$3*SIN(G18))</f>
        <v>-0.1</v>
      </c>
      <c r="N44" s="18">
        <v>0</v>
      </c>
      <c r="O44" s="18">
        <f>-ATAN(($N$10+($N$3*SIN(G18)))/(-$N$9+($N$3*COS(G18))))</f>
        <v>0.48995732625372829</v>
      </c>
      <c r="P44" s="18">
        <f t="shared" ref="P44:P63" si="29">-$N$9+($N$3*COS(G18))</f>
        <v>-0.3</v>
      </c>
      <c r="Q44" s="18">
        <f t="shared" ref="Q44:Q63" si="30">$N$10+($N$3*SIN(G18))</f>
        <v>0.16</v>
      </c>
      <c r="R44">
        <f>SQRT((P44^2)+(Q44^2))</f>
        <v>0.33999999999999997</v>
      </c>
      <c r="T44" s="18">
        <f t="shared" ref="T44:T63" si="31">(SUMPRODUCT(H44:I44,P44:Q44)/SUMPRODUCT(H44:I44,H44:I44))*H44</f>
        <v>0</v>
      </c>
      <c r="U44" s="18">
        <f t="shared" ref="U44:U63" si="32">(SUMPRODUCT(H44:I44,P44:Q44)/SUMPRODUCT(H44:I44,H44:I44))*I44</f>
        <v>0.15999999999999998</v>
      </c>
      <c r="V44" s="18">
        <f t="shared" ref="V44:V63" si="33">(SQRT((T44^2)+(U44^2)))/SQRT((P44^2)+(Q44^2))</f>
        <v>0.47058823529411764</v>
      </c>
      <c r="W44" s="18">
        <f t="shared" ref="W44:W63" si="34">(SUMPRODUCT(J44:K44,P44:Q44)/SUMPRODUCT(J44:K44,J44:K44))*J44</f>
        <v>-0.11520000000000002</v>
      </c>
      <c r="X44" s="18">
        <f t="shared" ref="X44:X63" si="35">(SUMPRODUCT(J44:K44,P44:Q44)/SUMPRODUCT(J44:K44,J44:K44))*K44</f>
        <v>-8.6400000000000005E-2</v>
      </c>
      <c r="Y44" s="18">
        <f t="shared" ref="Y44:Y63" si="36">(SQRT((W44^2)+(X44^2)))/SQRT((P44^2)+(Q44^2))</f>
        <v>0.42352941176470599</v>
      </c>
    </row>
    <row r="45" spans="1:34" hidden="1">
      <c r="A45" s="17">
        <v>0.2</v>
      </c>
      <c r="F45">
        <f t="shared" si="23"/>
        <v>0.29706293799553252</v>
      </c>
      <c r="G45">
        <f t="shared" si="24"/>
        <v>4.1876137231869996E-2</v>
      </c>
      <c r="H45">
        <f t="shared" si="25"/>
        <v>3.0746390536466339E-2</v>
      </c>
      <c r="I45">
        <f t="shared" si="26"/>
        <v>-0.21811021047494214</v>
      </c>
      <c r="J45">
        <f t="shared" si="27"/>
        <v>-0.14562430251722044</v>
      </c>
      <c r="K45">
        <f t="shared" si="28"/>
        <v>-8.0407135320121337E-2</v>
      </c>
      <c r="N45" s="18">
        <v>0.14004444444444447</v>
      </c>
      <c r="O45" s="18">
        <f t="shared" ref="O45:O63" si="37">-ATAN(($N$10+($N$3*SIN(G19)))/(-$N$9+($N$3*COS(G19))))</f>
        <v>0.58781540321946657</v>
      </c>
      <c r="P45" s="18">
        <f t="shared" si="29"/>
        <v>-0.30293706200446746</v>
      </c>
      <c r="Q45" s="18">
        <f t="shared" si="30"/>
        <v>0.20187613723187001</v>
      </c>
      <c r="R45">
        <f t="shared" ref="R45:R65" si="38">SQRT((P45^2)+(Q45^2))</f>
        <v>0.36403961092106363</v>
      </c>
      <c r="T45" s="18">
        <f t="shared" si="31"/>
        <v>-3.3806025099533232E-2</v>
      </c>
      <c r="U45" s="18">
        <f t="shared" si="32"/>
        <v>0.23981479195208955</v>
      </c>
      <c r="V45" s="18">
        <f t="shared" si="33"/>
        <v>0.66527332226823233</v>
      </c>
      <c r="W45" s="18">
        <f t="shared" si="34"/>
        <v>-0.14673455377526631</v>
      </c>
      <c r="X45" s="18">
        <f t="shared" si="35"/>
        <v>-8.1020165711353412E-2</v>
      </c>
      <c r="Y45" s="18">
        <f t="shared" si="36"/>
        <v>0.46043482970727345</v>
      </c>
    </row>
    <row r="46" spans="1:34" hidden="1">
      <c r="A46" s="17">
        <v>0.4</v>
      </c>
      <c r="F46">
        <f t="shared" si="23"/>
        <v>0.28712385706087629</v>
      </c>
      <c r="G46">
        <f t="shared" si="24"/>
        <v>8.6947631977446566E-2</v>
      </c>
      <c r="H46">
        <f t="shared" si="25"/>
        <v>7.0176399853796867E-2</v>
      </c>
      <c r="I46">
        <f t="shared" si="26"/>
        <v>-0.23174085529891167</v>
      </c>
      <c r="J46">
        <f t="shared" si="27"/>
        <v>-0.15342086817886447</v>
      </c>
      <c r="K46">
        <f t="shared" si="28"/>
        <v>-5.4381072670429902E-2</v>
      </c>
      <c r="N46" s="18">
        <v>0.2940444444444445</v>
      </c>
      <c r="O46" s="18">
        <f t="shared" si="37"/>
        <v>0.66817156694246316</v>
      </c>
      <c r="P46" s="18">
        <f t="shared" si="29"/>
        <v>-0.31287614293912369</v>
      </c>
      <c r="Q46" s="18">
        <f t="shared" si="30"/>
        <v>0.24694763197744657</v>
      </c>
      <c r="R46">
        <f t="shared" si="38"/>
        <v>0.39859078484045685</v>
      </c>
      <c r="T46" s="18">
        <f t="shared" si="31"/>
        <v>-9.4781030408879335E-2</v>
      </c>
      <c r="U46" s="18">
        <f t="shared" si="32"/>
        <v>0.31299179067074162</v>
      </c>
      <c r="V46" s="18">
        <f t="shared" si="33"/>
        <v>0.82046048267671978</v>
      </c>
      <c r="W46" s="18">
        <f t="shared" si="34"/>
        <v>-0.20019184126421152</v>
      </c>
      <c r="X46" s="18">
        <f t="shared" si="35"/>
        <v>-7.0959362940927598E-2</v>
      </c>
      <c r="Y46" s="18">
        <f t="shared" si="36"/>
        <v>0.53286697911626268</v>
      </c>
    </row>
    <row r="47" spans="1:34" hidden="1">
      <c r="A47" s="17">
        <v>0.6</v>
      </c>
      <c r="F47">
        <f t="shared" si="23"/>
        <v>0.26833454441360238</v>
      </c>
      <c r="G47">
        <f t="shared" si="24"/>
        <v>0.13415130366248573</v>
      </c>
      <c r="H47">
        <f t="shared" si="25"/>
        <v>0.11948409446205398</v>
      </c>
      <c r="I47">
        <f t="shared" si="26"/>
        <v>-0.23899663422438189</v>
      </c>
      <c r="J47">
        <f t="shared" si="27"/>
        <v>-0.15205107788885597</v>
      </c>
      <c r="K47">
        <f t="shared" si="28"/>
        <v>-1.5224493333297007E-2</v>
      </c>
      <c r="N47" s="18">
        <v>0.46360000000000001</v>
      </c>
      <c r="O47" s="18">
        <f t="shared" si="37"/>
        <v>0.725525501714401</v>
      </c>
      <c r="P47" s="18">
        <f t="shared" si="29"/>
        <v>-0.3316654555863976</v>
      </c>
      <c r="Q47" s="18">
        <f t="shared" si="30"/>
        <v>0.29415130366248576</v>
      </c>
      <c r="R47">
        <f t="shared" si="38"/>
        <v>0.44331361796776847</v>
      </c>
      <c r="T47" s="18">
        <f t="shared" si="31"/>
        <v>-0.18397257774143225</v>
      </c>
      <c r="U47" s="18">
        <f t="shared" si="32"/>
        <v>0.36798895340625831</v>
      </c>
      <c r="V47" s="18">
        <f t="shared" si="33"/>
        <v>0.92804359638568934</v>
      </c>
      <c r="W47" s="18">
        <f t="shared" si="34"/>
        <v>-0.2992130578079521</v>
      </c>
      <c r="X47" s="18">
        <f t="shared" si="35"/>
        <v>-2.9959453540752884E-2</v>
      </c>
      <c r="Y47" s="18">
        <f t="shared" si="36"/>
        <v>0.67832159349571464</v>
      </c>
    </row>
    <row r="48" spans="1:34" hidden="1">
      <c r="A48" s="17">
        <v>0.8</v>
      </c>
      <c r="F48">
        <f t="shared" si="23"/>
        <v>0.2385747692520313</v>
      </c>
      <c r="G48">
        <f t="shared" si="24"/>
        <v>0.18188479726557694</v>
      </c>
      <c r="H48">
        <f t="shared" si="25"/>
        <v>0.18010636813675795</v>
      </c>
      <c r="I48">
        <f t="shared" si="26"/>
        <v>-0.2362420381749003</v>
      </c>
      <c r="J48">
        <f t="shared" si="27"/>
        <v>-0.13450176018534146</v>
      </c>
      <c r="K48">
        <f t="shared" si="28"/>
        <v>4.7924454234976988E-2</v>
      </c>
      <c r="N48" s="18">
        <v>0.65137777777777794</v>
      </c>
      <c r="O48" s="18">
        <f t="shared" si="37"/>
        <v>0.75762178154699866</v>
      </c>
      <c r="P48" s="18">
        <f t="shared" si="29"/>
        <v>-0.36142523074796867</v>
      </c>
      <c r="Q48" s="18">
        <f t="shared" si="30"/>
        <v>0.34188479726557697</v>
      </c>
      <c r="R48">
        <f t="shared" si="38"/>
        <v>0.4975071979605391</v>
      </c>
      <c r="T48" s="18">
        <f t="shared" si="31"/>
        <v>-0.29769052724331124</v>
      </c>
      <c r="U48" s="18">
        <f t="shared" si="32"/>
        <v>0.3904749045182011</v>
      </c>
      <c r="V48" s="18">
        <f t="shared" si="33"/>
        <v>0.98693943218991576</v>
      </c>
      <c r="W48" s="18">
        <f t="shared" si="34"/>
        <v>-0.42880280025869189</v>
      </c>
      <c r="X48" s="18">
        <f t="shared" si="35"/>
        <v>0.1527871467890819</v>
      </c>
      <c r="Y48" s="18">
        <f t="shared" si="36"/>
        <v>0.91498087482903756</v>
      </c>
    </row>
    <row r="49" spans="1:25" hidden="1">
      <c r="A49" s="17">
        <v>1</v>
      </c>
      <c r="F49">
        <f t="shared" si="23"/>
        <v>0.19547850549182103</v>
      </c>
      <c r="G49">
        <f t="shared" si="24"/>
        <v>0.2275701076386881</v>
      </c>
      <c r="H49">
        <f t="shared" si="25"/>
        <v>0.25285567515409796</v>
      </c>
      <c r="I49">
        <f t="shared" si="26"/>
        <v>-0.21719833943535677</v>
      </c>
      <c r="J49">
        <f t="shared" si="27"/>
        <v>-8.961808316904879E-2</v>
      </c>
      <c r="K49">
        <f t="shared" si="28"/>
        <v>0.15063174651000596</v>
      </c>
      <c r="N49" s="18">
        <v>0.86111111111111127</v>
      </c>
      <c r="O49" s="18">
        <f t="shared" si="37"/>
        <v>0.76400063859420742</v>
      </c>
      <c r="P49" s="18">
        <f t="shared" si="29"/>
        <v>-0.40452149450817898</v>
      </c>
      <c r="Q49" s="18">
        <f t="shared" si="30"/>
        <v>0.3875701076386881</v>
      </c>
      <c r="R49">
        <f t="shared" si="38"/>
        <v>0.56022158817221157</v>
      </c>
      <c r="T49" s="18">
        <f t="shared" si="31"/>
        <v>-0.42433891844602484</v>
      </c>
      <c r="U49" s="18">
        <f t="shared" si="32"/>
        <v>0.36449926776649677</v>
      </c>
      <c r="V49" s="18">
        <f t="shared" si="33"/>
        <v>0.99852528002614194</v>
      </c>
      <c r="W49" s="18">
        <f t="shared" si="34"/>
        <v>-0.27605615090051733</v>
      </c>
      <c r="X49" s="18">
        <f t="shared" si="35"/>
        <v>0.4640003297831754</v>
      </c>
      <c r="Y49" s="18">
        <f t="shared" si="36"/>
        <v>0.96374447378455652</v>
      </c>
    </row>
    <row r="50" spans="1:25" hidden="1">
      <c r="A50" s="17">
        <v>1.1000000000000001</v>
      </c>
      <c r="F50">
        <f t="shared" si="23"/>
        <v>0.16818414822439989</v>
      </c>
      <c r="G50">
        <f t="shared" si="24"/>
        <v>0.24842321205159767</v>
      </c>
      <c r="H50">
        <f t="shared" si="25"/>
        <v>0.29344301859117061</v>
      </c>
      <c r="I50">
        <f t="shared" si="26"/>
        <v>-0.19866285330817729</v>
      </c>
      <c r="J50">
        <f t="shared" si="27"/>
        <v>-5.1659877513015623E-2</v>
      </c>
      <c r="K50">
        <f t="shared" si="28"/>
        <v>0.22272575865721822</v>
      </c>
      <c r="N50" s="18">
        <v>0.9756694444444447</v>
      </c>
      <c r="O50" s="18">
        <f t="shared" si="37"/>
        <v>0.75756489578192909</v>
      </c>
      <c r="P50" s="18">
        <f t="shared" si="29"/>
        <v>-0.43181585177560011</v>
      </c>
      <c r="Q50" s="18">
        <f t="shared" si="30"/>
        <v>0.40842321205159771</v>
      </c>
      <c r="R50">
        <f t="shared" si="38"/>
        <v>0.59436895106257981</v>
      </c>
      <c r="T50" s="18">
        <f t="shared" si="31"/>
        <v>-0.48570434202789592</v>
      </c>
      <c r="U50" s="18">
        <f t="shared" si="32"/>
        <v>0.32882503361194632</v>
      </c>
      <c r="V50" s="18">
        <f t="shared" si="33"/>
        <v>0.98683592983945412</v>
      </c>
      <c r="W50" s="18">
        <f t="shared" si="34"/>
        <v>-0.11193993932344365</v>
      </c>
      <c r="X50" s="18">
        <f t="shared" si="35"/>
        <v>0.48261647355968673</v>
      </c>
      <c r="Y50" s="18">
        <f t="shared" si="36"/>
        <v>0.83353665990421522</v>
      </c>
    </row>
    <row r="51" spans="1:25" hidden="1">
      <c r="A51" s="17">
        <v>1.2</v>
      </c>
      <c r="F51">
        <f t="shared" si="23"/>
        <v>0.13672011320405425</v>
      </c>
      <c r="G51">
        <f t="shared" si="24"/>
        <v>0.26703484912174025</v>
      </c>
      <c r="H51">
        <f t="shared" si="25"/>
        <v>0.33610786342789711</v>
      </c>
      <c r="I51">
        <f t="shared" si="26"/>
        <v>-0.17208504915283632</v>
      </c>
      <c r="J51">
        <f t="shared" si="27"/>
        <v>5.9062875197873899E-4</v>
      </c>
      <c r="K51">
        <f t="shared" si="28"/>
        <v>0.3118487386952824</v>
      </c>
      <c r="N51" s="18">
        <v>1.0976000000000001</v>
      </c>
      <c r="O51" s="18">
        <f t="shared" si="37"/>
        <v>0.74471026649408723</v>
      </c>
      <c r="P51" s="18">
        <f t="shared" si="29"/>
        <v>-0.46327988679594573</v>
      </c>
      <c r="Q51" s="18">
        <f t="shared" si="30"/>
        <v>0.42703484912174028</v>
      </c>
      <c r="R51">
        <f t="shared" si="38"/>
        <v>0.63006905643277844</v>
      </c>
      <c r="T51" s="18">
        <f t="shared" si="31"/>
        <v>-0.54028902172776283</v>
      </c>
      <c r="U51" s="18">
        <f t="shared" si="32"/>
        <v>0.27662447975039817</v>
      </c>
      <c r="V51" s="18">
        <f t="shared" si="33"/>
        <v>0.96336597672142377</v>
      </c>
      <c r="W51" s="18">
        <f t="shared" si="34"/>
        <v>8.0712181465438448E-4</v>
      </c>
      <c r="X51" s="18">
        <f t="shared" si="35"/>
        <v>0.42615588731528231</v>
      </c>
      <c r="Y51" s="18">
        <f t="shared" si="36"/>
        <v>0.67636499093478375</v>
      </c>
    </row>
    <row r="52" spans="1:25" hidden="1">
      <c r="A52" s="17">
        <v>1.3</v>
      </c>
      <c r="F52">
        <f t="shared" si="23"/>
        <v>0.10093000198368131</v>
      </c>
      <c r="G52">
        <f t="shared" si="24"/>
        <v>0.28251218504619241</v>
      </c>
      <c r="H52">
        <f t="shared" si="25"/>
        <v>0.37972776694486565</v>
      </c>
      <c r="I52">
        <f t="shared" si="26"/>
        <v>-0.13566113711073258</v>
      </c>
      <c r="J52">
        <f t="shared" si="27"/>
        <v>7.0975617521582351E-2</v>
      </c>
      <c r="K52">
        <f t="shared" si="28"/>
        <v>0.41989574230263693</v>
      </c>
      <c r="N52" s="18">
        <v>1.2276694444444447</v>
      </c>
      <c r="O52" s="18">
        <f t="shared" si="37"/>
        <v>0.72540346477730444</v>
      </c>
      <c r="P52" s="18">
        <f t="shared" si="29"/>
        <v>-0.49906999801631868</v>
      </c>
      <c r="Q52" s="18">
        <f t="shared" si="30"/>
        <v>0.44251218504619239</v>
      </c>
      <c r="R52">
        <f t="shared" si="38"/>
        <v>0.66699917303874068</v>
      </c>
      <c r="T52" s="18">
        <f t="shared" si="31"/>
        <v>-0.58277904092538513</v>
      </c>
      <c r="U52" s="18">
        <f t="shared" si="32"/>
        <v>0.20820301873715502</v>
      </c>
      <c r="V52" s="18">
        <f t="shared" si="33"/>
        <v>0.92781779873022019</v>
      </c>
      <c r="W52" s="18">
        <f t="shared" si="34"/>
        <v>5.8857593907306285E-2</v>
      </c>
      <c r="X52" s="18">
        <f t="shared" si="35"/>
        <v>0.3482048335309017</v>
      </c>
      <c r="Y52" s="18">
        <f t="shared" si="36"/>
        <v>0.52945222312752593</v>
      </c>
    </row>
    <row r="53" spans="1:25" hidden="1">
      <c r="A53" s="17">
        <v>1.4</v>
      </c>
      <c r="F53">
        <f t="shared" si="23"/>
        <v>6.0801433566256349E-2</v>
      </c>
      <c r="G53">
        <f t="shared" si="24"/>
        <v>0.29377403846543026</v>
      </c>
      <c r="H53">
        <f t="shared" si="25"/>
        <v>0.42251235043294771</v>
      </c>
      <c r="I53">
        <f t="shared" si="26"/>
        <v>-8.7445972897958024E-2</v>
      </c>
      <c r="J53">
        <f t="shared" si="27"/>
        <v>0.16409030982020584</v>
      </c>
      <c r="K53">
        <f t="shared" si="28"/>
        <v>0.54767590377063535</v>
      </c>
      <c r="N53" s="18">
        <v>1.3667111111111112</v>
      </c>
      <c r="O53" s="18">
        <f t="shared" si="37"/>
        <v>0.69958037141942109</v>
      </c>
      <c r="P53" s="18">
        <f t="shared" si="29"/>
        <v>-0.53919856643374364</v>
      </c>
      <c r="Q53" s="18">
        <f t="shared" si="30"/>
        <v>0.4537740384654303</v>
      </c>
      <c r="R53">
        <f t="shared" si="38"/>
        <v>0.70473113456795</v>
      </c>
      <c r="T53" s="18">
        <f t="shared" si="31"/>
        <v>-0.60710902927880372</v>
      </c>
      <c r="U53" s="18">
        <f t="shared" si="32"/>
        <v>0.12565133224157687</v>
      </c>
      <c r="V53" s="18">
        <f t="shared" si="33"/>
        <v>0.87973338732406947</v>
      </c>
      <c r="W53" s="18">
        <f t="shared" si="34"/>
        <v>8.0341667429886604E-2</v>
      </c>
      <c r="X53" s="18">
        <f t="shared" si="35"/>
        <v>0.26815230813029228</v>
      </c>
      <c r="Y53" s="18">
        <f t="shared" si="36"/>
        <v>0.39721440054285417</v>
      </c>
    </row>
    <row r="54" spans="1:25" hidden="1">
      <c r="A54" s="17">
        <v>1.5</v>
      </c>
      <c r="F54">
        <f t="shared" si="23"/>
        <v>1.6543002584360741E-2</v>
      </c>
      <c r="G54">
        <f t="shared" si="24"/>
        <v>0.29954353450791393</v>
      </c>
      <c r="H54">
        <f t="shared" si="25"/>
        <v>0.46179628236636733</v>
      </c>
      <c r="I54">
        <f t="shared" si="26"/>
        <v>-2.550379565088948E-2</v>
      </c>
      <c r="J54">
        <f t="shared" si="27"/>
        <v>0.28518714408845219</v>
      </c>
      <c r="K54">
        <f t="shared" si="28"/>
        <v>0.69401434918175875</v>
      </c>
      <c r="N54" s="18">
        <v>1.5156250000000002</v>
      </c>
      <c r="O54" s="18">
        <f t="shared" si="37"/>
        <v>0.66714764320618869</v>
      </c>
      <c r="P54" s="18">
        <f t="shared" si="29"/>
        <v>-0.58345699741563928</v>
      </c>
      <c r="Q54" s="18">
        <f t="shared" si="30"/>
        <v>0.45954353450791396</v>
      </c>
      <c r="R54">
        <f t="shared" si="38"/>
        <v>0.74269935232319917</v>
      </c>
      <c r="T54" s="18">
        <f t="shared" si="31"/>
        <v>-0.60698503726416875</v>
      </c>
      <c r="U54" s="18">
        <f t="shared" si="32"/>
        <v>3.352218920907523E-2</v>
      </c>
      <c r="V54" s="18">
        <f t="shared" si="33"/>
        <v>0.81851425051861892</v>
      </c>
      <c r="W54" s="18">
        <f t="shared" si="34"/>
        <v>7.7268354263425112E-2</v>
      </c>
      <c r="X54" s="18">
        <f t="shared" si="35"/>
        <v>0.1880356380294772</v>
      </c>
      <c r="Y54" s="18">
        <f t="shared" si="36"/>
        <v>0.27372098679690082</v>
      </c>
    </row>
    <row r="55" spans="1:25" hidden="1">
      <c r="A55" s="17">
        <v>1.6</v>
      </c>
      <c r="F55">
        <f t="shared" si="23"/>
        <v>-3.1317274732840239E-2</v>
      </c>
      <c r="G55">
        <f t="shared" si="24"/>
        <v>0.29836090277264515</v>
      </c>
      <c r="H55">
        <f t="shared" si="25"/>
        <v>0.49382044530014696</v>
      </c>
      <c r="I55">
        <f t="shared" si="26"/>
        <v>5.1833569380043139E-2</v>
      </c>
      <c r="J55">
        <f t="shared" si="27"/>
        <v>0.43984525456633039</v>
      </c>
      <c r="K55">
        <f t="shared" si="28"/>
        <v>0.85449087192641393</v>
      </c>
      <c r="N55" s="18">
        <v>1.6753777777777783</v>
      </c>
      <c r="O55" s="18">
        <f t="shared" si="37"/>
        <v>0.62798882614856466</v>
      </c>
      <c r="P55" s="18">
        <f t="shared" si="29"/>
        <v>-0.63131727473284016</v>
      </c>
      <c r="Q55" s="18">
        <f t="shared" si="30"/>
        <v>0.45836090277264518</v>
      </c>
      <c r="R55">
        <f t="shared" si="38"/>
        <v>0.7801642253824862</v>
      </c>
      <c r="T55" s="18">
        <f t="shared" si="31"/>
        <v>-0.57685023249019551</v>
      </c>
      <c r="U55" s="18">
        <f t="shared" si="32"/>
        <v>-6.0548741617008274E-2</v>
      </c>
      <c r="V55" s="18">
        <f t="shared" si="33"/>
        <v>0.74345790302900172</v>
      </c>
      <c r="W55" s="18">
        <f t="shared" si="34"/>
        <v>5.4281084372189543E-2</v>
      </c>
      <c r="X55" s="18">
        <f t="shared" si="35"/>
        <v>0.10545229403471669</v>
      </c>
      <c r="Y55" s="18">
        <f t="shared" si="36"/>
        <v>0.15202285473735347</v>
      </c>
    </row>
    <row r="56" spans="1:25" hidden="1">
      <c r="A56" s="17">
        <v>1.8</v>
      </c>
      <c r="F56">
        <f t="shared" si="23"/>
        <v>-0.13340042906990243</v>
      </c>
      <c r="G56">
        <f t="shared" si="24"/>
        <v>0.26870862569699155</v>
      </c>
      <c r="H56">
        <f t="shared" si="25"/>
        <v>0.51448744866783991</v>
      </c>
      <c r="I56">
        <f t="shared" si="26"/>
        <v>0.25541735485917322</v>
      </c>
      <c r="J56">
        <f t="shared" si="27"/>
        <v>0.8688139530887784</v>
      </c>
      <c r="K56">
        <f t="shared" si="28"/>
        <v>1.173611241468153</v>
      </c>
      <c r="N56" s="18">
        <v>2.0316000000000005</v>
      </c>
      <c r="O56" s="18">
        <f t="shared" si="37"/>
        <v>0.52898113496544719</v>
      </c>
      <c r="P56" s="18">
        <f t="shared" si="29"/>
        <v>-0.73340042906990244</v>
      </c>
      <c r="Q56" s="18">
        <f t="shared" si="30"/>
        <v>0.42870862569699153</v>
      </c>
      <c r="R56">
        <f t="shared" si="38"/>
        <v>0.84951002060418346</v>
      </c>
      <c r="T56" s="18">
        <f t="shared" si="31"/>
        <v>-0.41763622178152843</v>
      </c>
      <c r="U56" s="18">
        <f t="shared" si="32"/>
        <v>-0.20733555179435603</v>
      </c>
      <c r="V56" s="18">
        <f t="shared" si="33"/>
        <v>0.54886975383576664</v>
      </c>
      <c r="W56" s="18">
        <f t="shared" si="34"/>
        <v>-5.4622245507684082E-2</v>
      </c>
      <c r="X56" s="18">
        <f t="shared" si="35"/>
        <v>-7.3784820253112185E-2</v>
      </c>
      <c r="Y56" s="18">
        <f t="shared" si="36"/>
        <v>0.10806581455380593</v>
      </c>
    </row>
    <row r="57" spans="1:25" hidden="1">
      <c r="A57" s="17">
        <v>2</v>
      </c>
      <c r="F57">
        <f t="shared" si="23"/>
        <v>-0.23000287463550012</v>
      </c>
      <c r="G57">
        <f t="shared" si="24"/>
        <v>0.19261017018684765</v>
      </c>
      <c r="H57">
        <f t="shared" si="25"/>
        <v>0.428022600415217</v>
      </c>
      <c r="I57">
        <f t="shared" si="26"/>
        <v>0.51111749919000027</v>
      </c>
      <c r="J57">
        <f t="shared" si="27"/>
        <v>1.4568336151780803</v>
      </c>
      <c r="K57">
        <f t="shared" si="28"/>
        <v>1.3344994586485381</v>
      </c>
      <c r="N57" s="18">
        <v>2.4444444444444446</v>
      </c>
      <c r="O57" s="18">
        <f t="shared" si="37"/>
        <v>0.40172669706386016</v>
      </c>
      <c r="P57" s="18">
        <f t="shared" si="29"/>
        <v>-0.83000287463550015</v>
      </c>
      <c r="Q57" s="18">
        <f t="shared" si="30"/>
        <v>0.35261017018684765</v>
      </c>
      <c r="R57">
        <f t="shared" si="38"/>
        <v>0.90179748503884805</v>
      </c>
      <c r="T57" s="18">
        <f t="shared" si="31"/>
        <v>-0.16856737492580662</v>
      </c>
      <c r="U57" s="18">
        <f t="shared" si="32"/>
        <v>-0.20129249024121945</v>
      </c>
      <c r="V57" s="18">
        <f t="shared" si="33"/>
        <v>0.29114312794605429</v>
      </c>
      <c r="W57" s="18">
        <f t="shared" si="34"/>
        <v>-0.27567865705267236</v>
      </c>
      <c r="X57" s="18">
        <f t="shared" si="35"/>
        <v>-0.25252919397578344</v>
      </c>
      <c r="Y57" s="18">
        <f t="shared" si="36"/>
        <v>0.41456966555826724</v>
      </c>
    </row>
    <row r="58" spans="1:25" hidden="1">
      <c r="A58" s="17">
        <v>2.2000000000000002</v>
      </c>
      <c r="F58">
        <f t="shared" si="23"/>
        <v>-0.29292887069834195</v>
      </c>
      <c r="G58">
        <f t="shared" si="24"/>
        <v>6.475088193526056E-2</v>
      </c>
      <c r="H58">
        <f t="shared" si="25"/>
        <v>0.1672587225812153</v>
      </c>
      <c r="I58">
        <f t="shared" si="26"/>
        <v>0.75666782066611726</v>
      </c>
      <c r="J58">
        <f t="shared" si="27"/>
        <v>2.0806054384835178</v>
      </c>
      <c r="K58">
        <f t="shared" si="28"/>
        <v>1.0022827330225608</v>
      </c>
      <c r="N58" s="18">
        <v>2.9240444444444451</v>
      </c>
      <c r="O58" s="18">
        <f t="shared" si="37"/>
        <v>0.24657874364250032</v>
      </c>
      <c r="P58" s="18">
        <f t="shared" si="29"/>
        <v>-0.89292887069834193</v>
      </c>
      <c r="Q58" s="18">
        <f t="shared" si="30"/>
        <v>0.22475088193526055</v>
      </c>
      <c r="R58">
        <f t="shared" si="38"/>
        <v>0.92077952141503105</v>
      </c>
      <c r="T58" s="18">
        <f t="shared" si="31"/>
        <v>5.7686489854041796E-3</v>
      </c>
      <c r="U58" s="18">
        <f t="shared" si="32"/>
        <v>2.6097001032960258E-2</v>
      </c>
      <c r="V58" s="18">
        <f t="shared" si="33"/>
        <v>2.9026456982363443E-2</v>
      </c>
      <c r="W58" s="18">
        <f t="shared" si="34"/>
        <v>-0.6368684676046904</v>
      </c>
      <c r="X58" s="18">
        <f t="shared" si="35"/>
        <v>-0.30679640477724146</v>
      </c>
      <c r="Y58" s="18">
        <f t="shared" si="36"/>
        <v>0.76773279861528976</v>
      </c>
    </row>
    <row r="59" spans="1:25" hidden="1">
      <c r="A59" s="17">
        <v>2.4</v>
      </c>
      <c r="F59">
        <f t="shared" si="23"/>
        <v>-0.28282566467097853</v>
      </c>
      <c r="G59">
        <f t="shared" si="24"/>
        <v>-0.10004820539829383</v>
      </c>
      <c r="H59">
        <f t="shared" si="25"/>
        <v>-0.30041141140927696</v>
      </c>
      <c r="I59">
        <f t="shared" si="26"/>
        <v>0.84923119578539163</v>
      </c>
      <c r="J59">
        <f t="shared" si="27"/>
        <v>2.3245162477141137</v>
      </c>
      <c r="K59">
        <f t="shared" si="28"/>
        <v>-0.26473483359965044</v>
      </c>
      <c r="N59" s="18">
        <v>3.4816000000000003</v>
      </c>
      <c r="O59" s="18">
        <f t="shared" si="37"/>
        <v>6.7804882275618761E-2</v>
      </c>
      <c r="P59" s="18">
        <f t="shared" si="29"/>
        <v>-0.88282566467097845</v>
      </c>
      <c r="Q59" s="18">
        <f t="shared" si="30"/>
        <v>5.9951794601706174E-2</v>
      </c>
      <c r="R59">
        <f t="shared" si="38"/>
        <v>0.88485895592332686</v>
      </c>
      <c r="T59" s="18">
        <f t="shared" si="31"/>
        <v>-0.11703531191774755</v>
      </c>
      <c r="U59" s="18">
        <f t="shared" si="32"/>
        <v>0.33084641299999495</v>
      </c>
      <c r="V59" s="18">
        <f t="shared" si="33"/>
        <v>0.39660192501705877</v>
      </c>
      <c r="W59" s="18">
        <f t="shared" si="34"/>
        <v>-0.87826195879979974</v>
      </c>
      <c r="X59" s="18">
        <f t="shared" si="35"/>
        <v>0.10002362158079586</v>
      </c>
      <c r="Y59" s="18">
        <f t="shared" si="36"/>
        <v>0.99896074356690923</v>
      </c>
    </row>
    <row r="60" spans="1:25" hidden="1">
      <c r="A60" s="17">
        <v>2.6</v>
      </c>
      <c r="F60">
        <f t="shared" si="23"/>
        <v>-0.16516206208180798</v>
      </c>
      <c r="G60">
        <f t="shared" si="24"/>
        <v>-0.25044259471760189</v>
      </c>
      <c r="H60">
        <f t="shared" si="25"/>
        <v>-0.87309853909549773</v>
      </c>
      <c r="I60">
        <f t="shared" si="26"/>
        <v>0.57579165109764541</v>
      </c>
      <c r="J60">
        <f t="shared" si="27"/>
        <v>1.3595261377571055</v>
      </c>
      <c r="K60">
        <f t="shared" si="28"/>
        <v>-2.6165963285995391</v>
      </c>
      <c r="N60" s="18">
        <v>4.1293777777777789</v>
      </c>
      <c r="O60" s="18">
        <f t="shared" si="37"/>
        <v>-0.11765466781495386</v>
      </c>
      <c r="P60" s="18">
        <f t="shared" si="29"/>
        <v>-0.76516206208180793</v>
      </c>
      <c r="Q60" s="18">
        <f t="shared" si="30"/>
        <v>-9.0442594717601882E-2</v>
      </c>
      <c r="R60">
        <f t="shared" si="38"/>
        <v>0.77048870477673903</v>
      </c>
      <c r="T60" s="18">
        <f t="shared" si="31"/>
        <v>-0.49167860455110479</v>
      </c>
      <c r="U60" s="18">
        <f t="shared" si="32"/>
        <v>0.32425255895761096</v>
      </c>
      <c r="V60" s="18">
        <f t="shared" si="33"/>
        <v>0.76441305225384859</v>
      </c>
      <c r="W60" s="18">
        <f t="shared" si="34"/>
        <v>-0.12565124327572655</v>
      </c>
      <c r="X60" s="18">
        <f t="shared" si="35"/>
        <v>0.24183321872843139</v>
      </c>
      <c r="Y60" s="18">
        <f t="shared" si="36"/>
        <v>0.3537080466524421</v>
      </c>
    </row>
    <row r="61" spans="1:25" hidden="1">
      <c r="A61" s="17">
        <v>2.8</v>
      </c>
      <c r="F61">
        <f t="shared" si="23"/>
        <v>5.0258528790347999E-2</v>
      </c>
      <c r="G61">
        <f t="shared" si="24"/>
        <v>-0.29576017359311541</v>
      </c>
      <c r="H61">
        <f t="shared" si="25"/>
        <v>-1.1946082033841032</v>
      </c>
      <c r="I61">
        <f t="shared" si="26"/>
        <v>-0.20299978206519223</v>
      </c>
      <c r="J61">
        <f t="shared" si="27"/>
        <v>-1.6914453201470321</v>
      </c>
      <c r="K61">
        <f t="shared" si="28"/>
        <v>-4.9732503992154387</v>
      </c>
      <c r="N61" s="18">
        <v>4.8807111111111103</v>
      </c>
      <c r="O61" s="18">
        <f t="shared" si="37"/>
        <v>-0.24210862258631127</v>
      </c>
      <c r="P61" s="18">
        <f t="shared" si="29"/>
        <v>-0.549741471209652</v>
      </c>
      <c r="Q61" s="18">
        <f t="shared" si="30"/>
        <v>-0.1357601735931154</v>
      </c>
      <c r="R61">
        <f t="shared" si="38"/>
        <v>0.56625657603403201</v>
      </c>
      <c r="T61" s="18">
        <f t="shared" si="31"/>
        <v>-0.55673480864852209</v>
      </c>
      <c r="U61" s="18">
        <f t="shared" si="32"/>
        <v>-9.460595072392787E-2</v>
      </c>
      <c r="V61" s="18">
        <f t="shared" si="33"/>
        <v>0.99727901166856525</v>
      </c>
      <c r="W61" s="18">
        <f t="shared" si="34"/>
        <v>-9.838352618725861E-2</v>
      </c>
      <c r="X61" s="18">
        <f t="shared" si="35"/>
        <v>-0.28927090048910026</v>
      </c>
      <c r="Y61" s="18">
        <f t="shared" si="36"/>
        <v>0.53958531312070912</v>
      </c>
    </row>
    <row r="62" spans="1:25" hidden="1">
      <c r="A62" s="17">
        <v>3</v>
      </c>
      <c r="F62">
        <f t="shared" si="23"/>
        <v>0.2583577251484564</v>
      </c>
      <c r="G62">
        <f t="shared" si="24"/>
        <v>-0.15248372324977727</v>
      </c>
      <c r="H62">
        <f t="shared" si="25"/>
        <v>-0.71159070849896067</v>
      </c>
      <c r="I62">
        <f t="shared" si="26"/>
        <v>-1.2056693840261299</v>
      </c>
      <c r="J62">
        <f t="shared" si="27"/>
        <v>-6.1347362029545307</v>
      </c>
      <c r="K62">
        <f t="shared" si="28"/>
        <v>-4.1819490568233384</v>
      </c>
      <c r="N62" s="18">
        <v>5.7500000000000009</v>
      </c>
      <c r="O62" s="18">
        <f t="shared" si="37"/>
        <v>2.1996880896020844E-2</v>
      </c>
      <c r="P62" s="18">
        <f t="shared" si="29"/>
        <v>-0.34164227485154358</v>
      </c>
      <c r="Q62" s="18">
        <f t="shared" si="30"/>
        <v>7.5162767502227334E-3</v>
      </c>
      <c r="R62">
        <f t="shared" si="38"/>
        <v>0.34172494550723626</v>
      </c>
      <c r="T62" s="18">
        <f t="shared" si="31"/>
        <v>-8.4972398399023555E-2</v>
      </c>
      <c r="U62" s="18">
        <f t="shared" si="32"/>
        <v>-0.14397127170628768</v>
      </c>
      <c r="V62" s="18">
        <f t="shared" si="33"/>
        <v>0.48921409441023972</v>
      </c>
      <c r="W62" s="18">
        <f t="shared" si="34"/>
        <v>-0.22975371650236875</v>
      </c>
      <c r="X62" s="18">
        <f t="shared" si="35"/>
        <v>-0.15661934046422421</v>
      </c>
      <c r="Y62" s="18">
        <f t="shared" si="36"/>
        <v>0.81369021913627027</v>
      </c>
    </row>
    <row r="63" spans="1:25" hidden="1">
      <c r="A63" s="17">
        <v>3.1</v>
      </c>
      <c r="F63">
        <f t="shared" si="23"/>
        <v>0.29963230203730523</v>
      </c>
      <c r="G63">
        <f t="shared" si="24"/>
        <v>-1.4848689363882464E-2</v>
      </c>
      <c r="H63">
        <f t="shared" si="25"/>
        <v>-7.439358356742494E-2</v>
      </c>
      <c r="I63">
        <f t="shared" si="26"/>
        <v>-1.5011911256849038</v>
      </c>
      <c r="J63">
        <f t="shared" si="27"/>
        <v>-7.5736492034122671</v>
      </c>
      <c r="K63">
        <f t="shared" si="28"/>
        <v>-1.4324196944984653</v>
      </c>
      <c r="N63" s="18">
        <v>6.2336694444444456</v>
      </c>
      <c r="O63" s="18">
        <f t="shared" si="37"/>
        <v>0.45015431873466416</v>
      </c>
      <c r="P63" s="18">
        <f t="shared" si="29"/>
        <v>-0.30036769796269475</v>
      </c>
      <c r="Q63" s="18">
        <f t="shared" si="30"/>
        <v>0.14515131063611753</v>
      </c>
      <c r="R63">
        <f t="shared" si="38"/>
        <v>0.33360104460086948</v>
      </c>
      <c r="T63" s="18">
        <f t="shared" si="31"/>
        <v>6.4397041190985211E-3</v>
      </c>
      <c r="U63" s="18">
        <f t="shared" si="32"/>
        <v>0.12994704935628687</v>
      </c>
      <c r="V63" s="18">
        <f t="shared" si="33"/>
        <v>0.39000631981771711</v>
      </c>
      <c r="W63" s="18">
        <f t="shared" si="34"/>
        <v>-0.26348966543276681</v>
      </c>
      <c r="X63" s="18">
        <f t="shared" si="35"/>
        <v>-4.9834336912866074E-2</v>
      </c>
      <c r="Y63" s="18">
        <f t="shared" si="36"/>
        <v>0.80383709244559742</v>
      </c>
    </row>
    <row r="64" spans="1:25" hidden="1">
      <c r="A64" s="33" t="s">
        <v>60</v>
      </c>
      <c r="N64" s="18"/>
      <c r="O64" s="18"/>
      <c r="P64" s="18"/>
      <c r="Q64" s="18"/>
      <c r="T64" s="18"/>
      <c r="U64" s="18"/>
      <c r="V64" s="18"/>
      <c r="W64" s="18"/>
      <c r="X64" s="18"/>
      <c r="Y64" s="18"/>
    </row>
    <row r="65" spans="1:25" hidden="1">
      <c r="A65" s="34">
        <f>A39</f>
        <v>0.2</v>
      </c>
      <c r="F65">
        <f>$N$3*COS(G39)</f>
        <v>0.29706293799553252</v>
      </c>
      <c r="G65">
        <f>$N$3*SIN(G39)</f>
        <v>4.1876137231869996E-2</v>
      </c>
      <c r="H65">
        <f>-F39*$N$3*SIN(G39)</f>
        <v>3.0746390536466339E-2</v>
      </c>
      <c r="I65">
        <f>F39*$N$3*COS(G39)</f>
        <v>-0.21811021047494214</v>
      </c>
      <c r="J65">
        <f>(-E39*$N$3*SIN(G39))+(-(F39^2)*$N$3*COS(G39))</f>
        <v>-0.14562430251722044</v>
      </c>
      <c r="K65">
        <f>(E39*$N$3*COS(G39))+((F39^2)*$N$3*SIN(G39))</f>
        <v>-8.0407135320121337E-2</v>
      </c>
      <c r="N65" s="18">
        <v>6.2336694444444456</v>
      </c>
      <c r="O65" s="18">
        <f>-ATAN(($N$10+($N$3*SIN(G39)))/(-$N$9+($N$3*COS(G39))))</f>
        <v>0.58781540321946657</v>
      </c>
      <c r="P65" s="18">
        <f>-$N$9+($N$3*COS(G39))</f>
        <v>-0.30293706200446746</v>
      </c>
      <c r="Q65" s="18">
        <f>$N$10+($N$3*SIN(G39))</f>
        <v>0.20187613723187001</v>
      </c>
      <c r="R65">
        <f t="shared" si="38"/>
        <v>0.36403961092106363</v>
      </c>
      <c r="T65" s="18">
        <f>(SUMPRODUCT(H65:I65,P65:Q65)/SUMPRODUCT(H65:I65,H65:I65))*H65</f>
        <v>-3.3806025099533232E-2</v>
      </c>
      <c r="U65" s="18">
        <f>(SUMPRODUCT(H65:I65,P65:Q65)/SUMPRODUCT(H65:I65,H65:I65))*I65</f>
        <v>0.23981479195208955</v>
      </c>
      <c r="V65" s="18">
        <f>(SQRT((T65^2)+(U65^2)))/SQRT((P65^2)+(Q65^2))</f>
        <v>0.66527332226823233</v>
      </c>
      <c r="W65" s="18">
        <f>(SUMPRODUCT(J65:K65,P65:Q65)/SUMPRODUCT(J65:K65,J65:K65))*J65</f>
        <v>-0.14673455377526631</v>
      </c>
      <c r="X65" s="18">
        <f>(SUMPRODUCT(J65:K65,P65:Q65)/SUMPRODUCT(J65:K65,J65:K65))*K65</f>
        <v>-8.1020165711353412E-2</v>
      </c>
      <c r="Y65" s="18">
        <f>(SQRT((W65^2)+(X65^2)))/SQRT((P65^2)+(Q65^2))</f>
        <v>0.46043482970727345</v>
      </c>
    </row>
    <row r="66" spans="1:25" hidden="1"/>
    <row r="67" spans="1:25" hidden="1"/>
    <row r="68" spans="1:25" hidden="1"/>
    <row r="69" spans="1:25" hidden="1">
      <c r="J69" s="11">
        <v>2</v>
      </c>
      <c r="K69" s="11">
        <v>3</v>
      </c>
      <c r="L69" s="11"/>
      <c r="M69" s="11" t="s">
        <v>74</v>
      </c>
      <c r="N69" s="11" t="s">
        <v>75</v>
      </c>
    </row>
    <row r="70" spans="1:25" hidden="1">
      <c r="I70" t="s">
        <v>8</v>
      </c>
      <c r="J70" s="11">
        <v>2.444</v>
      </c>
      <c r="K70" s="11">
        <v>8.7999999999999995E-2</v>
      </c>
      <c r="L70" s="11"/>
      <c r="M70" s="11">
        <f>J70+K70</f>
        <v>2.532</v>
      </c>
      <c r="N70" s="11" t="s">
        <v>76</v>
      </c>
      <c r="T70">
        <v>0.17</v>
      </c>
    </row>
    <row r="71" spans="1:25" hidden="1">
      <c r="I71" t="s">
        <v>77</v>
      </c>
      <c r="J71" s="11">
        <v>139.80000000000001</v>
      </c>
      <c r="K71" s="11"/>
      <c r="L71" s="11"/>
      <c r="M71" s="11">
        <v>144.94999999999999</v>
      </c>
      <c r="N71" s="11">
        <v>55</v>
      </c>
      <c r="T71">
        <v>9.74</v>
      </c>
    </row>
    <row r="72" spans="1:25" hidden="1"/>
    <row r="73" spans="1:25" hidden="1">
      <c r="J73" s="11">
        <v>3.92</v>
      </c>
      <c r="K73">
        <v>-6.8699999999999997E-2</v>
      </c>
    </row>
    <row r="74" spans="1:25" hidden="1"/>
    <row r="75" spans="1:25" hidden="1">
      <c r="P75">
        <f>55+180</f>
        <v>235</v>
      </c>
    </row>
    <row r="76" spans="1:25" hidden="1">
      <c r="J76">
        <v>5.56</v>
      </c>
      <c r="K76">
        <v>-0.10199999999999999</v>
      </c>
      <c r="M76">
        <f>J76+K76</f>
        <v>5.4579999999999993</v>
      </c>
      <c r="N76">
        <f>M76-PI()/2</f>
        <v>3.8872036732051027</v>
      </c>
    </row>
    <row r="77" spans="1:25" hidden="1">
      <c r="N77" t="s">
        <v>78</v>
      </c>
    </row>
    <row r="78" spans="1:25" ht="15.75" thickBot="1"/>
    <row r="79" spans="1:25" ht="16.5" thickTop="1" thickBot="1">
      <c r="D79" s="67" t="s">
        <v>79</v>
      </c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8"/>
      <c r="Q79" s="80" t="s">
        <v>80</v>
      </c>
    </row>
    <row r="80" spans="1:25" ht="16.5" thickTop="1" thickBot="1"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9"/>
      <c r="Q80" s="80"/>
    </row>
    <row r="81" spans="4:28" ht="16.5" thickTop="1" thickBot="1"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7"/>
      <c r="Q81" s="57"/>
      <c r="S81" s="63" t="s">
        <v>68</v>
      </c>
    </row>
    <row r="82" spans="4:28" ht="16.5" thickTop="1" thickBot="1">
      <c r="D82" s="54">
        <v>1</v>
      </c>
      <c r="E82" s="54">
        <v>2</v>
      </c>
      <c r="F82" s="54">
        <v>3</v>
      </c>
      <c r="G82" s="54">
        <v>4</v>
      </c>
      <c r="H82" s="54">
        <v>5</v>
      </c>
      <c r="I82" s="54">
        <v>6</v>
      </c>
      <c r="J82" s="54">
        <v>7</v>
      </c>
      <c r="K82" s="54">
        <v>8</v>
      </c>
      <c r="L82" s="54">
        <v>9</v>
      </c>
      <c r="M82" s="54">
        <v>10</v>
      </c>
      <c r="N82" s="54">
        <v>11</v>
      </c>
      <c r="O82" s="54">
        <v>12</v>
      </c>
      <c r="P82" s="57"/>
      <c r="Q82" s="57"/>
      <c r="S82" s="63">
        <v>0.2</v>
      </c>
    </row>
    <row r="83" spans="4:28" ht="16.5" thickTop="1" thickBot="1">
      <c r="D83" s="55">
        <v>1</v>
      </c>
      <c r="E83" s="55">
        <v>0</v>
      </c>
      <c r="F83" s="55">
        <v>0</v>
      </c>
      <c r="G83" s="55">
        <v>0</v>
      </c>
      <c r="H83" s="55">
        <v>0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6">
        <f>COS(T102)</f>
        <v>0.5545444264185958</v>
      </c>
      <c r="P83" s="58">
        <v>1</v>
      </c>
      <c r="Q83" s="57" t="s">
        <v>81</v>
      </c>
    </row>
    <row r="84" spans="4:28" ht="16.5" thickTop="1" thickBot="1">
      <c r="D84" s="55">
        <v>0</v>
      </c>
      <c r="E84" s="55">
        <v>-1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6">
        <f>SIN(T102)</f>
        <v>0.83215411981679843</v>
      </c>
      <c r="P84" s="58">
        <v>2</v>
      </c>
      <c r="Q84" s="57" t="s">
        <v>82</v>
      </c>
    </row>
    <row r="85" spans="4:28" ht="16.5" thickTop="1" thickBot="1">
      <c r="D85" s="55">
        <v>0</v>
      </c>
      <c r="E85" s="55">
        <v>0</v>
      </c>
      <c r="F85" s="55">
        <v>0</v>
      </c>
      <c r="G85" s="55">
        <v>0</v>
      </c>
      <c r="H85" s="55">
        <v>0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6">
        <f>T92*SIN(T103)</f>
        <v>-0.22397996919599075</v>
      </c>
      <c r="P85" s="58">
        <v>3</v>
      </c>
      <c r="Q85" s="57" t="s">
        <v>83</v>
      </c>
      <c r="S85" s="74" t="s">
        <v>84</v>
      </c>
      <c r="T85" s="75"/>
      <c r="U85" s="76"/>
      <c r="W85" s="1" t="s">
        <v>85</v>
      </c>
      <c r="X85" s="2">
        <f>R65</f>
        <v>0.36403961092106363</v>
      </c>
      <c r="Z85" s="74" t="s">
        <v>0</v>
      </c>
      <c r="AA85" s="75"/>
      <c r="AB85" s="76"/>
    </row>
    <row r="86" spans="4:28" ht="16.5" thickTop="1" thickBot="1">
      <c r="D86" s="55">
        <v>0</v>
      </c>
      <c r="E86" s="55">
        <v>0</v>
      </c>
      <c r="F86" s="55">
        <v>-1</v>
      </c>
      <c r="G86" s="55">
        <v>0</v>
      </c>
      <c r="H86" s="55">
        <v>1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6">
        <f>-COS(T102)</f>
        <v>-0.5545444264185958</v>
      </c>
      <c r="P86" s="58">
        <v>4</v>
      </c>
      <c r="Q86" s="57" t="s">
        <v>86</v>
      </c>
      <c r="S86" s="3" t="s">
        <v>87</v>
      </c>
      <c r="T86" s="6">
        <v>0.5</v>
      </c>
      <c r="U86" s="5" t="s">
        <v>88</v>
      </c>
      <c r="W86" s="3" t="s">
        <v>89</v>
      </c>
      <c r="X86" s="52">
        <f>VLOOKUP($S$82,$A$18:$AB$37,19,0)</f>
        <v>1.8232732651028201</v>
      </c>
      <c r="Z86" s="3" t="s">
        <v>2</v>
      </c>
      <c r="AA86" s="4">
        <v>0.3</v>
      </c>
      <c r="AB86" s="5" t="s">
        <v>3</v>
      </c>
    </row>
    <row r="87" spans="4:28" ht="16.5" thickTop="1" thickBot="1">
      <c r="D87" s="55">
        <v>0</v>
      </c>
      <c r="E87" s="55">
        <v>0</v>
      </c>
      <c r="F87" s="55">
        <v>0</v>
      </c>
      <c r="G87" s="55">
        <v>1</v>
      </c>
      <c r="H87" s="55">
        <v>0</v>
      </c>
      <c r="I87" s="55">
        <v>-1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6">
        <f>-SIN(T102)</f>
        <v>-0.83215411981679843</v>
      </c>
      <c r="P87" s="58">
        <v>5</v>
      </c>
      <c r="Q87" s="57" t="s">
        <v>90</v>
      </c>
      <c r="S87" s="3" t="s">
        <v>91</v>
      </c>
      <c r="T87" s="6">
        <v>0.4</v>
      </c>
      <c r="U87" s="5" t="s">
        <v>88</v>
      </c>
      <c r="W87" s="3" t="s">
        <v>92</v>
      </c>
      <c r="X87" s="52">
        <f>VLOOKUP($S$82,$A$18:$AB$37,28,0)</f>
        <v>3.3922385174541501</v>
      </c>
      <c r="Z87" s="3" t="s">
        <v>5</v>
      </c>
      <c r="AA87" s="7">
        <v>1.25</v>
      </c>
      <c r="AB87" s="5" t="s">
        <v>3</v>
      </c>
    </row>
    <row r="88" spans="4:28" ht="16.5" thickTop="1" thickBot="1">
      <c r="D88" s="55">
        <v>0</v>
      </c>
      <c r="E88" s="55">
        <v>0</v>
      </c>
      <c r="F88" s="56">
        <f>-T98*SIN(T107)</f>
        <v>-0.34659026651162239</v>
      </c>
      <c r="G88" s="56">
        <f>T98*COS(T107)</f>
        <v>0.52009632488549906</v>
      </c>
      <c r="H88" s="56">
        <f>-T98*SIN(T107)</f>
        <v>-0.34659026651162239</v>
      </c>
      <c r="I88" s="56">
        <f>T98*COS(T107)</f>
        <v>0.52009632488549906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6">
        <f>X85-T98</f>
        <v>-0.26096038907893637</v>
      </c>
      <c r="P88" s="58">
        <v>6</v>
      </c>
      <c r="Q88" s="57" t="s">
        <v>93</v>
      </c>
      <c r="S88" s="3" t="s">
        <v>94</v>
      </c>
      <c r="T88" s="6">
        <v>0.45</v>
      </c>
      <c r="U88" s="5" t="s">
        <v>88</v>
      </c>
      <c r="W88" s="46"/>
      <c r="X88" s="5"/>
      <c r="Z88" s="3" t="s">
        <v>7</v>
      </c>
      <c r="AA88" s="4">
        <v>1.1000000000000001</v>
      </c>
      <c r="AB88" s="5" t="s">
        <v>3</v>
      </c>
    </row>
    <row r="89" spans="4:28" ht="16.5" thickTop="1" thickBot="1"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1</v>
      </c>
      <c r="K89" s="55">
        <v>0</v>
      </c>
      <c r="L89" s="55">
        <v>-1</v>
      </c>
      <c r="M89" s="55">
        <v>0</v>
      </c>
      <c r="N89" s="55">
        <v>-1</v>
      </c>
      <c r="O89" s="55">
        <v>0</v>
      </c>
      <c r="P89" s="58">
        <v>7</v>
      </c>
      <c r="Q89" s="57" t="s">
        <v>95</v>
      </c>
      <c r="S89" s="3" t="s">
        <v>96</v>
      </c>
      <c r="T89" s="6">
        <v>0.7</v>
      </c>
      <c r="U89" s="5" t="s">
        <v>88</v>
      </c>
      <c r="W89" s="3" t="s">
        <v>97</v>
      </c>
      <c r="X89" s="47">
        <f>F39</f>
        <v>-0.73422222222222244</v>
      </c>
      <c r="Z89" s="3" t="s">
        <v>9</v>
      </c>
      <c r="AA89" s="4">
        <v>1</v>
      </c>
      <c r="AB89" s="5" t="s">
        <v>3</v>
      </c>
    </row>
    <row r="90" spans="4:28" ht="16.5" thickTop="1" thickBot="1"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-1</v>
      </c>
      <c r="L90" s="55">
        <v>0</v>
      </c>
      <c r="M90" s="55">
        <v>1</v>
      </c>
      <c r="N90" s="55">
        <v>0</v>
      </c>
      <c r="O90" s="55">
        <v>0</v>
      </c>
      <c r="P90" s="58">
        <v>8</v>
      </c>
      <c r="Q90" s="57" t="s">
        <v>98</v>
      </c>
      <c r="S90" s="30" t="s">
        <v>99</v>
      </c>
      <c r="T90" s="28">
        <v>0.5</v>
      </c>
      <c r="U90" s="31" t="s">
        <v>100</v>
      </c>
      <c r="W90" s="3" t="s">
        <v>101</v>
      </c>
      <c r="X90" s="47">
        <f>E39</f>
        <v>-0.34666666666666673</v>
      </c>
      <c r="Z90" s="3" t="s">
        <v>10</v>
      </c>
      <c r="AA90" s="4">
        <v>0.1</v>
      </c>
      <c r="AB90" s="5" t="s">
        <v>3</v>
      </c>
    </row>
    <row r="91" spans="4:28" ht="16.5" thickTop="1" thickBot="1"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5">
        <v>0</v>
      </c>
      <c r="J91" s="56">
        <f>T100*SIN(X87)</f>
        <v>-0.12401484656543368</v>
      </c>
      <c r="K91" s="56">
        <f>-T100*COS(X87)</f>
        <v>0.48437621517922608</v>
      </c>
      <c r="L91" s="56">
        <f>T100*SIN(X87)</f>
        <v>-0.12401484656543368</v>
      </c>
      <c r="M91" s="56">
        <f>-T100*COS(X87)</f>
        <v>0.48437621517922608</v>
      </c>
      <c r="N91" s="56">
        <f>T100*SIN(X87)</f>
        <v>-0.12401484656543368</v>
      </c>
      <c r="O91" s="53">
        <v>0</v>
      </c>
      <c r="P91" s="58">
        <v>9</v>
      </c>
      <c r="Q91" s="57" t="s">
        <v>102</v>
      </c>
      <c r="S91" s="82" t="s">
        <v>103</v>
      </c>
      <c r="T91" s="83"/>
      <c r="U91" s="84"/>
      <c r="W91" s="3"/>
      <c r="X91" s="48"/>
      <c r="Z91" s="3" t="s">
        <v>11</v>
      </c>
      <c r="AA91" s="4">
        <v>0.3</v>
      </c>
      <c r="AB91" s="5" t="s">
        <v>3</v>
      </c>
    </row>
    <row r="92" spans="4:28" ht="16.5" thickTop="1" thickBot="1">
      <c r="D92" s="55">
        <v>0</v>
      </c>
      <c r="E92" s="55">
        <v>0</v>
      </c>
      <c r="F92" s="55">
        <v>0</v>
      </c>
      <c r="G92" s="55">
        <v>0</v>
      </c>
      <c r="H92" s="55">
        <v>-1</v>
      </c>
      <c r="I92" s="55">
        <v>0</v>
      </c>
      <c r="J92" s="55">
        <v>0</v>
      </c>
      <c r="K92" s="55">
        <v>0</v>
      </c>
      <c r="L92" s="55">
        <v>1</v>
      </c>
      <c r="M92" s="55">
        <v>0</v>
      </c>
      <c r="N92" s="55">
        <v>1</v>
      </c>
      <c r="O92" s="55">
        <v>0</v>
      </c>
      <c r="P92" s="58">
        <v>10</v>
      </c>
      <c r="Q92" s="57" t="s">
        <v>104</v>
      </c>
      <c r="S92" s="3" t="s">
        <v>2</v>
      </c>
      <c r="T92" s="4">
        <v>0.3</v>
      </c>
      <c r="U92" s="5" t="s">
        <v>3</v>
      </c>
      <c r="W92" s="3" t="s">
        <v>72</v>
      </c>
      <c r="X92" s="47">
        <f>I39</f>
        <v>0.66527332226823233</v>
      </c>
      <c r="Z92" s="3" t="s">
        <v>12</v>
      </c>
      <c r="AA92" s="4">
        <v>0.6</v>
      </c>
      <c r="AB92" s="5" t="s">
        <v>3</v>
      </c>
    </row>
    <row r="93" spans="4:28" ht="16.5" thickTop="1" thickBot="1">
      <c r="D93" s="55">
        <v>0</v>
      </c>
      <c r="E93" s="55">
        <v>0</v>
      </c>
      <c r="F93" s="55">
        <v>0</v>
      </c>
      <c r="G93" s="55">
        <v>0</v>
      </c>
      <c r="H93" s="55">
        <v>0</v>
      </c>
      <c r="I93" s="55">
        <v>1</v>
      </c>
      <c r="J93" s="55">
        <v>0</v>
      </c>
      <c r="K93" s="55">
        <v>0</v>
      </c>
      <c r="L93" s="55">
        <v>0</v>
      </c>
      <c r="M93" s="55">
        <v>-1</v>
      </c>
      <c r="N93" s="55">
        <v>0</v>
      </c>
      <c r="O93" s="55">
        <v>0</v>
      </c>
      <c r="P93" s="58">
        <v>11</v>
      </c>
      <c r="Q93" s="57" t="s">
        <v>105</v>
      </c>
      <c r="S93" s="3" t="s">
        <v>5</v>
      </c>
      <c r="T93" s="7">
        <v>1.25</v>
      </c>
      <c r="U93" s="5" t="s">
        <v>3</v>
      </c>
      <c r="W93" s="3" t="s">
        <v>106</v>
      </c>
      <c r="X93" s="47">
        <f>H39</f>
        <v>0.46043482970727345</v>
      </c>
      <c r="Z93" s="3" t="s">
        <v>13</v>
      </c>
      <c r="AA93" s="12">
        <v>0.16</v>
      </c>
      <c r="AB93" s="5" t="s">
        <v>3</v>
      </c>
    </row>
    <row r="94" spans="4:28" ht="16.5" thickTop="1" thickBot="1">
      <c r="D94" s="55">
        <v>0</v>
      </c>
      <c r="E94" s="55">
        <v>0</v>
      </c>
      <c r="F94" s="55">
        <v>0</v>
      </c>
      <c r="G94" s="55">
        <v>0</v>
      </c>
      <c r="H94" s="56">
        <f>-T99*SIN(X86)</f>
        <v>-0.53256315516112396</v>
      </c>
      <c r="I94" s="56">
        <f>-T99*COS(X86)</f>
        <v>0.13739172378578227</v>
      </c>
      <c r="J94" s="55">
        <v>0</v>
      </c>
      <c r="K94" s="55">
        <v>0</v>
      </c>
      <c r="L94" s="56">
        <f>-T99*SIN(X86)</f>
        <v>-0.53256315516112396</v>
      </c>
      <c r="M94" s="56">
        <f>-T99*COS(X86)</f>
        <v>0.13739172378578227</v>
      </c>
      <c r="N94" s="56">
        <f>-T99*SIN(X86)</f>
        <v>-0.53256315516112396</v>
      </c>
      <c r="O94" s="55">
        <v>0</v>
      </c>
      <c r="P94" s="58">
        <v>12</v>
      </c>
      <c r="Q94" s="57" t="s">
        <v>107</v>
      </c>
      <c r="S94" s="3" t="s">
        <v>7</v>
      </c>
      <c r="T94" s="4">
        <v>1.1000000000000001</v>
      </c>
      <c r="U94" s="5" t="s">
        <v>3</v>
      </c>
      <c r="W94" s="3"/>
      <c r="X94" s="48"/>
      <c r="Z94" s="3" t="s">
        <v>15</v>
      </c>
      <c r="AA94" s="4">
        <v>0</v>
      </c>
      <c r="AB94" s="5" t="s">
        <v>3</v>
      </c>
    </row>
    <row r="95" spans="4:28" ht="16.5" thickTop="1" thickBot="1">
      <c r="S95" s="30" t="s">
        <v>9</v>
      </c>
      <c r="T95" s="29">
        <v>1</v>
      </c>
      <c r="U95" s="31" t="s">
        <v>3</v>
      </c>
      <c r="W95" s="3" t="s">
        <v>108</v>
      </c>
      <c r="X95" s="47">
        <f>AA39</f>
        <v>15.993968294936399</v>
      </c>
      <c r="Z95" s="8" t="s">
        <v>16</v>
      </c>
      <c r="AA95" s="13">
        <f>4/3</f>
        <v>1.3333333333333333</v>
      </c>
      <c r="AB95" s="10" t="s">
        <v>3</v>
      </c>
    </row>
    <row r="96" spans="4:28" ht="16.5" thickTop="1" thickBot="1">
      <c r="D96" s="67" t="s">
        <v>109</v>
      </c>
      <c r="E96" s="67"/>
      <c r="F96" s="67"/>
      <c r="G96" s="59"/>
      <c r="H96" s="36"/>
      <c r="I96" s="36"/>
      <c r="J96" s="36"/>
      <c r="K96" s="36"/>
      <c r="L96" s="36"/>
      <c r="M96" s="36"/>
      <c r="N96" s="36"/>
      <c r="O96" s="36"/>
      <c r="S96" s="82" t="s">
        <v>110</v>
      </c>
      <c r="T96" s="83"/>
      <c r="U96" s="84"/>
      <c r="W96" s="3" t="s">
        <v>111</v>
      </c>
      <c r="X96" s="47">
        <f>VLOOKUP($S$82,$A$18:$AB$37,26,0)</f>
        <v>9.1754162145427198</v>
      </c>
    </row>
    <row r="97" spans="4:24" ht="16.5" thickTop="1" thickBot="1">
      <c r="D97" s="67"/>
      <c r="E97" s="67"/>
      <c r="F97" s="67"/>
      <c r="G97" s="59"/>
      <c r="H97" s="36"/>
      <c r="I97" s="36"/>
      <c r="J97" s="36"/>
      <c r="K97" s="36"/>
      <c r="L97" s="36"/>
      <c r="M97" s="36"/>
      <c r="N97" s="36"/>
      <c r="O97" s="36"/>
      <c r="S97" s="3" t="s">
        <v>112</v>
      </c>
      <c r="T97" s="4">
        <f>T92/2</f>
        <v>0.15</v>
      </c>
      <c r="U97" s="5" t="s">
        <v>3</v>
      </c>
      <c r="W97" s="3"/>
      <c r="X97" s="48"/>
    </row>
    <row r="98" spans="4:24" ht="16.5" thickTop="1" thickBot="1">
      <c r="D98" s="64"/>
      <c r="E98" s="65"/>
      <c r="F98" s="66"/>
      <c r="G98" s="57"/>
      <c r="I98">
        <v>0</v>
      </c>
      <c r="S98" s="3" t="s">
        <v>113</v>
      </c>
      <c r="T98" s="4">
        <f>T93/2</f>
        <v>0.625</v>
      </c>
      <c r="U98" s="5" t="s">
        <v>3</v>
      </c>
      <c r="W98" s="3" t="s">
        <v>114</v>
      </c>
      <c r="X98" s="47">
        <f>VLOOKUP($S$82,$A$18:$AB$37,18,0)</f>
        <v>17.084121891169001</v>
      </c>
    </row>
    <row r="99" spans="4:24" ht="16.5" thickTop="1" thickBot="1">
      <c r="D99" s="81">
        <v>0</v>
      </c>
      <c r="E99" s="81"/>
      <c r="F99" s="81"/>
      <c r="G99" s="60">
        <v>1</v>
      </c>
      <c r="I99">
        <v>4.9050000000000002</v>
      </c>
      <c r="S99" s="3" t="s">
        <v>115</v>
      </c>
      <c r="T99" s="4">
        <f>T94/2</f>
        <v>0.55000000000000004</v>
      </c>
      <c r="U99" s="5" t="s">
        <v>3</v>
      </c>
      <c r="W99" s="3" t="s">
        <v>116</v>
      </c>
      <c r="X99" s="47">
        <f>VLOOKUP($S$82,$A$18:$AB$37,17,0)</f>
        <v>10.813005725340499</v>
      </c>
    </row>
    <row r="100" spans="4:24" ht="16.5" thickTop="1" thickBot="1">
      <c r="D100" s="81">
        <f>T86*T108</f>
        <v>4.9050000000000002</v>
      </c>
      <c r="E100" s="81"/>
      <c r="F100" s="81"/>
      <c r="G100" s="60">
        <v>2</v>
      </c>
      <c r="I100">
        <v>0.50780000000000003</v>
      </c>
      <c r="S100" s="3" t="s">
        <v>117</v>
      </c>
      <c r="T100" s="4">
        <f>T95/2</f>
        <v>0.5</v>
      </c>
      <c r="U100" s="5" t="s">
        <v>3</v>
      </c>
      <c r="W100" s="49"/>
      <c r="X100" s="10"/>
    </row>
    <row r="101" spans="4:24" ht="16.5" thickTop="1" thickBot="1">
      <c r="D101" s="81">
        <f>-0.5*T86*(T92^2)*X90+T90</f>
        <v>0.50780000000000003</v>
      </c>
      <c r="E101" s="81"/>
      <c r="F101" s="81"/>
      <c r="G101" s="60">
        <v>3</v>
      </c>
      <c r="I101">
        <v>0.15590837246495767</v>
      </c>
      <c r="S101" s="82" t="s">
        <v>118</v>
      </c>
      <c r="T101" s="83"/>
      <c r="U101" s="84"/>
    </row>
    <row r="102" spans="4:24" ht="16.5" thickTop="1" thickBot="1">
      <c r="D102" s="81">
        <f>T87*(X93*T98*SIN(T107) + (X92^2)*T98*COS(T107))</f>
        <v>0.15590837246495767</v>
      </c>
      <c r="E102" s="81"/>
      <c r="F102" s="81"/>
      <c r="G102" s="60">
        <v>4</v>
      </c>
      <c r="I102">
        <v>3.9584294257062496</v>
      </c>
      <c r="K102" t="s">
        <v>119</v>
      </c>
      <c r="L102">
        <f>MDETERM(D83:O94)</f>
        <v>0</v>
      </c>
      <c r="S102" s="3" t="s">
        <v>120</v>
      </c>
      <c r="T102" s="50">
        <f>(PI()/2)-T107</f>
        <v>0.98298092357542999</v>
      </c>
      <c r="U102" s="5"/>
    </row>
    <row r="103" spans="4:24" ht="16.5" thickTop="1" thickBot="1">
      <c r="D103" s="81">
        <f>T87*(X93*T98*COS(T107) - (X92^2)*T98*SIN(T107)) + T87*T108</f>
        <v>3.9584294257062496</v>
      </c>
      <c r="E103" s="81"/>
      <c r="F103" s="81"/>
      <c r="G103" s="60">
        <v>5</v>
      </c>
      <c r="I103">
        <v>-2.3980980713920495E-2</v>
      </c>
      <c r="S103" s="8" t="s">
        <v>75</v>
      </c>
      <c r="T103" s="51">
        <f>T106-T102</f>
        <v>-0.84293647913098546</v>
      </c>
      <c r="U103" s="10"/>
    </row>
    <row r="104" spans="4:24" ht="16.5" thickTop="1" thickBot="1">
      <c r="D104" s="81">
        <f>(-1/12)*T87*(T93^2)*X93</f>
        <v>-2.3980980713920495E-2</v>
      </c>
      <c r="E104" s="81"/>
      <c r="F104" s="81"/>
      <c r="G104" s="60">
        <v>6</v>
      </c>
      <c r="I104">
        <v>-51.8553579245688</v>
      </c>
      <c r="T104" s="32"/>
    </row>
    <row r="105" spans="4:24" ht="16.5" thickTop="1" thickBot="1">
      <c r="D105" s="81">
        <f>T88*((X95^2)*T100*COS(X87)+ X96*T100*SIN(X87))</f>
        <v>-56.270126195633736</v>
      </c>
      <c r="E105" s="81"/>
      <c r="F105" s="81"/>
      <c r="G105" s="60">
        <v>7</v>
      </c>
      <c r="I105">
        <v>-20.664314712907359</v>
      </c>
      <c r="S105" s="1" t="s">
        <v>121</v>
      </c>
      <c r="T105" s="61">
        <f>$J$6+($J$5*S82)+((1/2)*$J$4*S82^2)+((1/12)*S82^4)</f>
        <v>0.42013333333333336</v>
      </c>
    </row>
    <row r="106" spans="4:24" ht="16.5" thickTop="1" thickBot="1">
      <c r="D106" s="81">
        <f>T88*(-(X95^2)*T100*SIN(X87)+ X96*T100*COS(X87))+T88*T108</f>
        <v>16.690281832171326</v>
      </c>
      <c r="E106" s="81"/>
      <c r="F106" s="81"/>
      <c r="G106" s="60">
        <v>8</v>
      </c>
      <c r="I106">
        <v>-0.37878468031775625</v>
      </c>
      <c r="S106" s="3" t="s">
        <v>122</v>
      </c>
      <c r="T106" s="62">
        <f>($N$7/$N$8)*T105</f>
        <v>0.14004444444444447</v>
      </c>
    </row>
    <row r="107" spans="4:24" ht="16.5" thickTop="1" thickBot="1">
      <c r="D107" s="81">
        <f>(-1/12)*T88*(T95^2)*X96</f>
        <v>-0.34407810804535199</v>
      </c>
      <c r="E107" s="81"/>
      <c r="F107" s="81"/>
      <c r="G107" s="60">
        <v>9</v>
      </c>
      <c r="I107">
        <v>12.434009965162529</v>
      </c>
      <c r="S107" s="3" t="s">
        <v>71</v>
      </c>
      <c r="T107" s="62">
        <f>-ATAN(($N$10+($N$3*SIN(T106)))/(-$N$9+($N$3*COS(T106))))</f>
        <v>0.58781540321946657</v>
      </c>
    </row>
    <row r="108" spans="4:24" ht="16.5" thickTop="1" thickBot="1">
      <c r="D108" s="81">
        <f>T89*(X93*T93*SIN(T107) + (X92^2)*T93*COS(T107)-X99*T99*SIN(X86)-(X98^2)*T99*COS(X86))</f>
        <v>24.584751798379148</v>
      </c>
      <c r="E108" s="81"/>
      <c r="F108" s="81"/>
      <c r="G108" s="60">
        <v>10</v>
      </c>
      <c r="I108">
        <v>-109.65733305446477</v>
      </c>
      <c r="S108" s="8" t="s">
        <v>123</v>
      </c>
      <c r="T108" s="10">
        <v>9.81</v>
      </c>
      <c r="V108" s="11"/>
    </row>
    <row r="109" spans="4:24" ht="16.5" thickTop="1" thickBot="1">
      <c r="D109" s="81">
        <f>T89*(X93*T93*COS(T107) - (X92^2)*T93*SIN(T107)+X99*T99*COS(X86)-(X98^2)*T99*SIN(X86))+T88*T108</f>
        <v>-105.31133885245154</v>
      </c>
      <c r="E109" s="81"/>
      <c r="F109" s="81"/>
      <c r="G109" s="60">
        <v>11</v>
      </c>
      <c r="I109">
        <v>0.78711646375790179</v>
      </c>
    </row>
    <row r="110" spans="4:24" ht="16.5" thickTop="1" thickBot="1">
      <c r="D110" s="81">
        <f>(1/12)*T89*(T94^2)*X99</f>
        <v>0.76321798744695024</v>
      </c>
      <c r="E110" s="81"/>
      <c r="F110" s="81"/>
      <c r="G110" s="60">
        <v>12</v>
      </c>
    </row>
    <row r="111" spans="4:24" ht="15.75" thickTop="1">
      <c r="G111" s="11"/>
    </row>
    <row r="112" spans="4:24">
      <c r="H112" s="79"/>
      <c r="I112" s="79"/>
      <c r="J112" s="79"/>
    </row>
    <row r="113" spans="4:22" ht="15.75" thickBot="1"/>
    <row r="114" spans="4:22" ht="16.5" thickTop="1" thickBot="1">
      <c r="D114" s="67" t="s">
        <v>124</v>
      </c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Q114" s="70" t="s">
        <v>125</v>
      </c>
      <c r="R114" s="71"/>
    </row>
    <row r="115" spans="4:22" ht="16.5" thickTop="1" thickBot="1"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Q115" s="72"/>
      <c r="R115" s="73"/>
    </row>
    <row r="116" spans="4:22" ht="16.5" thickTop="1" thickBot="1">
      <c r="D116" s="53" t="e">
        <f t="array" ref="D116:O127">MINVERSE(D83:O94)</f>
        <v>#NUM!</v>
      </c>
      <c r="E116" s="53" t="e">
        <v>#NUM!</v>
      </c>
      <c r="F116" s="53" t="e">
        <v>#NUM!</v>
      </c>
      <c r="G116" s="53" t="e">
        <v>#NUM!</v>
      </c>
      <c r="H116" s="53" t="e">
        <v>#NUM!</v>
      </c>
      <c r="I116" s="53" t="e">
        <v>#NUM!</v>
      </c>
      <c r="J116" s="53" t="e">
        <v>#NUM!</v>
      </c>
      <c r="K116" s="53" t="e">
        <v>#NUM!</v>
      </c>
      <c r="L116" s="53" t="e">
        <v>#NUM!</v>
      </c>
      <c r="M116" s="53" t="e">
        <v>#NUM!</v>
      </c>
      <c r="N116" s="53" t="e">
        <v>#NUM!</v>
      </c>
      <c r="O116" s="53" t="e">
        <v>#NUM!</v>
      </c>
      <c r="Q116" s="57" t="e">
        <f t="array" ref="Q116:Q127">MMULT(D116:O127,I98:I109)</f>
        <v>#NUM!</v>
      </c>
      <c r="R116" s="57" t="s">
        <v>81</v>
      </c>
    </row>
    <row r="117" spans="4:22" ht="16.5" thickTop="1" thickBot="1">
      <c r="D117" s="53" t="e">
        <v>#NUM!</v>
      </c>
      <c r="E117" s="53" t="e">
        <v>#NUM!</v>
      </c>
      <c r="F117" s="53" t="e">
        <v>#NUM!</v>
      </c>
      <c r="G117" s="53" t="e">
        <v>#NUM!</v>
      </c>
      <c r="H117" s="53" t="e">
        <v>#NUM!</v>
      </c>
      <c r="I117" s="53" t="e">
        <v>#NUM!</v>
      </c>
      <c r="J117" s="53" t="e">
        <v>#NUM!</v>
      </c>
      <c r="K117" s="53" t="e">
        <v>#NUM!</v>
      </c>
      <c r="L117" s="53" t="e">
        <v>#NUM!</v>
      </c>
      <c r="M117" s="53" t="e">
        <v>#NUM!</v>
      </c>
      <c r="N117" s="53" t="e">
        <v>#NUM!</v>
      </c>
      <c r="O117" s="53" t="e">
        <v>#NUM!</v>
      </c>
      <c r="Q117" s="57" t="e">
        <v>#NUM!</v>
      </c>
      <c r="R117" s="57" t="s">
        <v>82</v>
      </c>
    </row>
    <row r="118" spans="4:22" ht="16.5" thickTop="1" thickBot="1">
      <c r="D118" s="53" t="e">
        <v>#NUM!</v>
      </c>
      <c r="E118" s="53" t="e">
        <v>#NUM!</v>
      </c>
      <c r="F118" s="53" t="e">
        <v>#NUM!</v>
      </c>
      <c r="G118" s="53" t="e">
        <v>#NUM!</v>
      </c>
      <c r="H118" s="53" t="e">
        <v>#NUM!</v>
      </c>
      <c r="I118" s="53" t="e">
        <v>#NUM!</v>
      </c>
      <c r="J118" s="53" t="e">
        <v>#NUM!</v>
      </c>
      <c r="K118" s="53" t="e">
        <v>#NUM!</v>
      </c>
      <c r="L118" s="53" t="e">
        <v>#NUM!</v>
      </c>
      <c r="M118" s="53" t="e">
        <v>#NUM!</v>
      </c>
      <c r="N118" s="53" t="e">
        <v>#NUM!</v>
      </c>
      <c r="O118" s="53" t="e">
        <v>#NUM!</v>
      </c>
      <c r="Q118" s="57" t="e">
        <v>#NUM!</v>
      </c>
      <c r="R118" s="57" t="s">
        <v>83</v>
      </c>
    </row>
    <row r="119" spans="4:22" ht="16.5" thickTop="1" thickBot="1">
      <c r="D119" s="53" t="e">
        <v>#NUM!</v>
      </c>
      <c r="E119" s="53" t="e">
        <v>#NUM!</v>
      </c>
      <c r="F119" s="53" t="e">
        <v>#NUM!</v>
      </c>
      <c r="G119" s="53" t="e">
        <v>#NUM!</v>
      </c>
      <c r="H119" s="53" t="e">
        <v>#NUM!</v>
      </c>
      <c r="I119" s="53" t="e">
        <v>#NUM!</v>
      </c>
      <c r="J119" s="53" t="e">
        <v>#NUM!</v>
      </c>
      <c r="K119" s="53" t="e">
        <v>#NUM!</v>
      </c>
      <c r="L119" s="53" t="e">
        <v>#NUM!</v>
      </c>
      <c r="M119" s="53" t="e">
        <v>#NUM!</v>
      </c>
      <c r="N119" s="53" t="e">
        <v>#NUM!</v>
      </c>
      <c r="O119" s="53" t="e">
        <v>#NUM!</v>
      </c>
      <c r="Q119" s="57" t="e">
        <v>#NUM!</v>
      </c>
      <c r="R119" s="57" t="s">
        <v>86</v>
      </c>
    </row>
    <row r="120" spans="4:22" ht="16.5" thickTop="1" thickBot="1">
      <c r="D120" s="53" t="e">
        <v>#NUM!</v>
      </c>
      <c r="E120" s="53" t="e">
        <v>#NUM!</v>
      </c>
      <c r="F120" s="53" t="e">
        <v>#NUM!</v>
      </c>
      <c r="G120" s="53" t="e">
        <v>#NUM!</v>
      </c>
      <c r="H120" s="53" t="e">
        <v>#NUM!</v>
      </c>
      <c r="I120" s="53" t="e">
        <v>#NUM!</v>
      </c>
      <c r="J120" s="53" t="e">
        <v>#NUM!</v>
      </c>
      <c r="K120" s="53" t="e">
        <v>#NUM!</v>
      </c>
      <c r="L120" s="53" t="e">
        <v>#NUM!</v>
      </c>
      <c r="M120" s="53" t="e">
        <v>#NUM!</v>
      </c>
      <c r="N120" s="53" t="e">
        <v>#NUM!</v>
      </c>
      <c r="O120" s="53" t="e">
        <v>#NUM!</v>
      </c>
      <c r="Q120" s="57" t="e">
        <v>#NUM!</v>
      </c>
      <c r="R120" s="57" t="s">
        <v>90</v>
      </c>
    </row>
    <row r="121" spans="4:22" ht="16.5" thickTop="1" thickBot="1">
      <c r="D121" s="53" t="e">
        <v>#NUM!</v>
      </c>
      <c r="E121" s="53" t="e">
        <v>#NUM!</v>
      </c>
      <c r="F121" s="53" t="e">
        <v>#NUM!</v>
      </c>
      <c r="G121" s="53" t="e">
        <v>#NUM!</v>
      </c>
      <c r="H121" s="53" t="e">
        <v>#NUM!</v>
      </c>
      <c r="I121" s="53" t="e">
        <v>#NUM!</v>
      </c>
      <c r="J121" s="53" t="e">
        <v>#NUM!</v>
      </c>
      <c r="K121" s="53" t="e">
        <v>#NUM!</v>
      </c>
      <c r="L121" s="53" t="e">
        <v>#NUM!</v>
      </c>
      <c r="M121" s="53" t="e">
        <v>#NUM!</v>
      </c>
      <c r="N121" s="53" t="e">
        <v>#NUM!</v>
      </c>
      <c r="O121" s="53" t="e">
        <v>#NUM!</v>
      </c>
      <c r="Q121" s="57" t="e">
        <v>#NUM!</v>
      </c>
      <c r="R121" s="57" t="s">
        <v>93</v>
      </c>
      <c r="T121" s="18"/>
      <c r="U121" s="18"/>
      <c r="V121" s="18"/>
    </row>
    <row r="122" spans="4:22" ht="16.5" thickTop="1" thickBot="1">
      <c r="D122" s="53" t="e">
        <v>#NUM!</v>
      </c>
      <c r="E122" s="53" t="e">
        <v>#NUM!</v>
      </c>
      <c r="F122" s="53" t="e">
        <v>#NUM!</v>
      </c>
      <c r="G122" s="53" t="e">
        <v>#NUM!</v>
      </c>
      <c r="H122" s="53" t="e">
        <v>#NUM!</v>
      </c>
      <c r="I122" s="53" t="e">
        <v>#NUM!</v>
      </c>
      <c r="J122" s="53" t="e">
        <v>#NUM!</v>
      </c>
      <c r="K122" s="53" t="e">
        <v>#NUM!</v>
      </c>
      <c r="L122" s="53" t="e">
        <v>#NUM!</v>
      </c>
      <c r="M122" s="53" t="e">
        <v>#NUM!</v>
      </c>
      <c r="N122" s="53" t="e">
        <v>#NUM!</v>
      </c>
      <c r="O122" s="53" t="e">
        <v>#NUM!</v>
      </c>
      <c r="Q122" s="57" t="e">
        <v>#NUM!</v>
      </c>
      <c r="R122" s="57" t="s">
        <v>95</v>
      </c>
    </row>
    <row r="123" spans="4:22" ht="16.5" thickTop="1" thickBot="1">
      <c r="D123" s="53" t="e">
        <v>#NUM!</v>
      </c>
      <c r="E123" s="53" t="e">
        <v>#NUM!</v>
      </c>
      <c r="F123" s="53" t="e">
        <v>#NUM!</v>
      </c>
      <c r="G123" s="53" t="e">
        <v>#NUM!</v>
      </c>
      <c r="H123" s="53" t="e">
        <v>#NUM!</v>
      </c>
      <c r="I123" s="53" t="e">
        <v>#NUM!</v>
      </c>
      <c r="J123" s="53" t="e">
        <v>#NUM!</v>
      </c>
      <c r="K123" s="53" t="e">
        <v>#NUM!</v>
      </c>
      <c r="L123" s="53" t="e">
        <v>#NUM!</v>
      </c>
      <c r="M123" s="53" t="e">
        <v>#NUM!</v>
      </c>
      <c r="N123" s="53" t="e">
        <v>#NUM!</v>
      </c>
      <c r="O123" s="53" t="e">
        <v>#NUM!</v>
      </c>
      <c r="Q123" s="57" t="e">
        <v>#NUM!</v>
      </c>
      <c r="R123" s="57" t="s">
        <v>98</v>
      </c>
    </row>
    <row r="124" spans="4:22" ht="16.5" thickTop="1" thickBot="1">
      <c r="D124" s="53" t="e">
        <v>#NUM!</v>
      </c>
      <c r="E124" s="53" t="e">
        <v>#NUM!</v>
      </c>
      <c r="F124" s="53" t="e">
        <v>#NUM!</v>
      </c>
      <c r="G124" s="53" t="e">
        <v>#NUM!</v>
      </c>
      <c r="H124" s="53" t="e">
        <v>#NUM!</v>
      </c>
      <c r="I124" s="53" t="e">
        <v>#NUM!</v>
      </c>
      <c r="J124" s="53" t="e">
        <v>#NUM!</v>
      </c>
      <c r="K124" s="53" t="e">
        <v>#NUM!</v>
      </c>
      <c r="L124" s="53" t="e">
        <v>#NUM!</v>
      </c>
      <c r="M124" s="53" t="e">
        <v>#NUM!</v>
      </c>
      <c r="N124" s="53" t="e">
        <v>#NUM!</v>
      </c>
      <c r="O124" s="53" t="e">
        <v>#NUM!</v>
      </c>
      <c r="Q124" s="57" t="e">
        <v>#NUM!</v>
      </c>
      <c r="R124" s="57" t="s">
        <v>102</v>
      </c>
    </row>
    <row r="125" spans="4:22" ht="16.5" thickTop="1" thickBot="1">
      <c r="D125" s="53" t="e">
        <v>#NUM!</v>
      </c>
      <c r="E125" s="53" t="e">
        <v>#NUM!</v>
      </c>
      <c r="F125" s="53" t="e">
        <v>#NUM!</v>
      </c>
      <c r="G125" s="53" t="e">
        <v>#NUM!</v>
      </c>
      <c r="H125" s="53" t="e">
        <v>#NUM!</v>
      </c>
      <c r="I125" s="53" t="e">
        <v>#NUM!</v>
      </c>
      <c r="J125" s="53" t="e">
        <v>#NUM!</v>
      </c>
      <c r="K125" s="53" t="e">
        <v>#NUM!</v>
      </c>
      <c r="L125" s="53" t="e">
        <v>#NUM!</v>
      </c>
      <c r="M125" s="53" t="e">
        <v>#NUM!</v>
      </c>
      <c r="N125" s="53" t="e">
        <v>#NUM!</v>
      </c>
      <c r="O125" s="53" t="e">
        <v>#NUM!</v>
      </c>
      <c r="Q125" s="57" t="e">
        <v>#NUM!</v>
      </c>
      <c r="R125" s="57" t="s">
        <v>104</v>
      </c>
    </row>
    <row r="126" spans="4:22" ht="16.5" thickTop="1" thickBot="1">
      <c r="D126" s="53" t="e">
        <v>#NUM!</v>
      </c>
      <c r="E126" s="53" t="e">
        <v>#NUM!</v>
      </c>
      <c r="F126" s="53" t="e">
        <v>#NUM!</v>
      </c>
      <c r="G126" s="53" t="e">
        <v>#NUM!</v>
      </c>
      <c r="H126" s="53" t="e">
        <v>#NUM!</v>
      </c>
      <c r="I126" s="53" t="e">
        <v>#NUM!</v>
      </c>
      <c r="J126" s="53" t="e">
        <v>#NUM!</v>
      </c>
      <c r="K126" s="53" t="e">
        <v>#NUM!</v>
      </c>
      <c r="L126" s="53" t="e">
        <v>#NUM!</v>
      </c>
      <c r="M126" s="53" t="e">
        <v>#NUM!</v>
      </c>
      <c r="N126" s="53" t="e">
        <v>#NUM!</v>
      </c>
      <c r="O126" s="53" t="e">
        <v>#NUM!</v>
      </c>
      <c r="Q126" s="57" t="e">
        <v>#NUM!</v>
      </c>
      <c r="R126" s="57" t="s">
        <v>105</v>
      </c>
    </row>
    <row r="127" spans="4:22" ht="16.5" thickTop="1" thickBot="1">
      <c r="D127" s="53" t="e">
        <v>#NUM!</v>
      </c>
      <c r="E127" s="53" t="e">
        <v>#NUM!</v>
      </c>
      <c r="F127" s="53" t="e">
        <v>#NUM!</v>
      </c>
      <c r="G127" s="53" t="e">
        <v>#NUM!</v>
      </c>
      <c r="H127" s="53" t="e">
        <v>#NUM!</v>
      </c>
      <c r="I127" s="53" t="e">
        <v>#NUM!</v>
      </c>
      <c r="J127" s="53" t="e">
        <v>#NUM!</v>
      </c>
      <c r="K127" s="53" t="e">
        <v>#NUM!</v>
      </c>
      <c r="L127" s="53" t="e">
        <v>#NUM!</v>
      </c>
      <c r="M127" s="53" t="e">
        <v>#NUM!</v>
      </c>
      <c r="N127" s="53" t="e">
        <v>#NUM!</v>
      </c>
      <c r="O127" s="53" t="e">
        <v>#NUM!</v>
      </c>
      <c r="Q127" s="57" t="e">
        <v>#NUM!</v>
      </c>
      <c r="R127" s="57" t="s">
        <v>107</v>
      </c>
    </row>
    <row r="128" spans="4:22" ht="15.75" thickTop="1"/>
    <row r="132" spans="27:27">
      <c r="AA132" t="e">
        <f ca="1">DETERMINANTE</f>
        <v>#NAME?</v>
      </c>
    </row>
  </sheetData>
  <mergeCells count="43">
    <mergeCell ref="D104:F104"/>
    <mergeCell ref="D105:F105"/>
    <mergeCell ref="D106:F106"/>
    <mergeCell ref="D107:F107"/>
    <mergeCell ref="D108:F108"/>
    <mergeCell ref="Z85:AB85"/>
    <mergeCell ref="D99:F99"/>
    <mergeCell ref="D96:F97"/>
    <mergeCell ref="D100:F100"/>
    <mergeCell ref="D101:F101"/>
    <mergeCell ref="AC15:AH16"/>
    <mergeCell ref="F42:G42"/>
    <mergeCell ref="H42:I42"/>
    <mergeCell ref="J42:K42"/>
    <mergeCell ref="P42:Q42"/>
    <mergeCell ref="T42:U42"/>
    <mergeCell ref="W42:X42"/>
    <mergeCell ref="Q15:S16"/>
    <mergeCell ref="T15:Y16"/>
    <mergeCell ref="Z15:AB16"/>
    <mergeCell ref="M2:O2"/>
    <mergeCell ref="I3:K3"/>
    <mergeCell ref="A15:A16"/>
    <mergeCell ref="B15:D16"/>
    <mergeCell ref="E15:G16"/>
    <mergeCell ref="H15:J16"/>
    <mergeCell ref="K15:P16"/>
    <mergeCell ref="R10:V10"/>
    <mergeCell ref="D114:O115"/>
    <mergeCell ref="P79:P80"/>
    <mergeCell ref="Q114:R115"/>
    <mergeCell ref="D98:F98"/>
    <mergeCell ref="D79:O80"/>
    <mergeCell ref="Q79:Q80"/>
    <mergeCell ref="D102:F102"/>
    <mergeCell ref="S85:U85"/>
    <mergeCell ref="S91:U91"/>
    <mergeCell ref="S96:U96"/>
    <mergeCell ref="S101:U101"/>
    <mergeCell ref="D109:F109"/>
    <mergeCell ref="D110:F110"/>
    <mergeCell ref="H112:J112"/>
    <mergeCell ref="D103:F103"/>
  </mergeCells>
  <dataValidations count="1">
    <dataValidation type="list" allowBlank="1" showInputMessage="1" showErrorMessage="1" sqref="S82" xr:uid="{60F5FE2F-47DE-4756-8BFD-46EEF1EA497C}">
      <formula1>Instante__s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19</xdr:col>
                    <xdr:colOff>428625</xdr:colOff>
                    <xdr:row>78</xdr:row>
                    <xdr:rowOff>0</xdr:rowOff>
                  </from>
                  <to>
                    <xdr:col>20</xdr:col>
                    <xdr:colOff>733425</xdr:colOff>
                    <xdr:row>82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DAVID ESTEBAN GONZALEZ ROZO</cp:lastModifiedBy>
  <cp:revision/>
  <dcterms:created xsi:type="dcterms:W3CDTF">2023-05-24T16:59:01Z</dcterms:created>
  <dcterms:modified xsi:type="dcterms:W3CDTF">2025-04-13T21:33:05Z</dcterms:modified>
  <cp:category/>
  <cp:contentStatus/>
</cp:coreProperties>
</file>