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averianaedu-my.sharepoint.com/personal/desteban_gonzalezr_javeriana_edu_co/Documents/"/>
    </mc:Choice>
  </mc:AlternateContent>
  <xr:revisionPtr revIDLastSave="2148" documentId="8_{B82BA22A-6410-433D-979C-5AD4C7AA7764}" xr6:coauthVersionLast="47" xr6:coauthVersionMax="47" xr10:uidLastSave="{02647170-7322-4099-9F59-9C1B6DEC40E3}"/>
  <bookViews>
    <workbookView xWindow="0" yWindow="600" windowWidth="23040" windowHeight="12360" activeTab="1" xr2:uid="{F73BF003-2B5A-4E1D-BC48-9A42227ED5BE}"/>
  </bookViews>
  <sheets>
    <sheet name="Hoja1" sheetId="1" r:id="rId1"/>
    <sheet name="Hoja2" sheetId="2" r:id="rId2"/>
  </sheets>
  <definedNames>
    <definedName name="_xlnm.Print_Area" localSheetId="1">Hoja2!$A$1:$AA$46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2" l="1"/>
  <c r="F65" i="2"/>
  <c r="D40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18" i="2"/>
  <c r="K35" i="2"/>
  <c r="K36" i="2"/>
  <c r="K20" i="2"/>
  <c r="K32" i="2"/>
  <c r="K34" i="2"/>
  <c r="K30" i="2"/>
  <c r="K25" i="2"/>
  <c r="K24" i="2"/>
  <c r="K19" i="2"/>
  <c r="K18" i="2"/>
  <c r="K8" i="2"/>
  <c r="D8" i="2"/>
  <c r="R7" i="2"/>
  <c r="R14" i="2" s="1"/>
  <c r="K11" i="2"/>
  <c r="K7" i="2"/>
  <c r="D15" i="2"/>
  <c r="M14" i="2"/>
  <c r="M13" i="2"/>
  <c r="M12" i="2"/>
  <c r="Y26" i="2"/>
  <c r="W24" i="2"/>
  <c r="Y24" i="2" s="1"/>
  <c r="W26" i="2"/>
  <c r="Y27" i="2"/>
  <c r="R28" i="2"/>
  <c r="R21" i="2"/>
  <c r="Y18" i="2"/>
  <c r="Y19" i="2"/>
  <c r="Y20" i="2"/>
  <c r="Y17" i="2"/>
  <c r="Y21" i="2" s="1"/>
  <c r="S41" i="2"/>
  <c r="W17" i="2"/>
  <c r="Y11" i="2"/>
  <c r="Y12" i="2"/>
  <c r="Y13" i="2"/>
  <c r="W10" i="2"/>
  <c r="Y10" i="2" s="1"/>
  <c r="W8" i="2"/>
  <c r="Y8" i="2" s="1"/>
  <c r="W9" i="2"/>
  <c r="Y9" i="2" s="1"/>
  <c r="W6" i="2"/>
  <c r="Y6" i="2" s="1"/>
  <c r="L44" i="1"/>
  <c r="AC44" i="1" s="1"/>
  <c r="W25" i="2"/>
  <c r="Y25" i="2" s="1"/>
  <c r="E33" i="1"/>
  <c r="D33" i="1"/>
  <c r="P38" i="1"/>
  <c r="S38" i="1"/>
  <c r="X38" i="1"/>
  <c r="P39" i="1"/>
  <c r="P40" i="1" s="1"/>
  <c r="S39" i="1"/>
  <c r="T38" i="1"/>
  <c r="P60" i="1"/>
  <c r="S62" i="1"/>
  <c r="R62" i="1"/>
  <c r="T61" i="1"/>
  <c r="T62" i="1" s="1"/>
  <c r="S61" i="1"/>
  <c r="R61" i="1"/>
  <c r="T60" i="1"/>
  <c r="S60" i="1"/>
  <c r="R60" i="1"/>
  <c r="Q60" i="1"/>
  <c r="Q61" i="1" s="1"/>
  <c r="Q62" i="1" s="1"/>
  <c r="P61" i="1"/>
  <c r="P62" i="1" s="1"/>
  <c r="Q38" i="1"/>
  <c r="AB38" i="1"/>
  <c r="I12" i="1"/>
  <c r="K17" i="1"/>
  <c r="K12" i="1"/>
  <c r="K27" i="1"/>
  <c r="K29" i="1" s="1"/>
  <c r="K34" i="1"/>
  <c r="S5" i="1"/>
  <c r="K13" i="1"/>
  <c r="K14" i="1" s="1"/>
  <c r="G13" i="1"/>
  <c r="G14" i="1" s="1"/>
  <c r="L12" i="1"/>
  <c r="L13" i="1" s="1"/>
  <c r="O12" i="1"/>
  <c r="O13" i="1" s="1"/>
  <c r="O14" i="1" s="1"/>
  <c r="P12" i="1"/>
  <c r="P13" i="1" s="1"/>
  <c r="P14" i="1" s="1"/>
  <c r="Q12" i="1"/>
  <c r="Q13" i="1" s="1"/>
  <c r="Q14" i="1" s="1"/>
  <c r="R12" i="1"/>
  <c r="R13" i="1" s="1"/>
  <c r="R14" i="1" s="1"/>
  <c r="F12" i="1"/>
  <c r="F13" i="1" s="1"/>
  <c r="E12" i="1"/>
  <c r="E13" i="1" s="1"/>
  <c r="E14" i="1" s="1"/>
  <c r="C33" i="1"/>
  <c r="C34" i="1" s="1"/>
  <c r="J34" i="1"/>
  <c r="G33" i="1"/>
  <c r="G34" i="1" s="1"/>
  <c r="F33" i="1"/>
  <c r="F34" i="1" s="1"/>
  <c r="E34" i="1"/>
  <c r="X39" i="1"/>
  <c r="X40" i="1" s="1"/>
  <c r="AC32" i="1"/>
  <c r="B5" i="1" s="1"/>
  <c r="L43" i="1"/>
  <c r="AA37" i="1"/>
  <c r="AB37" i="1" s="1"/>
  <c r="AA38" i="1"/>
  <c r="AA39" i="1" s="1"/>
  <c r="Y38" i="1"/>
  <c r="Y39" i="1" s="1"/>
  <c r="Y40" i="1" s="1"/>
  <c r="AB14" i="1"/>
  <c r="AF8" i="1"/>
  <c r="Y14" i="1"/>
  <c r="Y15" i="1" s="1"/>
  <c r="AA14" i="1"/>
  <c r="AA15" i="1" s="1"/>
  <c r="S40" i="1"/>
  <c r="R38" i="1"/>
  <c r="R39" i="1" s="1"/>
  <c r="R40" i="1" s="1"/>
  <c r="Q39" i="1"/>
  <c r="Q40" i="1" s="1"/>
  <c r="Z38" i="1"/>
  <c r="Z39" i="1" s="1"/>
  <c r="U32" i="1"/>
  <c r="D34" i="1"/>
  <c r="J12" i="1"/>
  <c r="J13" i="1" s="1"/>
  <c r="J14" i="1" s="1"/>
  <c r="I13" i="1"/>
  <c r="I14" i="1" s="1"/>
  <c r="D12" i="1"/>
  <c r="D13" i="1" s="1"/>
  <c r="D14" i="1" s="1"/>
  <c r="C12" i="1"/>
  <c r="C13" i="1" s="1"/>
  <c r="C14" i="1" s="1"/>
  <c r="N12" i="1"/>
  <c r="N13" i="1" s="1"/>
  <c r="N14" i="1" s="1"/>
  <c r="M12" i="1"/>
  <c r="M13" i="1" s="1"/>
  <c r="M14" i="1" s="1"/>
  <c r="H13" i="1"/>
  <c r="H14" i="1" s="1"/>
  <c r="S14" i="1" s="1"/>
  <c r="I33" i="1"/>
  <c r="I34" i="1" s="1"/>
  <c r="H33" i="1"/>
  <c r="H34" i="1" s="1"/>
  <c r="AE15" i="1"/>
  <c r="X15" i="1"/>
  <c r="AC14" i="1"/>
  <c r="AC15" i="1" s="1"/>
  <c r="AD14" i="1"/>
  <c r="AD15" i="1" s="1"/>
  <c r="AB15" i="1"/>
  <c r="Z14" i="1"/>
  <c r="Z15" i="1" s="1"/>
  <c r="T39" i="1"/>
  <c r="T40" i="1" s="1"/>
  <c r="M15" i="2" l="1"/>
  <c r="W7" i="2"/>
  <c r="Y7" i="2" s="1"/>
  <c r="Y14" i="2" s="1"/>
  <c r="R30" i="2"/>
  <c r="Y28" i="2"/>
  <c r="F14" i="1"/>
  <c r="L14" i="1"/>
  <c r="AB39" i="1"/>
  <c r="AF15" i="1"/>
  <c r="Z40" i="1"/>
  <c r="AB40" i="1"/>
  <c r="B13" i="1"/>
  <c r="B14" i="1" s="1"/>
  <c r="AA40" i="1"/>
  <c r="U40" i="1"/>
  <c r="Y30" i="2" l="1"/>
  <c r="AC40" i="1"/>
  <c r="AD40" i="1" s="1"/>
  <c r="M47" i="2"/>
  <c r="M49" i="2"/>
  <c r="D47" i="2"/>
  <c r="D4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</author>
  </authors>
  <commentList>
    <comment ref="K26" authorId="0" shapeId="0" xr:uid="{76A7E988-8D3D-4128-89EB-9E7BBBEF97ED}">
      <text>
        <r>
          <rPr>
            <b/>
            <sz val="9"/>
            <color indexed="81"/>
            <rFont val="Tahoma"/>
            <charset val="1"/>
          </rPr>
          <t>Sin contar engranaje. brida sobre el motor y el disco mid</t>
        </r>
      </text>
    </comment>
    <comment ref="Q40" authorId="0" shapeId="0" xr:uid="{FD2C95EE-311D-4123-8A6D-C78DDE01EC0A}">
      <text>
        <r>
          <rPr>
            <b/>
            <sz val="9"/>
            <color indexed="81"/>
            <rFont val="Tahoma"/>
            <charset val="1"/>
          </rPr>
          <t>Se multiplica x2 ya que son 2 dipolos</t>
        </r>
      </text>
    </comment>
    <comment ref="Y40" authorId="0" shapeId="0" xr:uid="{DC6C54F8-3C23-439C-8919-E6E8A761905D}">
      <text>
        <r>
          <rPr>
            <b/>
            <sz val="9"/>
            <color indexed="81"/>
            <rFont val="Tahoma"/>
            <charset val="1"/>
          </rPr>
          <t>Se multiplica x2 ya que son 2 dipolos</t>
        </r>
      </text>
    </comment>
    <comment ref="Q62" authorId="0" shapeId="0" xr:uid="{13CA7FD9-6351-4267-987A-BE523A8EA529}">
      <text>
        <r>
          <rPr>
            <b/>
            <sz val="9"/>
            <color indexed="81"/>
            <rFont val="Tahoma"/>
            <charset val="1"/>
          </rPr>
          <t>Se multiplica x2 ya que son 2 dipolos</t>
        </r>
      </text>
    </comment>
  </commentList>
</comments>
</file>

<file path=xl/sharedStrings.xml><?xml version="1.0" encoding="utf-8"?>
<sst xmlns="http://schemas.openxmlformats.org/spreadsheetml/2006/main" count="323" uniqueCount="114">
  <si>
    <t xml:space="preserve">Antena </t>
  </si>
  <si>
    <t>Inercia despl.</t>
  </si>
  <si>
    <t>electrónica</t>
  </si>
  <si>
    <t>disco</t>
  </si>
  <si>
    <t xml:space="preserve">unidades </t>
  </si>
  <si>
    <t>Inercia TOTAL</t>
  </si>
  <si>
    <t>Masa total (downward para rodmientos )</t>
  </si>
  <si>
    <t>VELOCIDADES MÁXIMAS ( manual)</t>
  </si>
  <si>
    <t>Boom</t>
  </si>
  <si>
    <t>dipolo</t>
  </si>
  <si>
    <t xml:space="preserve">reflector </t>
  </si>
  <si>
    <t>director</t>
  </si>
  <si>
    <t>contrapeso</t>
  </si>
  <si>
    <t>radio (m)</t>
  </si>
  <si>
    <t>masa (kg)</t>
  </si>
  <si>
    <t>Inercia (kg m2)</t>
  </si>
  <si>
    <t>w_Az (rad/s)</t>
  </si>
  <si>
    <t>w_El (rad/s)</t>
  </si>
  <si>
    <t>Material</t>
  </si>
  <si>
    <t>PETG</t>
  </si>
  <si>
    <t>aluminio</t>
  </si>
  <si>
    <t>Soporte L</t>
  </si>
  <si>
    <t>PVC</t>
  </si>
  <si>
    <t>Aluminio</t>
  </si>
  <si>
    <t>radio (mm)</t>
  </si>
  <si>
    <t>a</t>
  </si>
  <si>
    <t>b</t>
  </si>
  <si>
    <t>d (distancia al eje) mm</t>
  </si>
  <si>
    <t>Antena PARA MOTOR INFERIOR</t>
  </si>
  <si>
    <t>Antena PARA MOTOR SUPERIOR</t>
  </si>
  <si>
    <t>rext (mm)</t>
  </si>
  <si>
    <t>rint (mm)</t>
  </si>
  <si>
    <t>Inercia (kg mm2)</t>
  </si>
  <si>
    <t>masa TOTAL</t>
  </si>
  <si>
    <t>TOTAL</t>
  </si>
  <si>
    <t>No sé</t>
  </si>
  <si>
    <t>Parte superior PARA MOTOR INFERIOR</t>
  </si>
  <si>
    <t>Parte superior PARA MOTOR SUPERIOR</t>
  </si>
  <si>
    <t>brida motor</t>
  </si>
  <si>
    <t>brida engranaje</t>
  </si>
  <si>
    <t>brida antena</t>
  </si>
  <si>
    <t>Parte inferior PARA MOTOR INFERIOR</t>
  </si>
  <si>
    <t>brida de giro</t>
  </si>
  <si>
    <t>motor (datashet)</t>
  </si>
  <si>
    <t>rint</t>
  </si>
  <si>
    <t>rext1</t>
  </si>
  <si>
    <t>rext2</t>
  </si>
  <si>
    <t>BRIDAS engranaje y antena TIENEN rint = 8 mm</t>
  </si>
  <si>
    <t>BRIDA e motor TIENEN rint = …..............</t>
  </si>
  <si>
    <t>motor superior</t>
  </si>
  <si>
    <t>motor (datasheet)</t>
  </si>
  <si>
    <t>eje sup</t>
  </si>
  <si>
    <t>eje inf</t>
  </si>
  <si>
    <t>engranaje1 sup</t>
  </si>
  <si>
    <t>engranaje2 inf</t>
  </si>
  <si>
    <t>engranaje1 inf</t>
  </si>
  <si>
    <t>engranaje2 sup</t>
  </si>
  <si>
    <t>rext (m)</t>
  </si>
  <si>
    <t>Longitud (mm)</t>
  </si>
  <si>
    <t>MAS: 1 dipolo</t>
  </si>
  <si>
    <t>rint o L</t>
  </si>
  <si>
    <t>MAS: disco (para peso sobre rodamientos de transferencia</t>
  </si>
  <si>
    <t>MENOS: brida y eng1 (para desplazar todo al eje del motor</t>
  </si>
  <si>
    <t>Masa total (para carga axial rodamientos, es decir la vertical)</t>
  </si>
  <si>
    <t>MENOS: brida motor y eng1 (tanto para el peso como para el desplazamos a eje del motor</t>
  </si>
  <si>
    <t>MENOS: eje sup (para desplazamiento a eje del motor inferior)</t>
  </si>
  <si>
    <t>r</t>
  </si>
  <si>
    <t>pi rad en 30 s</t>
  </si>
  <si>
    <t>I contrapeso = (1/4)*m*r^2</t>
  </si>
  <si>
    <t>Longitud (m)</t>
  </si>
  <si>
    <t>rint (m)</t>
  </si>
  <si>
    <t xml:space="preserve">Torque </t>
  </si>
  <si>
    <t>d (distancia al eje) m</t>
  </si>
  <si>
    <t>h</t>
  </si>
  <si>
    <t>d (distancia aleje) m</t>
  </si>
  <si>
    <t>bronce</t>
  </si>
  <si>
    <t>chumasera1</t>
  </si>
  <si>
    <t>chumasera2</t>
  </si>
  <si>
    <t>chumasera3</t>
  </si>
  <si>
    <t>escalon3</t>
  </si>
  <si>
    <t>escalon2</t>
  </si>
  <si>
    <t>escalon1</t>
  </si>
  <si>
    <t>Parte superior</t>
  </si>
  <si>
    <t>Antena</t>
  </si>
  <si>
    <t>a (m)</t>
  </si>
  <si>
    <t>b (m)</t>
  </si>
  <si>
    <t>acero AISI 1020</t>
  </si>
  <si>
    <t>acero</t>
  </si>
  <si>
    <t>PE alto impacto</t>
  </si>
  <si>
    <t>.</t>
  </si>
  <si>
    <t>base giratoria</t>
  </si>
  <si>
    <t>rext2 (m)</t>
  </si>
  <si>
    <t>rext1 (m)</t>
  </si>
  <si>
    <t>TABLA DE INERCIAS  MOTOR AZIMUTH</t>
  </si>
  <si>
    <t>TABLA DE INERCIAS  MOTOR ELEVATION</t>
  </si>
  <si>
    <t xml:space="preserve"> mk</t>
  </si>
  <si>
    <t>Inercia motor</t>
  </si>
  <si>
    <t>TOTALES</t>
  </si>
  <si>
    <t>MASA</t>
  </si>
  <si>
    <t>INERCIA</t>
  </si>
  <si>
    <t>soporte dipolo</t>
  </si>
  <si>
    <t>soporte reflector</t>
  </si>
  <si>
    <t>soporte director</t>
  </si>
  <si>
    <t>acople antena</t>
  </si>
  <si>
    <t>Transmisión</t>
  </si>
  <si>
    <t>eje vertical</t>
  </si>
  <si>
    <t>engranaje1 El</t>
  </si>
  <si>
    <t>engranaje2 El</t>
  </si>
  <si>
    <t>engranaje1 Az</t>
  </si>
  <si>
    <t>engranaje2 Az</t>
  </si>
  <si>
    <t>eje horizontal</t>
  </si>
  <si>
    <t>dipolos</t>
  </si>
  <si>
    <t>Cubierta</t>
  </si>
  <si>
    <t>Tapa de cubierta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</si>
</sst>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0"/>
    <numFmt numFmtId="165" formatCode="#,##0.00000"/>
    <numFmt numFmtId="166" formatCode="0.00000"/>
    <numFmt numFmtId="167" formatCode="#,##0.0000"/>
    <numFmt numFmtId="168" formatCode="0.0000"/>
    <numFmt numFmtId="169" formatCode="0.E+00"/>
    <numFmt numFmtId="170" formatCode="0.0.E+00"/>
    <numFmt numFmtId="171" formatCode="0.0E+00"/>
  </numFmts>
  <fonts count="4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0" xfId="0" applyFill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66" fontId="0" fillId="0" borderId="1" xfId="0" applyNumberFormat="1" applyBorder="1" applyAlignment="1">
      <alignment horizontal="center"/>
    </xf>
    <xf numFmtId="11" fontId="0" fillId="0" borderId="1" xfId="0" applyNumberFormat="1" applyBorder="1"/>
    <xf numFmtId="0" fontId="0" fillId="0" borderId="7" xfId="0" applyBorder="1" applyAlignment="1">
      <alignment horizontal="center"/>
    </xf>
    <xf numFmtId="0" fontId="0" fillId="7" borderId="0" xfId="0" applyFill="1"/>
    <xf numFmtId="0" fontId="0" fillId="8" borderId="0" xfId="0" applyFill="1"/>
    <xf numFmtId="167" fontId="0" fillId="8" borderId="0" xfId="0" applyNumberFormat="1" applyFill="1" applyAlignment="1">
      <alignment horizontal="center"/>
    </xf>
    <xf numFmtId="167" fontId="0" fillId="7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6" borderId="0" xfId="0" applyFill="1"/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11" xfId="0" applyFill="1" applyBorder="1"/>
    <xf numFmtId="0" fontId="0" fillId="9" borderId="12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/>
    <xf numFmtId="0" fontId="0" fillId="10" borderId="11" xfId="0" applyFill="1" applyBorder="1" applyAlignment="1">
      <alignment horizontal="center"/>
    </xf>
    <xf numFmtId="167" fontId="0" fillId="6" borderId="0" xfId="0" applyNumberFormat="1" applyFill="1" applyAlignment="1">
      <alignment horizontal="center"/>
    </xf>
    <xf numFmtId="167" fontId="0" fillId="6" borderId="12" xfId="0" applyNumberForma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6" borderId="11" xfId="0" applyFill="1" applyBorder="1"/>
    <xf numFmtId="167" fontId="0" fillId="7" borderId="12" xfId="0" applyNumberFormat="1" applyFill="1" applyBorder="1" applyAlignment="1">
      <alignment horizontal="center"/>
    </xf>
    <xf numFmtId="0" fontId="0" fillId="6" borderId="12" xfId="0" applyFill="1" applyBorder="1"/>
    <xf numFmtId="0" fontId="0" fillId="7" borderId="12" xfId="0" applyFill="1" applyBorder="1" applyAlignment="1">
      <alignment horizontal="center"/>
    </xf>
    <xf numFmtId="0" fontId="0" fillId="8" borderId="0" xfId="0" applyFill="1" applyAlignment="1">
      <alignment horizontal="center"/>
    </xf>
    <xf numFmtId="168" fontId="0" fillId="6" borderId="0" xfId="0" applyNumberFormat="1" applyFill="1" applyAlignment="1">
      <alignment horizontal="center"/>
    </xf>
    <xf numFmtId="168" fontId="0" fillId="6" borderId="12" xfId="0" applyNumberFormat="1" applyFill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5" fontId="0" fillId="6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167" fontId="3" fillId="8" borderId="0" xfId="0" applyNumberFormat="1" applyFont="1" applyFill="1" applyAlignment="1">
      <alignment horizontal="center"/>
    </xf>
    <xf numFmtId="0" fontId="0" fillId="11" borderId="0" xfId="0" applyFill="1" applyAlignment="1">
      <alignment horizontal="center"/>
    </xf>
    <xf numFmtId="166" fontId="0" fillId="0" borderId="0" xfId="0" applyNumberFormat="1"/>
    <xf numFmtId="170" fontId="0" fillId="6" borderId="0" xfId="0" applyNumberFormat="1" applyFill="1" applyAlignment="1">
      <alignment horizontal="center"/>
    </xf>
    <xf numFmtId="169" fontId="0" fillId="6" borderId="0" xfId="0" applyNumberFormat="1" applyFill="1" applyAlignment="1">
      <alignment horizontal="center"/>
    </xf>
    <xf numFmtId="0" fontId="0" fillId="0" borderId="0" xfId="0" applyAlignment="1">
      <alignment vertical="center"/>
    </xf>
    <xf numFmtId="0" fontId="0" fillId="11" borderId="16" xfId="0" applyFill="1" applyBorder="1"/>
    <xf numFmtId="0" fontId="0" fillId="11" borderId="17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/>
    <xf numFmtId="0" fontId="0" fillId="10" borderId="16" xfId="0" applyFill="1" applyBorder="1" applyAlignment="1">
      <alignment horizontal="center"/>
    </xf>
    <xf numFmtId="167" fontId="0" fillId="6" borderId="17" xfId="0" applyNumberFormat="1" applyFill="1" applyBorder="1" applyAlignment="1">
      <alignment horizontal="center"/>
    </xf>
    <xf numFmtId="11" fontId="0" fillId="6" borderId="0" xfId="0" applyNumberFormat="1" applyFill="1" applyAlignment="1">
      <alignment horizontal="center"/>
    </xf>
    <xf numFmtId="0" fontId="2" fillId="2" borderId="16" xfId="0" applyFont="1" applyFill="1" applyBorder="1" applyAlignment="1">
      <alignment horizontal="center"/>
    </xf>
    <xf numFmtId="165" fontId="0" fillId="6" borderId="17" xfId="0" applyNumberForma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167" fontId="0" fillId="7" borderId="17" xfId="0" applyNumberFormat="1" applyFill="1" applyBorder="1" applyAlignment="1">
      <alignment horizontal="center"/>
    </xf>
    <xf numFmtId="166" fontId="0" fillId="6" borderId="0" xfId="0" applyNumberFormat="1" applyFill="1" applyAlignment="1">
      <alignment horizontal="center"/>
    </xf>
    <xf numFmtId="0" fontId="0" fillId="7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165" fontId="0" fillId="2" borderId="19" xfId="0" applyNumberFormat="1" applyFill="1" applyBorder="1" applyAlignment="1">
      <alignment horizontal="center"/>
    </xf>
    <xf numFmtId="166" fontId="0" fillId="2" borderId="20" xfId="0" applyNumberFormat="1" applyFill="1" applyBorder="1" applyAlignment="1">
      <alignment horizontal="center"/>
    </xf>
    <xf numFmtId="11" fontId="0" fillId="0" borderId="0" xfId="0" applyNumberFormat="1" applyAlignment="1">
      <alignment horizontal="center"/>
    </xf>
    <xf numFmtId="171" fontId="0" fillId="6" borderId="0" xfId="0" applyNumberForma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708660</xdr:colOff>
      <xdr:row>44</xdr:row>
      <xdr:rowOff>137161</xdr:rowOff>
    </xdr:from>
    <xdr:to>
      <xdr:col>16</xdr:col>
      <xdr:colOff>574192</xdr:colOff>
      <xdr:row>47</xdr:row>
      <xdr:rowOff>22860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0296601-F90C-2365-C84F-3991C51D8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8280" y="7635241"/>
          <a:ext cx="2026920" cy="434340"/>
        </a:xfrm>
        <a:prstGeom prst="rect">
          <a:avLst/>
        </a:prstGeom>
      </xdr:spPr>
    </xdr:pic>
    <xdr:clientData/>
  </xdr:twoCellAnchor>
  <xdr:twoCellAnchor editAs="oneCell">
    <xdr:from>
      <xdr:col>21</xdr:col>
      <xdr:colOff>784861</xdr:colOff>
      <xdr:row>40</xdr:row>
      <xdr:rowOff>114300</xdr:rowOff>
    </xdr:from>
    <xdr:to>
      <xdr:col>23</xdr:col>
      <xdr:colOff>746432</xdr:colOff>
      <xdr:row>42</xdr:row>
      <xdr:rowOff>154137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2059957-A88B-236E-324E-749106064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49101" y="6880860"/>
          <a:ext cx="2179320" cy="405596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</xdr:colOff>
      <xdr:row>45</xdr:row>
      <xdr:rowOff>95768</xdr:rowOff>
    </xdr:from>
    <xdr:to>
      <xdr:col>23</xdr:col>
      <xdr:colOff>748733</xdr:colOff>
      <xdr:row>47</xdr:row>
      <xdr:rowOff>171532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AFBE953-6184-ACB0-762F-3BA3F62DC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87200" y="7776728"/>
          <a:ext cx="2143525" cy="441523"/>
        </a:xfrm>
        <a:prstGeom prst="rect">
          <a:avLst/>
        </a:prstGeom>
      </xdr:spPr>
    </xdr:pic>
    <xdr:clientData/>
  </xdr:twoCellAnchor>
  <xdr:twoCellAnchor editAs="oneCell">
    <xdr:from>
      <xdr:col>14</xdr:col>
      <xdr:colOff>366627</xdr:colOff>
      <xdr:row>17</xdr:row>
      <xdr:rowOff>85666</xdr:rowOff>
    </xdr:from>
    <xdr:to>
      <xdr:col>16</xdr:col>
      <xdr:colOff>198886</xdr:colOff>
      <xdr:row>24</xdr:row>
      <xdr:rowOff>37399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28953C4-C3A1-ABBC-029D-68C2A789A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16767" y="3248852"/>
          <a:ext cx="1997904" cy="1254221"/>
        </a:xfrm>
        <a:prstGeom prst="rect">
          <a:avLst/>
        </a:prstGeom>
      </xdr:spPr>
    </xdr:pic>
    <xdr:clientData/>
  </xdr:twoCellAnchor>
  <xdr:twoCellAnchor editAs="oneCell">
    <xdr:from>
      <xdr:col>16</xdr:col>
      <xdr:colOff>700831</xdr:colOff>
      <xdr:row>14</xdr:row>
      <xdr:rowOff>96402</xdr:rowOff>
    </xdr:from>
    <xdr:to>
      <xdr:col>18</xdr:col>
      <xdr:colOff>888330</xdr:colOff>
      <xdr:row>27</xdr:row>
      <xdr:rowOff>126882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185D07B-668A-4CC2-0662-857A83D3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77482" y="2701379"/>
          <a:ext cx="2132525" cy="2449387"/>
        </a:xfrm>
        <a:prstGeom prst="rect">
          <a:avLst/>
        </a:prstGeom>
      </xdr:spPr>
    </xdr:pic>
    <xdr:clientData/>
  </xdr:twoCellAnchor>
  <xdr:twoCellAnchor editAs="oneCell">
    <xdr:from>
      <xdr:col>22</xdr:col>
      <xdr:colOff>6627</xdr:colOff>
      <xdr:row>17</xdr:row>
      <xdr:rowOff>6625</xdr:rowOff>
    </xdr:from>
    <xdr:to>
      <xdr:col>23</xdr:col>
      <xdr:colOff>3314</xdr:colOff>
      <xdr:row>20</xdr:row>
      <xdr:rowOff>28781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BCE9DBA-A7FD-5C05-8F3A-C5A08DE36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19236" y="7056782"/>
          <a:ext cx="1424608" cy="578747"/>
        </a:xfrm>
        <a:prstGeom prst="rect">
          <a:avLst/>
        </a:prstGeom>
      </xdr:spPr>
    </xdr:pic>
    <xdr:clientData/>
  </xdr:twoCellAnchor>
  <xdr:twoCellAnchor editAs="oneCell">
    <xdr:from>
      <xdr:col>25</xdr:col>
      <xdr:colOff>1363960</xdr:colOff>
      <xdr:row>17</xdr:row>
      <xdr:rowOff>38314</xdr:rowOff>
    </xdr:from>
    <xdr:to>
      <xdr:col>29</xdr:col>
      <xdr:colOff>240701</xdr:colOff>
      <xdr:row>20</xdr:row>
      <xdr:rowOff>4293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978A4B3-C7E5-6AF5-D53D-A9384635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135105" y="3172346"/>
          <a:ext cx="3245435" cy="514487"/>
        </a:xfrm>
        <a:prstGeom prst="rect">
          <a:avLst/>
        </a:prstGeom>
      </xdr:spPr>
    </xdr:pic>
    <xdr:clientData/>
  </xdr:twoCellAnchor>
  <xdr:twoCellAnchor editAs="oneCell">
    <xdr:from>
      <xdr:col>23</xdr:col>
      <xdr:colOff>622853</xdr:colOff>
      <xdr:row>17</xdr:row>
      <xdr:rowOff>119269</xdr:rowOff>
    </xdr:from>
    <xdr:to>
      <xdr:col>25</xdr:col>
      <xdr:colOff>571126</xdr:colOff>
      <xdr:row>19</xdr:row>
      <xdr:rowOff>159027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8C72F43-91B1-C383-79D7-AF4B141B7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336001" y="7169426"/>
          <a:ext cx="2020956" cy="410817"/>
        </a:xfrm>
        <a:prstGeom prst="rect">
          <a:avLst/>
        </a:prstGeom>
      </xdr:spPr>
    </xdr:pic>
    <xdr:clientData/>
  </xdr:twoCellAnchor>
  <xdr:twoCellAnchor editAs="oneCell">
    <xdr:from>
      <xdr:col>1</xdr:col>
      <xdr:colOff>1268083</xdr:colOff>
      <xdr:row>35</xdr:row>
      <xdr:rowOff>70560</xdr:rowOff>
    </xdr:from>
    <xdr:to>
      <xdr:col>3</xdr:col>
      <xdr:colOff>150313</xdr:colOff>
      <xdr:row>38</xdr:row>
      <xdr:rowOff>23907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B1243A9-3C20-B3A6-DC56-304C54C56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58838" y="6360654"/>
          <a:ext cx="1223732" cy="492498"/>
        </a:xfrm>
        <a:prstGeom prst="rect">
          <a:avLst/>
        </a:prstGeom>
      </xdr:spPr>
    </xdr:pic>
    <xdr:clientData/>
  </xdr:twoCellAnchor>
  <xdr:twoCellAnchor editAs="oneCell">
    <xdr:from>
      <xdr:col>1</xdr:col>
      <xdr:colOff>1369019</xdr:colOff>
      <xdr:row>40</xdr:row>
      <xdr:rowOff>9830</xdr:rowOff>
    </xdr:from>
    <xdr:to>
      <xdr:col>5</xdr:col>
      <xdr:colOff>44943</xdr:colOff>
      <xdr:row>42</xdr:row>
      <xdr:rowOff>68678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1E70CBC3-571D-6055-E4E4-8821A39B7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59774" y="7198509"/>
          <a:ext cx="3034436" cy="418282"/>
        </a:xfrm>
        <a:prstGeom prst="rect">
          <a:avLst/>
        </a:prstGeom>
      </xdr:spPr>
    </xdr:pic>
    <xdr:clientData/>
  </xdr:twoCellAnchor>
  <xdr:twoCellAnchor editAs="oneCell">
    <xdr:from>
      <xdr:col>14</xdr:col>
      <xdr:colOff>796247</xdr:colOff>
      <xdr:row>40</xdr:row>
      <xdr:rowOff>68495</xdr:rowOff>
    </xdr:from>
    <xdr:to>
      <xdr:col>16</xdr:col>
      <xdr:colOff>470122</xdr:colOff>
      <xdr:row>42</xdr:row>
      <xdr:rowOff>102742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7DE3B68-1098-169C-E156-E66FE8ABB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39160" y="7357191"/>
          <a:ext cx="1834273" cy="398681"/>
        </a:xfrm>
        <a:prstGeom prst="rect">
          <a:avLst/>
        </a:prstGeom>
      </xdr:spPr>
    </xdr:pic>
    <xdr:clientData/>
  </xdr:twoCellAnchor>
  <xdr:twoCellAnchor editAs="oneCell">
    <xdr:from>
      <xdr:col>1</xdr:col>
      <xdr:colOff>1398692</xdr:colOff>
      <xdr:row>37</xdr:row>
      <xdr:rowOff>159023</xdr:rowOff>
    </xdr:from>
    <xdr:to>
      <xdr:col>4</xdr:col>
      <xdr:colOff>397670</xdr:colOff>
      <xdr:row>40</xdr:row>
      <xdr:rowOff>57514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425F8F7-7E72-9DA1-1039-8521C4215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89447" y="6808551"/>
          <a:ext cx="2321651" cy="437642"/>
        </a:xfrm>
        <a:prstGeom prst="rect">
          <a:avLst/>
        </a:prstGeom>
      </xdr:spPr>
    </xdr:pic>
    <xdr:clientData/>
  </xdr:twoCellAnchor>
  <xdr:twoCellAnchor editAs="oneCell">
    <xdr:from>
      <xdr:col>0</xdr:col>
      <xdr:colOff>682804</xdr:colOff>
      <xdr:row>15</xdr:row>
      <xdr:rowOff>37083</xdr:rowOff>
    </xdr:from>
    <xdr:to>
      <xdr:col>2</xdr:col>
      <xdr:colOff>437574</xdr:colOff>
      <xdr:row>18</xdr:row>
      <xdr:rowOff>100667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C68458-6B5C-70B4-3795-9796EA1F8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2804" y="2828130"/>
          <a:ext cx="2430630" cy="621793"/>
        </a:xfrm>
        <a:prstGeom prst="rect">
          <a:avLst/>
        </a:prstGeom>
      </xdr:spPr>
    </xdr:pic>
    <xdr:clientData/>
  </xdr:twoCellAnchor>
  <xdr:twoCellAnchor editAs="oneCell">
    <xdr:from>
      <xdr:col>3</xdr:col>
      <xdr:colOff>605927</xdr:colOff>
      <xdr:row>14</xdr:row>
      <xdr:rowOff>156072</xdr:rowOff>
    </xdr:from>
    <xdr:to>
      <xdr:col>6</xdr:col>
      <xdr:colOff>1098215</xdr:colOff>
      <xdr:row>17</xdr:row>
      <xdr:rowOff>74542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D1C8BF-519C-E7EE-7A17-8AC9A02A4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604231" y="2707115"/>
          <a:ext cx="3701836" cy="465123"/>
        </a:xfrm>
        <a:prstGeom prst="rect">
          <a:avLst/>
        </a:prstGeom>
      </xdr:spPr>
    </xdr:pic>
    <xdr:clientData/>
  </xdr:twoCellAnchor>
  <xdr:twoCellAnchor editAs="oneCell">
    <xdr:from>
      <xdr:col>3</xdr:col>
      <xdr:colOff>521804</xdr:colOff>
      <xdr:row>17</xdr:row>
      <xdr:rowOff>74543</xdr:rowOff>
    </xdr:from>
    <xdr:to>
      <xdr:col>7</xdr:col>
      <xdr:colOff>384016</xdr:colOff>
      <xdr:row>20</xdr:row>
      <xdr:rowOff>132522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E5CFA2E-D75F-137E-0097-8C511A3A7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520108" y="3172239"/>
          <a:ext cx="4171954" cy="604631"/>
        </a:xfrm>
        <a:prstGeom prst="rect">
          <a:avLst/>
        </a:prstGeom>
      </xdr:spPr>
    </xdr:pic>
    <xdr:clientData/>
  </xdr:twoCellAnchor>
  <xdr:twoCellAnchor editAs="oneCell">
    <xdr:from>
      <xdr:col>7</xdr:col>
      <xdr:colOff>654067</xdr:colOff>
      <xdr:row>14</xdr:row>
      <xdr:rowOff>115250</xdr:rowOff>
    </xdr:from>
    <xdr:to>
      <xdr:col>9</xdr:col>
      <xdr:colOff>1075745</xdr:colOff>
      <xdr:row>22</xdr:row>
      <xdr:rowOff>137413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CD40B0B-2AC8-CA7B-BDEC-B712217B1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16200000">
          <a:off x="9065590" y="2209599"/>
          <a:ext cx="1513738" cy="2545549"/>
        </a:xfrm>
        <a:prstGeom prst="rect">
          <a:avLst/>
        </a:prstGeom>
      </xdr:spPr>
    </xdr:pic>
    <xdr:clientData/>
  </xdr:twoCellAnchor>
  <xdr:twoCellAnchor editAs="oneCell">
    <xdr:from>
      <xdr:col>24</xdr:col>
      <xdr:colOff>134056</xdr:colOff>
      <xdr:row>41</xdr:row>
      <xdr:rowOff>134056</xdr:rowOff>
    </xdr:from>
    <xdr:to>
      <xdr:col>25</xdr:col>
      <xdr:colOff>422868</xdr:colOff>
      <xdr:row>44</xdr:row>
      <xdr:rowOff>61343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FBEA1CC1-F90E-87DC-409F-C04A4E27D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741945" y="7655278"/>
          <a:ext cx="1375833" cy="477621"/>
        </a:xfrm>
        <a:prstGeom prst="rect">
          <a:avLst/>
        </a:prstGeom>
      </xdr:spPr>
    </xdr:pic>
    <xdr:clientData/>
  </xdr:twoCellAnchor>
  <xdr:twoCellAnchor editAs="oneCell">
    <xdr:from>
      <xdr:col>17</xdr:col>
      <xdr:colOff>14110</xdr:colOff>
      <xdr:row>41</xdr:row>
      <xdr:rowOff>49390</xdr:rowOff>
    </xdr:from>
    <xdr:to>
      <xdr:col>18</xdr:col>
      <xdr:colOff>521625</xdr:colOff>
      <xdr:row>44</xdr:row>
      <xdr:rowOff>9728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DCB77FCF-4327-BBDB-5C58-C7179ECC5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448388" y="7570612"/>
          <a:ext cx="1481668" cy="510672"/>
        </a:xfrm>
        <a:prstGeom prst="rect">
          <a:avLst/>
        </a:prstGeom>
      </xdr:spPr>
    </xdr:pic>
    <xdr:clientData/>
  </xdr:twoCellAnchor>
  <xdr:twoCellAnchor editAs="oneCell">
    <xdr:from>
      <xdr:col>22</xdr:col>
      <xdr:colOff>14111</xdr:colOff>
      <xdr:row>43</xdr:row>
      <xdr:rowOff>7057</xdr:rowOff>
    </xdr:from>
    <xdr:to>
      <xdr:col>23</xdr:col>
      <xdr:colOff>613831</xdr:colOff>
      <xdr:row>45</xdr:row>
      <xdr:rowOff>14112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2550E5C-7E91-3386-64C3-9E0D66429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399500" y="7895168"/>
          <a:ext cx="2031999" cy="373944"/>
        </a:xfrm>
        <a:prstGeom prst="rect">
          <a:avLst/>
        </a:prstGeom>
      </xdr:spPr>
    </xdr:pic>
    <xdr:clientData/>
  </xdr:twoCellAnchor>
  <xdr:twoCellAnchor editAs="oneCell">
    <xdr:from>
      <xdr:col>14</xdr:col>
      <xdr:colOff>776111</xdr:colOff>
      <xdr:row>42</xdr:row>
      <xdr:rowOff>127001</xdr:rowOff>
    </xdr:from>
    <xdr:to>
      <xdr:col>16</xdr:col>
      <xdr:colOff>737059</xdr:colOff>
      <xdr:row>45</xdr:row>
      <xdr:rowOff>8998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6A229EE1-E9F6-4595-B5BF-7607ED6F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247055" y="7831668"/>
          <a:ext cx="2123723" cy="432330"/>
        </a:xfrm>
        <a:prstGeom prst="rect">
          <a:avLst/>
        </a:prstGeom>
      </xdr:spPr>
    </xdr:pic>
    <xdr:clientData/>
  </xdr:twoCellAnchor>
  <xdr:twoCellAnchor editAs="oneCell">
    <xdr:from>
      <xdr:col>1</xdr:col>
      <xdr:colOff>43132</xdr:colOff>
      <xdr:row>17</xdr:row>
      <xdr:rowOff>122209</xdr:rowOff>
    </xdr:from>
    <xdr:to>
      <xdr:col>2</xdr:col>
      <xdr:colOff>2</xdr:colOff>
      <xdr:row>20</xdr:row>
      <xdr:rowOff>85440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824873BF-53E5-E0AF-FF3B-98434CFC6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33887" y="3177398"/>
          <a:ext cx="1365850" cy="50238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731C-922A-4FE8-925F-59AE56B68387}">
  <dimension ref="A2:AG62"/>
  <sheetViews>
    <sheetView topLeftCell="H23" zoomScale="103" zoomScaleNormal="103" workbookViewId="0">
      <selection activeCell="L44" sqref="L44"/>
    </sheetView>
  </sheetViews>
  <sheetFormatPr baseColWidth="10" defaultRowHeight="14.4" x14ac:dyDescent="0.3"/>
  <cols>
    <col min="1" max="1" width="18.44140625" bestFit="1" customWidth="1"/>
    <col min="2" max="2" width="20.5546875" bestFit="1" customWidth="1"/>
    <col min="3" max="3" width="13.5546875" bestFit="1" customWidth="1"/>
    <col min="4" max="4" width="14.21875" customWidth="1"/>
    <col min="5" max="5" width="15.109375" customWidth="1"/>
    <col min="6" max="6" width="17.109375" bestFit="1" customWidth="1"/>
    <col min="7" max="7" width="16.21875" customWidth="1"/>
    <col min="8" max="8" width="15.33203125" bestFit="1" customWidth="1"/>
    <col min="9" max="9" width="15.77734375" bestFit="1" customWidth="1"/>
    <col min="10" max="10" width="18.77734375" bestFit="1" customWidth="1"/>
    <col min="11" max="11" width="21" customWidth="1"/>
    <col min="12" max="12" width="12.21875" bestFit="1" customWidth="1"/>
    <col min="13" max="13" width="14.33203125" bestFit="1" customWidth="1"/>
    <col min="14" max="14" width="13.6640625" customWidth="1"/>
    <col min="15" max="15" width="20.109375" customWidth="1"/>
    <col min="16" max="16" width="11.5546875" customWidth="1"/>
    <col min="17" max="18" width="14.33203125" bestFit="1" customWidth="1"/>
    <col min="19" max="19" width="18.77734375" customWidth="1"/>
    <col min="20" max="20" width="25.44140625" bestFit="1" customWidth="1"/>
    <col min="21" max="21" width="11.6640625" bestFit="1" customWidth="1"/>
    <col min="23" max="23" width="20.88671875" bestFit="1" customWidth="1"/>
    <col min="24" max="24" width="14.109375" customWidth="1"/>
    <col min="25" max="25" width="15.88671875" customWidth="1"/>
    <col min="26" max="26" width="20.6640625" customWidth="1"/>
    <col min="27" max="27" width="13.109375" customWidth="1"/>
    <col min="28" max="28" width="12.6640625" bestFit="1" customWidth="1"/>
    <col min="29" max="29" width="17.109375" bestFit="1" customWidth="1"/>
    <col min="30" max="30" width="17.77734375" customWidth="1"/>
    <col min="31" max="31" width="17.33203125" bestFit="1" customWidth="1"/>
  </cols>
  <sheetData>
    <row r="2" spans="1:33" x14ac:dyDescent="0.3">
      <c r="B2" s="77" t="s">
        <v>36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9"/>
    </row>
    <row r="3" spans="1:33" x14ac:dyDescent="0.3">
      <c r="A3" s="5"/>
      <c r="B3" s="4" t="s">
        <v>0</v>
      </c>
      <c r="C3" s="4" t="s">
        <v>53</v>
      </c>
      <c r="D3" s="4" t="s">
        <v>56</v>
      </c>
      <c r="E3" s="4" t="s">
        <v>51</v>
      </c>
      <c r="F3" s="4" t="s">
        <v>49</v>
      </c>
      <c r="G3" s="4" t="s">
        <v>21</v>
      </c>
      <c r="H3" s="4" t="s">
        <v>2</v>
      </c>
      <c r="I3" s="4" t="s">
        <v>38</v>
      </c>
      <c r="J3" s="4" t="s">
        <v>39</v>
      </c>
      <c r="K3" s="4" t="s">
        <v>40</v>
      </c>
      <c r="L3" s="10" t="s">
        <v>12</v>
      </c>
      <c r="M3" s="23" t="s">
        <v>76</v>
      </c>
      <c r="N3" s="23" t="s">
        <v>81</v>
      </c>
      <c r="O3" s="23" t="s">
        <v>77</v>
      </c>
      <c r="P3" s="23" t="s">
        <v>80</v>
      </c>
      <c r="Q3" s="23" t="s">
        <v>78</v>
      </c>
      <c r="R3" s="23" t="s">
        <v>79</v>
      </c>
    </row>
    <row r="4" spans="1:33" x14ac:dyDescent="0.3">
      <c r="A4" s="4" t="s">
        <v>18</v>
      </c>
      <c r="B4" s="9"/>
      <c r="C4" s="4" t="s">
        <v>35</v>
      </c>
      <c r="D4" s="4" t="s">
        <v>35</v>
      </c>
      <c r="E4" s="7" t="s">
        <v>20</v>
      </c>
      <c r="F4" s="9"/>
      <c r="G4" s="5" t="s">
        <v>35</v>
      </c>
      <c r="H4" s="9"/>
      <c r="I4" s="7" t="s">
        <v>20</v>
      </c>
      <c r="J4" s="7" t="s">
        <v>20</v>
      </c>
      <c r="K4" s="7" t="s">
        <v>75</v>
      </c>
      <c r="L4" s="4" t="s">
        <v>75</v>
      </c>
      <c r="M4" s="9"/>
      <c r="N4" s="7" t="s">
        <v>19</v>
      </c>
      <c r="O4" s="9"/>
      <c r="P4" s="7" t="s">
        <v>19</v>
      </c>
      <c r="Q4" s="9"/>
      <c r="R4" s="7" t="s">
        <v>19</v>
      </c>
      <c r="S4" s="12" t="s">
        <v>6</v>
      </c>
    </row>
    <row r="5" spans="1:33" x14ac:dyDescent="0.3">
      <c r="A5" s="4" t="s">
        <v>14</v>
      </c>
      <c r="B5" s="4">
        <f>AC32</f>
        <v>1.28565</v>
      </c>
      <c r="C5" s="4">
        <v>0.34172000000000002</v>
      </c>
      <c r="D5" s="4">
        <v>8.3309999999999995E-2</v>
      </c>
      <c r="E5" s="4">
        <v>0.1</v>
      </c>
      <c r="F5" s="4">
        <v>0.54871000000000003</v>
      </c>
      <c r="G5" s="4">
        <v>3.6260000000000001E-2</v>
      </c>
      <c r="H5" s="4">
        <v>0.17</v>
      </c>
      <c r="I5" s="4">
        <v>4.3549999999999998E-2</v>
      </c>
      <c r="J5" s="4">
        <v>0.06</v>
      </c>
      <c r="K5" s="4">
        <v>0.15401999999999999</v>
      </c>
      <c r="L5" s="1">
        <v>0.371</v>
      </c>
      <c r="M5" s="4">
        <v>5.0130000000000001E-2</v>
      </c>
      <c r="N5" s="4">
        <v>5.5280000000000003E-2</v>
      </c>
      <c r="O5" s="4">
        <v>5.0130000000000001E-2</v>
      </c>
      <c r="P5" s="4">
        <v>5.5280000000000003E-2</v>
      </c>
      <c r="Q5" s="4">
        <v>5.0130000000000001E-2</v>
      </c>
      <c r="R5" s="4">
        <v>5.5280000000000003E-2</v>
      </c>
      <c r="S5" s="3">
        <f>SUM(B5:R5)</f>
        <v>3.5104500000000005</v>
      </c>
      <c r="T5" s="1"/>
      <c r="W5" s="80" t="s">
        <v>37</v>
      </c>
      <c r="X5" s="80"/>
      <c r="Y5" s="80"/>
      <c r="Z5" s="80"/>
      <c r="AA5" s="80"/>
      <c r="AB5" s="80"/>
      <c r="AC5" s="80"/>
      <c r="AD5" s="80"/>
      <c r="AE5" s="80"/>
    </row>
    <row r="6" spans="1:33" x14ac:dyDescent="0.3">
      <c r="A6" s="4" t="s">
        <v>57</v>
      </c>
      <c r="B6" s="9"/>
      <c r="C6" s="4">
        <v>0.04</v>
      </c>
      <c r="D6" s="4">
        <v>2.1250000000000002E-2</v>
      </c>
      <c r="E6" s="9"/>
      <c r="F6" s="9"/>
      <c r="G6" s="9"/>
      <c r="H6" s="9"/>
      <c r="I6" s="9"/>
      <c r="J6" s="9"/>
      <c r="K6" s="9"/>
      <c r="L6" s="4">
        <v>0.02</v>
      </c>
      <c r="M6" s="9"/>
      <c r="N6" s="9"/>
      <c r="O6" s="8"/>
      <c r="P6" s="8"/>
      <c r="Q6" s="8"/>
      <c r="R6" s="8"/>
      <c r="S6" s="1"/>
      <c r="T6" s="1"/>
      <c r="W6" s="4"/>
      <c r="X6" s="4" t="s">
        <v>0</v>
      </c>
      <c r="Y6" s="4" t="s">
        <v>53</v>
      </c>
      <c r="Z6" s="4" t="s">
        <v>56</v>
      </c>
      <c r="AA6" s="4" t="s">
        <v>51</v>
      </c>
      <c r="AB6" s="4" t="s">
        <v>38</v>
      </c>
      <c r="AC6" s="4" t="s">
        <v>39</v>
      </c>
      <c r="AD6" s="4" t="s">
        <v>40</v>
      </c>
      <c r="AE6" s="4" t="s">
        <v>43</v>
      </c>
    </row>
    <row r="7" spans="1:33" x14ac:dyDescent="0.3">
      <c r="A7" s="10" t="s">
        <v>60</v>
      </c>
      <c r="B7" s="15"/>
      <c r="C7" s="1">
        <v>8.0000000000000002E-3</v>
      </c>
      <c r="D7" s="4">
        <v>0.01</v>
      </c>
      <c r="E7" s="20">
        <v>8.0000000000000002E-3</v>
      </c>
      <c r="F7" s="11"/>
      <c r="G7" s="14" t="s">
        <v>45</v>
      </c>
      <c r="H7" s="8"/>
      <c r="I7" s="4">
        <v>7.4999999999999997E-3</v>
      </c>
      <c r="J7" s="4">
        <v>0.01</v>
      </c>
      <c r="K7" s="9"/>
      <c r="L7" s="8"/>
      <c r="M7" s="8"/>
      <c r="N7" s="8"/>
      <c r="O7" s="8"/>
      <c r="P7" s="8"/>
      <c r="Q7" s="8"/>
      <c r="R7" s="8"/>
      <c r="S7" s="12" t="s">
        <v>65</v>
      </c>
      <c r="T7" s="1"/>
      <c r="W7" s="4" t="s">
        <v>18</v>
      </c>
      <c r="X7" s="9"/>
      <c r="Y7" s="4" t="s">
        <v>35</v>
      </c>
      <c r="Z7" s="4" t="s">
        <v>35</v>
      </c>
      <c r="AA7" s="7" t="s">
        <v>20</v>
      </c>
      <c r="AB7" s="7" t="s">
        <v>20</v>
      </c>
      <c r="AC7" s="7" t="s">
        <v>20</v>
      </c>
      <c r="AD7" s="7" t="s">
        <v>20</v>
      </c>
      <c r="AE7" s="7"/>
      <c r="AF7" s="1" t="s">
        <v>33</v>
      </c>
      <c r="AG7" t="s">
        <v>61</v>
      </c>
    </row>
    <row r="8" spans="1:33" x14ac:dyDescent="0.3">
      <c r="A8" s="4" t="s">
        <v>25</v>
      </c>
      <c r="B8" s="9"/>
      <c r="C8" s="9"/>
      <c r="D8" s="9"/>
      <c r="E8" s="9"/>
      <c r="F8" s="4">
        <v>4.0500000000000001E-2</v>
      </c>
      <c r="G8" s="14" t="s">
        <v>46</v>
      </c>
      <c r="H8" s="8"/>
      <c r="I8" s="4">
        <v>0.02</v>
      </c>
      <c r="J8" s="4">
        <v>2.5000000000000001E-2</v>
      </c>
      <c r="K8" s="4">
        <v>1.7999999999999999E-2</v>
      </c>
      <c r="L8" s="8"/>
      <c r="M8" s="4">
        <v>2.2759999999999999E-2</v>
      </c>
      <c r="N8" s="4">
        <v>2.2759999999999999E-2</v>
      </c>
      <c r="O8" s="4">
        <v>2.2759999999999999E-2</v>
      </c>
      <c r="P8" s="4">
        <v>2.2759999999999999E-2</v>
      </c>
      <c r="Q8" s="4">
        <v>2.2759999999999999E-2</v>
      </c>
      <c r="R8" s="4">
        <v>2.2759999999999999E-2</v>
      </c>
      <c r="S8" s="1"/>
      <c r="T8" s="1"/>
      <c r="W8" s="4" t="s">
        <v>14</v>
      </c>
      <c r="X8" s="4"/>
      <c r="Y8" s="4"/>
      <c r="Z8" s="4"/>
      <c r="AA8" s="4"/>
      <c r="AB8" s="4"/>
      <c r="AC8" s="4"/>
      <c r="AD8" s="4"/>
      <c r="AE8" s="9"/>
      <c r="AF8" s="3">
        <f>SUM(X8:AD8)</f>
        <v>0</v>
      </c>
    </row>
    <row r="9" spans="1:33" x14ac:dyDescent="0.3">
      <c r="A9" s="4" t="s">
        <v>26</v>
      </c>
      <c r="B9" s="9"/>
      <c r="C9" s="9"/>
      <c r="D9" s="9"/>
      <c r="E9" s="9"/>
      <c r="F9" s="4">
        <v>4.2000000000000003E-2</v>
      </c>
      <c r="G9" s="14" t="s">
        <v>44</v>
      </c>
      <c r="H9" s="8"/>
      <c r="I9" s="4">
        <v>5.0000000000000001E-3</v>
      </c>
      <c r="J9" s="4">
        <v>8.0000000000000002E-3</v>
      </c>
      <c r="K9" s="4">
        <v>6.2210000000000001E-2</v>
      </c>
      <c r="L9" s="8"/>
      <c r="M9" s="4">
        <v>5.4850000000000003E-2</v>
      </c>
      <c r="N9" s="4">
        <v>5.4850000000000003E-2</v>
      </c>
      <c r="O9" s="4">
        <v>5.4850000000000003E-2</v>
      </c>
      <c r="P9" s="4">
        <v>5.4850000000000003E-2</v>
      </c>
      <c r="Q9" s="4">
        <v>5.4850000000000003E-2</v>
      </c>
      <c r="R9" s="4">
        <v>5.4850000000000003E-2</v>
      </c>
      <c r="S9" s="1"/>
      <c r="T9" s="1"/>
      <c r="W9" s="4" t="s">
        <v>24</v>
      </c>
      <c r="X9" s="9"/>
      <c r="Y9" s="9"/>
      <c r="Z9" s="9"/>
      <c r="AA9" s="4"/>
      <c r="AB9" s="9"/>
      <c r="AC9" s="9"/>
      <c r="AD9" s="9"/>
      <c r="AE9" s="9"/>
      <c r="AF9" t="s">
        <v>62</v>
      </c>
    </row>
    <row r="10" spans="1:33" x14ac:dyDescent="0.3">
      <c r="A10" s="4" t="s">
        <v>4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1"/>
      <c r="T10" s="1"/>
      <c r="W10" s="4" t="s">
        <v>45</v>
      </c>
      <c r="X10" s="9"/>
      <c r="Y10" s="9"/>
      <c r="Z10" s="9"/>
      <c r="AA10" s="9"/>
      <c r="AB10" s="4"/>
      <c r="AC10" s="4"/>
      <c r="AD10" s="4"/>
      <c r="AE10" s="9"/>
    </row>
    <row r="11" spans="1:33" x14ac:dyDescent="0.3">
      <c r="A11" s="4" t="s">
        <v>72</v>
      </c>
      <c r="B11" s="4">
        <v>0.192</v>
      </c>
      <c r="C11" s="4">
        <v>2.4500000000000001E-2</v>
      </c>
      <c r="D11" s="4">
        <v>5.8110000000000002E-2</v>
      </c>
      <c r="E11" s="4">
        <v>4.6929999999999999E-2</v>
      </c>
      <c r="F11" s="4">
        <v>5.4850000000000003E-2</v>
      </c>
      <c r="G11" s="4">
        <v>5.33E-2</v>
      </c>
      <c r="H11" s="4">
        <v>7.0300000000000001E-2</v>
      </c>
      <c r="I11" s="4">
        <v>5.4899999999999997E-2</v>
      </c>
      <c r="J11" s="4">
        <v>1.4E-2</v>
      </c>
      <c r="K11" s="4">
        <v>0.16900000000000001</v>
      </c>
      <c r="L11" s="4">
        <v>8.4000000000000005E-2</v>
      </c>
      <c r="M11" s="4">
        <v>4.82E-2</v>
      </c>
      <c r="N11" s="4">
        <v>4.82E-2</v>
      </c>
      <c r="O11" s="4">
        <v>6.1039999999999997E-2</v>
      </c>
      <c r="P11" s="4">
        <v>6.1039999999999997E-2</v>
      </c>
      <c r="Q11" s="4">
        <v>8.3799999999999999E-2</v>
      </c>
      <c r="R11" s="4">
        <v>8.3799999999999999E-2</v>
      </c>
      <c r="S11" s="1"/>
      <c r="T11" s="1"/>
      <c r="W11" s="10" t="s">
        <v>46</v>
      </c>
      <c r="X11" s="11"/>
      <c r="Y11" s="4"/>
      <c r="Z11" s="4"/>
      <c r="AA11" s="9"/>
      <c r="AB11" s="4"/>
      <c r="AC11" s="4"/>
      <c r="AD11" s="4"/>
      <c r="AE11" s="11"/>
    </row>
    <row r="12" spans="1:33" x14ac:dyDescent="0.3">
      <c r="A12" s="4" t="s">
        <v>15</v>
      </c>
      <c r="B12" s="4"/>
      <c r="C12" s="4">
        <f>(1/4)*C5*((C6^2)+(C7^2))</f>
        <v>1.4215552000000002E-4</v>
      </c>
      <c r="D12" s="4">
        <f>(1/4)*D5*((D6^2)+(D7^2))</f>
        <v>1.1487667968750001E-5</v>
      </c>
      <c r="E12" s="4">
        <f>(1/12)*E5*(E7^2)</f>
        <v>5.3333333333333334E-7</v>
      </c>
      <c r="F12" s="4">
        <f>(1/12)*F5*((F8^2)+(F9^2))</f>
        <v>1.5566216812500002E-4</v>
      </c>
      <c r="G12" s="4">
        <v>2.410829E-5</v>
      </c>
      <c r="H12" s="4">
        <v>1.203339E-4</v>
      </c>
      <c r="I12" s="4">
        <f>(1/4)*I5*(((I7^2)+(I9^2))+((I8^2)+(I9^2)))</f>
        <v>5.5117968749999993E-6</v>
      </c>
      <c r="J12" s="4">
        <f>(1/4)*J5*(((J7^2)+(J9^2))+((J8^2)+(J9^2)))</f>
        <v>1.2795000000000002E-5</v>
      </c>
      <c r="K12" s="4">
        <f>(1/12)*K5*((K8^2)+(K9^2))</f>
        <v>5.3831069423500003E-5</v>
      </c>
      <c r="L12" s="4">
        <f>(1/2)*L5*(L5^2)</f>
        <v>2.5532405499999997E-2</v>
      </c>
      <c r="M12" s="4">
        <f>(1/12)*M5*((M8^2)+(M9^2))</f>
        <v>1.4732121267750001E-5</v>
      </c>
      <c r="N12" s="4">
        <f>(1/12)*N5*((N8^2)+(N9^2))</f>
        <v>1.6245594727333337E-5</v>
      </c>
      <c r="O12" s="4">
        <f t="shared" ref="O12:R12" si="0">(1/12)*O5*((O8^2)+(O9^2))</f>
        <v>1.4732121267750001E-5</v>
      </c>
      <c r="P12" s="4">
        <f t="shared" si="0"/>
        <v>1.6245594727333337E-5</v>
      </c>
      <c r="Q12" s="4">
        <f t="shared" si="0"/>
        <v>1.4732121267750001E-5</v>
      </c>
      <c r="R12" s="4">
        <f t="shared" si="0"/>
        <v>1.6245594727333337E-5</v>
      </c>
      <c r="S12" s="1"/>
      <c r="T12" s="1"/>
      <c r="W12" s="4" t="s">
        <v>44</v>
      </c>
      <c r="X12" s="9"/>
      <c r="Y12" s="4"/>
      <c r="Z12" s="4"/>
      <c r="AA12" s="9"/>
      <c r="AB12" s="4"/>
      <c r="AC12" s="4"/>
      <c r="AD12" s="4"/>
      <c r="AE12" s="9"/>
    </row>
    <row r="13" spans="1:33" x14ac:dyDescent="0.3">
      <c r="A13" s="4" t="s">
        <v>1</v>
      </c>
      <c r="B13" s="4">
        <f t="shared" ref="B13:K13" si="1">B12+(B5*(B11^2))</f>
        <v>4.7394201599999998E-2</v>
      </c>
      <c r="C13" s="4">
        <f t="shared" si="1"/>
        <v>3.4727295000000003E-4</v>
      </c>
      <c r="D13" s="4">
        <f t="shared" si="1"/>
        <v>2.9280655161974999E-4</v>
      </c>
      <c r="E13" s="4">
        <f t="shared" si="1"/>
        <v>2.2077582333333335E-4</v>
      </c>
      <c r="F13" s="4">
        <f>F12+(F5*(F11^2))</f>
        <v>1.8064685491000002E-3</v>
      </c>
      <c r="G13" s="4">
        <f>G12+(G5*(G11^2))</f>
        <v>1.2711896139999999E-4</v>
      </c>
      <c r="H13" s="4">
        <f t="shared" si="1"/>
        <v>9.604892000000002E-4</v>
      </c>
      <c r="I13" s="4">
        <f t="shared" si="1"/>
        <v>1.3677193237499998E-4</v>
      </c>
      <c r="J13" s="4">
        <f t="shared" si="1"/>
        <v>2.4555000000000005E-5</v>
      </c>
      <c r="K13" s="4">
        <f t="shared" si="1"/>
        <v>4.4527962894235001E-3</v>
      </c>
      <c r="L13" s="4">
        <f>L12+(L5*(L11^2))</f>
        <v>2.8150181499999996E-2</v>
      </c>
      <c r="M13" s="4">
        <f>M12+(M5*(M11^2))</f>
        <v>1.3119614246775001E-4</v>
      </c>
      <c r="N13" s="4">
        <f>N12+(N5*(N11^2))</f>
        <v>1.4467430192733333E-4</v>
      </c>
      <c r="O13" s="4">
        <f t="shared" ref="O13:R13" si="2">O12+(O5*(O11^2))</f>
        <v>2.0151056587575E-4</v>
      </c>
      <c r="P13" s="4">
        <f t="shared" si="2"/>
        <v>2.2221232957533334E-4</v>
      </c>
      <c r="Q13" s="4">
        <f t="shared" si="2"/>
        <v>3.6676703846774998E-4</v>
      </c>
      <c r="R13" s="4">
        <f t="shared" si="2"/>
        <v>4.044460779273333E-4</v>
      </c>
      <c r="S13" s="1" t="s">
        <v>5</v>
      </c>
      <c r="T13" s="1"/>
      <c r="W13" s="4" t="s">
        <v>27</v>
      </c>
      <c r="X13" s="1"/>
      <c r="Y13" s="4">
        <v>0</v>
      </c>
      <c r="Z13" s="4"/>
      <c r="AA13" s="4"/>
      <c r="AB13" s="4">
        <v>0</v>
      </c>
      <c r="AC13" s="4"/>
      <c r="AD13" s="4"/>
      <c r="AE13" s="4">
        <v>0</v>
      </c>
    </row>
    <row r="14" spans="1:33" x14ac:dyDescent="0.3">
      <c r="A14" s="6" t="s">
        <v>5</v>
      </c>
      <c r="B14" s="4">
        <f t="shared" ref="B14:L14" si="3">B13*B10</f>
        <v>4.7394201599999998E-2</v>
      </c>
      <c r="C14" s="4">
        <f t="shared" si="3"/>
        <v>3.4727295000000003E-4</v>
      </c>
      <c r="D14" s="4">
        <f t="shared" si="3"/>
        <v>2.9280655161974999E-4</v>
      </c>
      <c r="E14" s="4">
        <f t="shared" si="3"/>
        <v>2.2077582333333335E-4</v>
      </c>
      <c r="F14" s="4">
        <f t="shared" si="3"/>
        <v>1.8064685491000002E-3</v>
      </c>
      <c r="G14" s="4">
        <f t="shared" si="3"/>
        <v>1.2711896139999999E-4</v>
      </c>
      <c r="H14" s="4">
        <f t="shared" si="3"/>
        <v>9.604892000000002E-4</v>
      </c>
      <c r="I14" s="4">
        <f t="shared" si="3"/>
        <v>1.3677193237499998E-4</v>
      </c>
      <c r="J14" s="4">
        <f t="shared" si="3"/>
        <v>2.4555000000000005E-5</v>
      </c>
      <c r="K14" s="4">
        <f t="shared" si="3"/>
        <v>4.4527962894235001E-3</v>
      </c>
      <c r="L14" s="4">
        <f t="shared" si="3"/>
        <v>2.8150181499999996E-2</v>
      </c>
      <c r="M14" s="4">
        <f>M13*M10</f>
        <v>1.3119614246775001E-4</v>
      </c>
      <c r="N14" s="4">
        <f>N13*N10</f>
        <v>1.4467430192733333E-4</v>
      </c>
      <c r="O14" s="4">
        <f t="shared" ref="O14:R14" si="4">O13*O10</f>
        <v>2.0151056587575E-4</v>
      </c>
      <c r="P14" s="4">
        <f t="shared" si="4"/>
        <v>2.2221232957533334E-4</v>
      </c>
      <c r="Q14" s="4">
        <f t="shared" si="4"/>
        <v>3.6676703846774998E-4</v>
      </c>
      <c r="R14" s="4">
        <f t="shared" si="4"/>
        <v>4.044460779273333E-4</v>
      </c>
      <c r="S14" s="3">
        <f>SUM(B14:R14)</f>
        <v>8.5384244813492813E-2</v>
      </c>
      <c r="T14" s="1"/>
      <c r="W14" s="4" t="s">
        <v>32</v>
      </c>
      <c r="X14" s="4"/>
      <c r="Y14" s="4">
        <f>(1/2)*Y8*((Y11^2)+(Y12^2))</f>
        <v>0</v>
      </c>
      <c r="Z14" s="4">
        <f>(1/2)*Z8*((Z11^2)+(Z12^2))</f>
        <v>0</v>
      </c>
      <c r="AA14" s="4">
        <f>(1/2)*AA8*(AA9^2)</f>
        <v>0</v>
      </c>
      <c r="AB14" s="4">
        <f>(1/2)*AB8*(((AB10^2)+(AB12^2))+((AB11^2)+AB12^2))</f>
        <v>0</v>
      </c>
      <c r="AC14" s="4">
        <f>(1/2)*AC8*(((AC10^2)+(AC12^2))+((AC11^2)+AC12^2))</f>
        <v>0</v>
      </c>
      <c r="AD14" s="4">
        <f>(1/2)*AD8*(((AD10^2)+(AD12^2))+((AD11^2)+AD12^2))</f>
        <v>0</v>
      </c>
      <c r="AE14" s="4"/>
      <c r="AF14" s="1" t="s">
        <v>5</v>
      </c>
    </row>
    <row r="15" spans="1:33" x14ac:dyDescent="0.3">
      <c r="W15" s="4" t="s">
        <v>1</v>
      </c>
      <c r="X15" s="4">
        <f>X14+(X8*(X13^2))</f>
        <v>0</v>
      </c>
      <c r="Y15" s="4">
        <f t="shared" ref="Y15:AE15" si="5">Y14+(Y8*(Y13^2))</f>
        <v>0</v>
      </c>
      <c r="Z15" s="4">
        <f t="shared" si="5"/>
        <v>0</v>
      </c>
      <c r="AA15" s="4">
        <f t="shared" si="5"/>
        <v>0</v>
      </c>
      <c r="AB15" s="4">
        <f t="shared" si="5"/>
        <v>0</v>
      </c>
      <c r="AC15" s="4">
        <f t="shared" si="5"/>
        <v>0</v>
      </c>
      <c r="AD15" s="4">
        <f t="shared" si="5"/>
        <v>0</v>
      </c>
      <c r="AE15" s="4">
        <f t="shared" si="5"/>
        <v>0</v>
      </c>
      <c r="AF15" s="2">
        <f>SUM(X15:AE15)</f>
        <v>0</v>
      </c>
    </row>
    <row r="16" spans="1:33" x14ac:dyDescent="0.3">
      <c r="M16" s="1"/>
    </row>
    <row r="17" spans="2:29" x14ac:dyDescent="0.3">
      <c r="K17">
        <f>(1/12)*H5*((0.06221^2)+(0.018^2))</f>
        <v>5.9416191416666678E-5</v>
      </c>
      <c r="M17" s="1"/>
    </row>
    <row r="18" spans="2:29" x14ac:dyDescent="0.3">
      <c r="M18" s="1"/>
      <c r="W18" s="81"/>
      <c r="X18" s="81"/>
      <c r="Y18" s="81"/>
      <c r="Z18" s="81"/>
    </row>
    <row r="19" spans="2:29" x14ac:dyDescent="0.3">
      <c r="M19" s="1"/>
      <c r="W19" s="81"/>
      <c r="X19" s="81"/>
      <c r="Y19" s="81"/>
      <c r="Z19" s="81"/>
    </row>
    <row r="20" spans="2:29" x14ac:dyDescent="0.3">
      <c r="M20" s="1"/>
    </row>
    <row r="21" spans="2:29" x14ac:dyDescent="0.3">
      <c r="M21" s="1"/>
    </row>
    <row r="22" spans="2:29" x14ac:dyDescent="0.3">
      <c r="M22" s="1"/>
      <c r="Z22" t="s">
        <v>47</v>
      </c>
    </row>
    <row r="23" spans="2:29" x14ac:dyDescent="0.3">
      <c r="M23" s="1"/>
      <c r="Z23" t="s">
        <v>48</v>
      </c>
    </row>
    <row r="24" spans="2:29" x14ac:dyDescent="0.3">
      <c r="B24" s="80" t="s">
        <v>41</v>
      </c>
      <c r="C24" s="80"/>
      <c r="D24" s="80"/>
      <c r="E24" s="80"/>
      <c r="F24" s="80"/>
      <c r="G24" s="80"/>
      <c r="H24" s="80"/>
      <c r="I24" s="80"/>
      <c r="J24" s="80"/>
      <c r="M24" s="1"/>
    </row>
    <row r="25" spans="2:29" x14ac:dyDescent="0.3">
      <c r="B25" s="13"/>
      <c r="C25" s="13" t="s">
        <v>3</v>
      </c>
      <c r="D25" s="13" t="s">
        <v>52</v>
      </c>
      <c r="E25" s="13" t="s">
        <v>42</v>
      </c>
      <c r="F25" s="13" t="s">
        <v>39</v>
      </c>
      <c r="G25" s="13" t="s">
        <v>38</v>
      </c>
      <c r="H25" s="13" t="s">
        <v>55</v>
      </c>
      <c r="I25" s="13" t="s">
        <v>54</v>
      </c>
      <c r="J25" s="4" t="s">
        <v>50</v>
      </c>
      <c r="M25" s="1"/>
    </row>
    <row r="26" spans="2:29" x14ac:dyDescent="0.3">
      <c r="B26" s="4" t="s">
        <v>18</v>
      </c>
      <c r="C26" s="4" t="s">
        <v>20</v>
      </c>
      <c r="D26" s="4" t="s">
        <v>20</v>
      </c>
      <c r="E26" s="4" t="s">
        <v>20</v>
      </c>
      <c r="F26" s="4" t="s">
        <v>20</v>
      </c>
      <c r="G26" s="4" t="s">
        <v>20</v>
      </c>
      <c r="H26" s="4" t="s">
        <v>35</v>
      </c>
      <c r="I26" s="4" t="s">
        <v>35</v>
      </c>
      <c r="J26" s="8"/>
      <c r="K26" s="12" t="s">
        <v>63</v>
      </c>
    </row>
    <row r="27" spans="2:29" x14ac:dyDescent="0.3">
      <c r="B27" s="4" t="s">
        <v>14</v>
      </c>
      <c r="C27" s="4">
        <v>1.65</v>
      </c>
      <c r="D27">
        <v>7.4020000000000002E-2</v>
      </c>
      <c r="E27" s="4">
        <v>5.9760000000000001E-2</v>
      </c>
      <c r="F27" s="4">
        <v>0</v>
      </c>
      <c r="G27" s="4">
        <v>4.3549999999999998E-2</v>
      </c>
      <c r="H27" s="4"/>
      <c r="I27" s="4"/>
      <c r="J27" s="8"/>
      <c r="K27" s="3">
        <f>SUM(C27:I27)</f>
        <v>1.8273299999999999</v>
      </c>
      <c r="L27" s="1"/>
    </row>
    <row r="28" spans="2:29" x14ac:dyDescent="0.3">
      <c r="B28" s="4" t="s">
        <v>13</v>
      </c>
      <c r="C28" s="9"/>
      <c r="D28" s="4">
        <v>4.0000000000000001E-3</v>
      </c>
      <c r="E28" s="9"/>
      <c r="F28" s="9">
        <v>0</v>
      </c>
      <c r="G28" s="9"/>
      <c r="H28" s="9"/>
      <c r="I28" s="9"/>
      <c r="J28" s="8"/>
      <c r="K28" s="12" t="s">
        <v>64</v>
      </c>
      <c r="L28" s="1"/>
      <c r="N28" s="1"/>
      <c r="U28" s="1"/>
    </row>
    <row r="29" spans="2:29" x14ac:dyDescent="0.3">
      <c r="B29" s="4" t="s">
        <v>45</v>
      </c>
      <c r="C29" s="4">
        <v>0.03</v>
      </c>
      <c r="D29" s="9"/>
      <c r="E29" s="4">
        <v>0.01</v>
      </c>
      <c r="F29" s="4">
        <v>0</v>
      </c>
      <c r="G29" s="4"/>
      <c r="H29" s="9"/>
      <c r="I29" s="9"/>
      <c r="J29" s="8"/>
      <c r="K29" s="1">
        <f>K27-H27-I27</f>
        <v>1.8273299999999999</v>
      </c>
      <c r="L29" s="1"/>
      <c r="N29" s="1"/>
      <c r="O29" s="80" t="s">
        <v>28</v>
      </c>
      <c r="P29" s="80"/>
      <c r="Q29" s="80"/>
      <c r="R29" s="80"/>
      <c r="S29" s="80"/>
      <c r="T29" s="80"/>
      <c r="W29" s="80" t="s">
        <v>29</v>
      </c>
      <c r="X29" s="80"/>
      <c r="Y29" s="80"/>
      <c r="Z29" s="80"/>
      <c r="AA29" s="80"/>
      <c r="AB29" s="80"/>
    </row>
    <row r="30" spans="2:29" x14ac:dyDescent="0.3">
      <c r="B30" s="10" t="s">
        <v>46</v>
      </c>
      <c r="C30" s="4">
        <v>0.11</v>
      </c>
      <c r="D30" s="9"/>
      <c r="E30" s="4">
        <v>2.5000000000000001E-2</v>
      </c>
      <c r="F30" s="4">
        <v>0</v>
      </c>
      <c r="G30" s="4"/>
      <c r="H30" s="4"/>
      <c r="I30" s="4"/>
      <c r="J30" s="8"/>
      <c r="N30" s="1"/>
      <c r="O30" s="4"/>
      <c r="P30" s="4" t="s">
        <v>8</v>
      </c>
      <c r="Q30" s="4" t="s">
        <v>9</v>
      </c>
      <c r="R30" s="4" t="s">
        <v>10</v>
      </c>
      <c r="S30" s="4" t="s">
        <v>11</v>
      </c>
      <c r="T30" s="4" t="s">
        <v>12</v>
      </c>
      <c r="W30" s="4"/>
      <c r="X30" s="4" t="s">
        <v>8</v>
      </c>
      <c r="Y30" s="4" t="s">
        <v>9</v>
      </c>
      <c r="Z30" s="4" t="s">
        <v>10</v>
      </c>
      <c r="AA30" s="4" t="s">
        <v>11</v>
      </c>
      <c r="AB30" s="4" t="s">
        <v>12</v>
      </c>
    </row>
    <row r="31" spans="2:29" x14ac:dyDescent="0.3">
      <c r="B31" s="4" t="s">
        <v>44</v>
      </c>
      <c r="C31" s="4">
        <v>8.0000000000000002E-3</v>
      </c>
      <c r="D31" s="9"/>
      <c r="E31" s="4">
        <v>8.0000000000000002E-3</v>
      </c>
      <c r="F31" s="4">
        <v>0</v>
      </c>
      <c r="G31" s="4">
        <v>5.0000000000000001E-3</v>
      </c>
      <c r="H31" s="4"/>
      <c r="I31" s="4"/>
      <c r="J31" s="8"/>
      <c r="O31" s="4" t="s">
        <v>18</v>
      </c>
      <c r="P31" s="4" t="s">
        <v>22</v>
      </c>
      <c r="Q31" s="4" t="s">
        <v>23</v>
      </c>
      <c r="R31" s="4" t="s">
        <v>23</v>
      </c>
      <c r="S31" s="4" t="s">
        <v>23</v>
      </c>
      <c r="T31" s="4" t="s">
        <v>75</v>
      </c>
      <c r="U31" s="1" t="s">
        <v>33</v>
      </c>
      <c r="W31" s="4" t="s">
        <v>18</v>
      </c>
      <c r="X31" s="4" t="s">
        <v>22</v>
      </c>
      <c r="Y31" s="4" t="s">
        <v>23</v>
      </c>
      <c r="Z31" s="4" t="s">
        <v>23</v>
      </c>
      <c r="AA31" s="4" t="s">
        <v>23</v>
      </c>
      <c r="AB31" s="4" t="s">
        <v>75</v>
      </c>
      <c r="AC31" s="1" t="s">
        <v>33</v>
      </c>
    </row>
    <row r="32" spans="2:29" x14ac:dyDescent="0.3">
      <c r="B32" s="4" t="s">
        <v>27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/>
      <c r="J32" s="8">
        <v>0</v>
      </c>
      <c r="O32" s="4" t="s">
        <v>14</v>
      </c>
      <c r="P32" s="16">
        <v>0.71489000000000003</v>
      </c>
      <c r="Q32" s="17">
        <v>4.6769999999999999E-2</v>
      </c>
      <c r="R32" s="17">
        <v>9.486E-2</v>
      </c>
      <c r="S32" s="4">
        <v>8.6360000000000006E-2</v>
      </c>
      <c r="T32" s="4">
        <v>0.29599999999999999</v>
      </c>
      <c r="U32" s="3">
        <f>SUM(P32:T32)</f>
        <v>1.23888</v>
      </c>
      <c r="W32" s="4" t="s">
        <v>14</v>
      </c>
      <c r="X32" s="16">
        <v>0.71489000000000003</v>
      </c>
      <c r="Y32" s="17">
        <v>4.6769999999999999E-2</v>
      </c>
      <c r="Z32" s="17">
        <v>9.486E-2</v>
      </c>
      <c r="AA32" s="4">
        <v>8.6360000000000006E-2</v>
      </c>
      <c r="AB32" s="4">
        <v>0.29599999999999999</v>
      </c>
      <c r="AC32" s="19">
        <f>SUM(X32:AB32)+Y32</f>
        <v>1.28565</v>
      </c>
    </row>
    <row r="33" spans="2:30" x14ac:dyDescent="0.3">
      <c r="B33" s="4" t="s">
        <v>15</v>
      </c>
      <c r="C33" s="4">
        <f>(1/2)*C27*(((C30^2)+(C31^2))+((C29^2)+(C31^2)))</f>
        <v>1.0830599999999999E-2</v>
      </c>
      <c r="D33" s="4">
        <f>(1/2)*E27*(D28^2)</f>
        <v>4.7808E-7</v>
      </c>
      <c r="E33" s="4">
        <f>(1/2)*E27*(((E29^2)+(E31^2))+((E30^2)+(E31^2)))</f>
        <v>2.5487640000000006E-5</v>
      </c>
      <c r="F33" s="4">
        <f t="shared" ref="F33:G33" si="6">(1/2)*F27*(((F29^2)+(F31^2))+((F30^2)+(F31^2)))</f>
        <v>0</v>
      </c>
      <c r="G33" s="4">
        <f t="shared" si="6"/>
        <v>1.08875E-6</v>
      </c>
      <c r="H33" s="4">
        <f>(1/2)*H27*((H30^2)+(H31^2))</f>
        <v>0</v>
      </c>
      <c r="I33" s="4">
        <f>(1/2)*I27*((I30^2)+(I31^2))</f>
        <v>0</v>
      </c>
      <c r="J33" s="22">
        <v>8.1999999999999994E-6</v>
      </c>
      <c r="K33" s="1" t="s">
        <v>5</v>
      </c>
      <c r="O33" s="4" t="s">
        <v>69</v>
      </c>
      <c r="P33" s="4">
        <v>1.5</v>
      </c>
      <c r="Q33" s="16">
        <v>0.54500000000000004</v>
      </c>
      <c r="R33" s="16">
        <v>1.07</v>
      </c>
      <c r="S33" s="16">
        <v>1.01</v>
      </c>
      <c r="T33" s="9"/>
      <c r="U33" t="s">
        <v>59</v>
      </c>
      <c r="W33" s="4" t="s">
        <v>69</v>
      </c>
      <c r="X33" s="4">
        <v>1.5</v>
      </c>
      <c r="Y33" s="16">
        <v>0.54500000000000004</v>
      </c>
      <c r="Z33" s="16">
        <v>1.07</v>
      </c>
      <c r="AA33" s="16">
        <v>1.01</v>
      </c>
      <c r="AB33" s="9"/>
      <c r="AC33" t="s">
        <v>59</v>
      </c>
    </row>
    <row r="34" spans="2:30" x14ac:dyDescent="0.3">
      <c r="B34" s="4" t="s">
        <v>1</v>
      </c>
      <c r="C34" s="4">
        <f>C33+(C27*(C32^2))</f>
        <v>1.0830599999999999E-2</v>
      </c>
      <c r="D34" s="4">
        <f>D33+(E27*(D32^2))</f>
        <v>4.7808E-7</v>
      </c>
      <c r="E34" s="4">
        <f>E33+(E27*(E32^2))</f>
        <v>2.5487640000000006E-5</v>
      </c>
      <c r="F34" s="4">
        <f t="shared" ref="F34:J34" si="7">F33+(F27*(F32^2))</f>
        <v>0</v>
      </c>
      <c r="G34" s="4">
        <f t="shared" si="7"/>
        <v>1.08875E-6</v>
      </c>
      <c r="H34" s="4">
        <f t="shared" si="7"/>
        <v>0</v>
      </c>
      <c r="I34" s="4">
        <f t="shared" si="7"/>
        <v>0</v>
      </c>
      <c r="J34" s="4">
        <f t="shared" si="7"/>
        <v>8.1999999999999994E-6</v>
      </c>
      <c r="K34" s="3">
        <f>SUM(C34:J34)</f>
        <v>1.0865854469999998E-2</v>
      </c>
      <c r="L34" s="1"/>
      <c r="O34" s="4" t="s">
        <v>57</v>
      </c>
      <c r="P34" s="4">
        <v>1.67E-2</v>
      </c>
      <c r="Q34" s="8"/>
      <c r="R34" s="8"/>
      <c r="S34" s="14" t="s">
        <v>66</v>
      </c>
      <c r="T34" s="21">
        <v>0.04</v>
      </c>
      <c r="U34" s="1"/>
      <c r="W34" s="4" t="s">
        <v>57</v>
      </c>
      <c r="X34" s="4">
        <v>1.67E-2</v>
      </c>
      <c r="Y34" s="9"/>
      <c r="Z34" s="9"/>
      <c r="AA34" s="14" t="s">
        <v>66</v>
      </c>
      <c r="AB34" s="21">
        <v>0.04</v>
      </c>
    </row>
    <row r="35" spans="2:30" x14ac:dyDescent="0.3">
      <c r="B35" s="1"/>
      <c r="C35" s="1"/>
      <c r="D35" s="1"/>
      <c r="E35" s="1"/>
      <c r="F35" s="1"/>
      <c r="G35" s="1"/>
      <c r="H35" s="1"/>
      <c r="I35" s="1"/>
      <c r="O35" s="4" t="s">
        <v>70</v>
      </c>
      <c r="P35" s="4">
        <v>1.2699999999999999E-2</v>
      </c>
      <c r="Q35" s="8"/>
      <c r="R35" s="8"/>
      <c r="S35" s="4" t="s">
        <v>73</v>
      </c>
      <c r="T35" s="4">
        <v>4.58E-2</v>
      </c>
      <c r="W35" s="4" t="s">
        <v>70</v>
      </c>
      <c r="X35" s="4">
        <v>1.2699999999999999E-2</v>
      </c>
      <c r="Y35" s="9"/>
      <c r="Z35" s="9"/>
      <c r="AA35" s="4" t="s">
        <v>73</v>
      </c>
      <c r="AB35" s="4">
        <v>4.58E-2</v>
      </c>
    </row>
    <row r="36" spans="2:30" x14ac:dyDescent="0.3">
      <c r="E36" s="1"/>
      <c r="W36" s="4"/>
      <c r="Y36" s="4"/>
      <c r="Z36" s="4"/>
      <c r="AA36" s="4"/>
      <c r="AB36" s="4"/>
    </row>
    <row r="37" spans="2:30" x14ac:dyDescent="0.3">
      <c r="D37" s="1"/>
      <c r="E37" s="1"/>
      <c r="O37" s="4" t="s">
        <v>72</v>
      </c>
      <c r="P37" s="1">
        <v>0.31145</v>
      </c>
      <c r="Q37" s="5">
        <v>0.60809000000000002</v>
      </c>
      <c r="R37" s="5">
        <v>0.23687</v>
      </c>
      <c r="S37" s="5">
        <v>1.03382</v>
      </c>
      <c r="T37" s="5">
        <v>0.52929999999999999</v>
      </c>
      <c r="W37" s="4" t="s">
        <v>74</v>
      </c>
      <c r="X37" s="4">
        <v>0.246</v>
      </c>
      <c r="Y37" s="4">
        <v>0.55800000000000005</v>
      </c>
      <c r="Z37" s="1">
        <v>0.12</v>
      </c>
      <c r="AA37" s="4">
        <f>0.876+Z37</f>
        <v>0.996</v>
      </c>
      <c r="AB37" s="4">
        <f>1.5-AA37</f>
        <v>0.504</v>
      </c>
    </row>
    <row r="38" spans="2:30" x14ac:dyDescent="0.3">
      <c r="D38" s="1"/>
      <c r="E38" s="1"/>
      <c r="J38" t="s">
        <v>95</v>
      </c>
      <c r="O38" s="4" t="s">
        <v>15</v>
      </c>
      <c r="P38" s="4">
        <f>(1/12)*P32*((3*((P34^2)+(P35^2)))+(P33^2))</f>
        <v>0.13412054507005</v>
      </c>
      <c r="Q38" s="4">
        <f>(1/3)*Q32*(Q33^2)</f>
        <v>4.6306197500000004E-3</v>
      </c>
      <c r="R38" s="4">
        <f>(1/12)*R32*(R33^2)</f>
        <v>9.0504344999999993E-3</v>
      </c>
      <c r="S38" s="4">
        <f>(1/12)*S32*(S33^2)</f>
        <v>7.341319666666667E-3</v>
      </c>
      <c r="T38" s="4">
        <f>(1/4)*T32*((T34^2)+((T35^2)/3))</f>
        <v>1.7014178666666669E-4</v>
      </c>
      <c r="W38" s="4" t="s">
        <v>15</v>
      </c>
      <c r="X38" s="4">
        <f>(1/12)*X32*((3*((X34^2)+(X35^2)))+(X33^2))</f>
        <v>0.13412054507005</v>
      </c>
      <c r="Y38" s="4">
        <f>(1/3)*AA32*(Y33^2)</f>
        <v>8.5503596666666685E-3</v>
      </c>
      <c r="Z38" s="4">
        <f>(1/12)*Z32*(Z33^2)</f>
        <v>9.0504344999999993E-3</v>
      </c>
      <c r="AA38" s="4">
        <f>(1/12)*AA32*(AA33^2)</f>
        <v>7.341319666666667E-3</v>
      </c>
      <c r="AB38" s="4">
        <f>(1/4)*AB32*((AB34^2)+((AB35^2)/3))</f>
        <v>1.7014178666666669E-4</v>
      </c>
    </row>
    <row r="39" spans="2:30" x14ac:dyDescent="0.3">
      <c r="B39" s="1"/>
      <c r="C39" s="1"/>
      <c r="D39" s="1"/>
      <c r="O39" s="4" t="s">
        <v>1</v>
      </c>
      <c r="P39" s="4">
        <f>P38+(P32*(P37^2))</f>
        <v>0.20346566323627502</v>
      </c>
      <c r="Q39" s="4">
        <f>Q38+(Q32*(Q37^2))</f>
        <v>2.1924923917637E-2</v>
      </c>
      <c r="R39" s="4">
        <f>R38+(R32*(R37^2))</f>
        <v>1.4372782169934E-2</v>
      </c>
      <c r="S39" s="4">
        <f>S38+(S32*(S37^2))</f>
        <v>9.9641487978330667E-2</v>
      </c>
      <c r="T39" s="4">
        <f>T38+(T32*(T37^2))</f>
        <v>8.3097054826666655E-2</v>
      </c>
      <c r="U39" s="1" t="s">
        <v>34</v>
      </c>
      <c r="W39" s="4" t="s">
        <v>1</v>
      </c>
      <c r="X39" s="4">
        <f>X38+(X32*(X37^2))</f>
        <v>0.17738282831005001</v>
      </c>
      <c r="Y39" s="4">
        <f t="shared" ref="Y39:Z39" si="8">Y38+(Y32*(Y37^2))</f>
        <v>2.3112853946666671E-2</v>
      </c>
      <c r="Z39" s="4">
        <f t="shared" si="8"/>
        <v>1.04164185E-2</v>
      </c>
      <c r="AA39" s="4">
        <f>AA38+(AA32*(AA37^2))</f>
        <v>9.3011821426666669E-2</v>
      </c>
      <c r="AB39" s="4">
        <f>AB38+(AB32*(AB37^2))</f>
        <v>7.5358877786666667E-2</v>
      </c>
      <c r="AC39" s="1" t="s">
        <v>5</v>
      </c>
      <c r="AD39" s="1" t="s">
        <v>71</v>
      </c>
    </row>
    <row r="40" spans="2:30" x14ac:dyDescent="0.3">
      <c r="O40" s="6" t="s">
        <v>5</v>
      </c>
      <c r="P40" s="4">
        <f>P39</f>
        <v>0.20346566323627502</v>
      </c>
      <c r="Q40" s="4">
        <f>Q39*2</f>
        <v>4.3849847835274E-2</v>
      </c>
      <c r="R40" s="4">
        <f t="shared" ref="R40:T40" si="9">R39</f>
        <v>1.4372782169934E-2</v>
      </c>
      <c r="S40" s="4">
        <f t="shared" si="9"/>
        <v>9.9641487978330667E-2</v>
      </c>
      <c r="T40" s="4">
        <f t="shared" si="9"/>
        <v>8.3097054826666655E-2</v>
      </c>
      <c r="U40" s="2">
        <f>SUM(P40:T40)</f>
        <v>0.44442683604648037</v>
      </c>
      <c r="W40" s="6" t="s">
        <v>5</v>
      </c>
      <c r="X40" s="4">
        <f>X39</f>
        <v>0.17738282831005001</v>
      </c>
      <c r="Y40" s="4">
        <f>Y39*2</f>
        <v>4.6225707893333343E-2</v>
      </c>
      <c r="Z40" s="4">
        <f t="shared" ref="Z40" si="10">Z39</f>
        <v>1.04164185E-2</v>
      </c>
      <c r="AA40" s="4">
        <f t="shared" ref="AA40" si="11">AA39</f>
        <v>9.3011821426666669E-2</v>
      </c>
      <c r="AB40" s="4">
        <f t="shared" ref="AB40" si="12">AB39</f>
        <v>7.5358877786666667E-2</v>
      </c>
      <c r="AC40" s="2">
        <f>SUM(X40:AB40)</f>
        <v>0.40239565391671667</v>
      </c>
      <c r="AD40">
        <f>AC40*L44</f>
        <v>6.3208161509060903E-2</v>
      </c>
    </row>
    <row r="41" spans="2:30" x14ac:dyDescent="0.3">
      <c r="W41" s="1"/>
      <c r="X41" s="1"/>
      <c r="Y41" s="1"/>
      <c r="Z41" s="1"/>
      <c r="AA41" s="1"/>
      <c r="AB41" s="1"/>
    </row>
    <row r="42" spans="2:30" x14ac:dyDescent="0.3">
      <c r="K42" s="81" t="s">
        <v>7</v>
      </c>
      <c r="L42" s="81"/>
    </row>
    <row r="43" spans="2:30" x14ac:dyDescent="0.3">
      <c r="K43" s="1" t="s">
        <v>16</v>
      </c>
      <c r="L43" s="18">
        <f>PI()/30</f>
        <v>0.10471975511965977</v>
      </c>
    </row>
    <row r="44" spans="2:30" x14ac:dyDescent="0.3">
      <c r="K44" s="1" t="s">
        <v>17</v>
      </c>
      <c r="L44" s="18">
        <f>PI()/20</f>
        <v>0.15707963267948966</v>
      </c>
      <c r="AC44">
        <f>0.234409*L44</f>
        <v>3.6820879616766493E-2</v>
      </c>
    </row>
    <row r="45" spans="2:30" x14ac:dyDescent="0.3">
      <c r="K45" s="1"/>
      <c r="L45" s="1"/>
    </row>
    <row r="46" spans="2:30" x14ac:dyDescent="0.3">
      <c r="K46" s="1"/>
      <c r="L46" s="1" t="s">
        <v>67</v>
      </c>
    </row>
    <row r="48" spans="2:30" x14ac:dyDescent="0.3">
      <c r="Y48" t="s">
        <v>68</v>
      </c>
    </row>
    <row r="51" spans="15:20" x14ac:dyDescent="0.3">
      <c r="O51" s="80" t="s">
        <v>28</v>
      </c>
      <c r="P51" s="80"/>
      <c r="Q51" s="80"/>
      <c r="R51" s="80"/>
      <c r="S51" s="80"/>
      <c r="T51" s="80"/>
    </row>
    <row r="52" spans="15:20" x14ac:dyDescent="0.3">
      <c r="O52" s="4"/>
      <c r="P52" s="4" t="s">
        <v>8</v>
      </c>
      <c r="Q52" s="4" t="s">
        <v>9</v>
      </c>
      <c r="R52" s="4" t="s">
        <v>10</v>
      </c>
      <c r="S52" s="4" t="s">
        <v>11</v>
      </c>
      <c r="T52" s="4" t="s">
        <v>12</v>
      </c>
    </row>
    <row r="53" spans="15:20" x14ac:dyDescent="0.3">
      <c r="O53" s="4" t="s">
        <v>18</v>
      </c>
      <c r="P53" s="4" t="s">
        <v>22</v>
      </c>
      <c r="Q53" s="4" t="s">
        <v>23</v>
      </c>
      <c r="R53" s="4" t="s">
        <v>23</v>
      </c>
      <c r="S53" s="4" t="s">
        <v>23</v>
      </c>
      <c r="T53" s="4" t="s">
        <v>75</v>
      </c>
    </row>
    <row r="54" spans="15:20" x14ac:dyDescent="0.3">
      <c r="O54" s="4" t="s">
        <v>14</v>
      </c>
      <c r="P54" s="16">
        <v>0.71489000000000003</v>
      </c>
      <c r="Q54" s="17">
        <v>4.6769999999999999E-2</v>
      </c>
      <c r="R54" s="17">
        <v>9.486E-2</v>
      </c>
      <c r="S54" s="4">
        <v>8.6360000000000006E-2</v>
      </c>
      <c r="T54" s="4">
        <v>0.29599999999999999</v>
      </c>
    </row>
    <row r="55" spans="15:20" x14ac:dyDescent="0.3">
      <c r="O55" s="4" t="s">
        <v>58</v>
      </c>
      <c r="P55" s="4">
        <v>1.5</v>
      </c>
      <c r="Q55" s="16">
        <v>0.54500000000000004</v>
      </c>
      <c r="R55" s="16">
        <v>1.07</v>
      </c>
      <c r="S55" s="16">
        <v>1.01</v>
      </c>
      <c r="T55" s="9"/>
    </row>
    <row r="56" spans="15:20" x14ac:dyDescent="0.3">
      <c r="O56" s="4" t="s">
        <v>30</v>
      </c>
      <c r="P56" s="4">
        <v>1.67E-2</v>
      </c>
      <c r="Q56" s="8"/>
      <c r="R56" s="8"/>
      <c r="S56" s="14" t="s">
        <v>25</v>
      </c>
      <c r="T56" s="5"/>
    </row>
    <row r="57" spans="15:20" x14ac:dyDescent="0.3">
      <c r="O57" s="4" t="s">
        <v>31</v>
      </c>
      <c r="P57" s="4">
        <v>1.2699999999999999E-2</v>
      </c>
      <c r="Q57" s="8"/>
      <c r="R57" s="8"/>
      <c r="S57" s="14" t="s">
        <v>26</v>
      </c>
      <c r="T57" s="5"/>
    </row>
    <row r="59" spans="15:20" x14ac:dyDescent="0.3">
      <c r="O59" s="4" t="s">
        <v>27</v>
      </c>
      <c r="P59" s="5"/>
      <c r="Q59" s="5"/>
      <c r="R59" s="5"/>
      <c r="S59" s="5"/>
      <c r="T59" s="5"/>
    </row>
    <row r="60" spans="15:20" x14ac:dyDescent="0.3">
      <c r="O60" s="4" t="s">
        <v>32</v>
      </c>
      <c r="P60" s="4">
        <f>(1/2)*P54*((P56^2)+(P57^2))</f>
        <v>1.573401401E-4</v>
      </c>
      <c r="Q60" s="4">
        <f>(1/3)*Q54*(Q55^2)</f>
        <v>4.6306197500000004E-3</v>
      </c>
      <c r="R60" s="4">
        <f>(1/12)*R54*(R55^2)</f>
        <v>9.0504344999999993E-3</v>
      </c>
      <c r="S60" s="4">
        <f>(1/12)*S54*(S55^2)</f>
        <v>7.341319666666667E-3</v>
      </c>
      <c r="T60" s="4">
        <f>(1/12)*T54*((T56^2)+(T57^2))</f>
        <v>0</v>
      </c>
    </row>
    <row r="61" spans="15:20" x14ac:dyDescent="0.3">
      <c r="O61" s="4" t="s">
        <v>1</v>
      </c>
      <c r="P61" s="4">
        <f>P60+(P54*(P59^2))</f>
        <v>1.573401401E-4</v>
      </c>
      <c r="Q61" s="4">
        <f>Q60+(Q54*(Q59^2))</f>
        <v>4.6306197500000004E-3</v>
      </c>
      <c r="R61" s="4">
        <f>R60+(R54*(R59^2))</f>
        <v>9.0504344999999993E-3</v>
      </c>
      <c r="S61" s="4">
        <f>S60+(S54*(S59^2))</f>
        <v>7.341319666666667E-3</v>
      </c>
      <c r="T61" s="4">
        <f>T60+(T54*(T59^2))</f>
        <v>0</v>
      </c>
    </row>
    <row r="62" spans="15:20" x14ac:dyDescent="0.3">
      <c r="O62" s="6" t="s">
        <v>5</v>
      </c>
      <c r="P62" s="4">
        <f>P61</f>
        <v>1.573401401E-4</v>
      </c>
      <c r="Q62" s="4">
        <f>Q61*2</f>
        <v>9.2612395000000007E-3</v>
      </c>
      <c r="R62" s="4">
        <f t="shared" ref="R62:T62" si="13">R61</f>
        <v>9.0504344999999993E-3</v>
      </c>
      <c r="S62" s="4">
        <f t="shared" si="13"/>
        <v>7.341319666666667E-3</v>
      </c>
      <c r="T62" s="4">
        <f t="shared" si="13"/>
        <v>0</v>
      </c>
    </row>
  </sheetData>
  <mergeCells count="9">
    <mergeCell ref="B2:N2"/>
    <mergeCell ref="W29:AB29"/>
    <mergeCell ref="W19:Z19"/>
    <mergeCell ref="W18:Z18"/>
    <mergeCell ref="O51:T51"/>
    <mergeCell ref="K42:L42"/>
    <mergeCell ref="O29:T29"/>
    <mergeCell ref="W5:AE5"/>
    <mergeCell ref="B24:J2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F38E-8C1E-4CEF-A655-DC39883252CB}">
  <dimension ref="B1:AC65"/>
  <sheetViews>
    <sheetView tabSelected="1" zoomScale="57" zoomScaleNormal="85" workbookViewId="0">
      <selection activeCell="P36" sqref="P36"/>
    </sheetView>
  </sheetViews>
  <sheetFormatPr baseColWidth="10" defaultRowHeight="14.4" x14ac:dyDescent="0.3"/>
  <cols>
    <col min="2" max="2" width="17.6640625" bestFit="1" customWidth="1"/>
    <col min="3" max="3" width="16.21875" bestFit="1" customWidth="1"/>
    <col min="8" max="8" width="8" bestFit="1" customWidth="1"/>
    <col min="9" max="9" width="11.77734375" customWidth="1"/>
    <col min="10" max="10" width="18.88671875" bestFit="1" customWidth="1"/>
    <col min="11" max="11" width="18.33203125" bestFit="1" customWidth="1"/>
    <col min="12" max="12" width="18.6640625" bestFit="1" customWidth="1"/>
    <col min="13" max="13" width="13" bestFit="1" customWidth="1"/>
    <col min="16" max="16" width="16.109375" bestFit="1" customWidth="1"/>
    <col min="17" max="17" width="16.21875" bestFit="1" customWidth="1"/>
    <col min="19" max="19" width="12.109375" bestFit="1" customWidth="1"/>
    <col min="23" max="23" width="13.44140625" bestFit="1" customWidth="1"/>
    <col min="24" max="24" width="18.6640625" bestFit="1" customWidth="1"/>
    <col min="25" max="25" width="13.44140625" customWidth="1"/>
    <col min="26" max="26" width="18.6640625" bestFit="1" customWidth="1"/>
    <col min="27" max="27" width="12" bestFit="1" customWidth="1"/>
  </cols>
  <sheetData>
    <row r="1" spans="2:27" ht="15" thickBot="1" x14ac:dyDescent="0.35"/>
    <row r="2" spans="2:27" ht="15.6" thickTop="1" thickBot="1" x14ac:dyDescent="0.35">
      <c r="P2" s="88" t="s">
        <v>94</v>
      </c>
      <c r="Q2" s="89"/>
      <c r="R2" s="89"/>
      <c r="S2" s="89"/>
      <c r="T2" s="89"/>
      <c r="U2" s="89"/>
      <c r="V2" s="89"/>
      <c r="W2" s="89"/>
      <c r="X2" s="89"/>
      <c r="Y2" s="90"/>
      <c r="Z2" s="56"/>
      <c r="AA2" s="56"/>
    </row>
    <row r="3" spans="2:27" ht="15" thickTop="1" x14ac:dyDescent="0.3">
      <c r="B3" s="82" t="s">
        <v>93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P3" s="91"/>
      <c r="Q3" s="92"/>
      <c r="R3" s="92"/>
      <c r="S3" s="92"/>
      <c r="T3" s="92"/>
      <c r="U3" s="92"/>
      <c r="V3" s="92"/>
      <c r="W3" s="92"/>
      <c r="X3" s="92"/>
      <c r="Y3" s="93"/>
      <c r="Z3" s="56"/>
      <c r="AA3" s="56"/>
    </row>
    <row r="4" spans="2:27" x14ac:dyDescent="0.3">
      <c r="B4" s="85"/>
      <c r="C4" s="86"/>
      <c r="D4" s="86"/>
      <c r="E4" s="86"/>
      <c r="F4" s="86"/>
      <c r="G4" s="86"/>
      <c r="H4" s="86"/>
      <c r="I4" s="86"/>
      <c r="J4" s="86"/>
      <c r="K4" s="86"/>
      <c r="L4" s="86"/>
      <c r="M4" s="87"/>
      <c r="P4" s="57"/>
      <c r="Q4" s="52" t="s">
        <v>18</v>
      </c>
      <c r="R4" s="52" t="s">
        <v>14</v>
      </c>
      <c r="S4" s="52" t="s">
        <v>69</v>
      </c>
      <c r="T4" s="52" t="s">
        <v>70</v>
      </c>
      <c r="U4" s="52" t="s">
        <v>92</v>
      </c>
      <c r="V4" s="52" t="s">
        <v>91</v>
      </c>
      <c r="W4" s="52" t="s">
        <v>15</v>
      </c>
      <c r="X4" s="52" t="s">
        <v>72</v>
      </c>
      <c r="Y4" s="58" t="s">
        <v>1</v>
      </c>
    </row>
    <row r="5" spans="2:27" x14ac:dyDescent="0.3">
      <c r="B5" s="32"/>
      <c r="C5" s="31" t="s">
        <v>18</v>
      </c>
      <c r="D5" s="31" t="s">
        <v>14</v>
      </c>
      <c r="E5" s="31" t="s">
        <v>69</v>
      </c>
      <c r="F5" s="31" t="s">
        <v>70</v>
      </c>
      <c r="G5" s="31" t="s">
        <v>92</v>
      </c>
      <c r="H5" s="31" t="s">
        <v>91</v>
      </c>
      <c r="I5" s="31" t="s">
        <v>84</v>
      </c>
      <c r="J5" s="31" t="s">
        <v>85</v>
      </c>
      <c r="K5" s="31" t="s">
        <v>15</v>
      </c>
      <c r="L5" s="31" t="s">
        <v>72</v>
      </c>
      <c r="M5" s="33" t="s">
        <v>1</v>
      </c>
      <c r="P5" s="59" t="s">
        <v>83</v>
      </c>
      <c r="Q5" s="24"/>
      <c r="R5" s="24"/>
      <c r="S5" s="24"/>
      <c r="T5" s="24"/>
      <c r="U5" s="24"/>
      <c r="V5" s="24"/>
      <c r="W5" s="24"/>
      <c r="X5" s="24"/>
      <c r="Y5" s="60"/>
    </row>
    <row r="6" spans="2:27" x14ac:dyDescent="0.3">
      <c r="B6" s="34" t="s">
        <v>83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35"/>
      <c r="P6" s="61" t="s">
        <v>8</v>
      </c>
      <c r="Q6" s="20" t="s">
        <v>22</v>
      </c>
      <c r="R6" s="37">
        <v>0.71489000000000003</v>
      </c>
      <c r="S6" s="37">
        <v>1.5</v>
      </c>
      <c r="T6" s="37">
        <v>1.2699999999999999E-2</v>
      </c>
      <c r="U6" s="37">
        <v>1.67E-2</v>
      </c>
      <c r="V6" s="37"/>
      <c r="W6" s="37">
        <f>(1/12)*R6*((S6^2)+(3*((U6^2)+(T6^2))))</f>
        <v>0.13412054507005</v>
      </c>
      <c r="X6" s="37">
        <v>0.246</v>
      </c>
      <c r="Y6" s="62">
        <f t="shared" ref="Y6:Y13" si="0">W6+(R6*(X6^2))</f>
        <v>0.17738282831005001</v>
      </c>
    </row>
    <row r="7" spans="2:27" x14ac:dyDescent="0.3">
      <c r="B7" s="36" t="s">
        <v>8</v>
      </c>
      <c r="C7" s="29" t="s">
        <v>22</v>
      </c>
      <c r="D7" s="37">
        <v>0.71489000000000003</v>
      </c>
      <c r="E7" s="37">
        <v>1.5</v>
      </c>
      <c r="F7" s="37">
        <v>1.2699999999999999E-2</v>
      </c>
      <c r="G7" s="37">
        <v>1.67E-2</v>
      </c>
      <c r="H7" s="37"/>
      <c r="I7" s="37"/>
      <c r="J7" s="37"/>
      <c r="K7" s="37">
        <f>(1/12)*D7*((E7^2)+(3*((F7^2)+(G7^2))))</f>
        <v>0.13412054507005</v>
      </c>
      <c r="L7" s="37">
        <v>0.31145</v>
      </c>
      <c r="M7" s="38">
        <v>0.20346566323627502</v>
      </c>
      <c r="P7" s="61" t="s">
        <v>111</v>
      </c>
      <c r="Q7" s="20" t="s">
        <v>20</v>
      </c>
      <c r="R7" s="37">
        <f>0.0536*2</f>
        <v>0.1072</v>
      </c>
      <c r="S7" s="37">
        <v>0.54500000000000004</v>
      </c>
      <c r="T7" s="37"/>
      <c r="U7" s="37"/>
      <c r="V7" s="37"/>
      <c r="W7" s="37">
        <f>(1/12)*R7*(S7^2)</f>
        <v>2.6534233333333334E-3</v>
      </c>
      <c r="X7" s="37">
        <v>0.63641000000000003</v>
      </c>
      <c r="Y7" s="62">
        <f t="shared" si="0"/>
        <v>4.6071319497653342E-2</v>
      </c>
    </row>
    <row r="8" spans="2:27" x14ac:dyDescent="0.3">
      <c r="B8" s="36" t="s">
        <v>111</v>
      </c>
      <c r="C8" s="29" t="s">
        <v>20</v>
      </c>
      <c r="D8" s="37">
        <f>0.0536*2</f>
        <v>0.1072</v>
      </c>
      <c r="E8" s="37"/>
      <c r="F8" s="37"/>
      <c r="G8" s="37">
        <v>6.3499999999999997E-3</v>
      </c>
      <c r="H8" s="37"/>
      <c r="I8" s="37"/>
      <c r="J8" s="37"/>
      <c r="K8" s="37">
        <f>(1/2)*D8*(G8^2)</f>
        <v>2.161286E-6</v>
      </c>
      <c r="L8" s="37">
        <v>0.60809000000000002</v>
      </c>
      <c r="M8" s="38">
        <v>2.1924923917637E-2</v>
      </c>
      <c r="P8" s="61" t="s">
        <v>10</v>
      </c>
      <c r="Q8" s="20" t="s">
        <v>20</v>
      </c>
      <c r="R8" s="37">
        <v>0.10199999999999999</v>
      </c>
      <c r="S8" s="37">
        <v>1.07</v>
      </c>
      <c r="T8" s="37"/>
      <c r="U8" s="37"/>
      <c r="V8" s="37"/>
      <c r="W8" s="37">
        <f>(1/12)*R8*(S8^2)</f>
        <v>9.7316499999999997E-3</v>
      </c>
      <c r="X8" s="37">
        <v>0.13</v>
      </c>
      <c r="Y8" s="62">
        <f t="shared" si="0"/>
        <v>1.1455449999999999E-2</v>
      </c>
    </row>
    <row r="9" spans="2:27" x14ac:dyDescent="0.3">
      <c r="B9" s="36" t="s">
        <v>10</v>
      </c>
      <c r="C9" s="29" t="s">
        <v>20</v>
      </c>
      <c r="D9" s="37">
        <v>0.10199999999999999</v>
      </c>
      <c r="E9" s="37"/>
      <c r="F9" s="37"/>
      <c r="G9" s="37">
        <v>6.3499999999999997E-3</v>
      </c>
      <c r="H9" s="37"/>
      <c r="I9" s="37"/>
      <c r="J9" s="37"/>
      <c r="K9" s="37">
        <v>9.0504344999999993E-3</v>
      </c>
      <c r="L9" s="37">
        <v>0.23687</v>
      </c>
      <c r="M9" s="38">
        <v>1.4372782169934E-2</v>
      </c>
      <c r="P9" s="61" t="s">
        <v>11</v>
      </c>
      <c r="Q9" s="20" t="s">
        <v>20</v>
      </c>
      <c r="R9" s="37">
        <v>9.5500000000000002E-2</v>
      </c>
      <c r="S9" s="37">
        <v>1.01</v>
      </c>
      <c r="T9" s="37"/>
      <c r="U9" s="37"/>
      <c r="V9" s="37"/>
      <c r="W9" s="37">
        <f>(1/12)*R9*(S9^2)</f>
        <v>8.1182958333333322E-3</v>
      </c>
      <c r="X9" s="37">
        <v>1.0073000000000001</v>
      </c>
      <c r="Y9" s="62">
        <f t="shared" si="0"/>
        <v>0.10501768502833336</v>
      </c>
    </row>
    <row r="10" spans="2:27" x14ac:dyDescent="0.3">
      <c r="B10" s="36" t="s">
        <v>11</v>
      </c>
      <c r="C10" s="29" t="s">
        <v>20</v>
      </c>
      <c r="D10" s="37">
        <v>9.5500000000000002E-2</v>
      </c>
      <c r="E10" s="37"/>
      <c r="F10" s="37"/>
      <c r="G10" s="37">
        <v>6.3499999999999997E-3</v>
      </c>
      <c r="H10" s="37"/>
      <c r="I10" s="37"/>
      <c r="J10" s="37"/>
      <c r="K10" s="37">
        <v>7.341319666666667E-3</v>
      </c>
      <c r="L10" s="37">
        <v>1.03382</v>
      </c>
      <c r="M10" s="38">
        <v>9.9641487978330667E-2</v>
      </c>
      <c r="P10" s="61" t="s">
        <v>12</v>
      </c>
      <c r="Q10" s="20" t="s">
        <v>75</v>
      </c>
      <c r="R10" s="37">
        <v>0.308</v>
      </c>
      <c r="S10" s="37">
        <v>4.58E-2</v>
      </c>
      <c r="T10" s="37"/>
      <c r="U10" s="37">
        <v>0.04</v>
      </c>
      <c r="V10" s="37"/>
      <c r="W10" s="37">
        <f>(1/12)*R10*((S10^2)+(3*(U10^2)))</f>
        <v>1.7703942666666666E-4</v>
      </c>
      <c r="X10" s="37">
        <v>0.504</v>
      </c>
      <c r="Y10" s="62">
        <f t="shared" si="0"/>
        <v>7.8413967426666675E-2</v>
      </c>
    </row>
    <row r="11" spans="2:27" x14ac:dyDescent="0.3">
      <c r="B11" s="36" t="s">
        <v>12</v>
      </c>
      <c r="C11" s="29" t="s">
        <v>75</v>
      </c>
      <c r="D11" s="37">
        <v>0.308</v>
      </c>
      <c r="E11" s="37">
        <v>4.58E-2</v>
      </c>
      <c r="F11" s="37"/>
      <c r="G11" s="37">
        <v>0.04</v>
      </c>
      <c r="H11" s="37"/>
      <c r="I11" s="37"/>
      <c r="J11" s="37"/>
      <c r="K11" s="37">
        <f>(1/12)*D11*((E11^2)+(3*(G11^2)))</f>
        <v>1.7703942666666666E-4</v>
      </c>
      <c r="L11" s="37">
        <v>0.52929999999999999</v>
      </c>
      <c r="M11" s="38">
        <v>8.3097054826666655E-2</v>
      </c>
      <c r="P11" s="61" t="s">
        <v>100</v>
      </c>
      <c r="Q11" s="20" t="s">
        <v>88</v>
      </c>
      <c r="R11" s="20">
        <v>2.4469999999999999E-2</v>
      </c>
      <c r="S11" s="20"/>
      <c r="T11" s="20"/>
      <c r="U11" s="20"/>
      <c r="V11" s="20"/>
      <c r="W11" s="54">
        <v>8.0754500000000008E-6</v>
      </c>
      <c r="X11" s="20">
        <v>0.56799999999999995</v>
      </c>
      <c r="Y11" s="62">
        <f t="shared" si="0"/>
        <v>7.9026847299999998E-3</v>
      </c>
    </row>
    <row r="12" spans="2:27" x14ac:dyDescent="0.3">
      <c r="B12" s="61" t="s">
        <v>100</v>
      </c>
      <c r="C12" s="20" t="s">
        <v>88</v>
      </c>
      <c r="D12" s="20">
        <v>2.4469999999999999E-2</v>
      </c>
      <c r="E12" s="20"/>
      <c r="F12" s="20"/>
      <c r="G12" s="20"/>
      <c r="H12" s="20"/>
      <c r="I12" s="29"/>
      <c r="J12" s="29"/>
      <c r="K12" s="54">
        <v>6.5416899999999997E-6</v>
      </c>
      <c r="L12" s="20">
        <v>0.56799999999999995</v>
      </c>
      <c r="M12" s="62">
        <f>K12+(D12*(L12^2))</f>
        <v>7.9011509699999996E-3</v>
      </c>
      <c r="P12" s="61" t="s">
        <v>101</v>
      </c>
      <c r="Q12" s="20" t="s">
        <v>88</v>
      </c>
      <c r="R12" s="20">
        <v>1.9290000000000002E-2</v>
      </c>
      <c r="S12" s="20"/>
      <c r="T12" s="20"/>
      <c r="U12" s="20"/>
      <c r="V12" s="20"/>
      <c r="W12" s="63">
        <v>4.7045800000000001E-6</v>
      </c>
      <c r="X12" s="20">
        <v>0.13</v>
      </c>
      <c r="Y12" s="62">
        <f t="shared" si="0"/>
        <v>3.3070558000000005E-4</v>
      </c>
    </row>
    <row r="13" spans="2:27" x14ac:dyDescent="0.3">
      <c r="B13" s="61" t="s">
        <v>101</v>
      </c>
      <c r="C13" s="20" t="s">
        <v>88</v>
      </c>
      <c r="D13" s="20">
        <v>1.9290000000000002E-2</v>
      </c>
      <c r="E13" s="20"/>
      <c r="F13" s="20"/>
      <c r="G13" s="20"/>
      <c r="H13" s="20"/>
      <c r="I13" s="29"/>
      <c r="J13" s="29"/>
      <c r="K13" s="63">
        <v>5.9491700000000002E-6</v>
      </c>
      <c r="L13" s="20">
        <v>0.13</v>
      </c>
      <c r="M13" s="62">
        <f>K13+(D13*(L13^2))</f>
        <v>3.319501700000001E-4</v>
      </c>
      <c r="P13" s="61" t="s">
        <v>102</v>
      </c>
      <c r="Q13" s="20" t="s">
        <v>88</v>
      </c>
      <c r="R13" s="20">
        <v>1.9290000000000002E-2</v>
      </c>
      <c r="S13" s="20"/>
      <c r="T13" s="20"/>
      <c r="U13" s="20"/>
      <c r="V13" s="20"/>
      <c r="W13" s="63">
        <v>4.7045800000000001E-6</v>
      </c>
      <c r="X13" s="37">
        <v>1.0073000000000001</v>
      </c>
      <c r="Y13" s="62">
        <f t="shared" si="0"/>
        <v>1.9577366544100007E-2</v>
      </c>
    </row>
    <row r="14" spans="2:27" x14ac:dyDescent="0.3">
      <c r="B14" s="61" t="s">
        <v>102</v>
      </c>
      <c r="C14" s="20" t="s">
        <v>88</v>
      </c>
      <c r="D14" s="20">
        <v>1.9290000000000002E-2</v>
      </c>
      <c r="E14" s="20"/>
      <c r="F14" s="20"/>
      <c r="G14" s="20"/>
      <c r="H14" s="20"/>
      <c r="I14" s="29"/>
      <c r="J14" s="29"/>
      <c r="K14" s="63">
        <v>5.9491700000000002E-6</v>
      </c>
      <c r="L14" s="37">
        <v>1.0073000000000001</v>
      </c>
      <c r="M14" s="62">
        <f>K14+(D14*(L14^2))</f>
        <v>1.9578611134100005E-2</v>
      </c>
      <c r="P14" s="64" t="s">
        <v>34</v>
      </c>
      <c r="Q14" s="45"/>
      <c r="R14" s="49">
        <f>SUM(R6:R13)</f>
        <v>1.3906400000000001</v>
      </c>
      <c r="S14" s="26"/>
      <c r="T14" s="26"/>
      <c r="U14" s="26"/>
      <c r="V14" s="26"/>
      <c r="W14" s="26"/>
      <c r="X14" s="26"/>
      <c r="Y14" s="65">
        <f>SUM(Y6:Y13)</f>
        <v>0.44615200711680336</v>
      </c>
    </row>
    <row r="15" spans="2:27" x14ac:dyDescent="0.3">
      <c r="B15" s="39" t="s">
        <v>34</v>
      </c>
      <c r="C15" s="25"/>
      <c r="D15" s="28">
        <f>SUM(D7:D14)</f>
        <v>1.3906400000000001</v>
      </c>
      <c r="E15" s="26"/>
      <c r="F15" s="26"/>
      <c r="G15" s="26"/>
      <c r="H15" s="26"/>
      <c r="I15" s="26"/>
      <c r="J15" s="26"/>
      <c r="K15" s="26"/>
      <c r="L15" s="26"/>
      <c r="M15" s="40">
        <f>SUM(M7:M14)</f>
        <v>0.45031362440294331</v>
      </c>
      <c r="P15" s="66"/>
      <c r="Q15" s="20"/>
      <c r="R15" s="20"/>
      <c r="S15" s="20"/>
      <c r="T15" s="20"/>
      <c r="U15" s="20"/>
      <c r="V15" s="20"/>
      <c r="X15" s="20"/>
      <c r="Y15" s="67"/>
    </row>
    <row r="16" spans="2:27" x14ac:dyDescent="0.3">
      <c r="B16" s="41"/>
      <c r="C16" s="29"/>
      <c r="D16" s="37"/>
      <c r="E16" s="37"/>
      <c r="F16" s="37"/>
      <c r="G16" s="37"/>
      <c r="H16" s="37"/>
      <c r="I16" s="37"/>
      <c r="J16" s="37"/>
      <c r="K16" s="37"/>
      <c r="L16" s="37"/>
      <c r="M16" s="38"/>
      <c r="P16" s="59" t="s">
        <v>82</v>
      </c>
      <c r="Q16" s="30"/>
      <c r="R16" s="27"/>
      <c r="S16" s="27"/>
      <c r="T16" s="27"/>
      <c r="U16" s="27"/>
      <c r="V16" s="27"/>
      <c r="W16" s="27"/>
      <c r="X16" s="27"/>
      <c r="Y16" s="68"/>
    </row>
    <row r="17" spans="2:29" x14ac:dyDescent="0.3">
      <c r="B17" s="34" t="s">
        <v>82</v>
      </c>
      <c r="C17" s="24"/>
      <c r="D17" s="27"/>
      <c r="E17" s="27"/>
      <c r="F17" s="27"/>
      <c r="G17" s="27"/>
      <c r="H17" s="27"/>
      <c r="I17" s="27"/>
      <c r="J17" s="27"/>
      <c r="K17" s="27"/>
      <c r="L17" s="27"/>
      <c r="M17" s="42"/>
      <c r="P17" s="61" t="s">
        <v>51</v>
      </c>
      <c r="Q17" s="20" t="s">
        <v>87</v>
      </c>
      <c r="R17" s="37">
        <v>0.1</v>
      </c>
      <c r="S17" s="37"/>
      <c r="T17" s="37"/>
      <c r="U17" s="37">
        <v>8.0000000000000002E-3</v>
      </c>
      <c r="V17" s="37"/>
      <c r="W17" s="54">
        <f>(1/2)*R17*(U17^2)</f>
        <v>3.1999999999999999E-6</v>
      </c>
      <c r="X17" s="37">
        <v>0</v>
      </c>
      <c r="Y17" s="62">
        <f>W17+(R17*(X17^2))</f>
        <v>3.1999999999999999E-6</v>
      </c>
    </row>
    <row r="18" spans="2:29" x14ac:dyDescent="0.3">
      <c r="B18" s="36" t="s">
        <v>106</v>
      </c>
      <c r="C18" s="29" t="s">
        <v>86</v>
      </c>
      <c r="D18" s="37">
        <v>0.34172000000000002</v>
      </c>
      <c r="E18" s="37">
        <v>0.01</v>
      </c>
      <c r="F18" s="37">
        <v>8.0000000000000002E-3</v>
      </c>
      <c r="G18" s="37">
        <v>0.04</v>
      </c>
      <c r="H18" s="37"/>
      <c r="I18" s="37"/>
      <c r="J18" s="37"/>
      <c r="K18" s="37">
        <f>(1/12)*D18*((E18^2)+(3*((F18^2)+(G18^2))))</f>
        <v>1.4500318666666668E-4</v>
      </c>
      <c r="L18" s="37">
        <v>2.4500000000000001E-2</v>
      </c>
      <c r="M18" s="38">
        <f>K18+(D18*(L18^2))</f>
        <v>3.5012061666666672E-4</v>
      </c>
      <c r="P18" s="61" t="s">
        <v>40</v>
      </c>
      <c r="Q18" s="20" t="s">
        <v>75</v>
      </c>
      <c r="R18" s="37">
        <v>0.15401999999999999</v>
      </c>
      <c r="S18" s="37"/>
      <c r="T18" s="37"/>
      <c r="U18" s="37"/>
      <c r="V18" s="37"/>
      <c r="W18" s="18">
        <v>6.0489560000000002E-5</v>
      </c>
      <c r="X18" s="37">
        <v>0</v>
      </c>
      <c r="Y18" s="62">
        <f>W18+(R18*(X18^2))</f>
        <v>6.0489560000000002E-5</v>
      </c>
    </row>
    <row r="19" spans="2:29" x14ac:dyDescent="0.3">
      <c r="B19" s="36" t="s">
        <v>107</v>
      </c>
      <c r="C19" s="29" t="s">
        <v>86</v>
      </c>
      <c r="D19" s="37">
        <v>8.3309999999999995E-2</v>
      </c>
      <c r="E19" s="37">
        <v>0.01</v>
      </c>
      <c r="F19" s="37">
        <v>0.01</v>
      </c>
      <c r="G19" s="37">
        <v>2.1250000000000002E-2</v>
      </c>
      <c r="H19" s="37"/>
      <c r="I19" s="37"/>
      <c r="J19" s="37"/>
      <c r="K19" s="55">
        <f>(1/12)*D19*((E19^2)+(3*((F19^2)+(G19^2))))</f>
        <v>1.218191796875E-5</v>
      </c>
      <c r="L19" s="37">
        <v>5.8110000000000002E-2</v>
      </c>
      <c r="M19" s="38">
        <f t="shared" ref="M19:M39" si="1">K19+(D19*(L19^2))</f>
        <v>2.9350080161975E-4</v>
      </c>
      <c r="P19" s="61" t="s">
        <v>103</v>
      </c>
      <c r="Q19" s="20" t="s">
        <v>19</v>
      </c>
      <c r="R19" s="20">
        <v>2.264E-2</v>
      </c>
      <c r="S19" s="20"/>
      <c r="T19" s="37"/>
      <c r="U19" s="20"/>
      <c r="V19" s="20"/>
      <c r="W19" s="69">
        <v>2.3112389999999998E-5</v>
      </c>
      <c r="X19" s="46">
        <v>0</v>
      </c>
      <c r="Y19" s="62">
        <f>W19+(R19*(X19^2))</f>
        <v>2.3112389999999998E-5</v>
      </c>
    </row>
    <row r="20" spans="2:29" x14ac:dyDescent="0.3">
      <c r="B20" s="36" t="s">
        <v>110</v>
      </c>
      <c r="C20" s="29" t="s">
        <v>87</v>
      </c>
      <c r="D20" s="37">
        <v>0.1</v>
      </c>
      <c r="E20" s="37">
        <v>8.0000000000000002E-3</v>
      </c>
      <c r="F20" s="37"/>
      <c r="G20" s="37"/>
      <c r="H20" s="37"/>
      <c r="I20" s="37"/>
      <c r="J20" s="37"/>
      <c r="K20" s="55">
        <f>(1/12)*D20*((E20^2))</f>
        <v>5.3333333333333334E-7</v>
      </c>
      <c r="L20" s="37">
        <v>4.6929999999999999E-2</v>
      </c>
      <c r="M20" s="38">
        <f t="shared" si="1"/>
        <v>2.2077582333333335E-4</v>
      </c>
      <c r="P20" s="61" t="s">
        <v>96</v>
      </c>
      <c r="Q20" s="20" t="s">
        <v>89</v>
      </c>
      <c r="R20" s="37"/>
      <c r="S20" s="37"/>
      <c r="U20" s="37"/>
      <c r="V20" s="37"/>
      <c r="W20" s="54">
        <v>8.1999999999999994E-6</v>
      </c>
      <c r="X20" s="37">
        <v>0</v>
      </c>
      <c r="Y20" s="62">
        <f>W20+(R20*(X20^2))</f>
        <v>8.1999999999999994E-6</v>
      </c>
    </row>
    <row r="21" spans="2:29" x14ac:dyDescent="0.3">
      <c r="B21" s="61" t="s">
        <v>49</v>
      </c>
      <c r="C21" s="29" t="s">
        <v>89</v>
      </c>
      <c r="D21" s="37">
        <v>0.54871000000000003</v>
      </c>
      <c r="E21" s="37"/>
      <c r="F21" s="37"/>
      <c r="G21" s="37"/>
      <c r="H21" s="37"/>
      <c r="I21" s="37"/>
      <c r="J21" s="37"/>
      <c r="K21" s="37">
        <v>4.5602190000000001E-4</v>
      </c>
      <c r="L21" s="37">
        <v>5.4850000000000003E-2</v>
      </c>
      <c r="M21" s="38">
        <f t="shared" si="1"/>
        <v>2.106828280975E-3</v>
      </c>
      <c r="P21" s="64" t="s">
        <v>34</v>
      </c>
      <c r="Q21" s="45"/>
      <c r="R21" s="50">
        <f>SUM(R17:R20)</f>
        <v>0.27666000000000002</v>
      </c>
      <c r="S21" s="26"/>
      <c r="T21" s="26"/>
      <c r="U21" s="26"/>
      <c r="V21" s="26"/>
      <c r="W21" s="51"/>
      <c r="X21" s="51"/>
      <c r="Y21" s="62">
        <f>SUM(Y17:Y20)</f>
        <v>9.5001950000000006E-5</v>
      </c>
    </row>
    <row r="22" spans="2:29" x14ac:dyDescent="0.3">
      <c r="B22" s="36" t="s">
        <v>21</v>
      </c>
      <c r="C22" s="29" t="s">
        <v>87</v>
      </c>
      <c r="D22" s="37">
        <v>3.6260000000000001E-2</v>
      </c>
      <c r="E22" s="37"/>
      <c r="F22" s="37"/>
      <c r="G22" s="37"/>
      <c r="H22" s="37"/>
      <c r="I22" s="37"/>
      <c r="J22" s="37"/>
      <c r="K22" s="49">
        <v>6.2762720000000003E-5</v>
      </c>
      <c r="L22" s="37">
        <v>5.33E-2</v>
      </c>
      <c r="M22" s="38">
        <f t="shared" si="1"/>
        <v>1.657733914E-4</v>
      </c>
      <c r="P22" s="66"/>
      <c r="Q22" s="20"/>
      <c r="R22" s="20"/>
      <c r="S22" s="20"/>
      <c r="T22" s="20"/>
      <c r="U22" s="20"/>
      <c r="V22" s="20"/>
      <c r="W22" s="20"/>
      <c r="X22" s="20"/>
      <c r="Y22" s="67"/>
    </row>
    <row r="23" spans="2:29" x14ac:dyDescent="0.3">
      <c r="B23" s="36" t="s">
        <v>2</v>
      </c>
      <c r="C23" s="29" t="s">
        <v>88</v>
      </c>
      <c r="D23" s="37">
        <v>0.17</v>
      </c>
      <c r="E23" s="37"/>
      <c r="F23" s="37"/>
      <c r="G23" s="37"/>
      <c r="H23" s="37"/>
      <c r="I23" s="37"/>
      <c r="J23" s="37"/>
      <c r="K23" s="49">
        <v>5.8702719999999998E-5</v>
      </c>
      <c r="L23" s="37">
        <v>7.0300000000000001E-2</v>
      </c>
      <c r="M23" s="38">
        <f t="shared" si="1"/>
        <v>8.9885802000000024E-4</v>
      </c>
      <c r="P23" s="59" t="s">
        <v>104</v>
      </c>
      <c r="Q23" s="30"/>
      <c r="R23" s="30"/>
      <c r="S23" s="30"/>
      <c r="T23" s="30"/>
      <c r="U23" s="30"/>
      <c r="V23" s="30"/>
      <c r="W23" s="30"/>
      <c r="X23" s="30"/>
      <c r="Y23" s="70"/>
    </row>
    <row r="24" spans="2:29" x14ac:dyDescent="0.3">
      <c r="B24" s="36" t="s">
        <v>38</v>
      </c>
      <c r="C24" s="29" t="s">
        <v>75</v>
      </c>
      <c r="D24" s="37">
        <v>4.3549999999999998E-2</v>
      </c>
      <c r="E24" s="37">
        <v>0.02</v>
      </c>
      <c r="F24" s="37">
        <v>5.0000000000000001E-3</v>
      </c>
      <c r="G24" s="37">
        <v>7.4999999999999997E-3</v>
      </c>
      <c r="H24" s="37">
        <v>0.02</v>
      </c>
      <c r="I24" s="37"/>
      <c r="J24" s="37"/>
      <c r="K24" s="55">
        <f>(1/12)*D24*((E24^2)+(3*(((F24^2)+(G24^2))+(((F24^2)+(H24^2))))))</f>
        <v>6.9634635416666659E-6</v>
      </c>
      <c r="L24" s="37">
        <v>5.4899999999999997E-2</v>
      </c>
      <c r="M24" s="38">
        <f t="shared" si="1"/>
        <v>1.3822359904166665E-4</v>
      </c>
      <c r="P24" s="61" t="s">
        <v>38</v>
      </c>
      <c r="Q24" s="20" t="s">
        <v>75</v>
      </c>
      <c r="R24" s="37">
        <v>3.474E-2</v>
      </c>
      <c r="S24" s="37"/>
      <c r="T24" s="37">
        <v>5.0000000000000001E-3</v>
      </c>
      <c r="U24" s="37">
        <v>7.4999999999999997E-3</v>
      </c>
      <c r="V24" s="37">
        <v>0.02</v>
      </c>
      <c r="W24" s="37">
        <f>(1/2)*R24*(((T24^2)+(U24^2))+((T24^2)+V24^2))</f>
        <v>8.793562499999999E-6</v>
      </c>
      <c r="X24" s="37">
        <v>0</v>
      </c>
      <c r="Y24" s="62">
        <f>W24+(R24*(X24^2))</f>
        <v>8.793562499999999E-6</v>
      </c>
    </row>
    <row r="25" spans="2:29" x14ac:dyDescent="0.3">
      <c r="B25" s="61" t="s">
        <v>39</v>
      </c>
      <c r="C25" s="29" t="s">
        <v>75</v>
      </c>
      <c r="D25" s="37">
        <v>0.06</v>
      </c>
      <c r="E25" s="37">
        <v>0.02</v>
      </c>
      <c r="F25" s="37">
        <v>8.0000000000000002E-3</v>
      </c>
      <c r="G25" s="37">
        <v>0.01</v>
      </c>
      <c r="H25" s="37">
        <v>2.5000000000000001E-2</v>
      </c>
      <c r="I25" s="37"/>
      <c r="J25" s="37"/>
      <c r="K25" s="55">
        <f>(1/12)*D25*((E25^2)+(3*(((F25^2)+(G25^2))+(((F25^2)+(H25^2))))))</f>
        <v>1.4795000000000001E-5</v>
      </c>
      <c r="L25" s="37">
        <v>1.4E-2</v>
      </c>
      <c r="M25" s="38">
        <f t="shared" si="1"/>
        <v>2.6555000000000002E-5</v>
      </c>
      <c r="P25" s="61" t="s">
        <v>39</v>
      </c>
      <c r="Q25" s="20" t="s">
        <v>75</v>
      </c>
      <c r="R25" s="37">
        <v>5.9760000000000001E-2</v>
      </c>
      <c r="S25" s="37"/>
      <c r="T25" s="37">
        <v>8.0000000000000002E-3</v>
      </c>
      <c r="U25" s="37">
        <v>0.01</v>
      </c>
      <c r="V25" s="37">
        <v>2.5000000000000001E-2</v>
      </c>
      <c r="W25" s="37">
        <f>(1/2)*R25*(((T25^2)+(U25^2))+((T25^2)+V25^2))</f>
        <v>2.5487640000000006E-5</v>
      </c>
      <c r="X25" s="37">
        <v>0</v>
      </c>
      <c r="Y25" s="62">
        <f>W25+(R25*(X25^2))</f>
        <v>2.5487640000000006E-5</v>
      </c>
    </row>
    <row r="26" spans="2:29" x14ac:dyDescent="0.3">
      <c r="B26" s="36" t="s">
        <v>40</v>
      </c>
      <c r="C26" s="29" t="s">
        <v>75</v>
      </c>
      <c r="D26" s="37">
        <v>0.15401999999999999</v>
      </c>
      <c r="E26" s="37"/>
      <c r="F26" s="37"/>
      <c r="G26" s="37"/>
      <c r="H26" s="37"/>
      <c r="I26" s="37"/>
      <c r="J26" s="37"/>
      <c r="K26" s="49">
        <v>1.9894330000000001E-3</v>
      </c>
      <c r="L26" s="37">
        <v>0.16900000000000001</v>
      </c>
      <c r="M26" s="38">
        <f t="shared" si="1"/>
        <v>6.3883982200000008E-3</v>
      </c>
      <c r="P26" s="61" t="s">
        <v>53</v>
      </c>
      <c r="Q26" s="20" t="s">
        <v>86</v>
      </c>
      <c r="R26" s="37">
        <v>8.3309999999999995E-2</v>
      </c>
      <c r="S26" s="37"/>
      <c r="T26" s="37"/>
      <c r="U26" s="37"/>
      <c r="V26" s="37"/>
      <c r="W26" s="75">
        <f>(1/2)*R26*((0.005^2)+(0.04^2))</f>
        <v>6.7689375000000001E-5</v>
      </c>
      <c r="X26" s="37">
        <v>0</v>
      </c>
      <c r="Y26" s="62">
        <f>W26+(R26*(X26^2))</f>
        <v>6.7689375000000001E-5</v>
      </c>
      <c r="AB26" s="1"/>
      <c r="AC26" s="1"/>
    </row>
    <row r="27" spans="2:29" x14ac:dyDescent="0.3">
      <c r="B27" s="36" t="s">
        <v>103</v>
      </c>
      <c r="C27" s="29" t="s">
        <v>19</v>
      </c>
      <c r="D27" s="20">
        <v>2.264E-2</v>
      </c>
      <c r="E27" s="29"/>
      <c r="F27" s="29"/>
      <c r="G27" s="29"/>
      <c r="H27" s="29"/>
      <c r="I27" s="29"/>
      <c r="J27" s="29"/>
      <c r="K27" s="76">
        <v>6.5352800000000002E-6</v>
      </c>
      <c r="L27" s="37">
        <v>0.17</v>
      </c>
      <c r="M27" s="38">
        <f t="shared" si="1"/>
        <v>6.6083128000000014E-4</v>
      </c>
      <c r="P27" s="61" t="s">
        <v>56</v>
      </c>
      <c r="Q27" s="20" t="s">
        <v>86</v>
      </c>
      <c r="R27" s="37">
        <v>0.34172000000000002</v>
      </c>
      <c r="S27" s="37"/>
      <c r="T27" s="37"/>
      <c r="U27" s="37"/>
      <c r="V27" s="37"/>
      <c r="W27" s="37">
        <v>2.4424359999999999E-4</v>
      </c>
      <c r="X27" s="37">
        <v>0</v>
      </c>
      <c r="Y27" s="62">
        <f t="shared" ref="Y27" si="2">W27+(R27*(X27^2))</f>
        <v>2.4424359999999999E-4</v>
      </c>
    </row>
    <row r="28" spans="2:29" x14ac:dyDescent="0.3">
      <c r="B28" s="36" t="s">
        <v>12</v>
      </c>
      <c r="C28" s="29" t="s">
        <v>75</v>
      </c>
      <c r="D28" s="37">
        <v>0.371</v>
      </c>
      <c r="E28" s="37"/>
      <c r="F28" s="37"/>
      <c r="G28" s="37">
        <v>0.02</v>
      </c>
      <c r="H28" s="37"/>
      <c r="I28" s="37"/>
      <c r="J28" s="37"/>
      <c r="K28" s="37">
        <v>2.5532405499999997E-2</v>
      </c>
      <c r="L28" s="37">
        <v>8.4000000000000005E-2</v>
      </c>
      <c r="M28" s="38">
        <f t="shared" si="1"/>
        <v>2.8150181499999996E-2</v>
      </c>
      <c r="P28" s="64" t="s">
        <v>34</v>
      </c>
      <c r="Q28" s="45"/>
      <c r="R28" s="50">
        <f>SUM(R24:R27)</f>
        <v>0.51953000000000005</v>
      </c>
      <c r="S28" s="26"/>
      <c r="T28" s="26"/>
      <c r="U28" s="26"/>
      <c r="V28" s="26"/>
      <c r="W28" s="51"/>
      <c r="X28" s="51"/>
      <c r="Y28" s="62">
        <f>SUM(Y24:Y27)</f>
        <v>3.4621417750000001E-4</v>
      </c>
    </row>
    <row r="29" spans="2:29" x14ac:dyDescent="0.3">
      <c r="B29" s="36" t="s">
        <v>76</v>
      </c>
      <c r="C29" s="29" t="s">
        <v>89</v>
      </c>
      <c r="D29" s="37">
        <v>5.0130000000000001E-2</v>
      </c>
      <c r="E29" s="37"/>
      <c r="F29" s="37"/>
      <c r="G29" s="37"/>
      <c r="H29" s="37"/>
      <c r="I29" s="37"/>
      <c r="J29" s="37"/>
      <c r="K29" s="37">
        <v>8.0454799999999998E-4</v>
      </c>
      <c r="L29" s="37">
        <v>4.82E-2</v>
      </c>
      <c r="M29" s="38">
        <f t="shared" si="1"/>
        <v>9.210120212E-4</v>
      </c>
      <c r="P29" s="66"/>
      <c r="Q29" s="20"/>
      <c r="R29" s="20"/>
      <c r="S29" s="20"/>
      <c r="T29" s="20"/>
      <c r="U29" s="20"/>
      <c r="V29" s="20"/>
      <c r="W29" s="20"/>
      <c r="X29" s="20"/>
      <c r="Y29" s="67"/>
    </row>
    <row r="30" spans="2:29" ht="15" thickBot="1" x14ac:dyDescent="0.35">
      <c r="B30" s="36" t="s">
        <v>81</v>
      </c>
      <c r="C30" s="29" t="s">
        <v>19</v>
      </c>
      <c r="D30" s="37">
        <v>5.5280000000000003E-2</v>
      </c>
      <c r="E30" s="37"/>
      <c r="F30" s="37"/>
      <c r="G30" s="37"/>
      <c r="H30" s="37"/>
      <c r="I30" s="37">
        <v>2.2759999999999999E-2</v>
      </c>
      <c r="J30" s="37">
        <v>5.4850000000000003E-2</v>
      </c>
      <c r="K30" s="55">
        <f>(1/12)*D30*((I30^2)+(J30^2))</f>
        <v>1.6245594727333337E-5</v>
      </c>
      <c r="L30" s="37">
        <v>4.82E-2</v>
      </c>
      <c r="M30" s="38">
        <f t="shared" si="1"/>
        <v>1.4467430192733333E-4</v>
      </c>
      <c r="P30" s="71" t="s">
        <v>97</v>
      </c>
      <c r="Q30" s="72" t="s">
        <v>98</v>
      </c>
      <c r="R30" s="73">
        <f>R14+R21+R28</f>
        <v>2.1868300000000001</v>
      </c>
      <c r="S30" s="72"/>
      <c r="T30" s="72"/>
      <c r="U30" s="72"/>
      <c r="V30" s="72"/>
      <c r="W30" s="72"/>
      <c r="X30" s="72" t="s">
        <v>99</v>
      </c>
      <c r="Y30" s="74">
        <f>Y14+Y21+Y28</f>
        <v>0.44659322324430339</v>
      </c>
    </row>
    <row r="31" spans="2:29" ht="15" thickTop="1" x14ac:dyDescent="0.3">
      <c r="B31" s="36" t="s">
        <v>77</v>
      </c>
      <c r="C31" s="29" t="s">
        <v>89</v>
      </c>
      <c r="D31" s="37">
        <v>5.0130000000000001E-2</v>
      </c>
      <c r="E31" s="37"/>
      <c r="F31" s="37"/>
      <c r="G31" s="37"/>
      <c r="H31" s="37"/>
      <c r="I31" s="37"/>
      <c r="J31" s="37"/>
      <c r="K31" s="37">
        <v>8.0454799999999998E-4</v>
      </c>
      <c r="L31" s="37">
        <v>6.1039999999999997E-2</v>
      </c>
      <c r="M31" s="38">
        <f t="shared" si="1"/>
        <v>9.91326444608E-4</v>
      </c>
    </row>
    <row r="32" spans="2:29" x14ac:dyDescent="0.3">
      <c r="B32" s="36" t="s">
        <v>80</v>
      </c>
      <c r="C32" s="29" t="s">
        <v>19</v>
      </c>
      <c r="D32" s="37">
        <v>5.5280000000000003E-2</v>
      </c>
      <c r="E32" s="37"/>
      <c r="F32" s="37"/>
      <c r="G32" s="37"/>
      <c r="H32" s="37"/>
      <c r="I32" s="37">
        <v>2.2759999999999999E-2</v>
      </c>
      <c r="J32" s="37">
        <v>5.4850000000000003E-2</v>
      </c>
      <c r="K32" s="55">
        <f t="shared" ref="K32:K34" si="3">(1/12)*D32*((I32^2)+(J32^2))</f>
        <v>1.6245594727333337E-5</v>
      </c>
      <c r="L32" s="37">
        <v>6.1039999999999997E-2</v>
      </c>
      <c r="M32" s="38">
        <f t="shared" si="1"/>
        <v>2.2221232957533334E-4</v>
      </c>
    </row>
    <row r="33" spans="2:19" x14ac:dyDescent="0.3">
      <c r="B33" s="36" t="s">
        <v>78</v>
      </c>
      <c r="C33" s="29" t="s">
        <v>89</v>
      </c>
      <c r="D33" s="37">
        <v>5.0130000000000001E-2</v>
      </c>
      <c r="E33" s="37"/>
      <c r="F33" s="37"/>
      <c r="G33" s="37"/>
      <c r="H33" s="37"/>
      <c r="I33" s="37"/>
      <c r="J33" s="37"/>
      <c r="K33" s="37">
        <v>8.0454799999999998E-4</v>
      </c>
      <c r="L33" s="37">
        <v>8.3799999999999999E-2</v>
      </c>
      <c r="M33" s="38">
        <f t="shared" si="1"/>
        <v>1.1565829171999999E-3</v>
      </c>
    </row>
    <row r="34" spans="2:19" x14ac:dyDescent="0.3">
      <c r="B34" s="36" t="s">
        <v>79</v>
      </c>
      <c r="C34" s="29" t="s">
        <v>19</v>
      </c>
      <c r="D34" s="37">
        <v>5.5280000000000003E-2</v>
      </c>
      <c r="E34" s="37"/>
      <c r="F34" s="37"/>
      <c r="G34" s="37"/>
      <c r="H34" s="37"/>
      <c r="I34" s="37">
        <v>2.2759999999999999E-2</v>
      </c>
      <c r="J34" s="37">
        <v>5.4850000000000003E-2</v>
      </c>
      <c r="K34" s="55">
        <f t="shared" si="3"/>
        <v>1.6245594727333337E-5</v>
      </c>
      <c r="L34" s="37">
        <v>8.3799999999999999E-2</v>
      </c>
      <c r="M34" s="38">
        <f t="shared" si="1"/>
        <v>4.044460779273333E-4</v>
      </c>
    </row>
    <row r="35" spans="2:19" x14ac:dyDescent="0.3">
      <c r="B35" s="36" t="s">
        <v>90</v>
      </c>
      <c r="C35" s="29" t="s">
        <v>20</v>
      </c>
      <c r="D35" s="20">
        <v>1.65</v>
      </c>
      <c r="E35" s="20">
        <v>0.03</v>
      </c>
      <c r="F35" s="46">
        <v>8.0000000000000002E-3</v>
      </c>
      <c r="G35" s="46">
        <v>0.06</v>
      </c>
      <c r="H35" s="46">
        <v>0.11</v>
      </c>
      <c r="I35" s="46"/>
      <c r="J35" s="46"/>
      <c r="K35" s="46">
        <f>(1/12)*D35*((E35^2)+(3*(((F35^2)+(G35^2))+(((F35^2)+(H35^2))))))</f>
        <v>6.6527999999999986E-3</v>
      </c>
      <c r="L35" s="46">
        <v>0</v>
      </c>
      <c r="M35" s="38">
        <f t="shared" si="1"/>
        <v>6.6527999999999986E-3</v>
      </c>
    </row>
    <row r="36" spans="2:19" x14ac:dyDescent="0.3">
      <c r="B36" s="36" t="s">
        <v>105</v>
      </c>
      <c r="C36" s="29" t="s">
        <v>87</v>
      </c>
      <c r="D36" s="20">
        <v>7.4020000000000002E-2</v>
      </c>
      <c r="E36" s="20"/>
      <c r="F36" s="46"/>
      <c r="G36" s="46">
        <v>4.0000000000000001E-3</v>
      </c>
      <c r="H36" s="46"/>
      <c r="I36" s="46"/>
      <c r="J36" s="46"/>
      <c r="K36" s="55">
        <f>(1/2)*D36*(G36^2)</f>
        <v>5.9215999999999998E-7</v>
      </c>
      <c r="L36" s="46">
        <v>0</v>
      </c>
      <c r="M36" s="38">
        <f t="shared" si="1"/>
        <v>5.9215999999999998E-7</v>
      </c>
    </row>
    <row r="37" spans="2:19" x14ac:dyDescent="0.3">
      <c r="B37" s="36" t="s">
        <v>96</v>
      </c>
      <c r="C37" s="29" t="s">
        <v>89</v>
      </c>
      <c r="D37" s="20"/>
      <c r="E37" s="20"/>
      <c r="F37" s="46"/>
      <c r="G37" s="46"/>
      <c r="H37" s="46"/>
      <c r="I37" s="46"/>
      <c r="J37" s="46"/>
      <c r="K37" s="55">
        <v>8.1999999999999994E-6</v>
      </c>
      <c r="L37" s="46"/>
      <c r="M37" s="38">
        <f t="shared" si="1"/>
        <v>8.1999999999999994E-6</v>
      </c>
    </row>
    <row r="38" spans="2:19" x14ac:dyDescent="0.3">
      <c r="B38" s="36" t="s">
        <v>112</v>
      </c>
      <c r="C38" s="29" t="s">
        <v>88</v>
      </c>
      <c r="D38" s="20">
        <v>0.85560000000000003</v>
      </c>
      <c r="E38" s="20"/>
      <c r="F38" s="46"/>
      <c r="G38" s="46"/>
      <c r="H38" s="46"/>
      <c r="I38" s="46"/>
      <c r="J38" s="46"/>
      <c r="K38" s="46">
        <v>1.078024E-2</v>
      </c>
      <c r="L38" s="46">
        <v>0</v>
      </c>
      <c r="M38" s="38">
        <f t="shared" si="1"/>
        <v>1.078024E-2</v>
      </c>
    </row>
    <row r="39" spans="2:19" x14ac:dyDescent="0.3">
      <c r="B39" s="36" t="s">
        <v>113</v>
      </c>
      <c r="C39" s="29" t="s">
        <v>88</v>
      </c>
      <c r="D39" s="20">
        <v>0.17662</v>
      </c>
      <c r="E39" s="20"/>
      <c r="F39" s="46"/>
      <c r="G39" s="46"/>
      <c r="H39" s="46"/>
      <c r="I39" s="46"/>
      <c r="J39" s="46"/>
      <c r="K39" s="46">
        <v>1.0718824E-3</v>
      </c>
      <c r="L39" s="46">
        <v>0</v>
      </c>
      <c r="M39" s="38">
        <f t="shared" si="1"/>
        <v>1.0718824E-3</v>
      </c>
      <c r="S39" s="53">
        <v>3.7377170000000003E-5</v>
      </c>
    </row>
    <row r="40" spans="2:19" x14ac:dyDescent="0.3">
      <c r="B40" s="39" t="s">
        <v>34</v>
      </c>
      <c r="C40" s="25"/>
      <c r="D40" s="28">
        <f>SUM(D18:D39)</f>
        <v>5.0036800000000001</v>
      </c>
      <c r="E40" s="26"/>
      <c r="F40" s="26"/>
      <c r="G40" s="26"/>
      <c r="H40" s="26"/>
      <c r="I40" s="26"/>
      <c r="J40" s="26"/>
      <c r="K40" s="26"/>
      <c r="L40" s="26"/>
      <c r="M40" s="40">
        <f>SUM(M18:M39)</f>
        <v>6.1754015185474409E-2</v>
      </c>
      <c r="S40" s="53">
        <v>2.3112389999999998E-5</v>
      </c>
    </row>
    <row r="41" spans="2:19" x14ac:dyDescent="0.3">
      <c r="B41" s="41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47"/>
      <c r="S41" s="53">
        <f>S39+S40</f>
        <v>6.0489560000000002E-5</v>
      </c>
    </row>
    <row r="42" spans="2:19" x14ac:dyDescent="0.3">
      <c r="B42" s="34" t="s">
        <v>104</v>
      </c>
      <c r="C42" s="24"/>
      <c r="D42" s="30"/>
      <c r="E42" s="30"/>
      <c r="F42" s="30"/>
      <c r="G42" s="30"/>
      <c r="H42" s="30"/>
      <c r="I42" s="30"/>
      <c r="J42" s="30"/>
      <c r="K42" s="30"/>
      <c r="L42" s="30"/>
      <c r="M42" s="44"/>
    </row>
    <row r="43" spans="2:19" x14ac:dyDescent="0.3">
      <c r="B43" s="36" t="s">
        <v>39</v>
      </c>
      <c r="C43" s="29" t="s">
        <v>75</v>
      </c>
      <c r="D43" s="20">
        <v>5.9760000000000001E-2</v>
      </c>
      <c r="E43" s="20"/>
      <c r="F43" s="46">
        <v>0.01</v>
      </c>
      <c r="G43" s="46">
        <v>2.5000000000000001E-2</v>
      </c>
      <c r="H43" s="46">
        <v>8.0000000000000002E-3</v>
      </c>
      <c r="I43" s="46"/>
      <c r="J43" s="46"/>
      <c r="K43" s="46">
        <v>2.5487640000000006E-5</v>
      </c>
      <c r="L43" s="46">
        <v>0</v>
      </c>
      <c r="M43" s="47">
        <v>2.5487640000000006E-5</v>
      </c>
    </row>
    <row r="44" spans="2:19" x14ac:dyDescent="0.3">
      <c r="B44" s="36" t="s">
        <v>38</v>
      </c>
      <c r="C44" s="29" t="s">
        <v>75</v>
      </c>
      <c r="D44" s="20">
        <v>4.3549999999999998E-2</v>
      </c>
      <c r="E44" s="20"/>
      <c r="F44" s="37">
        <v>5.0000000000000001E-3</v>
      </c>
      <c r="G44" s="37">
        <v>7.4999999999999997E-3</v>
      </c>
      <c r="H44" s="37">
        <v>0.02</v>
      </c>
      <c r="I44" s="46"/>
      <c r="J44" s="46"/>
      <c r="K44" s="46">
        <v>1.08875E-6</v>
      </c>
      <c r="L44" s="46"/>
      <c r="M44" s="47">
        <v>1.08875E-6</v>
      </c>
    </row>
    <row r="45" spans="2:19" x14ac:dyDescent="0.3">
      <c r="B45" s="36" t="s">
        <v>108</v>
      </c>
      <c r="C45" s="29" t="s">
        <v>86</v>
      </c>
      <c r="D45" s="20"/>
      <c r="E45" s="20"/>
      <c r="F45" s="46"/>
      <c r="G45" s="46"/>
      <c r="H45" s="46"/>
      <c r="I45" s="46"/>
      <c r="J45" s="46"/>
      <c r="K45" s="46">
        <v>0</v>
      </c>
      <c r="L45" s="46"/>
      <c r="M45" s="47">
        <v>0</v>
      </c>
    </row>
    <row r="46" spans="2:19" x14ac:dyDescent="0.3">
      <c r="B46" s="61" t="s">
        <v>109</v>
      </c>
      <c r="C46" s="29" t="s">
        <v>86</v>
      </c>
      <c r="D46" s="20"/>
      <c r="E46" s="20"/>
      <c r="F46" s="46"/>
      <c r="G46" s="46"/>
      <c r="H46" s="46"/>
      <c r="I46" s="46"/>
      <c r="J46" s="46"/>
      <c r="K46" s="46">
        <v>0</v>
      </c>
      <c r="L46" s="46">
        <v>0</v>
      </c>
      <c r="M46" s="47">
        <v>0</v>
      </c>
    </row>
    <row r="47" spans="2:19" x14ac:dyDescent="0.3">
      <c r="B47" s="39" t="s">
        <v>34</v>
      </c>
      <c r="C47" s="25"/>
      <c r="D47" s="1">
        <f ca="1">SUM(D43:D51)</f>
        <v>0.10331</v>
      </c>
      <c r="E47" s="45"/>
      <c r="F47" s="45"/>
      <c r="G47" s="45"/>
      <c r="H47" s="45"/>
      <c r="I47" s="45"/>
      <c r="J47" s="45"/>
      <c r="K47" s="25"/>
      <c r="L47" s="45"/>
      <c r="M47" s="48">
        <f ca="1">SUM(M43:M51)</f>
        <v>3.4776390000000007E-5</v>
      </c>
    </row>
    <row r="48" spans="2:19" x14ac:dyDescent="0.3">
      <c r="B48" s="41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43"/>
    </row>
    <row r="49" spans="2:13" ht="15" thickBot="1" x14ac:dyDescent="0.35">
      <c r="B49" s="71" t="s">
        <v>97</v>
      </c>
      <c r="C49" s="72" t="s">
        <v>98</v>
      </c>
      <c r="D49" s="73">
        <f ca="1">D47+D40+D15</f>
        <v>5.3771699999999996</v>
      </c>
      <c r="E49" s="72"/>
      <c r="F49" s="72"/>
      <c r="G49" s="72"/>
      <c r="H49" s="72"/>
      <c r="I49" s="72"/>
      <c r="J49" s="72"/>
      <c r="K49" s="72"/>
      <c r="L49" s="72" t="s">
        <v>99</v>
      </c>
      <c r="M49" s="74">
        <f ca="1">M47+M40+M15</f>
        <v>0.49916856666643616</v>
      </c>
    </row>
    <row r="50" spans="2:13" ht="15" thickTop="1" x14ac:dyDescent="0.3"/>
    <row r="63" spans="2:13" x14ac:dyDescent="0.3">
      <c r="F63">
        <v>730.13</v>
      </c>
    </row>
    <row r="64" spans="2:13" x14ac:dyDescent="0.3">
      <c r="F64">
        <v>7315.35</v>
      </c>
    </row>
    <row r="65" spans="6:6" x14ac:dyDescent="0.3">
      <c r="F65">
        <f>SUM(F63:F64)</f>
        <v>8045.4800000000005</v>
      </c>
    </row>
  </sheetData>
  <mergeCells count="2">
    <mergeCell ref="B3:M4"/>
    <mergeCell ref="P2:Y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Esteban González Rozo</dc:creator>
  <cp:lastModifiedBy>David Esteban González Rozo</cp:lastModifiedBy>
  <cp:lastPrinted>2024-05-05T19:51:02Z</cp:lastPrinted>
  <dcterms:created xsi:type="dcterms:W3CDTF">2024-04-28T16:34:17Z</dcterms:created>
  <dcterms:modified xsi:type="dcterms:W3CDTF">2024-05-07T14:51:31Z</dcterms:modified>
</cp:coreProperties>
</file>