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10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<sst xmlns="http://schemas.openxmlformats.org/spreadsheetml/2006/main" count="98" uniqueCount="62">
  <si>
    <t>Продукция</t>
  </si>
  <si>
    <t>Вес</t>
  </si>
  <si>
    <t>Выработано</t>
  </si>
  <si>
    <t>Брак</t>
  </si>
  <si>
    <t>Выработано с браком</t>
  </si>
  <si>
    <t>Норма трудо-ёмкости</t>
  </si>
  <si>
    <t>План</t>
  </si>
  <si>
    <t>Выход</t>
  </si>
  <si>
    <t>Мука общая</t>
  </si>
  <si>
    <t>Влажность, %</t>
  </si>
  <si>
    <t>Масло раст.</t>
  </si>
  <si>
    <t>Дрожжи прес.</t>
  </si>
  <si>
    <t>Соль</t>
  </si>
  <si>
    <t>Сахар</t>
  </si>
  <si>
    <t>Streumix</t>
  </si>
  <si>
    <t>Seedmix</t>
  </si>
  <si>
    <t>Сусло</t>
  </si>
  <si>
    <t>Семечки</t>
  </si>
  <si>
    <t>Тмин</t>
  </si>
  <si>
    <t>Патока</t>
  </si>
  <si>
    <t>Солод</t>
  </si>
  <si>
    <t>Хмель</t>
  </si>
  <si>
    <t>Кориандр</t>
  </si>
  <si>
    <t>Чернослив</t>
  </si>
  <si>
    <t>Изюм</t>
  </si>
  <si>
    <t>Айва</t>
  </si>
  <si>
    <t>Протектор</t>
  </si>
  <si>
    <t>Belpan Cleo</t>
  </si>
  <si>
    <t>Belpan Trans</t>
  </si>
  <si>
    <t>Вазелин</t>
  </si>
  <si>
    <t>Муч. отходы</t>
  </si>
  <si>
    <t>Ржаная</t>
  </si>
  <si>
    <t xml:space="preserve"> В/с</t>
  </si>
  <si>
    <t>1/с</t>
  </si>
  <si>
    <t>2/с</t>
  </si>
  <si>
    <t>шт.</t>
  </si>
  <si>
    <t>кг.</t>
  </si>
  <si>
    <t>%</t>
  </si>
  <si>
    <t>л.</t>
  </si>
  <si>
    <t>Булка Славянская 1 с</t>
  </si>
  <si>
    <t>Булка Славянская в с</t>
  </si>
  <si>
    <t>Батон Фирменный</t>
  </si>
  <si>
    <t>Батон Нарезной</t>
  </si>
  <si>
    <t>Булка Столовая</t>
  </si>
  <si>
    <t>Хлеб Монастырский</t>
  </si>
  <si>
    <t>Хлеб Особый</t>
  </si>
  <si>
    <t>Хлеб Сол. с черносл.</t>
  </si>
  <si>
    <t>Хлеб Ржаной</t>
  </si>
  <si>
    <t>Хлеб Бородинский</t>
  </si>
  <si>
    <t>Хлеб Минский</t>
  </si>
  <si>
    <t>Хлеб Купеческий</t>
  </si>
  <si>
    <t>Хлеб Любительский</t>
  </si>
  <si>
    <t>Хлеб Аппетитный</t>
  </si>
  <si>
    <t>Хлеб Сол. с изюмом</t>
  </si>
  <si>
    <t>Хлеб Сол. с айвой</t>
  </si>
  <si>
    <t>Хлеб Трапезный</t>
  </si>
  <si>
    <t>ИТОГО:</t>
  </si>
  <si>
    <t>Нарезной</t>
  </si>
  <si>
    <t>Пшеничка</t>
  </si>
  <si>
    <t>Факт</t>
  </si>
  <si>
    <t>Черняшка</t>
  </si>
  <si>
    <t>Выработка, %</t>
  </si>
</sst>
</file>

<file path=xl/styles.xml><?xml version="1.0" encoding="utf-8"?>
<styleSheet xmlns="http://schemas.openxmlformats.org/spreadsheetml/2006/main" xmlns:xr9="http://schemas.microsoft.com/office/spreadsheetml/2016/revision9">
  <numFmts count="9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#\ ##0"/>
    <numFmt numFmtId="181" formatCode="#\ ##0.00"/>
    <numFmt numFmtId="182" formatCode="0.000"/>
    <numFmt numFmtId="183" formatCode="#\ ##0.000"/>
    <numFmt numFmtId="184" formatCode="#\ ##0.0"/>
  </numFmts>
  <fonts count="29">
    <font>
      <sz val="10"/>
      <color rgb="FF000000"/>
      <name val="Arimo"/>
      <charset val="134"/>
    </font>
    <font>
      <sz val="11"/>
      <name val="Arimo"/>
      <charset val="134"/>
    </font>
    <font>
      <sz val="10"/>
      <name val="Arimo"/>
      <charset val="134"/>
    </font>
    <font>
      <b/>
      <i/>
      <sz val="10"/>
      <name val="Arimo"/>
      <charset val="134"/>
    </font>
    <font>
      <b/>
      <sz val="10"/>
      <name val="Arimo"/>
      <charset val="134"/>
    </font>
    <font>
      <i/>
      <sz val="14"/>
      <name val="Arimo"/>
      <charset val="134"/>
    </font>
    <font>
      <i/>
      <sz val="12"/>
      <name val="Arimo"/>
      <charset val="134"/>
    </font>
    <font>
      <b/>
      <i/>
      <sz val="11"/>
      <name val="Arimo"/>
      <charset val="134"/>
    </font>
    <font>
      <b/>
      <i/>
      <sz val="14"/>
      <name val="Arimo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99"/>
      </patternFill>
    </fill>
    <fill>
      <patternFill patternType="solid">
        <fgColor rgb="FFC0C0C0"/>
        <bgColor rgb="FFC0C0C0"/>
      </patternFill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7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1" borderId="6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7" applyNumberFormat="0" applyFill="0" applyAlignment="0" applyProtection="0">
      <alignment vertical="center"/>
    </xf>
    <xf numFmtId="0" fontId="16" fillId="0" borderId="67" applyNumberFormat="0" applyFill="0" applyAlignment="0" applyProtection="0">
      <alignment vertical="center"/>
    </xf>
    <xf numFmtId="0" fontId="17" fillId="0" borderId="6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2" borderId="69" applyNumberFormat="0" applyAlignment="0" applyProtection="0">
      <alignment vertical="center"/>
    </xf>
    <xf numFmtId="0" fontId="19" fillId="13" borderId="70" applyNumberFormat="0" applyAlignment="0" applyProtection="0">
      <alignment vertical="center"/>
    </xf>
    <xf numFmtId="0" fontId="20" fillId="13" borderId="69" applyNumberFormat="0" applyAlignment="0" applyProtection="0">
      <alignment vertical="center"/>
    </xf>
    <xf numFmtId="0" fontId="21" fillId="14" borderId="71" applyNumberFormat="0" applyAlignment="0" applyProtection="0">
      <alignment vertical="center"/>
    </xf>
    <xf numFmtId="0" fontId="22" fillId="0" borderId="72" applyNumberFormat="0" applyFill="0" applyAlignment="0" applyProtection="0">
      <alignment vertical="center"/>
    </xf>
    <xf numFmtId="0" fontId="23" fillId="0" borderId="73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</cellStyleXfs>
  <cellXfs count="196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2" fillId="0" borderId="0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2" fillId="3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3" fillId="4" borderId="18" xfId="0" applyFont="1" applyFill="1" applyBorder="1" applyAlignment="1"/>
    <xf numFmtId="0" fontId="2" fillId="0" borderId="19" xfId="0" applyFont="1" applyBorder="1" applyAlignment="1"/>
    <xf numFmtId="180" fontId="4" fillId="3" borderId="20" xfId="0" applyNumberFormat="1" applyFont="1" applyFill="1" applyBorder="1" applyAlignment="1"/>
    <xf numFmtId="181" fontId="4" fillId="4" borderId="21" xfId="0" applyNumberFormat="1" applyFont="1" applyFill="1" applyBorder="1" applyAlignment="1"/>
    <xf numFmtId="180" fontId="4" fillId="5" borderId="20" xfId="0" applyNumberFormat="1" applyFont="1" applyFill="1" applyBorder="1" applyAlignment="1"/>
    <xf numFmtId="181" fontId="4" fillId="5" borderId="21" xfId="0" applyNumberFormat="1" applyFont="1" applyFill="1" applyBorder="1" applyAlignment="1"/>
    <xf numFmtId="181" fontId="4" fillId="4" borderId="19" xfId="0" applyNumberFormat="1" applyFont="1" applyFill="1" applyBorder="1" applyAlignment="1"/>
    <xf numFmtId="0" fontId="2" fillId="0" borderId="20" xfId="0" applyFont="1" applyBorder="1" applyAlignment="1"/>
    <xf numFmtId="0" fontId="3" fillId="4" borderId="22" xfId="0" applyFont="1" applyFill="1" applyBorder="1" applyAlignment="1"/>
    <xf numFmtId="0" fontId="2" fillId="0" borderId="23" xfId="0" applyFont="1" applyBorder="1" applyAlignment="1"/>
    <xf numFmtId="180" fontId="4" fillId="3" borderId="24" xfId="0" applyNumberFormat="1" applyFont="1" applyFill="1" applyBorder="1" applyAlignment="1"/>
    <xf numFmtId="181" fontId="4" fillId="4" borderId="25" xfId="0" applyNumberFormat="1" applyFont="1" applyFill="1" applyBorder="1" applyAlignment="1"/>
    <xf numFmtId="180" fontId="4" fillId="5" borderId="24" xfId="0" applyNumberFormat="1" applyFont="1" applyFill="1" applyBorder="1" applyAlignment="1"/>
    <xf numFmtId="181" fontId="4" fillId="5" borderId="25" xfId="0" applyNumberFormat="1" applyFont="1" applyFill="1" applyBorder="1" applyAlignment="1"/>
    <xf numFmtId="181" fontId="4" fillId="4" borderId="23" xfId="0" applyNumberFormat="1" applyFont="1" applyFill="1" applyBorder="1" applyAlignment="1"/>
    <xf numFmtId="0" fontId="2" fillId="0" borderId="24" xfId="0" applyFont="1" applyBorder="1" applyAlignment="1"/>
    <xf numFmtId="0" fontId="3" fillId="6" borderId="22" xfId="0" applyFont="1" applyFill="1" applyBorder="1" applyAlignment="1"/>
    <xf numFmtId="0" fontId="2" fillId="6" borderId="23" xfId="0" applyFont="1" applyFill="1" applyBorder="1" applyAlignment="1"/>
    <xf numFmtId="180" fontId="4" fillId="6" borderId="24" xfId="0" applyNumberFormat="1" applyFont="1" applyFill="1" applyBorder="1" applyAlignment="1"/>
    <xf numFmtId="181" fontId="4" fillId="6" borderId="25" xfId="0" applyNumberFormat="1" applyFont="1" applyFill="1" applyBorder="1" applyAlignment="1"/>
    <xf numFmtId="181" fontId="4" fillId="6" borderId="23" xfId="0" applyNumberFormat="1" applyFont="1" applyFill="1" applyBorder="1" applyAlignment="1"/>
    <xf numFmtId="0" fontId="2" fillId="6" borderId="24" xfId="0" applyFont="1" applyFill="1" applyBorder="1" applyAlignment="1"/>
    <xf numFmtId="0" fontId="2" fillId="7" borderId="23" xfId="0" applyFont="1" applyFill="1" applyBorder="1" applyAlignment="1"/>
    <xf numFmtId="182" fontId="2" fillId="6" borderId="23" xfId="0" applyNumberFormat="1" applyFont="1" applyFill="1" applyBorder="1" applyAlignment="1"/>
    <xf numFmtId="183" fontId="4" fillId="6" borderId="25" xfId="0" applyNumberFormat="1" applyFont="1" applyFill="1" applyBorder="1" applyAlignment="1"/>
    <xf numFmtId="183" fontId="4" fillId="6" borderId="23" xfId="0" applyNumberFormat="1" applyFont="1" applyFill="1" applyBorder="1" applyAlignment="1"/>
    <xf numFmtId="0" fontId="3" fillId="4" borderId="26" xfId="0" applyFont="1" applyFill="1" applyBorder="1" applyAlignment="1"/>
    <xf numFmtId="0" fontId="2" fillId="0" borderId="27" xfId="0" applyFont="1" applyBorder="1" applyAlignment="1"/>
    <xf numFmtId="180" fontId="4" fillId="3" borderId="28" xfId="0" applyNumberFormat="1" applyFont="1" applyFill="1" applyBorder="1" applyAlignment="1"/>
    <xf numFmtId="181" fontId="4" fillId="4" borderId="29" xfId="0" applyNumberFormat="1" applyFont="1" applyFill="1" applyBorder="1" applyAlignment="1"/>
    <xf numFmtId="180" fontId="4" fillId="5" borderId="28" xfId="0" applyNumberFormat="1" applyFont="1" applyFill="1" applyBorder="1" applyAlignment="1"/>
    <xf numFmtId="181" fontId="4" fillId="5" borderId="29" xfId="0" applyNumberFormat="1" applyFont="1" applyFill="1" applyBorder="1" applyAlignment="1"/>
    <xf numFmtId="181" fontId="4" fillId="4" borderId="27" xfId="0" applyNumberFormat="1" applyFont="1" applyFill="1" applyBorder="1" applyAlignment="1"/>
    <xf numFmtId="0" fontId="2" fillId="0" borderId="28" xfId="0" applyFont="1" applyBorder="1" applyAlignment="1"/>
    <xf numFmtId="0" fontId="3" fillId="4" borderId="30" xfId="0" applyFont="1" applyFill="1" applyBorder="1" applyAlignment="1"/>
    <xf numFmtId="180" fontId="4" fillId="3" borderId="31" xfId="0" applyNumberFormat="1" applyFont="1" applyFill="1" applyBorder="1" applyAlignment="1"/>
    <xf numFmtId="181" fontId="4" fillId="4" borderId="32" xfId="0" applyNumberFormat="1" applyFont="1" applyFill="1" applyBorder="1" applyAlignment="1"/>
    <xf numFmtId="180" fontId="4" fillId="5" borderId="31" xfId="0" applyNumberFormat="1" applyFont="1" applyFill="1" applyBorder="1" applyAlignment="1"/>
    <xf numFmtId="181" fontId="4" fillId="5" borderId="32" xfId="0" applyNumberFormat="1" applyFont="1" applyFill="1" applyBorder="1" applyAlignment="1"/>
    <xf numFmtId="0" fontId="2" fillId="0" borderId="31" xfId="0" applyFont="1" applyBorder="1" applyAlignment="1"/>
    <xf numFmtId="0" fontId="5" fillId="2" borderId="15" xfId="0" applyFont="1" applyFill="1" applyBorder="1" applyAlignment="1">
      <alignment horizontal="center"/>
    </xf>
    <xf numFmtId="0" fontId="2" fillId="0" borderId="33" xfId="0" applyFont="1" applyBorder="1"/>
    <xf numFmtId="180" fontId="5" fillId="3" borderId="3" xfId="0" applyNumberFormat="1" applyFont="1" applyFill="1" applyBorder="1" applyAlignment="1"/>
    <xf numFmtId="183" fontId="5" fillId="4" borderId="4" xfId="0" applyNumberFormat="1" applyFont="1" applyFill="1" applyBorder="1" applyAlignment="1"/>
    <xf numFmtId="180" fontId="5" fillId="5" borderId="10" xfId="0" applyNumberFormat="1" applyFont="1" applyFill="1" applyBorder="1" applyAlignment="1"/>
    <xf numFmtId="183" fontId="5" fillId="5" borderId="11" xfId="0" applyNumberFormat="1" applyFont="1" applyFill="1" applyBorder="1" applyAlignment="1"/>
    <xf numFmtId="183" fontId="5" fillId="4" borderId="17" xfId="0" applyNumberFormat="1" applyFont="1" applyFill="1" applyBorder="1" applyAlignment="1"/>
    <xf numFmtId="0" fontId="5" fillId="2" borderId="34" xfId="0" applyFont="1" applyFill="1" applyBorder="1" applyAlignment="1"/>
    <xf numFmtId="0" fontId="2" fillId="0" borderId="0" xfId="0" applyFont="1" applyAlignment="1"/>
    <xf numFmtId="0" fontId="2" fillId="2" borderId="35" xfId="0" applyFont="1" applyFill="1" applyBorder="1" applyAlignment="1"/>
    <xf numFmtId="181" fontId="4" fillId="2" borderId="36" xfId="0" applyNumberFormat="1" applyFont="1" applyFill="1" applyBorder="1" applyAlignment="1"/>
    <xf numFmtId="0" fontId="2" fillId="3" borderId="37" xfId="0" applyFont="1" applyFill="1" applyBorder="1" applyAlignment="1"/>
    <xf numFmtId="181" fontId="4" fillId="3" borderId="25" xfId="0" applyNumberFormat="1" applyFont="1" applyFill="1" applyBorder="1" applyAlignment="1"/>
    <xf numFmtId="0" fontId="5" fillId="3" borderId="15" xfId="0" applyFont="1" applyFill="1" applyBorder="1" applyAlignment="1">
      <alignment horizontal="left"/>
    </xf>
    <xf numFmtId="0" fontId="2" fillId="0" borderId="34" xfId="0" applyFont="1" applyBorder="1"/>
    <xf numFmtId="0" fontId="2" fillId="5" borderId="38" xfId="0" applyFont="1" applyFill="1" applyBorder="1" applyAlignment="1"/>
    <xf numFmtId="183" fontId="4" fillId="5" borderId="32" xfId="0" applyNumberFormat="1" applyFont="1" applyFill="1" applyBorder="1" applyAlignment="1"/>
    <xf numFmtId="0" fontId="5" fillId="4" borderId="10" xfId="0" applyFont="1" applyFill="1" applyBorder="1" applyAlignment="1">
      <alignment horizontal="left"/>
    </xf>
    <xf numFmtId="0" fontId="2" fillId="0" borderId="39" xfId="0" applyFont="1" applyBorder="1"/>
    <xf numFmtId="0" fontId="1" fillId="2" borderId="3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6" fillId="6" borderId="15" xfId="0" applyFont="1" applyFill="1" applyBorder="1" applyAlignment="1">
      <alignment horizontal="center"/>
    </xf>
    <xf numFmtId="0" fontId="5" fillId="4" borderId="40" xfId="0" applyFont="1" applyFill="1" applyBorder="1" applyAlignment="1"/>
    <xf numFmtId="0" fontId="5" fillId="4" borderId="41" xfId="0" applyFont="1" applyFill="1" applyBorder="1" applyAlignment="1"/>
    <xf numFmtId="0" fontId="5" fillId="4" borderId="16" xfId="0" applyFont="1" applyFill="1" applyBorder="1" applyAlignment="1"/>
    <xf numFmtId="0" fontId="1" fillId="3" borderId="12" xfId="0" applyFont="1" applyFill="1" applyBorder="1" applyAlignment="1">
      <alignment horizontal="center" vertical="center"/>
    </xf>
    <xf numFmtId="0" fontId="1" fillId="3" borderId="42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42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81" fontId="4" fillId="4" borderId="18" xfId="0" applyNumberFormat="1" applyFont="1" applyFill="1" applyBorder="1" applyAlignment="1"/>
    <xf numFmtId="184" fontId="2" fillId="0" borderId="19" xfId="0" applyNumberFormat="1" applyFont="1" applyBorder="1" applyAlignment="1"/>
    <xf numFmtId="180" fontId="2" fillId="0" borderId="18" xfId="0" applyNumberFormat="1" applyFont="1" applyBorder="1" applyAlignment="1"/>
    <xf numFmtId="180" fontId="2" fillId="0" borderId="43" xfId="0" applyNumberFormat="1" applyFont="1" applyBorder="1" applyAlignment="1"/>
    <xf numFmtId="180" fontId="2" fillId="0" borderId="44" xfId="0" applyNumberFormat="1" applyFont="1" applyBorder="1" applyAlignment="1"/>
    <xf numFmtId="180" fontId="2" fillId="0" borderId="21" xfId="0" applyNumberFormat="1" applyFont="1" applyBorder="1" applyAlignment="1"/>
    <xf numFmtId="181" fontId="2" fillId="0" borderId="19" xfId="0" applyNumberFormat="1" applyFont="1" applyBorder="1" applyAlignment="1"/>
    <xf numFmtId="181" fontId="4" fillId="4" borderId="22" xfId="0" applyNumberFormat="1" applyFont="1" applyFill="1" applyBorder="1" applyAlignment="1"/>
    <xf numFmtId="184" fontId="2" fillId="0" borderId="23" xfId="0" applyNumberFormat="1" applyFont="1" applyBorder="1" applyAlignment="1"/>
    <xf numFmtId="180" fontId="2" fillId="0" borderId="22" xfId="0" applyNumberFormat="1" applyFont="1" applyBorder="1" applyAlignment="1"/>
    <xf numFmtId="180" fontId="2" fillId="0" borderId="37" xfId="0" applyNumberFormat="1" applyFont="1" applyBorder="1" applyAlignment="1"/>
    <xf numFmtId="180" fontId="2" fillId="0" borderId="45" xfId="0" applyNumberFormat="1" applyFont="1" applyBorder="1" applyAlignment="1"/>
    <xf numFmtId="180" fontId="2" fillId="0" borderId="25" xfId="0" applyNumberFormat="1" applyFont="1" applyBorder="1" applyAlignment="1"/>
    <xf numFmtId="181" fontId="2" fillId="0" borderId="23" xfId="0" applyNumberFormat="1" applyFont="1" applyBorder="1" applyAlignment="1"/>
    <xf numFmtId="181" fontId="4" fillId="6" borderId="22" xfId="0" applyNumberFormat="1" applyFont="1" applyFill="1" applyBorder="1" applyAlignment="1"/>
    <xf numFmtId="181" fontId="4" fillId="4" borderId="26" xfId="0" applyNumberFormat="1" applyFont="1" applyFill="1" applyBorder="1" applyAlignment="1"/>
    <xf numFmtId="184" fontId="2" fillId="0" borderId="27" xfId="0" applyNumberFormat="1" applyFont="1" applyBorder="1" applyAlignment="1"/>
    <xf numFmtId="180" fontId="2" fillId="0" borderId="46" xfId="0" applyNumberFormat="1" applyFont="1" applyBorder="1" applyAlignment="1"/>
    <xf numFmtId="181" fontId="2" fillId="0" borderId="27" xfId="0" applyNumberFormat="1" applyFont="1" applyBorder="1" applyAlignment="1"/>
    <xf numFmtId="180" fontId="2" fillId="0" borderId="26" xfId="0" applyNumberFormat="1" applyFont="1" applyBorder="1" applyAlignment="1"/>
    <xf numFmtId="180" fontId="2" fillId="0" borderId="47" xfId="0" applyNumberFormat="1" applyFont="1" applyBorder="1" applyAlignment="1"/>
    <xf numFmtId="180" fontId="2" fillId="0" borderId="29" xfId="0" applyNumberFormat="1" applyFont="1" applyBorder="1" applyAlignment="1"/>
    <xf numFmtId="180" fontId="2" fillId="0" borderId="30" xfId="0" applyNumberFormat="1" applyFont="1" applyBorder="1" applyAlignment="1"/>
    <xf numFmtId="180" fontId="2" fillId="0" borderId="38" xfId="0" applyNumberFormat="1" applyFont="1" applyBorder="1" applyAlignment="1"/>
    <xf numFmtId="180" fontId="2" fillId="0" borderId="48" xfId="0" applyNumberFormat="1" applyFont="1" applyBorder="1" applyAlignment="1"/>
    <xf numFmtId="180" fontId="2" fillId="0" borderId="32" xfId="0" applyNumberFormat="1" applyFont="1" applyBorder="1" applyAlignment="1"/>
    <xf numFmtId="181" fontId="5" fillId="4" borderId="17" xfId="0" applyNumberFormat="1" applyFont="1" applyFill="1" applyBorder="1" applyAlignment="1"/>
    <xf numFmtId="180" fontId="5" fillId="8" borderId="17" xfId="0" applyNumberFormat="1" applyFont="1" applyFill="1" applyBorder="1" applyAlignment="1"/>
    <xf numFmtId="180" fontId="5" fillId="3" borderId="15" xfId="0" applyNumberFormat="1" applyFont="1" applyFill="1" applyBorder="1" applyAlignment="1"/>
    <xf numFmtId="180" fontId="5" fillId="3" borderId="41" xfId="0" applyNumberFormat="1" applyFont="1" applyFill="1" applyBorder="1" applyAlignment="1"/>
    <xf numFmtId="180" fontId="5" fillId="3" borderId="49" xfId="0" applyNumberFormat="1" applyFont="1" applyFill="1" applyBorder="1" applyAlignment="1"/>
    <xf numFmtId="180" fontId="5" fillId="3" borderId="16" xfId="0" applyNumberFormat="1" applyFont="1" applyFill="1" applyBorder="1" applyAlignment="1"/>
    <xf numFmtId="181" fontId="5" fillId="2" borderId="34" xfId="0" applyNumberFormat="1" applyFont="1" applyFill="1" applyBorder="1" applyAlignment="1"/>
    <xf numFmtId="180" fontId="2" fillId="0" borderId="0" xfId="0" applyNumberFormat="1" applyFont="1" applyAlignment="1"/>
    <xf numFmtId="0" fontId="5" fillId="3" borderId="33" xfId="0" applyFont="1" applyFill="1" applyBorder="1" applyAlignment="1"/>
    <xf numFmtId="184" fontId="5" fillId="4" borderId="39" xfId="0" applyNumberFormat="1" applyFont="1" applyFill="1" applyBorder="1" applyAlignment="1"/>
    <xf numFmtId="0" fontId="7" fillId="9" borderId="1" xfId="0" applyFont="1" applyFill="1" applyBorder="1" applyAlignment="1">
      <alignment horizontal="center" vertical="center" wrapText="1"/>
    </xf>
    <xf numFmtId="0" fontId="1" fillId="2" borderId="50" xfId="0" applyFont="1" applyFill="1" applyBorder="1" applyAlignment="1">
      <alignment horizontal="center" vertical="center"/>
    </xf>
    <xf numFmtId="0" fontId="1" fillId="2" borderId="51" xfId="0" applyFont="1" applyFill="1" applyBorder="1" applyAlignment="1">
      <alignment horizontal="center" vertical="center"/>
    </xf>
    <xf numFmtId="0" fontId="2" fillId="0" borderId="52" xfId="0" applyFont="1" applyBorder="1"/>
    <xf numFmtId="0" fontId="2" fillId="0" borderId="53" xfId="0" applyFont="1" applyBorder="1"/>
    <xf numFmtId="0" fontId="2" fillId="0" borderId="54" xfId="0" applyFont="1" applyBorder="1"/>
    <xf numFmtId="0" fontId="2" fillId="0" borderId="42" xfId="0" applyFont="1" applyBorder="1"/>
    <xf numFmtId="0" fontId="3" fillId="9" borderId="13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181" fontId="2" fillId="0" borderId="18" xfId="0" applyNumberFormat="1" applyFont="1" applyBorder="1" applyAlignment="1"/>
    <xf numFmtId="180" fontId="2" fillId="0" borderId="55" xfId="0" applyNumberFormat="1" applyFont="1" applyBorder="1" applyAlignment="1"/>
    <xf numFmtId="181" fontId="2" fillId="0" borderId="44" xfId="0" applyNumberFormat="1" applyFont="1" applyBorder="1" applyAlignment="1"/>
    <xf numFmtId="181" fontId="2" fillId="0" borderId="22" xfId="0" applyNumberFormat="1" applyFont="1" applyBorder="1" applyAlignment="1"/>
    <xf numFmtId="180" fontId="2" fillId="0" borderId="56" xfId="0" applyNumberFormat="1" applyFont="1" applyBorder="1" applyAlignment="1"/>
    <xf numFmtId="181" fontId="2" fillId="0" borderId="45" xfId="0" applyNumberFormat="1" applyFont="1" applyBorder="1" applyAlignment="1"/>
    <xf numFmtId="180" fontId="2" fillId="0" borderId="57" xfId="0" applyNumberFormat="1" applyFont="1" applyBorder="1" applyAlignment="1"/>
    <xf numFmtId="181" fontId="2" fillId="0" borderId="46" xfId="0" applyNumberFormat="1" applyFont="1" applyBorder="1" applyAlignment="1"/>
    <xf numFmtId="181" fontId="2" fillId="0" borderId="26" xfId="0" applyNumberFormat="1" applyFont="1" applyBorder="1" applyAlignment="1"/>
    <xf numFmtId="181" fontId="8" fillId="9" borderId="17" xfId="0" applyNumberFormat="1" applyFont="1" applyFill="1" applyBorder="1" applyAlignment="1"/>
    <xf numFmtId="180" fontId="5" fillId="2" borderId="58" xfId="0" applyNumberFormat="1" applyFont="1" applyFill="1" applyBorder="1" applyAlignment="1"/>
    <xf numFmtId="181" fontId="5" fillId="2" borderId="41" xfId="0" applyNumberFormat="1" applyFont="1" applyFill="1" applyBorder="1" applyAlignment="1"/>
    <xf numFmtId="0" fontId="1" fillId="2" borderId="59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2" fillId="0" borderId="60" xfId="0" applyFont="1" applyBorder="1"/>
    <xf numFmtId="0" fontId="2" fillId="0" borderId="61" xfId="0" applyFont="1" applyBorder="1"/>
    <xf numFmtId="0" fontId="2" fillId="2" borderId="61" xfId="0" applyFont="1" applyFill="1" applyBorder="1" applyAlignment="1">
      <alignment horizontal="center" vertical="center"/>
    </xf>
    <xf numFmtId="183" fontId="2" fillId="0" borderId="44" xfId="0" applyNumberFormat="1" applyFont="1" applyBorder="1" applyAlignment="1"/>
    <xf numFmtId="181" fontId="2" fillId="0" borderId="62" xfId="0" applyNumberFormat="1" applyFont="1" applyBorder="1" applyAlignment="1"/>
    <xf numFmtId="181" fontId="2" fillId="0" borderId="21" xfId="0" applyNumberFormat="1" applyFont="1" applyBorder="1" applyAlignment="1"/>
    <xf numFmtId="181" fontId="2" fillId="0" borderId="43" xfId="0" applyNumberFormat="1" applyFont="1" applyBorder="1" applyAlignment="1"/>
    <xf numFmtId="183" fontId="2" fillId="0" borderId="45" xfId="0" applyNumberFormat="1" applyFont="1" applyBorder="1" applyAlignment="1"/>
    <xf numFmtId="181" fontId="2" fillId="0" borderId="63" xfId="0" applyNumberFormat="1" applyFont="1" applyBorder="1" applyAlignment="1"/>
    <xf numFmtId="181" fontId="2" fillId="0" borderId="25" xfId="0" applyNumberFormat="1" applyFont="1" applyBorder="1" applyAlignment="1"/>
    <xf numFmtId="181" fontId="2" fillId="0" borderId="37" xfId="0" applyNumberFormat="1" applyFont="1" applyBorder="1" applyAlignment="1"/>
    <xf numFmtId="183" fontId="2" fillId="0" borderId="46" xfId="0" applyNumberFormat="1" applyFont="1" applyBorder="1" applyAlignment="1"/>
    <xf numFmtId="181" fontId="2" fillId="0" borderId="64" xfId="0" applyNumberFormat="1" applyFont="1" applyBorder="1" applyAlignment="1"/>
    <xf numFmtId="181" fontId="2" fillId="0" borderId="29" xfId="0" applyNumberFormat="1" applyFont="1" applyBorder="1" applyAlignment="1"/>
    <xf numFmtId="181" fontId="2" fillId="0" borderId="47" xfId="0" applyNumberFormat="1" applyFont="1" applyBorder="1" applyAlignment="1"/>
    <xf numFmtId="181" fontId="5" fillId="10" borderId="41" xfId="0" applyNumberFormat="1" applyFont="1" applyFill="1" applyBorder="1" applyAlignment="1"/>
    <xf numFmtId="183" fontId="5" fillId="2" borderId="41" xfId="0" applyNumberFormat="1" applyFont="1" applyFill="1" applyBorder="1" applyAlignment="1"/>
    <xf numFmtId="181" fontId="5" fillId="2" borderId="49" xfId="0" applyNumberFormat="1" applyFont="1" applyFill="1" applyBorder="1" applyAlignment="1"/>
    <xf numFmtId="181" fontId="5" fillId="10" borderId="40" xfId="0" applyNumberFormat="1" applyFont="1" applyFill="1" applyBorder="1" applyAlignment="1"/>
    <xf numFmtId="0" fontId="1" fillId="3" borderId="51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0" borderId="65" xfId="0" applyFont="1" applyBorder="1" applyAlignment="1"/>
    <xf numFmtId="2" fontId="2" fillId="0" borderId="44" xfId="0" applyNumberFormat="1" applyFont="1" applyBorder="1" applyAlignment="1"/>
    <xf numFmtId="2" fontId="2" fillId="0" borderId="43" xfId="0" applyNumberFormat="1" applyFont="1" applyBorder="1" applyAlignment="1"/>
    <xf numFmtId="2" fontId="2" fillId="0" borderId="37" xfId="0" applyNumberFormat="1" applyFont="1" applyBorder="1" applyAlignment="1"/>
    <xf numFmtId="2" fontId="2" fillId="0" borderId="45" xfId="0" applyNumberFormat="1" applyFont="1" applyBorder="1" applyAlignment="1"/>
    <xf numFmtId="2" fontId="2" fillId="0" borderId="25" xfId="0" applyNumberFormat="1" applyFont="1" applyBorder="1" applyAlignment="1"/>
    <xf numFmtId="2" fontId="2" fillId="0" borderId="29" xfId="0" applyNumberFormat="1" applyFont="1" applyBorder="1" applyAlignment="1"/>
    <xf numFmtId="2" fontId="2" fillId="0" borderId="47" xfId="0" applyNumberFormat="1" applyFont="1" applyBorder="1" applyAlignment="1"/>
    <xf numFmtId="2" fontId="2" fillId="0" borderId="46" xfId="0" applyNumberFormat="1" applyFont="1" applyBorder="1" applyAlignment="1"/>
    <xf numFmtId="2" fontId="5" fillId="10" borderId="41" xfId="0" applyNumberFormat="1" applyFont="1" applyFill="1" applyBorder="1" applyAlignment="1"/>
    <xf numFmtId="2" fontId="5" fillId="3" borderId="16" xfId="0" applyNumberFormat="1" applyFont="1" applyFill="1" applyBorder="1" applyAlignment="1"/>
    <xf numFmtId="2" fontId="5" fillId="2" borderId="40" xfId="0" applyNumberFormat="1" applyFont="1" applyFill="1" applyBorder="1" applyAlignment="1"/>
    <xf numFmtId="180" fontId="5" fillId="2" borderId="16" xfId="0" applyNumberFormat="1" applyFont="1" applyFill="1" applyBorder="1" applyAlignment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00"/>
  <sheetViews>
    <sheetView showGridLines="0" tabSelected="1" workbookViewId="0">
      <pane xSplit="5" ySplit="4" topLeftCell="F5" activePane="bottomRight" state="frozen"/>
      <selection/>
      <selection pane="topRight"/>
      <selection pane="bottomLeft"/>
      <selection pane="bottomRight" activeCell="K7" sqref="K7"/>
    </sheetView>
  </sheetViews>
  <sheetFormatPr defaultColWidth="14.4285714285714" defaultRowHeight="15" customHeight="1"/>
  <cols>
    <col min="1" max="1" width="27.7142857142857" customWidth="1"/>
    <col min="2" max="2" width="6" customWidth="1"/>
    <col min="3" max="3" width="13.2857142857143" customWidth="1"/>
    <col min="4" max="4" width="16.2857142857143" customWidth="1"/>
    <col min="5" max="5" width="10.7142857142857" customWidth="1"/>
    <col min="6" max="6" width="14.7142857142857" customWidth="1"/>
    <col min="7" max="7" width="16.2857142857143" hidden="1" customWidth="1"/>
    <col min="8" max="8" width="8.85714285714286" customWidth="1"/>
    <col min="9" max="9" width="10.7142857142857" customWidth="1"/>
    <col min="10" max="10" width="7.28571428571429" customWidth="1"/>
    <col min="11" max="11" width="10.4285714285714" customWidth="1"/>
    <col min="12" max="15" width="10.1428571428571" customWidth="1"/>
    <col min="16" max="16" width="8" customWidth="1"/>
    <col min="17" max="17" width="10.1428571428571" customWidth="1"/>
    <col min="18" max="18" width="9.28571428571429" customWidth="1"/>
    <col min="19" max="19" width="10.7142857142857" customWidth="1"/>
    <col min="20" max="25" width="9.28571428571429" customWidth="1"/>
    <col min="26" max="26" width="10.7142857142857" customWidth="1"/>
    <col min="27" max="27" width="9.28571428571429" customWidth="1"/>
    <col min="28" max="28" width="10.1428571428571" customWidth="1"/>
    <col min="29" max="29" width="11.2857142857143" customWidth="1"/>
    <col min="30" max="31" width="9.28571428571429" customWidth="1"/>
    <col min="32" max="32" width="10.7142857142857" customWidth="1"/>
    <col min="33" max="33" width="11" customWidth="1"/>
    <col min="34" max="34" width="11.5714285714286" customWidth="1"/>
    <col min="35" max="35" width="9.28571428571429" customWidth="1"/>
    <col min="36" max="36" width="9.85714285714286" customWidth="1"/>
  </cols>
  <sheetData>
    <row r="1" ht="15.75" customHeight="1" spans="1:36">
      <c r="A1" s="1" t="s">
        <v>0</v>
      </c>
      <c r="B1" s="2" t="s">
        <v>1</v>
      </c>
      <c r="C1" s="3" t="s">
        <v>2</v>
      </c>
      <c r="D1" s="4" t="s">
        <v>2</v>
      </c>
      <c r="E1" s="5" t="s">
        <v>3</v>
      </c>
      <c r="F1" s="6" t="s">
        <v>3</v>
      </c>
      <c r="G1" s="7" t="s">
        <v>4</v>
      </c>
      <c r="H1" s="8" t="s">
        <v>5</v>
      </c>
      <c r="I1" s="7" t="s">
        <v>6</v>
      </c>
      <c r="J1" s="83" t="s">
        <v>7</v>
      </c>
      <c r="K1" s="84" t="s">
        <v>8</v>
      </c>
      <c r="L1" s="85" t="s">
        <v>9</v>
      </c>
      <c r="M1" s="78"/>
      <c r="N1" s="78"/>
      <c r="O1" s="65"/>
      <c r="P1" s="8" t="s">
        <v>10</v>
      </c>
      <c r="Q1" s="133" t="s">
        <v>11</v>
      </c>
      <c r="R1" s="134" t="s">
        <v>12</v>
      </c>
      <c r="S1" s="135" t="s">
        <v>13</v>
      </c>
      <c r="T1" s="135" t="s">
        <v>14</v>
      </c>
      <c r="U1" s="135" t="s">
        <v>15</v>
      </c>
      <c r="V1" s="135" t="s">
        <v>16</v>
      </c>
      <c r="W1" s="135" t="s">
        <v>17</v>
      </c>
      <c r="X1" s="135" t="s">
        <v>18</v>
      </c>
      <c r="Y1" s="135" t="s">
        <v>19</v>
      </c>
      <c r="Z1" s="135" t="s">
        <v>20</v>
      </c>
      <c r="AA1" s="135" t="s">
        <v>21</v>
      </c>
      <c r="AB1" s="135" t="s">
        <v>22</v>
      </c>
      <c r="AC1" s="135" t="s">
        <v>23</v>
      </c>
      <c r="AD1" s="155" t="s">
        <v>24</v>
      </c>
      <c r="AE1" s="156" t="s">
        <v>25</v>
      </c>
      <c r="AF1" s="157" t="s">
        <v>26</v>
      </c>
      <c r="AG1" s="177" t="s">
        <v>27</v>
      </c>
      <c r="AH1" s="178" t="s">
        <v>28</v>
      </c>
      <c r="AI1" s="179" t="s">
        <v>29</v>
      </c>
      <c r="AJ1" s="180" t="s">
        <v>30</v>
      </c>
    </row>
    <row r="2" ht="18" customHeight="1" spans="1:36">
      <c r="A2" s="9"/>
      <c r="B2" s="10"/>
      <c r="C2" s="11"/>
      <c r="D2" s="12"/>
      <c r="E2" s="13"/>
      <c r="F2" s="12"/>
      <c r="G2" s="9"/>
      <c r="H2" s="11"/>
      <c r="I2" s="9"/>
      <c r="J2" s="11"/>
      <c r="K2" s="9"/>
      <c r="L2" s="86">
        <v>12.9</v>
      </c>
      <c r="M2" s="87">
        <v>14.3</v>
      </c>
      <c r="N2" s="87">
        <v>14</v>
      </c>
      <c r="O2" s="88">
        <v>12.8</v>
      </c>
      <c r="P2" s="11"/>
      <c r="Q2" s="9"/>
      <c r="R2" s="136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58"/>
      <c r="AE2" s="12"/>
      <c r="AF2" s="13"/>
      <c r="AG2" s="137"/>
      <c r="AH2" s="12"/>
      <c r="AI2" s="13"/>
      <c r="AJ2" s="12"/>
    </row>
    <row r="3" ht="14.25" customHeight="1" spans="1:36">
      <c r="A3" s="9"/>
      <c r="B3" s="10"/>
      <c r="C3" s="14"/>
      <c r="D3" s="15"/>
      <c r="E3" s="16"/>
      <c r="F3" s="15"/>
      <c r="G3" s="17"/>
      <c r="H3" s="11"/>
      <c r="I3" s="9"/>
      <c r="J3" s="14"/>
      <c r="K3" s="17"/>
      <c r="L3" s="89" t="s">
        <v>31</v>
      </c>
      <c r="M3" s="90" t="s">
        <v>32</v>
      </c>
      <c r="N3" s="90" t="s">
        <v>33</v>
      </c>
      <c r="O3" s="91" t="s">
        <v>34</v>
      </c>
      <c r="P3" s="14"/>
      <c r="Q3" s="17"/>
      <c r="R3" s="138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9"/>
      <c r="AD3" s="159"/>
      <c r="AE3" s="15"/>
      <c r="AF3" s="16"/>
      <c r="AG3" s="139"/>
      <c r="AH3" s="15"/>
      <c r="AI3" s="16"/>
      <c r="AJ3" s="15"/>
    </row>
    <row r="4" ht="13.5" customHeight="1" spans="1:36">
      <c r="A4" s="17"/>
      <c r="B4" s="18"/>
      <c r="C4" s="19" t="s">
        <v>35</v>
      </c>
      <c r="D4" s="20" t="s">
        <v>36</v>
      </c>
      <c r="E4" s="21" t="s">
        <v>35</v>
      </c>
      <c r="F4" s="22" t="s">
        <v>36</v>
      </c>
      <c r="G4" s="23" t="s">
        <v>36</v>
      </c>
      <c r="H4" s="14"/>
      <c r="I4" s="17"/>
      <c r="J4" s="92" t="s">
        <v>37</v>
      </c>
      <c r="K4" s="93" t="s">
        <v>36</v>
      </c>
      <c r="L4" s="94" t="s">
        <v>36</v>
      </c>
      <c r="M4" s="95" t="s">
        <v>36</v>
      </c>
      <c r="N4" s="95" t="s">
        <v>36</v>
      </c>
      <c r="O4" s="96" t="s">
        <v>36</v>
      </c>
      <c r="P4" s="92" t="s">
        <v>36</v>
      </c>
      <c r="Q4" s="140" t="s">
        <v>36</v>
      </c>
      <c r="R4" s="141" t="s">
        <v>36</v>
      </c>
      <c r="S4" s="142" t="s">
        <v>36</v>
      </c>
      <c r="T4" s="142" t="s">
        <v>36</v>
      </c>
      <c r="U4" s="142" t="s">
        <v>36</v>
      </c>
      <c r="V4" s="142" t="s">
        <v>36</v>
      </c>
      <c r="W4" s="142" t="s">
        <v>36</v>
      </c>
      <c r="X4" s="142" t="s">
        <v>36</v>
      </c>
      <c r="Y4" s="142" t="s">
        <v>36</v>
      </c>
      <c r="Z4" s="142" t="s">
        <v>36</v>
      </c>
      <c r="AA4" s="142" t="s">
        <v>36</v>
      </c>
      <c r="AB4" s="142" t="s">
        <v>36</v>
      </c>
      <c r="AC4" s="142" t="s">
        <v>36</v>
      </c>
      <c r="AD4" s="160" t="s">
        <v>36</v>
      </c>
      <c r="AE4" s="160" t="s">
        <v>36</v>
      </c>
      <c r="AF4" s="94" t="s">
        <v>36</v>
      </c>
      <c r="AG4" s="95" t="s">
        <v>36</v>
      </c>
      <c r="AH4" s="96" t="s">
        <v>36</v>
      </c>
      <c r="AI4" s="181" t="s">
        <v>38</v>
      </c>
      <c r="AJ4" s="182" t="s">
        <v>36</v>
      </c>
    </row>
    <row r="5" ht="12.75" customHeight="1" spans="1:36">
      <c r="A5" s="24" t="s">
        <v>39</v>
      </c>
      <c r="B5" s="25">
        <v>0.65</v>
      </c>
      <c r="C5" s="26"/>
      <c r="D5" s="27">
        <f t="shared" ref="D5:D26" si="0">C5*B5</f>
        <v>0</v>
      </c>
      <c r="E5" s="28"/>
      <c r="F5" s="29">
        <f t="shared" ref="F5:F26" si="1">E5*B5</f>
        <v>0</v>
      </c>
      <c r="G5" s="30">
        <f t="shared" ref="G5:G26" si="2">B5*(C5+E5)</f>
        <v>0</v>
      </c>
      <c r="H5" s="31">
        <v>3.32</v>
      </c>
      <c r="I5" s="97">
        <f t="shared" ref="I5:I26" si="3">ROUND(D5*H5/1000,2)</f>
        <v>0</v>
      </c>
      <c r="J5" s="98">
        <f>133*100/(100-(14.5-$N$2))</f>
        <v>133.668341708543</v>
      </c>
      <c r="K5" s="99">
        <v>2</v>
      </c>
      <c r="L5" s="100">
        <f t="shared" ref="L5:L9" si="4">0.5*K5/100</f>
        <v>0.01</v>
      </c>
      <c r="M5" s="101"/>
      <c r="N5" s="101">
        <f>99.5*K5/100</f>
        <v>1.99</v>
      </c>
      <c r="O5" s="102"/>
      <c r="P5" s="103">
        <f t="shared" ref="P5:P8" si="5">0.15*G5/1000</f>
        <v>0</v>
      </c>
      <c r="Q5" s="143">
        <f>1*K5/100</f>
        <v>0.02</v>
      </c>
      <c r="R5" s="144">
        <f t="shared" ref="R5:R15" si="6">1.5*K5/100</f>
        <v>0.03</v>
      </c>
      <c r="S5" s="145"/>
      <c r="T5" s="145"/>
      <c r="U5" s="145"/>
      <c r="V5" s="145"/>
      <c r="W5" s="145"/>
      <c r="X5" s="145"/>
      <c r="Y5" s="145"/>
      <c r="Z5" s="145"/>
      <c r="AA5" s="161"/>
      <c r="AB5" s="145"/>
      <c r="AC5" s="145"/>
      <c r="AD5" s="162"/>
      <c r="AE5" s="163"/>
      <c r="AF5" s="164">
        <f t="shared" ref="AF5:AF9" si="7">0.002*K5</f>
        <v>0.004</v>
      </c>
      <c r="AG5" s="183"/>
      <c r="AH5" s="184">
        <f t="shared" ref="AH5:AH9" si="8">0.2*K5/100</f>
        <v>0.004</v>
      </c>
      <c r="AI5" s="185">
        <f>0.3*G5/1000</f>
        <v>0</v>
      </c>
      <c r="AJ5" s="102">
        <f t="shared" ref="AJ5:AJ26" si="9">K5*0.09%</f>
        <v>0.0018</v>
      </c>
    </row>
    <row r="6" ht="12.75" customHeight="1" spans="1:36">
      <c r="A6" s="32" t="s">
        <v>40</v>
      </c>
      <c r="B6" s="33">
        <v>0.65</v>
      </c>
      <c r="C6" s="34"/>
      <c r="D6" s="35">
        <f t="shared" si="0"/>
        <v>0</v>
      </c>
      <c r="E6" s="36"/>
      <c r="F6" s="37">
        <f t="shared" si="1"/>
        <v>0</v>
      </c>
      <c r="G6" s="38">
        <f t="shared" si="2"/>
        <v>0</v>
      </c>
      <c r="H6" s="39">
        <v>3.49</v>
      </c>
      <c r="I6" s="104">
        <f t="shared" si="3"/>
        <v>0</v>
      </c>
      <c r="J6" s="105">
        <f>133*100/(100-(14.5-$M$2))</f>
        <v>133.266533066132</v>
      </c>
      <c r="K6" s="106">
        <v>3</v>
      </c>
      <c r="L6" s="107">
        <f t="shared" si="4"/>
        <v>0.015</v>
      </c>
      <c r="M6" s="108">
        <f t="shared" ref="M6:M8" si="10">99.5*K6/100</f>
        <v>2.985</v>
      </c>
      <c r="N6" s="108"/>
      <c r="O6" s="109"/>
      <c r="P6" s="110">
        <f t="shared" si="5"/>
        <v>0</v>
      </c>
      <c r="Q6" s="146">
        <f>1.5*K6/100</f>
        <v>0.045</v>
      </c>
      <c r="R6" s="147">
        <f t="shared" si="6"/>
        <v>0.045</v>
      </c>
      <c r="S6" s="148"/>
      <c r="T6" s="148"/>
      <c r="U6" s="148"/>
      <c r="V6" s="148"/>
      <c r="W6" s="148"/>
      <c r="X6" s="148"/>
      <c r="Y6" s="148"/>
      <c r="Z6" s="148"/>
      <c r="AA6" s="165"/>
      <c r="AB6" s="148"/>
      <c r="AC6" s="148"/>
      <c r="AD6" s="166"/>
      <c r="AE6" s="167"/>
      <c r="AF6" s="168">
        <f t="shared" si="7"/>
        <v>0.006</v>
      </c>
      <c r="AG6" s="72">
        <v>150</v>
      </c>
      <c r="AH6" s="184">
        <f t="shared" si="8"/>
        <v>0.006</v>
      </c>
      <c r="AI6" s="186">
        <f>0.61*G6/1000</f>
        <v>0</v>
      </c>
      <c r="AJ6" s="109">
        <f t="shared" si="9"/>
        <v>0.0027</v>
      </c>
    </row>
    <row r="7" ht="12.75" customHeight="1" spans="1:36">
      <c r="A7" s="32" t="s">
        <v>41</v>
      </c>
      <c r="B7" s="33">
        <v>0.4</v>
      </c>
      <c r="C7" s="34"/>
      <c r="D7" s="35">
        <f t="shared" si="0"/>
        <v>0</v>
      </c>
      <c r="E7" s="36"/>
      <c r="F7" s="37">
        <f t="shared" si="1"/>
        <v>0</v>
      </c>
      <c r="G7" s="38">
        <f t="shared" si="2"/>
        <v>0</v>
      </c>
      <c r="H7" s="39">
        <v>4.22</v>
      </c>
      <c r="I7" s="104">
        <f t="shared" si="3"/>
        <v>0</v>
      </c>
      <c r="J7" s="105">
        <f t="shared" ref="J7:J8" si="11">127*100/(100-(14.5-$M$2))</f>
        <v>127.254509018036</v>
      </c>
      <c r="K7" s="106">
        <f t="shared" ref="K5:K26" si="12">G7*100/J7</f>
        <v>0</v>
      </c>
      <c r="L7" s="107">
        <f t="shared" si="4"/>
        <v>0</v>
      </c>
      <c r="M7" s="108">
        <f t="shared" si="10"/>
        <v>0</v>
      </c>
      <c r="N7" s="108"/>
      <c r="O7" s="109"/>
      <c r="P7" s="110">
        <f t="shared" si="5"/>
        <v>0</v>
      </c>
      <c r="Q7" s="146">
        <f t="shared" ref="Q7:Q8" si="13">3*K7/100</f>
        <v>0</v>
      </c>
      <c r="R7" s="147">
        <f t="shared" si="6"/>
        <v>0</v>
      </c>
      <c r="S7" s="148"/>
      <c r="T7" s="148"/>
      <c r="U7" s="148"/>
      <c r="V7" s="148"/>
      <c r="W7" s="148"/>
      <c r="X7" s="148"/>
      <c r="Y7" s="148"/>
      <c r="Z7" s="148"/>
      <c r="AA7" s="165"/>
      <c r="AB7" s="148"/>
      <c r="AC7" s="148"/>
      <c r="AD7" s="166"/>
      <c r="AE7" s="167"/>
      <c r="AF7" s="168">
        <f t="shared" si="7"/>
        <v>0</v>
      </c>
      <c r="AG7" s="187"/>
      <c r="AH7" s="184">
        <f t="shared" si="8"/>
        <v>0</v>
      </c>
      <c r="AI7" s="186">
        <f>0.5*G7/1000</f>
        <v>0</v>
      </c>
      <c r="AJ7" s="109">
        <f t="shared" si="9"/>
        <v>0</v>
      </c>
    </row>
    <row r="8" ht="12.75" customHeight="1" spans="1:36">
      <c r="A8" s="32" t="s">
        <v>42</v>
      </c>
      <c r="B8" s="33">
        <v>0.4</v>
      </c>
      <c r="C8" s="34"/>
      <c r="D8" s="35">
        <f t="shared" si="0"/>
        <v>0</v>
      </c>
      <c r="E8" s="36"/>
      <c r="F8" s="37">
        <f t="shared" si="1"/>
        <v>0</v>
      </c>
      <c r="G8" s="38">
        <f t="shared" si="2"/>
        <v>0</v>
      </c>
      <c r="H8" s="39">
        <v>4.22</v>
      </c>
      <c r="I8" s="104">
        <f t="shared" si="3"/>
        <v>0</v>
      </c>
      <c r="J8" s="105">
        <f t="shared" si="11"/>
        <v>127.254509018036</v>
      </c>
      <c r="K8" s="106">
        <f t="shared" si="12"/>
        <v>0</v>
      </c>
      <c r="L8" s="107">
        <f t="shared" si="4"/>
        <v>0</v>
      </c>
      <c r="M8" s="108">
        <f t="shared" si="10"/>
        <v>0</v>
      </c>
      <c r="N8" s="108"/>
      <c r="O8" s="109"/>
      <c r="P8" s="110">
        <f t="shared" si="5"/>
        <v>0</v>
      </c>
      <c r="Q8" s="146">
        <f t="shared" si="13"/>
        <v>0</v>
      </c>
      <c r="R8" s="147">
        <f t="shared" si="6"/>
        <v>0</v>
      </c>
      <c r="S8" s="148"/>
      <c r="T8" s="148"/>
      <c r="U8" s="148"/>
      <c r="V8" s="148"/>
      <c r="W8" s="148"/>
      <c r="X8" s="148"/>
      <c r="Y8" s="148"/>
      <c r="Z8" s="148"/>
      <c r="AA8" s="165"/>
      <c r="AB8" s="148"/>
      <c r="AC8" s="148"/>
      <c r="AD8" s="166"/>
      <c r="AE8" s="167"/>
      <c r="AF8" s="168">
        <f t="shared" si="7"/>
        <v>0</v>
      </c>
      <c r="AG8" s="187"/>
      <c r="AH8" s="184">
        <f t="shared" si="8"/>
        <v>0</v>
      </c>
      <c r="AI8" s="186">
        <f>0.5*G8/1000+0.1*G8/10000</f>
        <v>0</v>
      </c>
      <c r="AJ8" s="109">
        <f t="shared" si="9"/>
        <v>0</v>
      </c>
    </row>
    <row r="9" ht="12.75" customHeight="1" spans="1:36">
      <c r="A9" s="32" t="s">
        <v>43</v>
      </c>
      <c r="B9" s="33">
        <v>0.65</v>
      </c>
      <c r="C9" s="34"/>
      <c r="D9" s="35">
        <f t="shared" si="0"/>
        <v>0</v>
      </c>
      <c r="E9" s="36"/>
      <c r="F9" s="37">
        <f t="shared" si="1"/>
        <v>0</v>
      </c>
      <c r="G9" s="38">
        <f t="shared" si="2"/>
        <v>0</v>
      </c>
      <c r="H9" s="39">
        <v>4.71</v>
      </c>
      <c r="I9" s="104">
        <f t="shared" si="3"/>
        <v>0</v>
      </c>
      <c r="J9" s="105">
        <f>137*100/(100-(14.5-(ROUND(((30*$N$2+70*$O$2)/100),1))))</f>
        <v>138.804457953394</v>
      </c>
      <c r="K9" s="106">
        <f t="shared" si="12"/>
        <v>0</v>
      </c>
      <c r="L9" s="107">
        <f t="shared" si="4"/>
        <v>0</v>
      </c>
      <c r="M9" s="108"/>
      <c r="N9" s="108">
        <f t="shared" ref="N9:N10" si="14">30*K9/100</f>
        <v>0</v>
      </c>
      <c r="O9" s="109">
        <f>69.5*K9/100</f>
        <v>0</v>
      </c>
      <c r="P9" s="110">
        <f>0.26*G9/1000</f>
        <v>0</v>
      </c>
      <c r="Q9" s="146">
        <f>1*K9/100</f>
        <v>0</v>
      </c>
      <c r="R9" s="147">
        <f t="shared" si="6"/>
        <v>0</v>
      </c>
      <c r="S9" s="148"/>
      <c r="T9" s="148"/>
      <c r="U9" s="148"/>
      <c r="V9" s="148"/>
      <c r="W9" s="148"/>
      <c r="X9" s="148"/>
      <c r="Y9" s="148"/>
      <c r="Z9" s="148"/>
      <c r="AA9" s="165"/>
      <c r="AB9" s="148"/>
      <c r="AC9" s="148"/>
      <c r="AD9" s="166"/>
      <c r="AE9" s="167"/>
      <c r="AF9" s="168">
        <f t="shared" si="7"/>
        <v>0</v>
      </c>
      <c r="AG9" s="72"/>
      <c r="AH9" s="184">
        <f t="shared" si="8"/>
        <v>0</v>
      </c>
      <c r="AI9" s="186"/>
      <c r="AJ9" s="109">
        <f t="shared" si="9"/>
        <v>0</v>
      </c>
    </row>
    <row r="10" ht="12.75" customHeight="1" spans="1:36">
      <c r="A10" s="32" t="s">
        <v>44</v>
      </c>
      <c r="B10" s="33">
        <v>0.6</v>
      </c>
      <c r="C10" s="34"/>
      <c r="D10" s="35">
        <f t="shared" si="0"/>
        <v>0</v>
      </c>
      <c r="E10" s="36"/>
      <c r="F10" s="37">
        <f t="shared" si="1"/>
        <v>0</v>
      </c>
      <c r="G10" s="38">
        <f t="shared" si="2"/>
        <v>0</v>
      </c>
      <c r="H10" s="39">
        <v>15.32</v>
      </c>
      <c r="I10" s="104">
        <f t="shared" si="3"/>
        <v>0</v>
      </c>
      <c r="J10" s="105">
        <f>145*100/(100-(14.5-(ROUND(((30*$N$2+70*$L$2)/100),1))))</f>
        <v>146.909827760892</v>
      </c>
      <c r="K10" s="106">
        <f t="shared" si="12"/>
        <v>0</v>
      </c>
      <c r="L10" s="107">
        <f>70*K10/100</f>
        <v>0</v>
      </c>
      <c r="M10" s="108"/>
      <c r="N10" s="108">
        <f t="shared" si="14"/>
        <v>0</v>
      </c>
      <c r="O10" s="109"/>
      <c r="P10" s="110">
        <f t="shared" ref="P10:P26" si="15">1.15*G10/1000</f>
        <v>0</v>
      </c>
      <c r="Q10" s="146"/>
      <c r="R10" s="147">
        <f t="shared" si="6"/>
        <v>0</v>
      </c>
      <c r="S10" s="148">
        <f>1*K10/100</f>
        <v>0</v>
      </c>
      <c r="T10" s="148"/>
      <c r="U10" s="148"/>
      <c r="V10" s="148"/>
      <c r="W10" s="148"/>
      <c r="X10" s="148"/>
      <c r="Y10" s="148"/>
      <c r="Z10" s="148">
        <f>3*K10/100</f>
        <v>0</v>
      </c>
      <c r="AA10" s="165">
        <f>0.02*K10/100</f>
        <v>0</v>
      </c>
      <c r="AB10" s="148"/>
      <c r="AC10" s="148"/>
      <c r="AD10" s="166"/>
      <c r="AE10" s="167"/>
      <c r="AF10" s="168"/>
      <c r="AG10" s="187">
        <f t="shared" ref="AG10:AG26" si="16">0.1*K10/100</f>
        <v>0</v>
      </c>
      <c r="AH10" s="188"/>
      <c r="AI10" s="186"/>
      <c r="AJ10" s="109">
        <f t="shared" si="9"/>
        <v>0</v>
      </c>
    </row>
    <row r="11" ht="12.75" customHeight="1" spans="1:36">
      <c r="A11" s="32" t="s">
        <v>45</v>
      </c>
      <c r="B11" s="33">
        <v>0.6</v>
      </c>
      <c r="C11" s="34"/>
      <c r="D11" s="35">
        <f t="shared" si="0"/>
        <v>0</v>
      </c>
      <c r="E11" s="36"/>
      <c r="F11" s="37">
        <f t="shared" si="1"/>
        <v>0</v>
      </c>
      <c r="G11" s="38">
        <f t="shared" si="2"/>
        <v>0</v>
      </c>
      <c r="H11" s="39">
        <v>15.32</v>
      </c>
      <c r="I11" s="104">
        <f t="shared" si="3"/>
        <v>0</v>
      </c>
      <c r="J11" s="105">
        <f t="shared" ref="J11:J12" si="17">148*100/(100-(14.5-(ROUND(((50*$N$2+50*$L$2)/100),1))))</f>
        <v>149.49494949495</v>
      </c>
      <c r="K11" s="106">
        <f t="shared" si="12"/>
        <v>0</v>
      </c>
      <c r="L11" s="107">
        <f t="shared" ref="L11:L12" si="18">50*K11/100</f>
        <v>0</v>
      </c>
      <c r="M11" s="108"/>
      <c r="N11" s="108">
        <f t="shared" ref="N11:N12" si="19">50*K11/100</f>
        <v>0</v>
      </c>
      <c r="O11" s="109"/>
      <c r="P11" s="110">
        <f t="shared" si="15"/>
        <v>0</v>
      </c>
      <c r="Q11" s="146">
        <f t="shared" ref="Q11:Q12" si="20">1*K11/100</f>
        <v>0</v>
      </c>
      <c r="R11" s="147">
        <f t="shared" si="6"/>
        <v>0</v>
      </c>
      <c r="S11" s="148">
        <f t="shared" ref="S11:S12" si="21">2*K11/100</f>
        <v>0</v>
      </c>
      <c r="T11" s="148">
        <f t="shared" ref="T11:T12" si="22">2*K11/100</f>
        <v>0</v>
      </c>
      <c r="U11" s="148">
        <f t="shared" ref="U11:U12" si="23">2*K11/100</f>
        <v>0</v>
      </c>
      <c r="V11" s="148">
        <f t="shared" ref="V11:V12" si="24">3*K11/100</f>
        <v>0</v>
      </c>
      <c r="W11" s="148">
        <f t="shared" ref="W11:W12" si="25">2*K11/100</f>
        <v>0</v>
      </c>
      <c r="X11" s="148"/>
      <c r="Y11" s="148"/>
      <c r="Z11" s="148"/>
      <c r="AA11" s="165"/>
      <c r="AB11" s="148"/>
      <c r="AC11" s="148"/>
      <c r="AD11" s="166"/>
      <c r="AE11" s="167"/>
      <c r="AF11" s="168"/>
      <c r="AG11" s="187">
        <f t="shared" si="16"/>
        <v>0</v>
      </c>
      <c r="AH11" s="188"/>
      <c r="AI11" s="186">
        <f t="shared" ref="AI11:AI14" si="26">0.1*G11/10000</f>
        <v>0</v>
      </c>
      <c r="AJ11" s="109">
        <f t="shared" si="9"/>
        <v>0</v>
      </c>
    </row>
    <row r="12" ht="12.75" customHeight="1" spans="1:36">
      <c r="A12" s="40" t="s">
        <v>45</v>
      </c>
      <c r="B12" s="41">
        <v>0.3</v>
      </c>
      <c r="C12" s="42"/>
      <c r="D12" s="43">
        <f t="shared" si="0"/>
        <v>0</v>
      </c>
      <c r="E12" s="42"/>
      <c r="F12" s="43">
        <f t="shared" si="1"/>
        <v>0</v>
      </c>
      <c r="G12" s="44">
        <f t="shared" si="2"/>
        <v>0</v>
      </c>
      <c r="H12" s="45">
        <v>15.32</v>
      </c>
      <c r="I12" s="111">
        <f t="shared" si="3"/>
        <v>0</v>
      </c>
      <c r="J12" s="105">
        <f t="shared" si="17"/>
        <v>149.49494949495</v>
      </c>
      <c r="K12" s="106">
        <f t="shared" si="12"/>
        <v>0</v>
      </c>
      <c r="L12" s="107">
        <f t="shared" si="18"/>
        <v>0</v>
      </c>
      <c r="M12" s="108"/>
      <c r="N12" s="108">
        <f t="shared" si="19"/>
        <v>0</v>
      </c>
      <c r="O12" s="109"/>
      <c r="P12" s="110">
        <f t="shared" si="15"/>
        <v>0</v>
      </c>
      <c r="Q12" s="146">
        <f t="shared" si="20"/>
        <v>0</v>
      </c>
      <c r="R12" s="147">
        <f t="shared" si="6"/>
        <v>0</v>
      </c>
      <c r="S12" s="148">
        <f t="shared" si="21"/>
        <v>0</v>
      </c>
      <c r="T12" s="148">
        <f t="shared" si="22"/>
        <v>0</v>
      </c>
      <c r="U12" s="148">
        <f t="shared" si="23"/>
        <v>0</v>
      </c>
      <c r="V12" s="148">
        <f t="shared" si="24"/>
        <v>0</v>
      </c>
      <c r="W12" s="148">
        <f t="shared" si="25"/>
        <v>0</v>
      </c>
      <c r="X12" s="148"/>
      <c r="Y12" s="148"/>
      <c r="Z12" s="148"/>
      <c r="AA12" s="165"/>
      <c r="AB12" s="148"/>
      <c r="AC12" s="148"/>
      <c r="AD12" s="166"/>
      <c r="AE12" s="167"/>
      <c r="AF12" s="168"/>
      <c r="AG12" s="187">
        <f t="shared" si="16"/>
        <v>0</v>
      </c>
      <c r="AH12" s="188"/>
      <c r="AI12" s="186">
        <f t="shared" si="26"/>
        <v>0</v>
      </c>
      <c r="AJ12" s="109">
        <f t="shared" si="9"/>
        <v>0</v>
      </c>
    </row>
    <row r="13" ht="12.75" customHeight="1" spans="1:36">
      <c r="A13" s="32" t="s">
        <v>46</v>
      </c>
      <c r="B13" s="46">
        <v>0.5</v>
      </c>
      <c r="C13" s="34"/>
      <c r="D13" s="35">
        <f t="shared" si="0"/>
        <v>0</v>
      </c>
      <c r="E13" s="36"/>
      <c r="F13" s="37">
        <f t="shared" si="1"/>
        <v>0</v>
      </c>
      <c r="G13" s="38">
        <f t="shared" si="2"/>
        <v>0</v>
      </c>
      <c r="H13" s="39">
        <v>14.4</v>
      </c>
      <c r="I13" s="104">
        <f t="shared" si="3"/>
        <v>0</v>
      </c>
      <c r="J13" s="105">
        <f t="shared" ref="J13:J14" si="27">140*100/(100-(14.5-(ROUND(((30*$N$2+70*$L$2)/100),1))))</f>
        <v>141.843971631206</v>
      </c>
      <c r="K13" s="106">
        <f t="shared" si="12"/>
        <v>0</v>
      </c>
      <c r="L13" s="107">
        <f t="shared" ref="L13:L14" si="28">70*K13/100</f>
        <v>0</v>
      </c>
      <c r="M13" s="108"/>
      <c r="N13" s="108">
        <f t="shared" ref="N13:N14" si="29">30*K13/100</f>
        <v>0</v>
      </c>
      <c r="O13" s="109"/>
      <c r="P13" s="110">
        <f t="shared" si="15"/>
        <v>0</v>
      </c>
      <c r="Q13" s="146">
        <f t="shared" ref="Q13:Q15" si="30">0.5*K13/100</f>
        <v>0</v>
      </c>
      <c r="R13" s="147">
        <f t="shared" si="6"/>
        <v>0</v>
      </c>
      <c r="S13" s="148"/>
      <c r="T13" s="148"/>
      <c r="U13" s="148"/>
      <c r="V13" s="148"/>
      <c r="W13" s="148"/>
      <c r="X13" s="148"/>
      <c r="Y13" s="148">
        <f t="shared" ref="Y13:Y14" si="31">5*K13/100</f>
        <v>0</v>
      </c>
      <c r="Z13" s="148">
        <f t="shared" ref="Z13:Z14" si="32">3*K13/100</f>
        <v>0</v>
      </c>
      <c r="AA13" s="165"/>
      <c r="AB13" s="148"/>
      <c r="AC13" s="148">
        <f t="shared" ref="AC13:AC14" si="33">6*K13/100</f>
        <v>0</v>
      </c>
      <c r="AD13" s="166"/>
      <c r="AE13" s="167"/>
      <c r="AF13" s="168"/>
      <c r="AG13" s="187">
        <f t="shared" si="16"/>
        <v>0</v>
      </c>
      <c r="AH13" s="188"/>
      <c r="AI13" s="186">
        <f t="shared" si="26"/>
        <v>0</v>
      </c>
      <c r="AJ13" s="109">
        <f t="shared" si="9"/>
        <v>0</v>
      </c>
    </row>
    <row r="14" ht="12.75" customHeight="1" spans="1:36">
      <c r="A14" s="40" t="s">
        <v>46</v>
      </c>
      <c r="B14" s="41">
        <v>0.25</v>
      </c>
      <c r="C14" s="42"/>
      <c r="D14" s="43">
        <f t="shared" si="0"/>
        <v>0</v>
      </c>
      <c r="E14" s="42"/>
      <c r="F14" s="43">
        <f t="shared" si="1"/>
        <v>0</v>
      </c>
      <c r="G14" s="44">
        <f t="shared" si="2"/>
        <v>0</v>
      </c>
      <c r="H14" s="45">
        <v>14.4</v>
      </c>
      <c r="I14" s="111">
        <f t="shared" si="3"/>
        <v>0</v>
      </c>
      <c r="J14" s="105">
        <f t="shared" si="27"/>
        <v>141.843971631206</v>
      </c>
      <c r="K14" s="106">
        <f t="shared" si="12"/>
        <v>0</v>
      </c>
      <c r="L14" s="107">
        <f t="shared" si="28"/>
        <v>0</v>
      </c>
      <c r="M14" s="108"/>
      <c r="N14" s="108">
        <f t="shared" si="29"/>
        <v>0</v>
      </c>
      <c r="O14" s="109"/>
      <c r="P14" s="110">
        <f t="shared" si="15"/>
        <v>0</v>
      </c>
      <c r="Q14" s="146">
        <f t="shared" si="30"/>
        <v>0</v>
      </c>
      <c r="R14" s="147">
        <f t="shared" si="6"/>
        <v>0</v>
      </c>
      <c r="S14" s="148"/>
      <c r="T14" s="148"/>
      <c r="U14" s="148"/>
      <c r="V14" s="148"/>
      <c r="W14" s="148"/>
      <c r="X14" s="148"/>
      <c r="Y14" s="148">
        <f t="shared" si="31"/>
        <v>0</v>
      </c>
      <c r="Z14" s="148">
        <f t="shared" si="32"/>
        <v>0</v>
      </c>
      <c r="AA14" s="165"/>
      <c r="AB14" s="148"/>
      <c r="AC14" s="148">
        <f t="shared" si="33"/>
        <v>0</v>
      </c>
      <c r="AD14" s="166"/>
      <c r="AE14" s="167"/>
      <c r="AF14" s="168"/>
      <c r="AG14" s="187">
        <f t="shared" si="16"/>
        <v>0</v>
      </c>
      <c r="AH14" s="188"/>
      <c r="AI14" s="186">
        <f t="shared" si="26"/>
        <v>0</v>
      </c>
      <c r="AJ14" s="109">
        <f t="shared" si="9"/>
        <v>0</v>
      </c>
    </row>
    <row r="15" ht="12.75" customHeight="1" spans="1:36">
      <c r="A15" s="32" t="s">
        <v>47</v>
      </c>
      <c r="B15" s="46">
        <v>0.6</v>
      </c>
      <c r="C15" s="34"/>
      <c r="D15" s="35">
        <f t="shared" si="0"/>
        <v>0</v>
      </c>
      <c r="E15" s="36"/>
      <c r="F15" s="37">
        <f t="shared" si="1"/>
        <v>0</v>
      </c>
      <c r="G15" s="38">
        <f t="shared" si="2"/>
        <v>0</v>
      </c>
      <c r="H15" s="39">
        <v>11.88</v>
      </c>
      <c r="I15" s="104">
        <f t="shared" si="3"/>
        <v>0</v>
      </c>
      <c r="J15" s="105">
        <f>138*100/(100-(14.5-(ROUND(((40*$N$2+60*$L$2)/100),1))))</f>
        <v>139.676113360324</v>
      </c>
      <c r="K15" s="106">
        <f t="shared" si="12"/>
        <v>0</v>
      </c>
      <c r="L15" s="107">
        <f>60*K15/100</f>
        <v>0</v>
      </c>
      <c r="M15" s="108"/>
      <c r="N15" s="108">
        <f>40*K15/100</f>
        <v>0</v>
      </c>
      <c r="O15" s="109"/>
      <c r="P15" s="110">
        <f t="shared" si="15"/>
        <v>0</v>
      </c>
      <c r="Q15" s="146">
        <f t="shared" si="30"/>
        <v>0</v>
      </c>
      <c r="R15" s="147">
        <f t="shared" si="6"/>
        <v>0</v>
      </c>
      <c r="S15" s="148"/>
      <c r="T15" s="148"/>
      <c r="U15" s="148"/>
      <c r="V15" s="148"/>
      <c r="W15" s="148"/>
      <c r="X15" s="148"/>
      <c r="Y15" s="148"/>
      <c r="Z15" s="148"/>
      <c r="AA15" s="165"/>
      <c r="AB15" s="148"/>
      <c r="AC15" s="148"/>
      <c r="AD15" s="166"/>
      <c r="AE15" s="167"/>
      <c r="AF15" s="168"/>
      <c r="AG15" s="187">
        <f t="shared" si="16"/>
        <v>0</v>
      </c>
      <c r="AH15" s="188"/>
      <c r="AI15" s="186"/>
      <c r="AJ15" s="109">
        <f t="shared" si="9"/>
        <v>0</v>
      </c>
    </row>
    <row r="16" ht="12.75" customHeight="1" spans="1:36">
      <c r="A16" s="32" t="s">
        <v>48</v>
      </c>
      <c r="B16" s="46">
        <v>0.5</v>
      </c>
      <c r="C16" s="34"/>
      <c r="D16" s="35">
        <f t="shared" si="0"/>
        <v>0</v>
      </c>
      <c r="E16" s="36"/>
      <c r="F16" s="37">
        <f t="shared" si="1"/>
        <v>0</v>
      </c>
      <c r="G16" s="38">
        <f t="shared" si="2"/>
        <v>0</v>
      </c>
      <c r="H16" s="39">
        <v>16.13</v>
      </c>
      <c r="I16" s="104">
        <f t="shared" si="3"/>
        <v>0</v>
      </c>
      <c r="J16" s="105">
        <f>145*100/(100-(14.5-(ROUND(((20*$O$2+80*$L$2)/100),1))))</f>
        <v>147.357723577236</v>
      </c>
      <c r="K16" s="106">
        <f t="shared" si="12"/>
        <v>0</v>
      </c>
      <c r="L16" s="107">
        <f>80*K16/100</f>
        <v>0</v>
      </c>
      <c r="M16" s="108"/>
      <c r="N16" s="108"/>
      <c r="O16" s="109">
        <f>20*K16/100</f>
        <v>0</v>
      </c>
      <c r="P16" s="110">
        <f t="shared" si="15"/>
        <v>0</v>
      </c>
      <c r="Q16" s="146">
        <f t="shared" ref="Q16:Q20" si="34">1*K16/100</f>
        <v>0</v>
      </c>
      <c r="R16" s="147">
        <f>1*K16/100</f>
        <v>0</v>
      </c>
      <c r="S16" s="148">
        <f>6*K16/100</f>
        <v>0</v>
      </c>
      <c r="T16" s="148"/>
      <c r="U16" s="148"/>
      <c r="V16" s="148"/>
      <c r="W16" s="148"/>
      <c r="X16" s="148"/>
      <c r="Y16" s="148">
        <f t="shared" ref="Y16:Y18" si="35">4*K16/100</f>
        <v>0</v>
      </c>
      <c r="Z16" s="148">
        <f>5*K16/100</f>
        <v>0</v>
      </c>
      <c r="AA16" s="165"/>
      <c r="AB16" s="148">
        <f>1*K16/100</f>
        <v>0</v>
      </c>
      <c r="AC16" s="148"/>
      <c r="AD16" s="166"/>
      <c r="AE16" s="167"/>
      <c r="AF16" s="168"/>
      <c r="AG16" s="187">
        <f t="shared" si="16"/>
        <v>0</v>
      </c>
      <c r="AH16" s="188"/>
      <c r="AI16" s="186"/>
      <c r="AJ16" s="109">
        <f t="shared" si="9"/>
        <v>0</v>
      </c>
    </row>
    <row r="17" ht="12.75" customHeight="1" spans="1:36">
      <c r="A17" s="32" t="s">
        <v>49</v>
      </c>
      <c r="B17" s="46">
        <v>0.65</v>
      </c>
      <c r="C17" s="34"/>
      <c r="D17" s="35">
        <f t="shared" si="0"/>
        <v>0</v>
      </c>
      <c r="E17" s="36"/>
      <c r="F17" s="37">
        <f t="shared" si="1"/>
        <v>0</v>
      </c>
      <c r="G17" s="38">
        <f t="shared" si="2"/>
        <v>0</v>
      </c>
      <c r="H17" s="39">
        <v>25.14</v>
      </c>
      <c r="I17" s="104">
        <f t="shared" si="3"/>
        <v>0</v>
      </c>
      <c r="J17" s="105">
        <f t="shared" ref="J17:J18" si="36">140*100/(100-(14.5-(ROUND(((50*$N$2+50*$L$2)/100),1))))</f>
        <v>141.414141414141</v>
      </c>
      <c r="K17" s="106">
        <f t="shared" si="12"/>
        <v>0</v>
      </c>
      <c r="L17" s="107">
        <f t="shared" ref="L17:L18" si="37">50*K17/100</f>
        <v>0</v>
      </c>
      <c r="M17" s="108"/>
      <c r="N17" s="108">
        <f t="shared" ref="N17:N18" si="38">50*K17/100</f>
        <v>0</v>
      </c>
      <c r="O17" s="109"/>
      <c r="P17" s="110">
        <f t="shared" si="15"/>
        <v>0</v>
      </c>
      <c r="Q17" s="146">
        <f t="shared" si="34"/>
        <v>0</v>
      </c>
      <c r="R17" s="147">
        <f t="shared" ref="R17:R18" si="39">1.5*K17/100</f>
        <v>0</v>
      </c>
      <c r="S17" s="148">
        <f t="shared" ref="S17:S20" si="40">4*K17/100</f>
        <v>0</v>
      </c>
      <c r="T17" s="148"/>
      <c r="U17" s="148"/>
      <c r="V17" s="148"/>
      <c r="W17" s="148"/>
      <c r="X17" s="148">
        <f t="shared" ref="X17:X18" si="41">1.5*K17/100</f>
        <v>0</v>
      </c>
      <c r="Y17" s="148">
        <f t="shared" si="35"/>
        <v>0</v>
      </c>
      <c r="Z17" s="148">
        <f t="shared" ref="Z17:Z18" si="42">6*K17/100</f>
        <v>0</v>
      </c>
      <c r="AA17" s="165"/>
      <c r="AB17" s="148"/>
      <c r="AC17" s="148"/>
      <c r="AD17" s="166"/>
      <c r="AE17" s="167"/>
      <c r="AF17" s="168"/>
      <c r="AG17" s="187">
        <f t="shared" si="16"/>
        <v>0</v>
      </c>
      <c r="AH17" s="188"/>
      <c r="AI17" s="186"/>
      <c r="AJ17" s="109">
        <f t="shared" si="9"/>
        <v>0</v>
      </c>
    </row>
    <row r="18" ht="12.75" customHeight="1" spans="1:36">
      <c r="A18" s="40" t="s">
        <v>49</v>
      </c>
      <c r="B18" s="47">
        <v>0.325</v>
      </c>
      <c r="C18" s="42"/>
      <c r="D18" s="48">
        <f t="shared" si="0"/>
        <v>0</v>
      </c>
      <c r="E18" s="42"/>
      <c r="F18" s="48">
        <f t="shared" si="1"/>
        <v>0</v>
      </c>
      <c r="G18" s="49">
        <f t="shared" si="2"/>
        <v>0</v>
      </c>
      <c r="H18" s="45">
        <v>25.14</v>
      </c>
      <c r="I18" s="111">
        <f t="shared" si="3"/>
        <v>0</v>
      </c>
      <c r="J18" s="105">
        <f t="shared" si="36"/>
        <v>141.414141414141</v>
      </c>
      <c r="K18" s="106">
        <f t="shared" si="12"/>
        <v>0</v>
      </c>
      <c r="L18" s="107">
        <f t="shared" si="37"/>
        <v>0</v>
      </c>
      <c r="M18" s="108"/>
      <c r="N18" s="108">
        <f t="shared" si="38"/>
        <v>0</v>
      </c>
      <c r="O18" s="109"/>
      <c r="P18" s="110">
        <f t="shared" si="15"/>
        <v>0</v>
      </c>
      <c r="Q18" s="146">
        <f t="shared" si="34"/>
        <v>0</v>
      </c>
      <c r="R18" s="147">
        <f t="shared" si="39"/>
        <v>0</v>
      </c>
      <c r="S18" s="148">
        <f t="shared" si="40"/>
        <v>0</v>
      </c>
      <c r="T18" s="148"/>
      <c r="U18" s="148"/>
      <c r="V18" s="148"/>
      <c r="W18" s="148"/>
      <c r="X18" s="148">
        <f t="shared" si="41"/>
        <v>0</v>
      </c>
      <c r="Y18" s="148">
        <f t="shared" si="35"/>
        <v>0</v>
      </c>
      <c r="Z18" s="148">
        <f t="shared" si="42"/>
        <v>0</v>
      </c>
      <c r="AA18" s="165"/>
      <c r="AB18" s="148"/>
      <c r="AC18" s="148"/>
      <c r="AD18" s="166"/>
      <c r="AE18" s="167"/>
      <c r="AF18" s="168"/>
      <c r="AG18" s="187">
        <f t="shared" si="16"/>
        <v>0</v>
      </c>
      <c r="AH18" s="188"/>
      <c r="AI18" s="186">
        <f t="shared" ref="AI18:AI20" si="43">0.1*G18/10000</f>
        <v>0</v>
      </c>
      <c r="AJ18" s="109">
        <f t="shared" si="9"/>
        <v>0</v>
      </c>
    </row>
    <row r="19" ht="12.75" customHeight="1" spans="1:36">
      <c r="A19" s="32" t="s">
        <v>50</v>
      </c>
      <c r="B19" s="46">
        <v>0.5</v>
      </c>
      <c r="C19" s="34"/>
      <c r="D19" s="35">
        <f t="shared" si="0"/>
        <v>0</v>
      </c>
      <c r="E19" s="36"/>
      <c r="F19" s="37">
        <f t="shared" si="1"/>
        <v>0</v>
      </c>
      <c r="G19" s="38">
        <f t="shared" si="2"/>
        <v>0</v>
      </c>
      <c r="H19" s="39">
        <v>16.13</v>
      </c>
      <c r="I19" s="104">
        <f t="shared" si="3"/>
        <v>0</v>
      </c>
      <c r="J19" s="105">
        <f t="shared" ref="J19:J20" si="44">145*100/(100-(14.5-(ROUND(((30*$N$2+70*$L$2)/100),1))))</f>
        <v>146.909827760892</v>
      </c>
      <c r="K19" s="106">
        <f t="shared" si="12"/>
        <v>0</v>
      </c>
      <c r="L19" s="107">
        <f t="shared" ref="L19:L25" si="45">70*K19/100</f>
        <v>0</v>
      </c>
      <c r="M19" s="108"/>
      <c r="N19" s="108">
        <f t="shared" ref="N19:N25" si="46">30*K19/100</f>
        <v>0</v>
      </c>
      <c r="O19" s="109"/>
      <c r="P19" s="110">
        <f t="shared" si="15"/>
        <v>0</v>
      </c>
      <c r="Q19" s="146">
        <f t="shared" si="34"/>
        <v>0</v>
      </c>
      <c r="R19" s="147">
        <f t="shared" ref="R19:R20" si="47">1*K19/100</f>
        <v>0</v>
      </c>
      <c r="S19" s="148">
        <f t="shared" si="40"/>
        <v>0</v>
      </c>
      <c r="T19" s="148"/>
      <c r="U19" s="148"/>
      <c r="V19" s="148"/>
      <c r="W19" s="148"/>
      <c r="X19" s="148">
        <f t="shared" ref="X19:X20" si="48">1*K19/100</f>
        <v>0</v>
      </c>
      <c r="Y19" s="148">
        <f t="shared" ref="Y19:Y20" si="49">3*K19/100</f>
        <v>0</v>
      </c>
      <c r="Z19" s="148">
        <f t="shared" ref="Z19:Z20" si="50">5*K19/100</f>
        <v>0</v>
      </c>
      <c r="AA19" s="165"/>
      <c r="AB19" s="148">
        <f t="shared" ref="AB19:AB20" si="51">1*K19/100</f>
        <v>0</v>
      </c>
      <c r="AC19" s="148"/>
      <c r="AD19" s="166">
        <f t="shared" ref="AD19:AD20" si="52">7*K19/100</f>
        <v>0</v>
      </c>
      <c r="AE19" s="167"/>
      <c r="AF19" s="168"/>
      <c r="AG19" s="187">
        <f t="shared" si="16"/>
        <v>0</v>
      </c>
      <c r="AH19" s="188"/>
      <c r="AI19" s="186">
        <f t="shared" si="43"/>
        <v>0</v>
      </c>
      <c r="AJ19" s="109">
        <f t="shared" si="9"/>
        <v>0</v>
      </c>
    </row>
    <row r="20" ht="12.75" customHeight="1" spans="1:36">
      <c r="A20" s="40" t="s">
        <v>50</v>
      </c>
      <c r="B20" s="41">
        <v>0.25</v>
      </c>
      <c r="C20" s="42"/>
      <c r="D20" s="43">
        <f t="shared" si="0"/>
        <v>0</v>
      </c>
      <c r="E20" s="42"/>
      <c r="F20" s="43">
        <f t="shared" si="1"/>
        <v>0</v>
      </c>
      <c r="G20" s="44">
        <f t="shared" si="2"/>
        <v>0</v>
      </c>
      <c r="H20" s="45">
        <v>16.13</v>
      </c>
      <c r="I20" s="111">
        <f t="shared" si="3"/>
        <v>0</v>
      </c>
      <c r="J20" s="105">
        <f t="shared" si="44"/>
        <v>146.909827760892</v>
      </c>
      <c r="K20" s="106">
        <f t="shared" si="12"/>
        <v>0</v>
      </c>
      <c r="L20" s="107">
        <f t="shared" si="45"/>
        <v>0</v>
      </c>
      <c r="M20" s="108"/>
      <c r="N20" s="108">
        <f t="shared" si="46"/>
        <v>0</v>
      </c>
      <c r="O20" s="109"/>
      <c r="P20" s="110">
        <f t="shared" si="15"/>
        <v>0</v>
      </c>
      <c r="Q20" s="146">
        <f t="shared" si="34"/>
        <v>0</v>
      </c>
      <c r="R20" s="147">
        <f t="shared" si="47"/>
        <v>0</v>
      </c>
      <c r="S20" s="148">
        <f t="shared" si="40"/>
        <v>0</v>
      </c>
      <c r="T20" s="148"/>
      <c r="U20" s="148"/>
      <c r="V20" s="148"/>
      <c r="W20" s="148"/>
      <c r="X20" s="148">
        <f t="shared" si="48"/>
        <v>0</v>
      </c>
      <c r="Y20" s="148">
        <f t="shared" si="49"/>
        <v>0</v>
      </c>
      <c r="Z20" s="148">
        <f t="shared" si="50"/>
        <v>0</v>
      </c>
      <c r="AA20" s="165"/>
      <c r="AB20" s="148">
        <f t="shared" si="51"/>
        <v>0</v>
      </c>
      <c r="AC20" s="148"/>
      <c r="AD20" s="166">
        <f t="shared" si="52"/>
        <v>0</v>
      </c>
      <c r="AE20" s="167"/>
      <c r="AF20" s="168"/>
      <c r="AG20" s="187">
        <f t="shared" si="16"/>
        <v>0</v>
      </c>
      <c r="AH20" s="188"/>
      <c r="AI20" s="186">
        <f t="shared" si="43"/>
        <v>0</v>
      </c>
      <c r="AJ20" s="109">
        <f t="shared" si="9"/>
        <v>0</v>
      </c>
    </row>
    <row r="21" ht="12.75" customHeight="1" spans="1:36">
      <c r="A21" s="32" t="s">
        <v>51</v>
      </c>
      <c r="B21" s="46">
        <v>0.6</v>
      </c>
      <c r="C21" s="34"/>
      <c r="D21" s="35">
        <f t="shared" si="0"/>
        <v>0</v>
      </c>
      <c r="E21" s="36"/>
      <c r="F21" s="37">
        <f t="shared" si="1"/>
        <v>0</v>
      </c>
      <c r="G21" s="38">
        <f t="shared" si="2"/>
        <v>0</v>
      </c>
      <c r="H21" s="39">
        <v>11.88</v>
      </c>
      <c r="I21" s="104">
        <f t="shared" si="3"/>
        <v>0</v>
      </c>
      <c r="J21" s="105">
        <f>144*100/(100-(14.5-(ROUND(((30*$N$2+70*$L$2)/100),1))))</f>
        <v>145.896656534954</v>
      </c>
      <c r="K21" s="106">
        <f t="shared" si="12"/>
        <v>0</v>
      </c>
      <c r="L21" s="107">
        <f t="shared" si="45"/>
        <v>0</v>
      </c>
      <c r="M21" s="108"/>
      <c r="N21" s="108">
        <f t="shared" si="46"/>
        <v>0</v>
      </c>
      <c r="O21" s="109"/>
      <c r="P21" s="110">
        <f t="shared" si="15"/>
        <v>0</v>
      </c>
      <c r="Q21" s="146">
        <f t="shared" ref="Q21:Q25" si="53">0.5*K21/100</f>
        <v>0</v>
      </c>
      <c r="R21" s="147">
        <f t="shared" ref="R21:R25" si="54">1.5*K21/100</f>
        <v>0</v>
      </c>
      <c r="S21" s="148"/>
      <c r="T21" s="148"/>
      <c r="U21" s="148"/>
      <c r="V21" s="148"/>
      <c r="W21" s="148"/>
      <c r="X21" s="148"/>
      <c r="Y21" s="148"/>
      <c r="Z21" s="148"/>
      <c r="AA21" s="165"/>
      <c r="AB21" s="148"/>
      <c r="AC21" s="148"/>
      <c r="AD21" s="166"/>
      <c r="AE21" s="167"/>
      <c r="AF21" s="168"/>
      <c r="AG21" s="187">
        <f t="shared" si="16"/>
        <v>0</v>
      </c>
      <c r="AH21" s="188"/>
      <c r="AI21" s="186"/>
      <c r="AJ21" s="109">
        <f t="shared" si="9"/>
        <v>0</v>
      </c>
    </row>
    <row r="22" ht="12.75" customHeight="1" spans="1:36">
      <c r="A22" s="32" t="s">
        <v>52</v>
      </c>
      <c r="B22" s="46">
        <v>0.5</v>
      </c>
      <c r="C22" s="34"/>
      <c r="D22" s="35">
        <f t="shared" si="0"/>
        <v>0</v>
      </c>
      <c r="E22" s="36"/>
      <c r="F22" s="37">
        <f t="shared" si="1"/>
        <v>0</v>
      </c>
      <c r="G22" s="38">
        <f t="shared" si="2"/>
        <v>0</v>
      </c>
      <c r="H22" s="39">
        <v>14.4</v>
      </c>
      <c r="I22" s="104">
        <f t="shared" si="3"/>
        <v>0</v>
      </c>
      <c r="J22" s="105">
        <f t="shared" ref="J22:J23" si="55">148*100/(100-(14.5-(ROUND(((30*$N$2+70*$L$2)/100),1))))</f>
        <v>149.949341438703</v>
      </c>
      <c r="K22" s="106">
        <f t="shared" si="12"/>
        <v>0</v>
      </c>
      <c r="L22" s="107">
        <f t="shared" si="45"/>
        <v>0</v>
      </c>
      <c r="M22" s="108"/>
      <c r="N22" s="108">
        <f t="shared" si="46"/>
        <v>0</v>
      </c>
      <c r="O22" s="109"/>
      <c r="P22" s="110">
        <f t="shared" si="15"/>
        <v>0</v>
      </c>
      <c r="Q22" s="146">
        <f t="shared" si="53"/>
        <v>0</v>
      </c>
      <c r="R22" s="147">
        <f t="shared" si="54"/>
        <v>0</v>
      </c>
      <c r="S22" s="148"/>
      <c r="T22" s="148">
        <f t="shared" ref="T22:T23" si="56">2*K22/100</f>
        <v>0</v>
      </c>
      <c r="U22" s="148"/>
      <c r="V22" s="148">
        <f t="shared" ref="V22:V23" si="57">2*K22/100</f>
        <v>0</v>
      </c>
      <c r="W22" s="148">
        <f t="shared" ref="W22:W23" si="58">10*K22/100</f>
        <v>0</v>
      </c>
      <c r="X22" s="148"/>
      <c r="Y22" s="148">
        <f t="shared" ref="Y22:Y23" si="59">2*K22/100</f>
        <v>0</v>
      </c>
      <c r="Z22" s="148"/>
      <c r="AA22" s="165"/>
      <c r="AB22" s="148"/>
      <c r="AC22" s="148"/>
      <c r="AD22" s="166"/>
      <c r="AE22" s="167"/>
      <c r="AF22" s="168"/>
      <c r="AG22" s="187">
        <f t="shared" si="16"/>
        <v>0</v>
      </c>
      <c r="AH22" s="188"/>
      <c r="AI22" s="186">
        <f t="shared" ref="AI22:AI26" si="60">0.1*G22/10000</f>
        <v>0</v>
      </c>
      <c r="AJ22" s="109">
        <f t="shared" si="9"/>
        <v>0</v>
      </c>
    </row>
    <row r="23" ht="12.75" customHeight="1" spans="1:36">
      <c r="A23" s="40" t="s">
        <v>52</v>
      </c>
      <c r="B23" s="41">
        <v>0.25</v>
      </c>
      <c r="C23" s="42"/>
      <c r="D23" s="43">
        <f t="shared" si="0"/>
        <v>0</v>
      </c>
      <c r="E23" s="42"/>
      <c r="F23" s="43">
        <f t="shared" si="1"/>
        <v>0</v>
      </c>
      <c r="G23" s="44">
        <f t="shared" si="2"/>
        <v>0</v>
      </c>
      <c r="H23" s="45">
        <v>14.4</v>
      </c>
      <c r="I23" s="111">
        <f t="shared" si="3"/>
        <v>0</v>
      </c>
      <c r="J23" s="105">
        <f t="shared" si="55"/>
        <v>149.949341438703</v>
      </c>
      <c r="K23" s="106">
        <f t="shared" si="12"/>
        <v>0</v>
      </c>
      <c r="L23" s="107">
        <f t="shared" si="45"/>
        <v>0</v>
      </c>
      <c r="M23" s="108"/>
      <c r="N23" s="108">
        <f t="shared" si="46"/>
        <v>0</v>
      </c>
      <c r="O23" s="109"/>
      <c r="P23" s="110">
        <f t="shared" si="15"/>
        <v>0</v>
      </c>
      <c r="Q23" s="146">
        <f t="shared" si="53"/>
        <v>0</v>
      </c>
      <c r="R23" s="147">
        <f t="shared" si="54"/>
        <v>0</v>
      </c>
      <c r="S23" s="148"/>
      <c r="T23" s="148">
        <f t="shared" si="56"/>
        <v>0</v>
      </c>
      <c r="U23" s="148"/>
      <c r="V23" s="148">
        <f t="shared" si="57"/>
        <v>0</v>
      </c>
      <c r="W23" s="148">
        <f t="shared" si="58"/>
        <v>0</v>
      </c>
      <c r="X23" s="148"/>
      <c r="Y23" s="148">
        <f t="shared" si="59"/>
        <v>0</v>
      </c>
      <c r="Z23" s="148"/>
      <c r="AA23" s="165"/>
      <c r="AB23" s="148"/>
      <c r="AC23" s="148"/>
      <c r="AD23" s="166"/>
      <c r="AE23" s="167"/>
      <c r="AF23" s="168"/>
      <c r="AG23" s="187">
        <f t="shared" si="16"/>
        <v>0</v>
      </c>
      <c r="AH23" s="188"/>
      <c r="AI23" s="186">
        <f t="shared" si="60"/>
        <v>0</v>
      </c>
      <c r="AJ23" s="109">
        <f t="shared" si="9"/>
        <v>0</v>
      </c>
    </row>
    <row r="24" ht="12.75" customHeight="1" spans="1:36">
      <c r="A24" s="32" t="s">
        <v>53</v>
      </c>
      <c r="B24" s="46">
        <v>0.5</v>
      </c>
      <c r="C24" s="34"/>
      <c r="D24" s="35">
        <f t="shared" si="0"/>
        <v>0</v>
      </c>
      <c r="E24" s="36"/>
      <c r="F24" s="37">
        <f t="shared" si="1"/>
        <v>0</v>
      </c>
      <c r="G24" s="38">
        <f t="shared" si="2"/>
        <v>0</v>
      </c>
      <c r="H24" s="39">
        <v>14.4</v>
      </c>
      <c r="I24" s="104">
        <f t="shared" si="3"/>
        <v>0</v>
      </c>
      <c r="J24" s="105">
        <f t="shared" ref="J24:J25" si="61">140*100/(100-(14.5-(ROUND(((30*$N$2+70*$L$2)/100),1))))</f>
        <v>141.843971631206</v>
      </c>
      <c r="K24" s="106">
        <f t="shared" si="12"/>
        <v>0</v>
      </c>
      <c r="L24" s="107">
        <f t="shared" si="45"/>
        <v>0</v>
      </c>
      <c r="M24" s="108"/>
      <c r="N24" s="108">
        <f t="shared" si="46"/>
        <v>0</v>
      </c>
      <c r="O24" s="109"/>
      <c r="P24" s="110">
        <f t="shared" si="15"/>
        <v>0</v>
      </c>
      <c r="Q24" s="146">
        <f t="shared" si="53"/>
        <v>0</v>
      </c>
      <c r="R24" s="147">
        <f t="shared" si="54"/>
        <v>0</v>
      </c>
      <c r="S24" s="148"/>
      <c r="T24" s="148"/>
      <c r="U24" s="148"/>
      <c r="V24" s="148"/>
      <c r="W24" s="148"/>
      <c r="X24" s="148"/>
      <c r="Y24" s="148">
        <f t="shared" ref="Y24:Y25" si="62">5*K24/100</f>
        <v>0</v>
      </c>
      <c r="Z24" s="148">
        <f t="shared" ref="Z24:Z25" si="63">3*K24/100</f>
        <v>0</v>
      </c>
      <c r="AA24" s="165"/>
      <c r="AB24" s="148"/>
      <c r="AC24" s="148"/>
      <c r="AD24" s="166">
        <f t="shared" ref="AD24:AD25" si="64">7*K24/100</f>
        <v>0</v>
      </c>
      <c r="AE24" s="167"/>
      <c r="AF24" s="168"/>
      <c r="AG24" s="187">
        <f t="shared" si="16"/>
        <v>0</v>
      </c>
      <c r="AH24" s="188"/>
      <c r="AI24" s="186">
        <f t="shared" si="60"/>
        <v>0</v>
      </c>
      <c r="AJ24" s="109">
        <f t="shared" si="9"/>
        <v>0</v>
      </c>
    </row>
    <row r="25" ht="12.75" customHeight="1" spans="1:36">
      <c r="A25" s="40" t="s">
        <v>53</v>
      </c>
      <c r="B25" s="41">
        <v>0.25</v>
      </c>
      <c r="C25" s="42"/>
      <c r="D25" s="43">
        <f t="shared" si="0"/>
        <v>0</v>
      </c>
      <c r="E25" s="42"/>
      <c r="F25" s="43">
        <f t="shared" si="1"/>
        <v>0</v>
      </c>
      <c r="G25" s="44">
        <f t="shared" si="2"/>
        <v>0</v>
      </c>
      <c r="H25" s="45">
        <v>14.4</v>
      </c>
      <c r="I25" s="111">
        <f t="shared" si="3"/>
        <v>0</v>
      </c>
      <c r="J25" s="105">
        <f t="shared" si="61"/>
        <v>141.843971631206</v>
      </c>
      <c r="K25" s="106">
        <f t="shared" si="12"/>
        <v>0</v>
      </c>
      <c r="L25" s="107">
        <f t="shared" si="45"/>
        <v>0</v>
      </c>
      <c r="M25" s="108"/>
      <c r="N25" s="108">
        <f t="shared" si="46"/>
        <v>0</v>
      </c>
      <c r="O25" s="109"/>
      <c r="P25" s="110">
        <f t="shared" si="15"/>
        <v>0</v>
      </c>
      <c r="Q25" s="146">
        <f t="shared" si="53"/>
        <v>0</v>
      </c>
      <c r="R25" s="147">
        <f t="shared" si="54"/>
        <v>0</v>
      </c>
      <c r="S25" s="148"/>
      <c r="T25" s="148"/>
      <c r="U25" s="148"/>
      <c r="V25" s="148"/>
      <c r="W25" s="148"/>
      <c r="X25" s="148"/>
      <c r="Y25" s="148">
        <f t="shared" si="62"/>
        <v>0</v>
      </c>
      <c r="Z25" s="148">
        <f t="shared" si="63"/>
        <v>0</v>
      </c>
      <c r="AA25" s="165"/>
      <c r="AB25" s="148"/>
      <c r="AC25" s="148"/>
      <c r="AD25" s="166">
        <f t="shared" si="64"/>
        <v>0</v>
      </c>
      <c r="AE25" s="167"/>
      <c r="AF25" s="168"/>
      <c r="AG25" s="187">
        <f t="shared" si="16"/>
        <v>0</v>
      </c>
      <c r="AH25" s="188"/>
      <c r="AI25" s="186">
        <f t="shared" si="60"/>
        <v>0</v>
      </c>
      <c r="AJ25" s="109">
        <f t="shared" si="9"/>
        <v>0</v>
      </c>
    </row>
    <row r="26" ht="12.75" customHeight="1" spans="1:36">
      <c r="A26" s="50" t="s">
        <v>54</v>
      </c>
      <c r="B26" s="51">
        <v>0.6</v>
      </c>
      <c r="C26" s="52"/>
      <c r="D26" s="53">
        <f t="shared" si="0"/>
        <v>0</v>
      </c>
      <c r="E26" s="54"/>
      <c r="F26" s="55">
        <f t="shared" si="1"/>
        <v>0</v>
      </c>
      <c r="G26" s="56">
        <f t="shared" si="2"/>
        <v>0</v>
      </c>
      <c r="H26" s="57">
        <v>12.75</v>
      </c>
      <c r="I26" s="112">
        <f t="shared" si="3"/>
        <v>0</v>
      </c>
      <c r="J26" s="113">
        <f>145*100/(100-(14.5-(ROUND(((20*$O$2+80*$L$2)/100),1))))</f>
        <v>147.357723577236</v>
      </c>
      <c r="K26" s="106">
        <f t="shared" si="12"/>
        <v>0</v>
      </c>
      <c r="L26" s="107">
        <f>80*K26/100</f>
        <v>0</v>
      </c>
      <c r="M26" s="114"/>
      <c r="N26" s="114"/>
      <c r="O26" s="109">
        <f>20*K26/100</f>
        <v>0</v>
      </c>
      <c r="P26" s="115">
        <f t="shared" si="15"/>
        <v>0</v>
      </c>
      <c r="Q26" s="146">
        <f>1*K26/100</f>
        <v>0</v>
      </c>
      <c r="R26" s="149">
        <f>1*K26/100</f>
        <v>0</v>
      </c>
      <c r="S26" s="150">
        <f>3*K26/100</f>
        <v>0</v>
      </c>
      <c r="T26" s="150"/>
      <c r="U26" s="150"/>
      <c r="V26" s="150"/>
      <c r="W26" s="148">
        <f>2*K26/100</f>
        <v>0</v>
      </c>
      <c r="X26" s="150"/>
      <c r="Y26" s="150"/>
      <c r="Z26" s="150">
        <f>5*K26/100</f>
        <v>0</v>
      </c>
      <c r="AA26" s="169"/>
      <c r="AB26" s="150"/>
      <c r="AC26" s="150"/>
      <c r="AD26" s="170"/>
      <c r="AE26" s="171">
        <f>5*K26/100</f>
        <v>0</v>
      </c>
      <c r="AF26" s="172"/>
      <c r="AG26" s="187">
        <f t="shared" si="16"/>
        <v>0</v>
      </c>
      <c r="AH26" s="189"/>
      <c r="AI26" s="190">
        <f t="shared" si="60"/>
        <v>0</v>
      </c>
      <c r="AJ26" s="109">
        <f t="shared" si="9"/>
        <v>0</v>
      </c>
    </row>
    <row r="27" ht="12.75" customHeight="1" spans="1:36">
      <c r="A27" s="50"/>
      <c r="B27" s="51"/>
      <c r="C27" s="52"/>
      <c r="D27" s="53"/>
      <c r="E27" s="54"/>
      <c r="F27" s="55"/>
      <c r="G27" s="56"/>
      <c r="H27" s="57"/>
      <c r="I27" s="112"/>
      <c r="J27" s="113"/>
      <c r="K27" s="116"/>
      <c r="L27" s="117"/>
      <c r="M27" s="114"/>
      <c r="N27" s="114"/>
      <c r="O27" s="118"/>
      <c r="P27" s="115"/>
      <c r="Q27" s="151"/>
      <c r="R27" s="149"/>
      <c r="S27" s="150"/>
      <c r="T27" s="150"/>
      <c r="U27" s="150"/>
      <c r="V27" s="150"/>
      <c r="W27" s="150"/>
      <c r="X27" s="150"/>
      <c r="Y27" s="150"/>
      <c r="Z27" s="150"/>
      <c r="AA27" s="169"/>
      <c r="AB27" s="150"/>
      <c r="AC27" s="150"/>
      <c r="AD27" s="170"/>
      <c r="AE27" s="171"/>
      <c r="AF27" s="172"/>
      <c r="AG27" s="191"/>
      <c r="AH27" s="189"/>
      <c r="AI27" s="190"/>
      <c r="AJ27" s="118"/>
    </row>
    <row r="28" ht="13.5" customHeight="1" spans="1:36">
      <c r="A28" s="58" t="s">
        <v>55</v>
      </c>
      <c r="B28" s="51">
        <v>0.5</v>
      </c>
      <c r="C28" s="59"/>
      <c r="D28" s="60">
        <f>C28*B28</f>
        <v>0</v>
      </c>
      <c r="E28" s="61"/>
      <c r="F28" s="62">
        <f>E28*B28</f>
        <v>0</v>
      </c>
      <c r="G28" s="56">
        <f>B28*(C28+E28)</f>
        <v>0</v>
      </c>
      <c r="H28" s="63">
        <v>16.13</v>
      </c>
      <c r="I28" s="112">
        <f>ROUND(D28*H28/1000,2)</f>
        <v>0</v>
      </c>
      <c r="J28" s="113">
        <f>170*100/(100-(14.5-(ROUND(((50*$N$2+50*$L$2)/100),1))))</f>
        <v>171.717171717172</v>
      </c>
      <c r="K28" s="119">
        <f>G28*100/J28</f>
        <v>0</v>
      </c>
      <c r="L28" s="120">
        <f>50*K28/100</f>
        <v>0</v>
      </c>
      <c r="M28" s="121"/>
      <c r="N28" s="121">
        <f>50*K28/100</f>
        <v>0</v>
      </c>
      <c r="O28" s="122"/>
      <c r="P28" s="115">
        <f>1.15*G28/1000</f>
        <v>0</v>
      </c>
      <c r="Q28" s="151"/>
      <c r="R28" s="149">
        <f>1.5*K28/100</f>
        <v>0</v>
      </c>
      <c r="S28" s="150">
        <f>4*K28/100</f>
        <v>0</v>
      </c>
      <c r="T28" s="150"/>
      <c r="U28" s="150"/>
      <c r="V28" s="150"/>
      <c r="W28" s="150"/>
      <c r="X28" s="150"/>
      <c r="Y28" s="150">
        <f>4*K28/100</f>
        <v>0</v>
      </c>
      <c r="Z28" s="150">
        <f>6*K28/100</f>
        <v>0</v>
      </c>
      <c r="AA28" s="169">
        <f>0.05*K28/100</f>
        <v>0</v>
      </c>
      <c r="AB28" s="150"/>
      <c r="AC28" s="150"/>
      <c r="AD28" s="170"/>
      <c r="AE28" s="171"/>
      <c r="AF28" s="172"/>
      <c r="AG28" s="191">
        <f>0.1*K28/100</f>
        <v>0</v>
      </c>
      <c r="AH28" s="189"/>
      <c r="AI28" s="190"/>
      <c r="AJ28" s="118">
        <f>K28*0.09%</f>
        <v>0</v>
      </c>
    </row>
    <row r="29" ht="18" customHeight="1" spans="1:36">
      <c r="A29" s="64" t="s">
        <v>56</v>
      </c>
      <c r="B29" s="65"/>
      <c r="C29" s="66"/>
      <c r="D29" s="67">
        <f t="shared" ref="D29:G29" si="65">SUM(D5:D28)</f>
        <v>0</v>
      </c>
      <c r="E29" s="68">
        <f t="shared" si="65"/>
        <v>0</v>
      </c>
      <c r="F29" s="69">
        <f t="shared" si="65"/>
        <v>0</v>
      </c>
      <c r="G29" s="70">
        <f t="shared" si="65"/>
        <v>0</v>
      </c>
      <c r="H29" s="71"/>
      <c r="I29" s="123">
        <f>SUM(I5:I28)</f>
        <v>0</v>
      </c>
      <c r="J29" s="71"/>
      <c r="K29" s="124">
        <f>SUM(L29:O29)</f>
        <v>5</v>
      </c>
      <c r="L29" s="125">
        <f t="shared" ref="L29:O29" si="66">ROUND(SUM(L5:L28),0)</f>
        <v>0</v>
      </c>
      <c r="M29" s="126">
        <f t="shared" si="66"/>
        <v>3</v>
      </c>
      <c r="N29" s="127">
        <f t="shared" si="66"/>
        <v>2</v>
      </c>
      <c r="O29" s="128">
        <f t="shared" si="66"/>
        <v>0</v>
      </c>
      <c r="P29" s="129">
        <f t="shared" ref="P29:R29" si="67">SUM(P5:P28)</f>
        <v>0</v>
      </c>
      <c r="Q29" s="152">
        <f t="shared" si="67"/>
        <v>0.065</v>
      </c>
      <c r="R29" s="153">
        <f t="shared" si="67"/>
        <v>0.075</v>
      </c>
      <c r="S29" s="154">
        <f>SUM(S5:S28)+Y29*0.72</f>
        <v>0</v>
      </c>
      <c r="T29" s="154">
        <f t="shared" ref="T29:AJ29" si="68">SUM(T5:T28)</f>
        <v>0</v>
      </c>
      <c r="U29" s="154">
        <f t="shared" si="68"/>
        <v>0</v>
      </c>
      <c r="V29" s="154">
        <f t="shared" si="68"/>
        <v>0</v>
      </c>
      <c r="W29" s="154">
        <f t="shared" si="68"/>
        <v>0</v>
      </c>
      <c r="X29" s="154">
        <f t="shared" si="68"/>
        <v>0</v>
      </c>
      <c r="Y29" s="173">
        <f t="shared" si="68"/>
        <v>0</v>
      </c>
      <c r="Z29" s="154">
        <f t="shared" si="68"/>
        <v>0</v>
      </c>
      <c r="AA29" s="174">
        <f t="shared" si="68"/>
        <v>0</v>
      </c>
      <c r="AB29" s="154">
        <f t="shared" si="68"/>
        <v>0</v>
      </c>
      <c r="AC29" s="154">
        <f t="shared" si="68"/>
        <v>0</v>
      </c>
      <c r="AD29" s="175">
        <f t="shared" si="68"/>
        <v>0</v>
      </c>
      <c r="AE29" s="175">
        <f t="shared" si="68"/>
        <v>0</v>
      </c>
      <c r="AF29" s="176">
        <f t="shared" si="68"/>
        <v>0.01</v>
      </c>
      <c r="AG29" s="192">
        <f t="shared" si="68"/>
        <v>150</v>
      </c>
      <c r="AH29" s="193">
        <f t="shared" si="68"/>
        <v>0.01</v>
      </c>
      <c r="AI29" s="194">
        <f t="shared" si="68"/>
        <v>0</v>
      </c>
      <c r="AJ29" s="195">
        <f t="shared" si="68"/>
        <v>0.0045</v>
      </c>
    </row>
    <row r="30" ht="19.5" customHeight="1" spans="1:36">
      <c r="A30" s="72"/>
      <c r="B30" s="72"/>
      <c r="C30" s="73" t="s">
        <v>57</v>
      </c>
      <c r="D30" s="74">
        <f>D8</f>
        <v>0</v>
      </c>
      <c r="E30" s="72"/>
      <c r="F30" s="72"/>
      <c r="G30" s="72"/>
      <c r="H30" s="72"/>
      <c r="I30" s="72"/>
      <c r="J30" s="72"/>
      <c r="K30" s="130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72"/>
      <c r="AJ30" s="72"/>
    </row>
    <row r="31" ht="18" customHeight="1" spans="1:36">
      <c r="A31" s="72"/>
      <c r="B31" s="72"/>
      <c r="C31" s="75" t="s">
        <v>58</v>
      </c>
      <c r="D31" s="76">
        <f>D5+D6+D7+D9</f>
        <v>0</v>
      </c>
      <c r="E31" s="72"/>
      <c r="F31" s="77" t="s">
        <v>59</v>
      </c>
      <c r="G31" s="78"/>
      <c r="H31" s="65"/>
      <c r="I31" s="131">
        <v>101</v>
      </c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</row>
    <row r="32" ht="18" customHeight="1" spans="1:36">
      <c r="A32" s="72"/>
      <c r="B32" s="72"/>
      <c r="C32" s="79" t="s">
        <v>60</v>
      </c>
      <c r="D32" s="80">
        <f>SUM(D10:D28)</f>
        <v>0</v>
      </c>
      <c r="E32" s="72"/>
      <c r="F32" s="81" t="s">
        <v>61</v>
      </c>
      <c r="G32" s="18"/>
      <c r="H32" s="82"/>
      <c r="I32" s="132">
        <f>I29/I31%</f>
        <v>0</v>
      </c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</row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</sheetData>
  <mergeCells count="36">
    <mergeCell ref="L1:O1"/>
    <mergeCell ref="A29:B29"/>
    <mergeCell ref="F31:H31"/>
    <mergeCell ref="F32:H32"/>
    <mergeCell ref="A1:A4"/>
    <mergeCell ref="B1:B4"/>
    <mergeCell ref="C1:C3"/>
    <mergeCell ref="D1:D3"/>
    <mergeCell ref="E1:E3"/>
    <mergeCell ref="F1:F3"/>
    <mergeCell ref="G1:G3"/>
    <mergeCell ref="H1:H4"/>
    <mergeCell ref="I1:I4"/>
    <mergeCell ref="J1:J3"/>
    <mergeCell ref="K1:K3"/>
    <mergeCell ref="P1:P3"/>
    <mergeCell ref="Q1:Q3"/>
    <mergeCell ref="R1:R3"/>
    <mergeCell ref="S1:S3"/>
    <mergeCell ref="T1:T3"/>
    <mergeCell ref="U1:U3"/>
    <mergeCell ref="V1:V3"/>
    <mergeCell ref="W1:W3"/>
    <mergeCell ref="X1:X3"/>
    <mergeCell ref="Y1:Y3"/>
    <mergeCell ref="Z1:Z3"/>
    <mergeCell ref="AA1:AA3"/>
    <mergeCell ref="AB1:AB3"/>
    <mergeCell ref="AC1:AC3"/>
    <mergeCell ref="AD1:AD3"/>
    <mergeCell ref="AE1:AE3"/>
    <mergeCell ref="AF1:AF3"/>
    <mergeCell ref="AG1:AG3"/>
    <mergeCell ref="AH1:AH3"/>
    <mergeCell ref="AI1:AI3"/>
    <mergeCell ref="AJ1:AJ3"/>
  </mergeCells>
  <pageMargins left="0.7" right="0.7" top="0.75" bottom="0.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C100"/>
  <sheetViews>
    <sheetView workbookViewId="0">
      <selection activeCell="A1" sqref="A1"/>
    </sheetView>
  </sheetViews>
  <sheetFormatPr defaultColWidth="14.4285714285714" defaultRowHeight="15" customHeight="1" outlineLevelCol="2"/>
  <cols>
    <col min="1" max="11" width="8" customWidth="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 spans="3:3">
      <c r="C6">
        <f>509*0.65</f>
        <v>330.85</v>
      </c>
    </row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</sheetData>
  <pageMargins left="0.7" right="0.7" top="0.75" bottom="0.75" header="0" footer="0"/>
  <pageSetup paperSize="1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00"/>
  <sheetViews>
    <sheetView workbookViewId="0">
      <selection activeCell="A1" sqref="A1"/>
    </sheetView>
  </sheetViews>
  <sheetFormatPr defaultColWidth="14.4285714285714" defaultRowHeight="15" customHeight="1"/>
  <cols>
    <col min="1" max="11" width="8" customWidth="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</sheetData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xk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Коряк Владимир</dc:creator>
  <cp:lastModifiedBy>Nina</cp:lastModifiedBy>
  <dcterms:created xsi:type="dcterms:W3CDTF">2008-09-03T06:49:00Z</dcterms:created>
  <cp:lastPrinted>2008-12-09T20:13:00Z</cp:lastPrinted>
  <dcterms:modified xsi:type="dcterms:W3CDTF">2024-01-13T01:37:41Z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9B5D6BD3B04C48E995A99DB169BD16D1_12</vt:lpwstr>
  </property>
  <property fmtid="{D5CDD505-2E9C-101B-9397-08002B2CF9AE}" pid="3" name="KSOProductBuildVer">
    <vt:lpwstr>1049-12.2.0.13359</vt:lpwstr>
  </property>
</Properties>
</file>