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N32" i="1" l="1"/>
  <c r="I11" i="1"/>
  <c r="I22" i="1" s="1"/>
  <c r="K11" i="1"/>
  <c r="K6" i="1"/>
  <c r="I28" i="1"/>
  <c r="I23" i="1"/>
  <c r="I18" i="1"/>
  <c r="N33" i="1" s="1"/>
  <c r="I31" i="1"/>
  <c r="C25" i="1"/>
  <c r="C26" i="1" s="1"/>
  <c r="C23" i="1"/>
  <c r="C6" i="1"/>
  <c r="C16" i="1" s="1"/>
  <c r="I20" i="1" l="1"/>
  <c r="I34" i="1" s="1"/>
  <c r="I21" i="1"/>
  <c r="I26" i="1" s="1"/>
  <c r="I27" i="1"/>
  <c r="I25" i="1" s="1"/>
  <c r="I29" i="1" s="1"/>
  <c r="C19" i="1"/>
  <c r="C21" i="1"/>
  <c r="C15" i="1"/>
  <c r="I33" i="1" l="1"/>
  <c r="I32" i="1"/>
  <c r="I35" i="1"/>
  <c r="C22" i="1"/>
  <c r="C27" i="1"/>
</calcChain>
</file>

<file path=xl/sharedStrings.xml><?xml version="1.0" encoding="utf-8"?>
<sst xmlns="http://schemas.openxmlformats.org/spreadsheetml/2006/main" count="115" uniqueCount="68">
  <si>
    <t>Vout min (due to min on time of switch)</t>
  </si>
  <si>
    <t>t_min_on</t>
  </si>
  <si>
    <t>[s]</t>
  </si>
  <si>
    <t>fSW</t>
  </si>
  <si>
    <t>[MHz]</t>
  </si>
  <si>
    <t>[Hz]</t>
  </si>
  <si>
    <t>V_IN_max</t>
  </si>
  <si>
    <t>[V]</t>
  </si>
  <si>
    <t>V_D</t>
  </si>
  <si>
    <t>V-OUT-min</t>
  </si>
  <si>
    <t>t_min_off</t>
  </si>
  <si>
    <t>V-OUT-max</t>
  </si>
  <si>
    <t>V_IN_min</t>
  </si>
  <si>
    <t>Peak-to peak ripple current inductor</t>
  </si>
  <si>
    <t>L</t>
  </si>
  <si>
    <t>[H]</t>
  </si>
  <si>
    <t>V-OUT</t>
  </si>
  <si>
    <t>I_ripple</t>
  </si>
  <si>
    <t>[A]</t>
  </si>
  <si>
    <t>V_IN</t>
  </si>
  <si>
    <t>ADP2300</t>
  </si>
  <si>
    <t>max 30% of output</t>
  </si>
  <si>
    <t>I_OUT_MAX</t>
  </si>
  <si>
    <t>[uH]</t>
  </si>
  <si>
    <t>I_ripple_L</t>
  </si>
  <si>
    <t>I_peak_L</t>
  </si>
  <si>
    <t>I_diode</t>
  </si>
  <si>
    <t>Duty Cycle</t>
  </si>
  <si>
    <t>D</t>
  </si>
  <si>
    <t>[%]</t>
  </si>
  <si>
    <t>I_in_RMS</t>
  </si>
  <si>
    <t>V_out_ripple</t>
  </si>
  <si>
    <t>C_out</t>
  </si>
  <si>
    <t>[F]</t>
  </si>
  <si>
    <t>ERS_C_OUT</t>
  </si>
  <si>
    <t>[Ohm]</t>
  </si>
  <si>
    <t>ESR&lt; Vripple/Iripple</t>
  </si>
  <si>
    <t>LT3580</t>
  </si>
  <si>
    <t>DC</t>
  </si>
  <si>
    <t>DC_MAX</t>
  </si>
  <si>
    <t>V_CESAT</t>
  </si>
  <si>
    <t>L &gt;</t>
  </si>
  <si>
    <t>efficiency</t>
  </si>
  <si>
    <t>For adequate load current</t>
  </si>
  <si>
    <t>L&gt;</t>
  </si>
  <si>
    <t>Avoid subharmonics</t>
  </si>
  <si>
    <t>L_MAX</t>
  </si>
  <si>
    <t>I_min_ripple</t>
  </si>
  <si>
    <t>[A}</t>
  </si>
  <si>
    <t>[uH}</t>
  </si>
  <si>
    <t>Sufficient ripple to regulate</t>
  </si>
  <si>
    <t>I_L_peak</t>
  </si>
  <si>
    <t>R_T</t>
  </si>
  <si>
    <t>[kOhm]</t>
  </si>
  <si>
    <t>set freq</t>
  </si>
  <si>
    <t>I_input</t>
  </si>
  <si>
    <t>P_SW</t>
  </si>
  <si>
    <t>Power loss switch</t>
  </si>
  <si>
    <t>[Watt]</t>
  </si>
  <si>
    <t>R_SW</t>
  </si>
  <si>
    <t>at 1.5 Amp</t>
  </si>
  <si>
    <t>P_BAC</t>
  </si>
  <si>
    <t>P_BDC</t>
  </si>
  <si>
    <t>P_IMP</t>
  </si>
  <si>
    <t>P</t>
  </si>
  <si>
    <t>???</t>
  </si>
  <si>
    <t>R_FB</t>
  </si>
  <si>
    <t>set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</si>
</sst>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3" fillId="0" borderId="0" xfId="0" applyFont="1"/>
    <xf numFmtId="0" fontId="1" fillId="2" borderId="0" xfId="1"/>
  </cellXfs>
  <cellStyles count="3">
    <cellStyle name="Calculation" xfId="2" builtinId="22"/>
    <cellStyle name="Good" xfId="1" builtinId="26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abSelected="1" topLeftCell="A3" workbookViewId="0">
      <selection activeCell="I7" sqref="I7:I9"/>
    </sheetView>
  </sheetViews>
  <sheetFormatPr defaultRowHeight="15" x14ac:dyDescent="0.25"/>
  <cols>
    <col min="1" max="1" width="3.28515625" customWidth="1"/>
    <col min="2" max="2" width="16.42578125" customWidth="1"/>
    <col min="3" max="3" width="12" bestFit="1" customWidth="1"/>
    <col min="9" max="9" width="14.85546875" customWidth="1"/>
  </cols>
  <sheetData>
    <row r="1" spans="2:12" x14ac:dyDescent="0.25">
      <c r="B1" s="2" t="s">
        <v>20</v>
      </c>
      <c r="H1" s="2" t="s">
        <v>37</v>
      </c>
    </row>
    <row r="4" spans="2:12" x14ac:dyDescent="0.25">
      <c r="B4" t="s">
        <v>1</v>
      </c>
      <c r="C4">
        <v>1.35E-7</v>
      </c>
      <c r="D4" t="s">
        <v>2</v>
      </c>
      <c r="H4" t="s">
        <v>42</v>
      </c>
      <c r="I4">
        <v>0.88</v>
      </c>
    </row>
    <row r="5" spans="2:12" x14ac:dyDescent="0.25">
      <c r="B5" t="s">
        <v>10</v>
      </c>
      <c r="C5">
        <v>1.1999999999999999E-7</v>
      </c>
      <c r="D5" t="s">
        <v>2</v>
      </c>
      <c r="H5" t="s">
        <v>10</v>
      </c>
      <c r="I5">
        <v>5.9999999999999995E-8</v>
      </c>
      <c r="J5" t="s">
        <v>2</v>
      </c>
      <c r="K5" s="3">
        <v>35.700000000000003</v>
      </c>
      <c r="L5" s="3" t="s">
        <v>53</v>
      </c>
    </row>
    <row r="6" spans="2:12" x14ac:dyDescent="0.25">
      <c r="B6" t="s">
        <v>3</v>
      </c>
      <c r="C6">
        <f>1400000/2</f>
        <v>700000</v>
      </c>
      <c r="D6" t="s">
        <v>5</v>
      </c>
      <c r="H6" t="s">
        <v>3</v>
      </c>
      <c r="I6" s="3">
        <f>K6*1000000</f>
        <v>2504087.1934604906</v>
      </c>
      <c r="J6" s="3" t="s">
        <v>5</v>
      </c>
      <c r="K6" s="3">
        <f>91.9/(K5+1)</f>
        <v>2.5040871934604905</v>
      </c>
      <c r="L6" s="3" t="s">
        <v>4</v>
      </c>
    </row>
    <row r="7" spans="2:12" x14ac:dyDescent="0.25">
      <c r="B7" t="s">
        <v>12</v>
      </c>
      <c r="C7">
        <v>6</v>
      </c>
      <c r="D7" t="s">
        <v>7</v>
      </c>
      <c r="H7" t="s">
        <v>12</v>
      </c>
      <c r="I7">
        <v>6</v>
      </c>
      <c r="J7" t="s">
        <v>7</v>
      </c>
    </row>
    <row r="8" spans="2:12" x14ac:dyDescent="0.25">
      <c r="B8" t="s">
        <v>19</v>
      </c>
      <c r="C8">
        <v>8</v>
      </c>
      <c r="D8" t="s">
        <v>7</v>
      </c>
      <c r="H8" t="s">
        <v>19</v>
      </c>
      <c r="I8">
        <v>7.6</v>
      </c>
      <c r="J8" t="s">
        <v>7</v>
      </c>
    </row>
    <row r="9" spans="2:12" x14ac:dyDescent="0.25">
      <c r="B9" t="s">
        <v>6</v>
      </c>
      <c r="C9">
        <v>8.4</v>
      </c>
      <c r="D9" t="s">
        <v>7</v>
      </c>
      <c r="H9" t="s">
        <v>6</v>
      </c>
      <c r="I9">
        <v>8.4</v>
      </c>
      <c r="J9" t="s">
        <v>7</v>
      </c>
    </row>
    <row r="10" spans="2:12" x14ac:dyDescent="0.25">
      <c r="B10" t="s">
        <v>8</v>
      </c>
      <c r="C10">
        <v>0.4</v>
      </c>
      <c r="D10" t="s">
        <v>7</v>
      </c>
      <c r="H10" t="s">
        <v>8</v>
      </c>
      <c r="I10">
        <v>0.5</v>
      </c>
      <c r="J10" t="s">
        <v>7</v>
      </c>
      <c r="K10" s="3">
        <v>316</v>
      </c>
      <c r="L10" s="3" t="s">
        <v>53</v>
      </c>
    </row>
    <row r="11" spans="2:12" x14ac:dyDescent="0.25">
      <c r="B11" t="s">
        <v>16</v>
      </c>
      <c r="C11">
        <v>3.3</v>
      </c>
      <c r="D11" t="s">
        <v>7</v>
      </c>
      <c r="H11" t="s">
        <v>16</v>
      </c>
      <c r="I11" s="3">
        <f>K11</f>
        <v>27.537800000000001</v>
      </c>
      <c r="J11" s="3" t="s">
        <v>7</v>
      </c>
      <c r="K11" s="3">
        <f>K10*1000*0.0000833+1.215</f>
        <v>27.537800000000001</v>
      </c>
      <c r="L11" s="3" t="s">
        <v>7</v>
      </c>
    </row>
    <row r="12" spans="2:12" x14ac:dyDescent="0.25">
      <c r="B12" t="s">
        <v>22</v>
      </c>
      <c r="C12">
        <v>0.3</v>
      </c>
      <c r="D12" t="s">
        <v>18</v>
      </c>
      <c r="H12" t="s">
        <v>22</v>
      </c>
      <c r="I12">
        <v>0.3</v>
      </c>
      <c r="J12" t="s">
        <v>18</v>
      </c>
    </row>
    <row r="13" spans="2:12" x14ac:dyDescent="0.25">
      <c r="H13" t="s">
        <v>40</v>
      </c>
      <c r="I13">
        <v>0.3</v>
      </c>
      <c r="J13" t="s">
        <v>7</v>
      </c>
    </row>
    <row r="14" spans="2:12" x14ac:dyDescent="0.25">
      <c r="B14" t="s">
        <v>0</v>
      </c>
      <c r="H14" t="s">
        <v>47</v>
      </c>
      <c r="I14">
        <v>9.5000000000000001E-2</v>
      </c>
      <c r="J14" t="s">
        <v>48</v>
      </c>
    </row>
    <row r="15" spans="2:12" x14ac:dyDescent="0.25">
      <c r="B15" s="1" t="s">
        <v>9</v>
      </c>
      <c r="C15" s="1">
        <f>C4*C6*(C9+C10)-C10</f>
        <v>0.43160000000000009</v>
      </c>
      <c r="D15" t="s">
        <v>7</v>
      </c>
      <c r="H15" t="s">
        <v>59</v>
      </c>
      <c r="I15">
        <v>0.2</v>
      </c>
      <c r="J15" t="s">
        <v>35</v>
      </c>
      <c r="K15" t="s">
        <v>60</v>
      </c>
    </row>
    <row r="16" spans="2:12" x14ac:dyDescent="0.25">
      <c r="B16" s="1" t="s">
        <v>11</v>
      </c>
      <c r="C16" s="1">
        <f>(1-C5*C6)*(C7+C10)-C10</f>
        <v>5.4624000000000006</v>
      </c>
      <c r="D16" t="s">
        <v>7</v>
      </c>
    </row>
    <row r="17" spans="2:14" x14ac:dyDescent="0.25">
      <c r="B17" t="s">
        <v>13</v>
      </c>
      <c r="H17" t="s">
        <v>13</v>
      </c>
    </row>
    <row r="18" spans="2:14" x14ac:dyDescent="0.25">
      <c r="B18" t="s">
        <v>14</v>
      </c>
      <c r="C18">
        <v>4.6999999999999999E-6</v>
      </c>
      <c r="D18">
        <v>1.9999999999999999E-6</v>
      </c>
      <c r="E18">
        <v>2.1999999999999999E-5</v>
      </c>
      <c r="F18" t="s">
        <v>15</v>
      </c>
      <c r="H18" t="s">
        <v>14</v>
      </c>
      <c r="I18" s="3">
        <f>K18/1000000</f>
        <v>4.6999999999999999E-6</v>
      </c>
      <c r="J18" s="3" t="s">
        <v>15</v>
      </c>
      <c r="K18" s="3">
        <v>4.7</v>
      </c>
      <c r="L18" s="3" t="s">
        <v>23</v>
      </c>
    </row>
    <row r="19" spans="2:14" x14ac:dyDescent="0.25">
      <c r="B19" s="1" t="s">
        <v>24</v>
      </c>
      <c r="C19" s="1">
        <f>(C8-C11)/C18/C6*(C11+C10)/(C8+C10)</f>
        <v>0.62925170068027214</v>
      </c>
      <c r="D19" t="s">
        <v>18</v>
      </c>
    </row>
    <row r="20" spans="2:14" x14ac:dyDescent="0.25">
      <c r="B20" t="s">
        <v>17</v>
      </c>
      <c r="C20" t="s">
        <v>21</v>
      </c>
      <c r="H20" s="1" t="s">
        <v>38</v>
      </c>
      <c r="I20" s="1">
        <f>(I11+I10-I8)/(I11+I10-I13)</f>
        <v>0.73682123311870451</v>
      </c>
      <c r="J20" t="s">
        <v>29</v>
      </c>
    </row>
    <row r="21" spans="2:14" x14ac:dyDescent="0.25">
      <c r="B21" s="1" t="s">
        <v>14</v>
      </c>
      <c r="C21" s="1">
        <f>(C8-C11)/(0.3*C12*C6)*(C11+C10)/(C8+C10)*1000000</f>
        <v>32.860922146636426</v>
      </c>
      <c r="D21" t="s">
        <v>23</v>
      </c>
      <c r="H21" s="1" t="s">
        <v>55</v>
      </c>
      <c r="I21" s="1">
        <f>I11*I12/I8/I4</f>
        <v>1.235248205741627</v>
      </c>
      <c r="J21" t="s">
        <v>18</v>
      </c>
    </row>
    <row r="22" spans="2:14" x14ac:dyDescent="0.25">
      <c r="B22" s="1" t="s">
        <v>25</v>
      </c>
      <c r="C22" s="1">
        <f>C12+C19/2</f>
        <v>0.61462585034013606</v>
      </c>
      <c r="D22" t="s">
        <v>18</v>
      </c>
      <c r="H22" s="1" t="s">
        <v>66</v>
      </c>
      <c r="I22" s="1">
        <f>(I11-1.215)/0.0000833/1000</f>
        <v>316</v>
      </c>
      <c r="J22" t="s">
        <v>53</v>
      </c>
      <c r="K22" t="s">
        <v>67</v>
      </c>
    </row>
    <row r="23" spans="2:14" x14ac:dyDescent="0.25">
      <c r="B23" s="1" t="s">
        <v>26</v>
      </c>
      <c r="C23" s="1">
        <f>(1-(C11+C10)/(C8+C10))*C12</f>
        <v>0.16785714285714284</v>
      </c>
      <c r="H23" s="1" t="s">
        <v>52</v>
      </c>
      <c r="I23" s="1">
        <f>91.9/I6*1000000-1</f>
        <v>35.699999999999996</v>
      </c>
      <c r="J23" t="s">
        <v>53</v>
      </c>
      <c r="K23" t="s">
        <v>54</v>
      </c>
    </row>
    <row r="24" spans="2:14" x14ac:dyDescent="0.25">
      <c r="B24" s="2" t="s">
        <v>27</v>
      </c>
      <c r="C24" s="2"/>
    </row>
    <row r="25" spans="2:14" x14ac:dyDescent="0.25">
      <c r="B25" s="1" t="s">
        <v>28</v>
      </c>
      <c r="C25" s="1">
        <f>(C11+C10)/(C8+C10)</f>
        <v>0.44047619047619041</v>
      </c>
      <c r="D25" t="s">
        <v>29</v>
      </c>
      <c r="H25" s="1" t="s">
        <v>56</v>
      </c>
      <c r="I25" s="1">
        <f>+I27+I28</f>
        <v>0.19154388013665635</v>
      </c>
      <c r="J25" t="s">
        <v>58</v>
      </c>
      <c r="K25" t="s">
        <v>57</v>
      </c>
    </row>
    <row r="26" spans="2:14" x14ac:dyDescent="0.25">
      <c r="B26" s="1" t="s">
        <v>30</v>
      </c>
      <c r="C26" s="1">
        <f>C12*SQRT(C25*(1-C25))</f>
        <v>0.14893328187137886</v>
      </c>
      <c r="D26" t="s">
        <v>18</v>
      </c>
      <c r="H26" s="1" t="s">
        <v>61</v>
      </c>
      <c r="I26" s="1">
        <f>0.000000013*I21*I8*I6</f>
        <v>0.30560511821897457</v>
      </c>
      <c r="J26" t="s">
        <v>58</v>
      </c>
      <c r="K26" t="s">
        <v>65</v>
      </c>
    </row>
    <row r="27" spans="2:14" x14ac:dyDescent="0.25">
      <c r="B27" s="1" t="s">
        <v>31</v>
      </c>
      <c r="C27" s="1">
        <f>C19*(1/(8*C6*C28)+C29)</f>
        <v>1.454633801572577E-2</v>
      </c>
      <c r="D27" t="s">
        <v>7</v>
      </c>
      <c r="H27" s="1" t="s">
        <v>62</v>
      </c>
      <c r="I27" s="1">
        <f>I8*I21*I20/50</f>
        <v>0.13834388013665636</v>
      </c>
      <c r="J27" t="s">
        <v>58</v>
      </c>
    </row>
    <row r="28" spans="2:14" x14ac:dyDescent="0.25">
      <c r="B28" t="s">
        <v>32</v>
      </c>
      <c r="C28">
        <v>2.1999999999999999E-5</v>
      </c>
      <c r="D28" t="s">
        <v>33</v>
      </c>
      <c r="H28" s="1" t="s">
        <v>63</v>
      </c>
      <c r="I28" s="1">
        <f>0.007*I8</f>
        <v>5.3199999999999997E-2</v>
      </c>
      <c r="J28" t="s">
        <v>58</v>
      </c>
    </row>
    <row r="29" spans="2:14" x14ac:dyDescent="0.25">
      <c r="B29" t="s">
        <v>34</v>
      </c>
      <c r="C29">
        <v>1.4999999999999999E-2</v>
      </c>
      <c r="D29" t="s">
        <v>35</v>
      </c>
      <c r="E29" t="s">
        <v>36</v>
      </c>
      <c r="H29" s="1" t="s">
        <v>64</v>
      </c>
      <c r="I29" s="1">
        <f>I25+I27+I28+I26</f>
        <v>0.68869287849228722</v>
      </c>
      <c r="J29" t="s">
        <v>58</v>
      </c>
    </row>
    <row r="31" spans="2:14" x14ac:dyDescent="0.25">
      <c r="H31" s="1" t="s">
        <v>39</v>
      </c>
      <c r="I31" s="1">
        <f>(1/I6-I5)*I6*100</f>
        <v>84.975476839237047</v>
      </c>
    </row>
    <row r="32" spans="2:14" x14ac:dyDescent="0.25">
      <c r="H32" s="1" t="s">
        <v>41</v>
      </c>
      <c r="I32" s="1">
        <f>I20*I8/2/I6/(2.4-I11*I12/I8/I4)*1000000</f>
        <v>0.95998156658072598</v>
      </c>
      <c r="J32" t="s">
        <v>23</v>
      </c>
      <c r="K32" t="s">
        <v>43</v>
      </c>
      <c r="N32" t="str">
        <f>IF($I$18*1000000&gt;I32,"OK","TOO LOW")</f>
        <v>OK</v>
      </c>
    </row>
    <row r="33" spans="8:14" x14ac:dyDescent="0.25">
      <c r="H33" s="1" t="s">
        <v>44</v>
      </c>
      <c r="I33" s="1">
        <f>I8*(2*I20-1)/(1-I20)/I6*1000000</f>
        <v>5.4621538837628769</v>
      </c>
      <c r="J33" t="s">
        <v>23</v>
      </c>
      <c r="K33" t="s">
        <v>45</v>
      </c>
      <c r="N33" t="str">
        <f>IF($I$18*1000000&gt;I33,"OK","TOO LOW")</f>
        <v>TOO LOW</v>
      </c>
    </row>
    <row r="34" spans="8:14" x14ac:dyDescent="0.25">
      <c r="H34" s="1" t="s">
        <v>46</v>
      </c>
      <c r="I34" s="1">
        <f>(I8-I13)/(I14)*I20/I6*1000000</f>
        <v>22.610592356088663</v>
      </c>
      <c r="J34" t="s">
        <v>49</v>
      </c>
      <c r="K34" t="s">
        <v>50</v>
      </c>
    </row>
    <row r="35" spans="8:14" x14ac:dyDescent="0.25">
      <c r="H35" s="1" t="s">
        <v>51</v>
      </c>
      <c r="I35" s="1">
        <f>I11*I12/I8/I4+I8*I20/2/I6/I18</f>
        <v>1.4731503870458533</v>
      </c>
      <c r="J35" t="s">
        <v>18</v>
      </c>
    </row>
  </sheetData>
  <conditionalFormatting sqref="N32:N33">
    <cfRule type="cellIs" dxfId="0" priority="1" operator="equal">
      <formula>"TOO LOW"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De Wagter</dc:creator>
  <cp:lastModifiedBy>Christophe De Wagter</cp:lastModifiedBy>
  <dcterms:created xsi:type="dcterms:W3CDTF">2016-01-14T17:35:44Z</dcterms:created>
  <dcterms:modified xsi:type="dcterms:W3CDTF">2018-06-11T21:08:01Z</dcterms:modified>
</cp:coreProperties>
</file>