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ongest-Run Global Growth - Lon" sheetId="2" r:id="rId5"/>
    <sheet name="Longest-Run Global Growth &quot;the " sheetId="3" r:id="rId6"/>
    <sheet name="Permanent Agrarian Scenarios - " sheetId="4" r:id="rId7"/>
    <sheet name="Gunpowder Empire Scenarios - Gu" sheetId="5" r:id="rId8"/>
    <sheet name="Steampunk Scenarios - Steampunk" sheetId="6" r:id="rId9"/>
    <sheet name="STEM workforce - Longest-Run Gl" sheetId="7" r:id="rId10"/>
  </sheets>
</workbook>
</file>

<file path=xl/sharedStrings.xml><?xml version="1.0" encoding="utf-8"?>
<sst xmlns="http://schemas.openxmlformats.org/spreadsheetml/2006/main" uniqueCount="82">
  <si>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</si>
  <si>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</si>
  <si>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</si>
  <si>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</si>
  <si>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Longest-Run Global Growth</t>
  </si>
  <si>
    <t>Longest-Run Global Economic Growth</t>
  </si>
  <si>
    <t>Longest-Run Global Growth - Lon</t>
  </si>
  <si>
    <t>Date</t>
  </si>
  <si>
    <t>Rate of Ideas-Stock Growth h</t>
  </si>
  <si>
    <t>Rate of Efficiency-of-Labor Growth g</t>
  </si>
  <si>
    <t>Rate of Population and Labor Force Growth n</t>
  </si>
  <si>
    <t>Average Real Income per Capita y (per year)</t>
  </si>
  <si>
    <t>Total Real World Income Y (billions)</t>
  </si>
  <si>
    <t>Total Human Population L (millions)</t>
  </si>
  <si>
    <t>ideas Level H</t>
  </si>
  <si>
    <t>How Much Economic History in This Era? (trillions)</t>
  </si>
  <si>
    <t>Notes…</t>
  </si>
  <si>
    <t>Population Doubling Time</t>
  </si>
  <si>
    <t>Ideas Stock Doubling Time</t>
  </si>
  <si>
    <t>Out of the (Horn of) Africa (this time for sure!)…</t>
  </si>
  <si>
    <t>Mesolithic</t>
  </si>
  <si>
    <t>Neolithic Revolution…</t>
  </si>
  <si>
    <t>Bronze Age: writing: the horse, wheel, and bow…</t>
  </si>
  <si>
    <t>Iron Age: Axial Age…</t>
  </si>
  <si>
    <t>Rome, Han, Maya…</t>
  </si>
  <si>
    <t>Carolingian, Abbasid, Tang, Toltec…</t>
  </si>
  <si>
    <t>Zeng He, Infante Dom Enrique de Aviz, Vasco da Gama, and Cristobal Colon…</t>
  </si>
  <si>
    <t>Industrial Revolution…</t>
  </si>
  <si>
    <t>Modern Economic Growth: submarine telegraph, iron-hulled steamship, and industrial research lab…</t>
  </si>
  <si>
    <t>Today…</t>
  </si>
  <si>
    <t>?</t>
  </si>
  <si>
    <t>Party like its 2099…</t>
  </si>
  <si>
    <t>H(-48000)</t>
  </si>
  <si>
    <t>E(-48000)</t>
  </si>
  <si>
    <t>R =</t>
  </si>
  <si>
    <t>K/Y =</t>
  </si>
  <si>
    <t xml:space="preserve">alpha = </t>
  </si>
  <si>
    <t>gamma =</t>
  </si>
  <si>
    <r>
      <rPr>
        <b val="1"/>
        <u val="single"/>
        <sz val="12"/>
        <color indexed="8"/>
        <rFont val="Helvetica Neue"/>
      </rPr>
      <t>https://www.icloud.com/numbers/0Y0FpX-xky2r4_BwNZ-iJPbew</t>
    </r>
  </si>
  <si>
    <t>Longest-Run Global Growth "the West"</t>
  </si>
  <si>
    <t>Global Growth: The Advanced West (2019)</t>
  </si>
  <si>
    <t xml:space="preserve">Longest-Run Global Growth "the </t>
  </si>
  <si>
    <t>Total Real Income Y (billions)</t>
  </si>
  <si>
    <t>Total “West” Population L (millions)</t>
  </si>
  <si>
    <t>Increasing Resources ρ</t>
  </si>
  <si>
    <r>
      <rPr>
        <b val="1"/>
        <u val="single"/>
        <sz val="12"/>
        <color indexed="8"/>
        <rFont val="Helvetica Neue"/>
      </rPr>
      <t>https://www.icloud.com/numbers/0jaPx8AjooD2TDbNM4Og3Z2ow</t>
    </r>
    <r>
      <rPr>
        <b val="1"/>
        <sz val="12"/>
        <color indexed="8"/>
        <rFont val="Helvetica Neue"/>
      </rPr>
      <t xml:space="preserve"> </t>
    </r>
  </si>
  <si>
    <t>Permanent Agrarian Scenarios</t>
  </si>
  <si>
    <t xml:space="preserve">Permanent Agrarian Scenarios - </t>
  </si>
  <si>
    <t>Human Population (millions)</t>
  </si>
  <si>
    <t>Income per Capita (per year)</t>
  </si>
  <si>
    <t>World Product (billions)</t>
  </si>
  <si>
    <t>How Much Economic History? (trillions)</t>
  </si>
  <si>
    <t>Late Paleolithic Age</t>
  </si>
  <si>
    <t>Pre-Literate Age</t>
  </si>
  <si>
    <t>Axial Age</t>
  </si>
  <si>
    <t>Agrarian Age</t>
  </si>
  <si>
    <t>Gunpowder Empire</t>
  </si>
  <si>
    <t>Steampunk Age</t>
  </si>
  <si>
    <t>MEG Age</t>
  </si>
  <si>
    <t>GA h</t>
  </si>
  <si>
    <t>Malthusian Equations</t>
  </si>
  <si>
    <t>SP h</t>
  </si>
  <si>
    <t>GDP per Capita</t>
  </si>
  <si>
    <t>Population Growth</t>
  </si>
  <si>
    <t>Historical h</t>
  </si>
  <si>
    <t>PL</t>
  </si>
  <si>
    <t>AX</t>
  </si>
  <si>
    <t>AG</t>
  </si>
  <si>
    <t>GE</t>
  </si>
  <si>
    <t>SP</t>
  </si>
  <si>
    <t>MEG</t>
  </si>
  <si>
    <t>β =</t>
  </si>
  <si>
    <t xml:space="preserve">γ = </t>
  </si>
  <si>
    <t xml:space="preserve">Φysub = </t>
  </si>
  <si>
    <t>Gunpowder Empire Scenarios</t>
  </si>
  <si>
    <t>Gunpowder Empire Scenarios - Gu</t>
  </si>
  <si>
    <t>Steampunk Scenarios</t>
  </si>
  <si>
    <t>Steampunk Scenarios - Steampunk</t>
  </si>
  <si>
    <t>STEM workforce</t>
  </si>
  <si>
    <t>Longest-Run Global Economic Growth (2019)</t>
  </si>
  <si>
    <t>STEM workforce - Longest-Run Gl</t>
  </si>
  <si>
    <t>Global STEM Workforce (thousands)</t>
  </si>
</sst>
</file>

<file path=xl/styles.xml><?xml version="1.0" encoding="utf-8"?>
<styleSheet xmlns="http://schemas.openxmlformats.org/spreadsheetml/2006/main">
  <numFmts count="11">
    <numFmt numFmtId="0" formatCode="General"/>
    <numFmt numFmtId="59" formatCode="0.000%"/>
    <numFmt numFmtId="60" formatCode="&quot;$&quot;#,##0"/>
    <numFmt numFmtId="61" formatCode="0.0"/>
    <numFmt numFmtId="62" formatCode="0.0000"/>
    <numFmt numFmtId="63" formatCode="&quot;$&quot;0"/>
    <numFmt numFmtId="64" formatCode="0.0000%"/>
    <numFmt numFmtId="65" formatCode="&quot;$&quot;#,##0.00"/>
    <numFmt numFmtId="66" formatCode="0.0###%"/>
    <numFmt numFmtId="67" formatCode="0.0##%"/>
    <numFmt numFmtId="68" formatCode="0.000"/>
  </numFmts>
  <fonts count="13">
    <font>
      <sz val="10"/>
      <color indexed="8"/>
      <name val="Helvetica Neue"/>
    </font>
    <font>
      <sz val="12"/>
      <color indexed="8"/>
      <name val="Helvetica Neue"/>
    </font>
    <font>
      <sz val="14"/>
      <color indexed="8"/>
      <name val="Helvetica Neue"/>
    </font>
    <font>
      <u val="single"/>
      <sz val="12"/>
      <color indexed="11"/>
      <name val="Helvetica Neue"/>
    </font>
    <font>
      <b val="1"/>
      <sz val="22"/>
      <color indexed="12"/>
      <name val="Helvetica Neue"/>
    </font>
    <font>
      <b val="1"/>
      <sz val="10"/>
      <color indexed="8"/>
      <name val="Helvetica Neue"/>
    </font>
    <font>
      <b val="1"/>
      <sz val="12"/>
      <color indexed="8"/>
      <name val="Helvetica Neue"/>
    </font>
    <font>
      <b val="1"/>
      <u val="single"/>
      <sz val="12"/>
      <color indexed="8"/>
      <name val="Helvetica Neue"/>
    </font>
    <font>
      <b val="1"/>
      <sz val="19"/>
      <color indexed="12"/>
      <name val="Helvetica Neue"/>
    </font>
    <font>
      <sz val="12"/>
      <color indexed="17"/>
      <name val="Helvetica Neue"/>
    </font>
    <font>
      <b val="1"/>
      <sz val="23"/>
      <color indexed="8"/>
      <name val="Helvetica Neue"/>
    </font>
    <font>
      <b val="1"/>
      <sz val="30"/>
      <color indexed="12"/>
      <name val="Helvetica Neue"/>
    </font>
    <font>
      <b val="1"/>
      <sz val="24"/>
      <color indexed="12"/>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s>
  <borders count="8">
    <border>
      <left/>
      <right/>
      <top/>
      <bottom/>
      <diagonal/>
    </border>
    <border>
      <left style="thin">
        <color indexed="14"/>
      </left>
      <right style="thin">
        <color indexed="14"/>
      </right>
      <top style="thin">
        <color indexed="14"/>
      </top>
      <bottom style="thin">
        <color indexed="15"/>
      </bottom>
      <diagonal/>
    </border>
    <border>
      <left style="thin">
        <color indexed="14"/>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
      <left style="thin">
        <color indexed="14"/>
      </left>
      <right style="thin">
        <color indexed="14"/>
      </right>
      <top style="thin">
        <color indexed="15"/>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top" wrapText="1"/>
    </xf>
  </cellStyleXfs>
  <cellXfs count="6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49" fontId="5" fillId="4" borderId="1" applyNumberFormat="1" applyFont="1" applyFill="1" applyBorder="1" applyAlignment="1" applyProtection="0">
      <alignment horizontal="center" vertical="bottom" wrapText="1"/>
    </xf>
    <xf numFmtId="0" fontId="5" fillId="4" borderId="1" applyNumberFormat="0" applyFont="1" applyFill="1" applyBorder="1" applyAlignment="1" applyProtection="0">
      <alignment horizontal="center" vertical="bottom" wrapText="1"/>
    </xf>
    <xf numFmtId="0" fontId="5" fillId="4" borderId="1" applyNumberFormat="1" applyFont="1" applyFill="1" applyBorder="1" applyAlignment="1" applyProtection="0">
      <alignment horizontal="center" vertical="bottom" wrapText="1"/>
    </xf>
    <xf numFmtId="0" fontId="5"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61" fontId="0" borderId="4" applyNumberFormat="1" applyFont="1" applyFill="0" applyBorder="1" applyAlignment="1" applyProtection="0">
      <alignment vertical="top"/>
    </xf>
    <xf numFmtId="0" fontId="0" borderId="4" applyNumberFormat="0" applyFont="1" applyFill="0" applyBorder="1" applyAlignment="1" applyProtection="0">
      <alignment vertical="top" wrapText="1"/>
    </xf>
    <xf numFmtId="62" fontId="0" borderId="4" applyNumberFormat="1" applyFont="1" applyFill="0" applyBorder="1" applyAlignment="1" applyProtection="0">
      <alignment vertical="top" wrapText="1"/>
    </xf>
    <xf numFmtId="63" fontId="0" borderId="4" applyNumberFormat="1" applyFont="1" applyFill="0" applyBorder="1" applyAlignment="1" applyProtection="0">
      <alignment vertical="top" wrapText="1"/>
    </xf>
    <xf numFmtId="64"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xf>
    <xf numFmtId="0" fontId="0" borderId="4" applyNumberFormat="0" applyFont="1" applyFill="0" applyBorder="1" applyAlignment="1" applyProtection="0">
      <alignment vertical="top"/>
    </xf>
    <xf numFmtId="1" fontId="0" borderId="4" applyNumberFormat="1" applyFont="1" applyFill="0" applyBorder="1" applyAlignment="1" applyProtection="0">
      <alignment vertical="top"/>
    </xf>
    <xf numFmtId="0" fontId="5"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xf>
    <xf numFmtId="0" fontId="0" borderId="7" applyNumberFormat="0" applyFont="1" applyFill="0" applyBorder="1" applyAlignment="1" applyProtection="0">
      <alignment vertical="top" wrapText="1"/>
    </xf>
    <xf numFmtId="62" fontId="0" borderId="7" applyNumberFormat="1" applyFont="1" applyFill="0" applyBorder="1" applyAlignment="1" applyProtection="0">
      <alignment vertical="top" wrapText="1"/>
    </xf>
    <xf numFmtId="63" fontId="0" borderId="7" applyNumberFormat="1" applyFont="1" applyFill="0" applyBorder="1" applyAlignment="1" applyProtection="0">
      <alignment vertical="top" wrapText="1"/>
    </xf>
    <xf numFmtId="64"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1" fontId="0" borderId="7" applyNumberFormat="1" applyFont="1" applyFill="0" applyBorder="1" applyAlignment="1" applyProtection="0">
      <alignment vertical="top"/>
    </xf>
    <xf numFmtId="49" fontId="0" borderId="7"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0" fontId="5" fillId="5" borderId="5" applyNumberFormat="0" applyFont="1" applyFill="1" applyBorder="1" applyAlignment="1" applyProtection="0">
      <alignment vertical="top" wrapText="1"/>
    </xf>
    <xf numFmtId="61" fontId="0" borderId="7" applyNumberFormat="1" applyFont="1" applyFill="0" applyBorder="1" applyAlignment="1" applyProtection="0">
      <alignment vertical="top" wrapText="1"/>
    </xf>
    <xf numFmtId="49" fontId="6" borderId="7" applyNumberFormat="1" applyFont="1" applyFill="0" applyBorder="1" applyAlignment="1" applyProtection="0">
      <alignment vertical="top"/>
    </xf>
    <xf numFmtId="0" fontId="0" applyNumberFormat="1" applyFont="1" applyFill="0" applyBorder="0" applyAlignment="1" applyProtection="0">
      <alignment vertical="top" wrapText="1"/>
    </xf>
    <xf numFmtId="0" fontId="8" applyNumberFormat="0" applyFont="1" applyFill="0" applyBorder="0" applyAlignment="1" applyProtection="0">
      <alignment horizontal="left" vertical="center"/>
    </xf>
    <xf numFmtId="61" fontId="0" borderId="3" applyNumberFormat="1" applyFont="1" applyFill="0" applyBorder="1" applyAlignment="1" applyProtection="0">
      <alignment vertical="top"/>
    </xf>
    <xf numFmtId="65" fontId="0" borderId="4" applyNumberFormat="1" applyFont="1" applyFill="0" applyBorder="1" applyAlignment="1" applyProtection="0">
      <alignment vertical="top" wrapText="1"/>
    </xf>
    <xf numFmtId="61" fontId="0" borderId="6" applyNumberFormat="1" applyFont="1" applyFill="0" applyBorder="1" applyAlignment="1" applyProtection="0">
      <alignment vertical="top"/>
    </xf>
    <xf numFmtId="65" fontId="0" borderId="7" applyNumberFormat="1" applyFont="1" applyFill="0" applyBorder="1" applyAlignment="1" applyProtection="0">
      <alignment vertical="top" wrapText="1"/>
    </xf>
    <xf numFmtId="61"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1" applyNumberFormat="0" applyFont="1" applyFill="0" applyBorder="0" applyAlignment="1" applyProtection="0">
      <alignment horizontal="left" vertical="center"/>
    </xf>
    <xf numFmtId="0" fontId="0" borderId="3"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1" fontId="0" borderId="6" applyNumberFormat="1" applyFont="1" applyFill="0" applyBorder="1" applyAlignment="1" applyProtection="0">
      <alignment vertical="top" wrapText="1"/>
    </xf>
    <xf numFmtId="0" fontId="0" borderId="6" applyNumberFormat="0" applyFont="1" applyFill="0" applyBorder="1" applyAlignment="1" applyProtection="0">
      <alignment vertical="top" wrapText="1"/>
    </xf>
    <xf numFmtId="49" fontId="5" fillId="4" borderId="7" applyNumberFormat="1" applyFont="1" applyFill="1" applyBorder="1" applyAlignment="1" applyProtection="0">
      <alignment horizontal="center" vertical="bottom" wrapText="1"/>
    </xf>
    <xf numFmtId="49" fontId="5" fillId="5" borderId="5" applyNumberFormat="1" applyFont="1" applyFill="1" applyBorder="1" applyAlignment="1" applyProtection="0">
      <alignment vertical="top" wrapText="1"/>
    </xf>
    <xf numFmtId="66" fontId="0" borderId="7" applyNumberFormat="1" applyFont="1" applyFill="0" applyBorder="1" applyAlignment="1" applyProtection="0">
      <alignment vertical="top" wrapText="1"/>
    </xf>
    <xf numFmtId="67" fontId="0" borderId="7" applyNumberFormat="1" applyFont="1" applyFill="0" applyBorder="1" applyAlignment="1" applyProtection="0">
      <alignment vertical="top" wrapText="1"/>
    </xf>
    <xf numFmtId="49" fontId="5" borderId="6" applyNumberFormat="1" applyFont="1" applyFill="0" applyBorder="1" applyAlignment="1" applyProtection="0">
      <alignment vertical="top"/>
    </xf>
    <xf numFmtId="49" fontId="0" borderId="6" applyNumberFormat="1" applyFont="1" applyFill="0" applyBorder="1" applyAlignment="1" applyProtection="0">
      <alignment vertical="top" wrapText="1"/>
    </xf>
    <xf numFmtId="63"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1" fontId="0" borderId="6" applyNumberFormat="1" applyFont="1" applyFill="0" applyBorder="1" applyAlignment="1" applyProtection="0">
      <alignment vertical="top"/>
    </xf>
    <xf numFmtId="0" fontId="0" applyNumberFormat="1" applyFont="1" applyFill="0" applyBorder="0" applyAlignment="1" applyProtection="0">
      <alignment vertical="top" wrapText="1"/>
    </xf>
    <xf numFmtId="0" fontId="12" applyNumberFormat="0" applyFont="1" applyFill="0" applyBorder="0" applyAlignment="1" applyProtection="0">
      <alignment horizontal="left" vertical="center"/>
    </xf>
    <xf numFmtId="68"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800000"/>
      <rgbColor rgb="ffbdc0bf"/>
      <rgbColor rgb="ffa5a5a5"/>
      <rgbColor rgb="ff3f3f3f"/>
      <rgbColor rgb="ffdbdbdb"/>
      <rgbColor rgb="fffeffff"/>
      <rgbColor rgb="ffb8b8b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2300" u="none">
                <a:solidFill>
                  <a:srgbClr val="000000"/>
                </a:solidFill>
                <a:latin typeface="Helvetica Neue"/>
              </a:defRPr>
            </a:pPr>
            <a:r>
              <a:rPr b="1" i="0" strike="noStrike" sz="2300" u="none">
                <a:solidFill>
                  <a:srgbClr val="000000"/>
                </a:solidFill>
                <a:latin typeface="Helvetica Neue"/>
              </a:rPr>
              <a:t>“Western” Population and Ideas Growth</a:t>
            </a:r>
          </a:p>
        </c:rich>
      </c:tx>
      <c:layout>
        <c:manualLayout>
          <c:xMode val="edge"/>
          <c:yMode val="edge"/>
          <c:x val="0"/>
          <c:y val="0"/>
          <c:w val="1"/>
          <c:h val="0.160793"/>
        </c:manualLayout>
      </c:layout>
      <c:overlay val="1"/>
      <c:spPr>
        <a:noFill/>
        <a:effectLst/>
      </c:spPr>
    </c:title>
    <c:autoTitleDeleted val="1"/>
    <c:plotArea>
      <c:layout>
        <c:manualLayout>
          <c:layoutTarget val="inner"/>
          <c:xMode val="edge"/>
          <c:yMode val="edge"/>
          <c:x val="0.167966"/>
          <c:y val="0.160793"/>
          <c:w val="0.809031"/>
          <c:h val="0.746973"/>
        </c:manualLayout>
      </c:layout>
      <c:scatterChart>
        <c:scatterStyle val="lineMarker"/>
        <c:varyColors val="0"/>
        <c:ser>
          <c:idx val="0"/>
          <c:order val="0"/>
          <c:tx>
            <c:strRef>
              <c:f>'Longest-Run Global Growth "the '!$J$2</c:f>
              <c:strCache>
                <c:ptCount val="1"/>
                <c:pt idx="0">
                  <c:v>Rate of Ideas-Stock Growth h</c:v>
                </c:pt>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'Longest-Run Global Growth "the '!$E$3:$E$12</c:f>
              <c:numCache>
                <c:ptCount val="10"/>
                <c:pt idx="0">
                  <c:v>0.005000</c:v>
                </c:pt>
                <c:pt idx="1">
                  <c:v>0.100000</c:v>
                </c:pt>
                <c:pt idx="2">
                  <c:v>0.200000</c:v>
                </c:pt>
                <c:pt idx="3">
                  <c:v>0.500000</c:v>
                </c:pt>
                <c:pt idx="4">
                  <c:v>2.000000</c:v>
                </c:pt>
                <c:pt idx="5">
                  <c:v>5.000000</c:v>
                </c:pt>
                <c:pt idx="6">
                  <c:v>8.000000</c:v>
                </c:pt>
                <c:pt idx="7">
                  <c:v>25.000000</c:v>
                </c:pt>
                <c:pt idx="8">
                  <c:v>75.000000</c:v>
                </c:pt>
                <c:pt idx="9">
                  <c:v>175.000000</c:v>
                </c:pt>
              </c:numCache>
            </c:numRef>
          </c:xVal>
          <c:yVal>
            <c:numRef>
              <c:f>'Longest-Run Global Growth "the '!$J$4:$J$13</c:f>
              <c:numCache>
                <c:ptCount val="10"/>
                <c:pt idx="0">
                  <c:v>0.000025</c:v>
                </c:pt>
                <c:pt idx="1">
                  <c:v>0.000029</c:v>
                </c:pt>
                <c:pt idx="2">
                  <c:v>0.000153</c:v>
                </c:pt>
                <c:pt idx="3">
                  <c:v>0.000347</c:v>
                </c:pt>
                <c:pt idx="4">
                  <c:v>0.000458</c:v>
                </c:pt>
                <c:pt idx="5">
                  <c:v>0.000294</c:v>
                </c:pt>
                <c:pt idx="6">
                  <c:v>0.000964</c:v>
                </c:pt>
                <c:pt idx="7">
                  <c:v>0.001997</c:v>
                </c:pt>
                <c:pt idx="8">
                  <c:v>0.009141</c:v>
                </c:pt>
                <c:pt idx="9">
                  <c:v>0.023408</c:v>
                </c:pt>
              </c:numCache>
            </c:numRef>
          </c:yVal>
          <c:smooth val="0"/>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“Western” Population</a:t>
                </a:r>
              </a:p>
            </c:rich>
          </c:tx>
          <c:layout/>
          <c:overlay val="1"/>
        </c:title>
        <c:numFmt formatCode="General" sourceLinked="1"/>
        <c:majorTickMark val="none"/>
        <c:minorTickMark val="none"/>
        <c:tickLblPos val="nextTo"/>
        <c:spPr>
          <a:ln w="3175"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45"/>
        <c:minorUnit val="22.5"/>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Rate of Ideas Stock Growth </a:t>
                </a:r>
              </a:p>
            </c:rich>
          </c:tx>
          <c:layout/>
          <c:overlay val="1"/>
        </c:title>
        <c:numFmt formatCode="General" sourceLinked="1"/>
        <c:majorTickMark val="none"/>
        <c:minorTickMark val="none"/>
        <c:tickLblPos val="nextTo"/>
        <c:spPr>
          <a:ln w="3175"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0075"/>
        <c:minorUnit val="0.00375"/>
      </c:valAx>
      <c:spPr>
        <a:noFill/>
        <a:ln w="3175" cap="flat">
          <a:solidFill>
            <a:srgbClr val="000000"/>
          </a:solidFill>
          <a:prstDash val="solid"/>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2300" u="none">
                <a:solidFill>
                  <a:srgbClr val="000000"/>
                </a:solidFill>
                <a:latin typeface="Helvetica Neue"/>
              </a:defRPr>
            </a:pPr>
            <a:r>
              <a:rPr b="1" i="0" strike="noStrike" sz="2300" u="none">
                <a:solidFill>
                  <a:srgbClr val="000000"/>
                </a:solidFill>
                <a:latin typeface="Helvetica Neue"/>
              </a:rPr>
              <a:t>Log “Western” Population and Log Ideas Growth</a:t>
            </a:r>
          </a:p>
        </c:rich>
      </c:tx>
      <c:layout>
        <c:manualLayout>
          <c:xMode val="edge"/>
          <c:yMode val="edge"/>
          <c:x val="0"/>
          <c:y val="0"/>
          <c:w val="1"/>
          <c:h val="0.160649"/>
        </c:manualLayout>
      </c:layout>
      <c:overlay val="1"/>
      <c:spPr>
        <a:noFill/>
        <a:effectLst/>
      </c:spPr>
    </c:title>
    <c:autoTitleDeleted val="1"/>
    <c:plotArea>
      <c:layout>
        <c:manualLayout>
          <c:layoutTarget val="inner"/>
          <c:xMode val="edge"/>
          <c:yMode val="edge"/>
          <c:x val="0.177789"/>
          <c:y val="0.160649"/>
          <c:w val="0.78207"/>
          <c:h val="0.746291"/>
        </c:manualLayout>
      </c:layout>
      <c:scatterChart>
        <c:scatterStyle val="lineMarker"/>
        <c:varyColors val="0"/>
        <c:ser>
          <c:idx val="0"/>
          <c:order val="0"/>
          <c:tx>
            <c:strRef>
              <c:f>'Longest-Run Global Growth "the '!$N$2</c:f>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'Longest-Run Global Growth "the '!$M$4:$M$13</c:f>
              <c:numCache>
                <c:ptCount val="10"/>
                <c:pt idx="0">
                  <c:v>-5.298317</c:v>
                </c:pt>
                <c:pt idx="1">
                  <c:v>-2.302585</c:v>
                </c:pt>
                <c:pt idx="2">
                  <c:v>-1.609438</c:v>
                </c:pt>
                <c:pt idx="3">
                  <c:v>-0.693147</c:v>
                </c:pt>
                <c:pt idx="4">
                  <c:v>0.693147</c:v>
                </c:pt>
                <c:pt idx="5">
                  <c:v>1.609438</c:v>
                </c:pt>
                <c:pt idx="6">
                  <c:v>2.079442</c:v>
                </c:pt>
                <c:pt idx="7">
                  <c:v>3.218876</c:v>
                </c:pt>
                <c:pt idx="8">
                  <c:v>4.317488</c:v>
                </c:pt>
                <c:pt idx="9">
                  <c:v>5.164786</c:v>
                </c:pt>
              </c:numCache>
            </c:numRef>
          </c:xVal>
          <c:yVal>
            <c:numRef>
              <c:f>'Longest-Run Global Growth "the '!$N$4:$N$13</c:f>
              <c:numCache>
                <c:ptCount val="10"/>
                <c:pt idx="0">
                  <c:v>-10.598058</c:v>
                </c:pt>
                <c:pt idx="1">
                  <c:v>-10.432961</c:v>
                </c:pt>
                <c:pt idx="2">
                  <c:v>-8.786936</c:v>
                </c:pt>
                <c:pt idx="3">
                  <c:v>-7.967415</c:v>
                </c:pt>
                <c:pt idx="4">
                  <c:v>-7.688324</c:v>
                </c:pt>
                <c:pt idx="5">
                  <c:v>-8.132774</c:v>
                </c:pt>
                <c:pt idx="6">
                  <c:v>-6.944008</c:v>
                </c:pt>
                <c:pt idx="7">
                  <c:v>-6.216082</c:v>
                </c:pt>
                <c:pt idx="8">
                  <c:v>-4.695025</c:v>
                </c:pt>
                <c:pt idx="9">
                  <c:v>-3.754696</c:v>
                </c:pt>
              </c:numCache>
            </c:numRef>
          </c:yVal>
          <c:smooth val="0"/>
        </c:ser>
        <c:axId val="2094734552"/>
        <c:axId val="2094734553"/>
      </c:scatterChart>
      <c:val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Log Western Population</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3"/>
        <c:minorUnit val="1.5"/>
      </c:valAx>
      <c:valAx>
        <c:axId val="2094734553"/>
        <c:scaling>
          <c:orientation val="minMax"/>
        </c:scaling>
        <c:delete val="0"/>
        <c:axPos val="l"/>
        <c:majorGridlines>
          <c:spPr>
            <a:ln w="1270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Log Rate of Ideas Growth</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75"/>
        <c:minorUnit val="1.375"/>
      </c:valAx>
      <c:spPr>
        <a:noFill/>
        <a:ln w="12700" cap="flat">
          <a:noFill/>
          <a:miter lim="400000"/>
        </a:ln>
        <a:effectLst/>
      </c:spPr>
    </c:plotArea>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154271</xdr:colOff>
      <xdr:row>25</xdr:row>
      <xdr:rowOff>157213</xdr:rowOff>
    </xdr:from>
    <xdr:to>
      <xdr:col>6</xdr:col>
      <xdr:colOff>653419</xdr:colOff>
      <xdr:row>46</xdr:row>
      <xdr:rowOff>145951</xdr:rowOff>
    </xdr:to>
    <xdr:graphicFrame>
      <xdr:nvGraphicFramePr>
        <xdr:cNvPr id="2" name="Chart 2"/>
        <xdr:cNvGraphicFramePr/>
      </xdr:nvGraphicFramePr>
      <xdr:xfrm>
        <a:off x="878171" y="7393673"/>
        <a:ext cx="4880649" cy="529606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435261</xdr:colOff>
      <xdr:row>25</xdr:row>
      <xdr:rowOff>157213</xdr:rowOff>
    </xdr:from>
    <xdr:to>
      <xdr:col>13</xdr:col>
      <xdr:colOff>236630</xdr:colOff>
      <xdr:row>46</xdr:row>
      <xdr:rowOff>150713</xdr:rowOff>
    </xdr:to>
    <xdr:graphicFrame>
      <xdr:nvGraphicFramePr>
        <xdr:cNvPr id="3" name="Chart 3"/>
        <xdr:cNvGraphicFramePr/>
      </xdr:nvGraphicFramePr>
      <xdr:xfrm>
        <a:off x="6391561" y="7393673"/>
        <a:ext cx="4995670" cy="530083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www.icloud.com/numbers/0Y0FpX-xky2r4_BwNZ-iJPbew" TargetMode="External"/></Relationships>

</file>

<file path=xl/worksheets/_rels/sheet3.xml.rels><?xml version="1.0" encoding="UTF-8"?>
<Relationships xmlns="http://schemas.openxmlformats.org/package/2006/relationships"><Relationship Id="rId1" Type="http://schemas.openxmlformats.org/officeDocument/2006/relationships/hyperlink" Target="https://www.icloud.com/numbers/0jaPx8AjooD2TDbNM4Og3Z2ow" TargetMode="External"/><Relationship Id="rId2" Type="http://schemas.openxmlformats.org/officeDocument/2006/relationships/drawing" Target="../drawings/drawing1.xml"/></Relationships>

</file>

<file path=xl/worksheets/_rels/sheet7.xml.rels><?xml version="1.0" encoding="UTF-8"?>
<Relationships xmlns="http://schemas.openxmlformats.org/package/2006/relationships"><Relationship Id="rId1" Type="http://schemas.openxmlformats.org/officeDocument/2006/relationships/hyperlink" Target="https://www.icloud.com/numbers/0jaPx8AjooD2TDbNM4Og3Z2ow"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39</v>
      </c>
      <c r="C11" s="3"/>
      <c r="D11" s="3"/>
    </row>
    <row r="12">
      <c r="B12" s="4"/>
      <c r="C12" t="s" s="4">
        <v>40</v>
      </c>
      <c r="D12" t="s" s="5">
        <v>41</v>
      </c>
    </row>
    <row r="13">
      <c r="B13" t="s" s="3">
        <v>46</v>
      </c>
      <c r="C13" s="3"/>
      <c r="D13" s="3"/>
    </row>
    <row r="14">
      <c r="B14" s="4"/>
      <c r="C14" t="s" s="4">
        <v>46</v>
      </c>
      <c r="D14" t="s" s="5">
        <v>47</v>
      </c>
    </row>
    <row r="15">
      <c r="B15" t="s" s="3">
        <v>74</v>
      </c>
      <c r="C15" s="3"/>
      <c r="D15" s="3"/>
    </row>
    <row r="16">
      <c r="B16" s="4"/>
      <c r="C16" t="s" s="4">
        <v>74</v>
      </c>
      <c r="D16" t="s" s="5">
        <v>75</v>
      </c>
    </row>
    <row r="17">
      <c r="B17" t="s" s="3">
        <v>76</v>
      </c>
      <c r="C17" s="3"/>
      <c r="D17" s="3"/>
    </row>
    <row r="18">
      <c r="B18" s="4"/>
      <c r="C18" t="s" s="4">
        <v>76</v>
      </c>
      <c r="D18" t="s" s="5">
        <v>77</v>
      </c>
    </row>
    <row r="19">
      <c r="B19" t="s" s="3">
        <v>78</v>
      </c>
      <c r="C19" s="3"/>
      <c r="D19" s="3"/>
    </row>
    <row r="20">
      <c r="B20" s="4"/>
      <c r="C20" t="s" s="4">
        <v>79</v>
      </c>
      <c r="D20" t="s" s="5">
        <v>80</v>
      </c>
    </row>
  </sheetData>
  <mergeCells count="1">
    <mergeCell ref="B3:D3"/>
  </mergeCells>
  <hyperlinks>
    <hyperlink ref="D10" location="'Longest-Run Global Growth - Lon'!R2C1" tooltip="" display="Longest-Run Global Growth - Lon"/>
    <hyperlink ref="D12" location="'Longest-Run Global Growth &quot;the '!R2C1" tooltip="" display="Longest-Run Global Growth &quot;the "/>
    <hyperlink ref="D14" location="'Permanent Agrarian Scenarios - '!R2C1" tooltip="" display="Permanent Agrarian Scenarios - "/>
    <hyperlink ref="D16" location="'Gunpowder Empire Scenarios - Gu'!R2C1" tooltip="" display="Gunpowder Empire Scenarios - Gu"/>
    <hyperlink ref="D18" location="'Steampunk Scenarios - Steampunk'!R2C1" tooltip="" display="Steampunk Scenarios - Steampunk"/>
    <hyperlink ref="D20" location="'STEM workforce - Longest-Run Gl'!R2C1" tooltip="" display="STEM workforce - Longest-Run Gl"/>
  </hyperlinks>
</worksheet>
</file>

<file path=xl/worksheets/sheet2.xml><?xml version="1.0" encoding="utf-8"?>
<worksheet xmlns:r="http://schemas.openxmlformats.org/officeDocument/2006/relationships" xmlns="http://schemas.openxmlformats.org/spreadsheetml/2006/main">
  <sheetPr>
    <pageSetUpPr fitToPage="1"/>
  </sheetPr>
  <dimension ref="A2:P2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9.46094" style="6" customWidth="1"/>
    <col min="2" max="2" width="8.90625" style="6" customWidth="1"/>
    <col min="3" max="3" width="10.5391" style="6" customWidth="1"/>
    <col min="4" max="4" width="10.5781" style="6" customWidth="1"/>
    <col min="5" max="5" width="9.3125" style="6" customWidth="1"/>
    <col min="6" max="6" width="8.625" style="6" customWidth="1"/>
    <col min="7" max="7" width="10.3125" style="6" customWidth="1"/>
    <col min="8" max="8" width="6.875" style="6" customWidth="1"/>
    <col min="9" max="9" width="2.95312" style="6" customWidth="1"/>
    <col min="10" max="10" width="12.6484" style="6" customWidth="1"/>
    <col min="11" max="11" width="13.2344" style="6" customWidth="1"/>
    <col min="12" max="12" width="8.3125" style="6" customWidth="1"/>
    <col min="13" max="13" width="77.3125" style="6" customWidth="1"/>
    <col min="14" max="14" width="5.27344" style="6" customWidth="1"/>
    <col min="15" max="15" width="9.16406" style="6" customWidth="1"/>
    <col min="16" max="16" width="8.61719" style="6" customWidth="1"/>
    <col min="17" max="16384" width="16.3516" style="6" customWidth="1"/>
  </cols>
  <sheetData>
    <row r="1" ht="40.35" customHeight="1">
      <c r="A1" t="s" s="7">
        <v>5</v>
      </c>
      <c r="B1" s="7"/>
      <c r="C1" s="7"/>
      <c r="D1" s="7"/>
      <c r="E1" s="7"/>
      <c r="F1" s="7"/>
      <c r="G1" s="7"/>
      <c r="H1" s="7"/>
      <c r="I1" s="7"/>
      <c r="J1" s="7"/>
      <c r="K1" s="7"/>
      <c r="L1" s="7"/>
      <c r="M1" s="7"/>
      <c r="N1" s="7"/>
      <c r="O1" s="7"/>
      <c r="P1" s="7"/>
    </row>
    <row r="2" ht="80.25" customHeight="1">
      <c r="A2" t="s" s="8">
        <v>7</v>
      </c>
      <c r="B2" t="s" s="8">
        <v>8</v>
      </c>
      <c r="C2" t="s" s="8">
        <v>9</v>
      </c>
      <c r="D2" t="s" s="8">
        <v>10</v>
      </c>
      <c r="E2" t="s" s="8">
        <v>11</v>
      </c>
      <c r="F2" t="s" s="8">
        <v>12</v>
      </c>
      <c r="G2" t="s" s="8">
        <v>13</v>
      </c>
      <c r="H2" t="s" s="8">
        <v>14</v>
      </c>
      <c r="I2" s="9"/>
      <c r="J2" s="10"/>
      <c r="K2" t="s" s="8">
        <v>15</v>
      </c>
      <c r="L2" s="9"/>
      <c r="M2" t="s" s="8">
        <v>16</v>
      </c>
      <c r="N2" s="9"/>
      <c r="O2" t="s" s="8">
        <v>17</v>
      </c>
      <c r="P2" t="s" s="8">
        <v>18</v>
      </c>
    </row>
    <row r="3" ht="20.25" customHeight="1">
      <c r="A3" s="11">
        <v>-68000</v>
      </c>
      <c r="B3" s="12"/>
      <c r="C3" s="13"/>
      <c r="D3" s="13"/>
      <c r="E3" s="14">
        <v>1200</v>
      </c>
      <c r="F3" s="14">
        <f>G3*E3/1000</f>
        <v>0.12</v>
      </c>
      <c r="G3" s="15">
        <v>0.1</v>
      </c>
      <c r="H3" s="16">
        <v>1</v>
      </c>
      <c r="I3" s="17"/>
      <c r="J3" s="18"/>
      <c r="K3" s="19"/>
      <c r="L3" s="20"/>
      <c r="M3" t="s" s="21">
        <v>19</v>
      </c>
      <c r="N3" s="22"/>
      <c r="O3" s="23"/>
      <c r="P3" s="23"/>
    </row>
    <row r="4" ht="20.05" customHeight="1">
      <c r="A4" s="24">
        <v>-8000</v>
      </c>
      <c r="B4" s="25">
        <f>C4+D4/$I$25</f>
        <v>2.6823965207235e-05</v>
      </c>
      <c r="C4" s="26">
        <f>LN(E4/E3)/($A4-$A3)</f>
        <v>0</v>
      </c>
      <c r="D4" s="26">
        <f>LN(G4/G3)/($A4-$A3)</f>
        <v>5.364793041447e-05</v>
      </c>
      <c r="E4" s="27">
        <v>1200</v>
      </c>
      <c r="F4" s="27">
        <f>G4*E4/1000</f>
        <v>3</v>
      </c>
      <c r="G4" s="28">
        <v>2.5</v>
      </c>
      <c r="H4" s="29">
        <f>H3*EXP(B4*($A4-$A3))</f>
        <v>5</v>
      </c>
      <c r="I4" s="30"/>
      <c r="J4" s="31"/>
      <c r="K4" s="32">
        <f>(F4+F3)*($A4-$A3)/2/1000</f>
        <v>93.59999999999999</v>
      </c>
      <c r="L4" s="33"/>
      <c r="M4" t="s" s="34">
        <v>20</v>
      </c>
      <c r="N4" s="35"/>
      <c r="O4" s="36">
        <f>LN(2)/D4</f>
        <v>12920.2967422018</v>
      </c>
      <c r="P4" s="36">
        <f>LN(2)/B4</f>
        <v>25840.5934844036</v>
      </c>
    </row>
    <row r="5" ht="20.05" customHeight="1">
      <c r="A5" s="24">
        <v>-6000</v>
      </c>
      <c r="B5" s="25">
        <f>C5+D5/$I$25</f>
        <v>0.0001135638180694</v>
      </c>
      <c r="C5" s="26">
        <f>LN(E5/E4)/($A5-$A4)</f>
        <v>-0.00014384103622589</v>
      </c>
      <c r="D5" s="26">
        <f>LN(G5/G4)/($A5-$A4)</f>
        <v>0.000514809708590579</v>
      </c>
      <c r="E5" s="27">
        <v>900</v>
      </c>
      <c r="F5" s="27">
        <f>G5*E5/1000</f>
        <v>6.3</v>
      </c>
      <c r="G5" s="28">
        <v>7</v>
      </c>
      <c r="H5" s="29">
        <f>H4*EXP(B5*($A5-$A4))</f>
        <v>6.27495019900558</v>
      </c>
      <c r="I5" s="30"/>
      <c r="J5" s="31"/>
      <c r="K5" s="32">
        <f>(F5+F4)*($A5-$A4)/2/1000</f>
        <v>9.300000000000001</v>
      </c>
      <c r="L5" s="33"/>
      <c r="M5" t="s" s="34">
        <v>21</v>
      </c>
      <c r="N5" s="30"/>
      <c r="O5" s="36">
        <f>LN(2)/D5</f>
        <v>1346.414352708320</v>
      </c>
      <c r="P5" s="36">
        <f>LN(2)/B5</f>
        <v>6103.591727924790</v>
      </c>
    </row>
    <row r="6" ht="20.05" customHeight="1">
      <c r="A6" s="24">
        <v>-3000</v>
      </c>
      <c r="B6" s="25">
        <f>C6+D6/$I$25</f>
        <v>0.000127023342007816</v>
      </c>
      <c r="C6" s="26">
        <f>LN(E6/E5)/($A6-$A5)</f>
        <v>0</v>
      </c>
      <c r="D6" s="26">
        <f>LN(G6/G5)/($A6-$A5)</f>
        <v>0.000254046684015632</v>
      </c>
      <c r="E6" s="27">
        <v>900</v>
      </c>
      <c r="F6" s="27">
        <f>G6*E6/1000</f>
        <v>13.5</v>
      </c>
      <c r="G6" s="28">
        <v>15</v>
      </c>
      <c r="H6" s="29">
        <f>H5*EXP(B6*($A6-$A5))</f>
        <v>9.185586535436929</v>
      </c>
      <c r="I6" s="30"/>
      <c r="J6" s="31"/>
      <c r="K6" s="32">
        <f>(F6+F4)*($A6-$A4)/2/1000</f>
        <v>41.25</v>
      </c>
      <c r="L6" s="33"/>
      <c r="M6" t="s" s="37">
        <v>22</v>
      </c>
      <c r="N6" s="30"/>
      <c r="O6" s="36">
        <f>LN(2)/D6</f>
        <v>2728.424436027260</v>
      </c>
      <c r="P6" s="36">
        <f>LN(2)/B6</f>
        <v>5456.848872054510</v>
      </c>
    </row>
    <row r="7" ht="20.05" customHeight="1">
      <c r="A7" s="24">
        <v>-1000</v>
      </c>
      <c r="B7" s="25">
        <f>C7+D7/$I$25</f>
        <v>0.000300993201081484</v>
      </c>
      <c r="C7" s="26">
        <f>LN(E7/E6)/($A7-$A6)</f>
        <v>0</v>
      </c>
      <c r="D7" s="26">
        <f>LN(G7/G6)/($A7-$A6)</f>
        <v>0.000601986402162968</v>
      </c>
      <c r="E7" s="27">
        <f>E6</f>
        <v>900</v>
      </c>
      <c r="F7" s="27">
        <f>G7*E7/1000</f>
        <v>45</v>
      </c>
      <c r="G7" s="28">
        <v>50</v>
      </c>
      <c r="H7" s="29">
        <f>H6*EXP(B7*($A7-$A6))</f>
        <v>16.7705098312484</v>
      </c>
      <c r="I7" s="30"/>
      <c r="J7" s="31"/>
      <c r="K7" s="32">
        <f>(F7+F6)*($A7-$A6)/2/1000</f>
        <v>58.5</v>
      </c>
      <c r="L7" s="33"/>
      <c r="M7" t="s" s="37">
        <v>23</v>
      </c>
      <c r="N7" s="30"/>
      <c r="O7" s="36">
        <f>LN(2)/D7</f>
        <v>1151.433284986890</v>
      </c>
      <c r="P7" s="36">
        <f>LN(2)/B7</f>
        <v>2302.866569973780</v>
      </c>
    </row>
    <row r="8" ht="20.05" customHeight="1">
      <c r="A8" s="24">
        <v>0</v>
      </c>
      <c r="B8" s="25">
        <f>C8+D8/$I$25</f>
        <v>0.00061188771581106</v>
      </c>
      <c r="C8" s="26">
        <f>LN(E8/E7)/($A8-$A7)</f>
        <v>0</v>
      </c>
      <c r="D8" s="26">
        <f>LN(G8/G7)/($A8-$A7)</f>
        <v>0.00122377543162212</v>
      </c>
      <c r="E8" s="27">
        <f>E7</f>
        <v>900</v>
      </c>
      <c r="F8" s="27">
        <f>G8*E8/1000</f>
        <v>153</v>
      </c>
      <c r="G8" s="28">
        <v>170</v>
      </c>
      <c r="H8" s="29">
        <f>H7*EXP(B8*($A8-$A7))</f>
        <v>30.9232921921325</v>
      </c>
      <c r="I8" s="30"/>
      <c r="J8" s="31"/>
      <c r="K8" s="32">
        <f>(F8+F7)*($A8-$A7)/2/1000</f>
        <v>99</v>
      </c>
      <c r="L8" s="33"/>
      <c r="M8" t="s" s="34">
        <v>24</v>
      </c>
      <c r="N8" s="35"/>
      <c r="O8" s="36">
        <f>LN(2)/D8</f>
        <v>566.4006341761381</v>
      </c>
      <c r="P8" s="36">
        <f>LN(2)/B8</f>
        <v>1132.801268352280</v>
      </c>
    </row>
    <row r="9" ht="20.05" customHeight="1">
      <c r="A9" s="24">
        <v>800</v>
      </c>
      <c r="B9" s="25">
        <f>C9+D9/$I$25</f>
        <v>0.000354990023503712</v>
      </c>
      <c r="C9" s="26">
        <f>LN(E9/E8)/($A9-$A8)</f>
        <v>0</v>
      </c>
      <c r="D9" s="26">
        <f>LN(G9/G8)/($A9-$A8)</f>
        <v>0.000709980047007424</v>
      </c>
      <c r="E9" s="27">
        <f>E8</f>
        <v>900</v>
      </c>
      <c r="F9" s="27">
        <f>G9*E9/1000</f>
        <v>270</v>
      </c>
      <c r="G9" s="28">
        <v>300</v>
      </c>
      <c r="H9" s="29">
        <f>H8*EXP(B9*($A9-$A8))</f>
        <v>41.0791918128875</v>
      </c>
      <c r="I9" s="30"/>
      <c r="J9" s="31"/>
      <c r="K9" s="32">
        <f>(F9+F8)*($A9-$A8)/2/1000</f>
        <v>169.2</v>
      </c>
      <c r="L9" s="33"/>
      <c r="M9" t="s" s="34">
        <v>25</v>
      </c>
      <c r="N9" s="35"/>
      <c r="O9" s="36">
        <f>LN(2)/D9</f>
        <v>976.291071110478</v>
      </c>
      <c r="P9" s="36">
        <f>LN(2)/B9</f>
        <v>1952.582142220960</v>
      </c>
    </row>
    <row r="10" ht="20.05" customHeight="1">
      <c r="A10" s="24">
        <v>1500</v>
      </c>
      <c r="B10" s="25">
        <f>C10+D10/$I$25</f>
        <v>0.000364875445547136</v>
      </c>
      <c r="C10" s="26">
        <f>LN(E10/E9)/($A10-$A9)</f>
        <v>0</v>
      </c>
      <c r="D10" s="26">
        <f>LN(G10/G9)/($A10-$A9)</f>
        <v>0.000729750891094272</v>
      </c>
      <c r="E10" s="27">
        <f>E9</f>
        <v>900</v>
      </c>
      <c r="F10" s="27">
        <f>G10*E10/1000</f>
        <v>450</v>
      </c>
      <c r="G10" s="28">
        <v>500</v>
      </c>
      <c r="H10" s="29">
        <f>H9*EXP(B10*($A10-$A9))</f>
        <v>53.0330085889911</v>
      </c>
      <c r="I10" s="30"/>
      <c r="J10" s="31"/>
      <c r="K10" s="32">
        <f>(F10+F9)*($A10-$A9)/2/1000</f>
        <v>252</v>
      </c>
      <c r="L10" s="33"/>
      <c r="M10" t="s" s="34">
        <v>26</v>
      </c>
      <c r="N10" s="35"/>
      <c r="O10" s="36">
        <f>LN(2)/D10</f>
        <v>949.840814199707</v>
      </c>
      <c r="P10" s="36">
        <f>LN(2)/B10</f>
        <v>1899.681628399410</v>
      </c>
    </row>
    <row r="11" ht="20.05" customHeight="1">
      <c r="A11" s="24">
        <v>1770</v>
      </c>
      <c r="B11" s="25">
        <f>C11+D11/$I$25</f>
        <v>0.00149408610931938</v>
      </c>
      <c r="C11" s="26">
        <f>LN(E11/E10)/($A11-$A10)</f>
        <v>0.000743224798007968</v>
      </c>
      <c r="D11" s="26">
        <f>LN(G11/G10)/($A11-$A10)</f>
        <v>0.00150172262262283</v>
      </c>
      <c r="E11" s="27">
        <v>1100</v>
      </c>
      <c r="F11" s="27">
        <f>G11*E11/1000</f>
        <v>825</v>
      </c>
      <c r="G11" s="28">
        <v>750</v>
      </c>
      <c r="H11" s="29">
        <f>H10*EXP(B11*($A11-$A10))</f>
        <v>79.38566201357349</v>
      </c>
      <c r="I11" s="30"/>
      <c r="J11" s="31"/>
      <c r="K11" s="32">
        <f>(F11+F10)*($A11-$A10)/2/1000</f>
        <v>172.125</v>
      </c>
      <c r="L11" s="33"/>
      <c r="M11" t="s" s="34">
        <v>27</v>
      </c>
      <c r="N11" s="35"/>
      <c r="O11" s="36">
        <f>LN(2)/D11</f>
        <v>461.568048664893</v>
      </c>
      <c r="P11" s="36">
        <f>LN(2)/B11</f>
        <v>463.927196857284</v>
      </c>
    </row>
    <row r="12" ht="20.05" customHeight="1">
      <c r="A12" s="24">
        <v>1870</v>
      </c>
      <c r="B12" s="25">
        <f>C12+D12/$I$25</f>
        <v>0.00442077253122802</v>
      </c>
      <c r="C12" s="26">
        <f>LN(E12/E11)/($A12-$A11)</f>
        <v>0.00167054084663166</v>
      </c>
      <c r="D12" s="26">
        <f>LN(G12/G11)/($A12-$A11)</f>
        <v>0.00550046336919272</v>
      </c>
      <c r="E12" s="27">
        <v>1300</v>
      </c>
      <c r="F12" s="27">
        <f>G12*E12/1000</f>
        <v>1690</v>
      </c>
      <c r="G12" s="28">
        <v>1300</v>
      </c>
      <c r="H12" s="29">
        <f>H11*EXP(B12*($A12-$A11))</f>
        <v>123.519004385740</v>
      </c>
      <c r="I12" s="30"/>
      <c r="J12" s="31"/>
      <c r="K12" s="32">
        <f>(F12+F11)*($A12-$A11)/2/1000</f>
        <v>125.75</v>
      </c>
      <c r="L12" s="33"/>
      <c r="M12" t="s" s="34">
        <v>28</v>
      </c>
      <c r="N12" s="35"/>
      <c r="O12" s="36">
        <f>LN(2)/D12</f>
        <v>126.016143374785</v>
      </c>
      <c r="P12" s="36">
        <f>LN(2)/B12</f>
        <v>156.793224637459</v>
      </c>
    </row>
    <row r="13" ht="20.05" customHeight="1">
      <c r="A13" s="24">
        <v>2020</v>
      </c>
      <c r="B13" s="25">
        <f>C13+D13/$I$25</f>
        <v>0.0206145943332193</v>
      </c>
      <c r="C13" s="26">
        <f>LN(E13/E12)/($A13-$A12)</f>
        <v>0.0147286477238033</v>
      </c>
      <c r="D13" s="26">
        <f>LN(G13/G12)/($A13-$A12)</f>
        <v>0.011771893218832</v>
      </c>
      <c r="E13" s="27">
        <f>F13/G13*1000</f>
        <v>11842.1052631579</v>
      </c>
      <c r="F13" s="27">
        <v>90000</v>
      </c>
      <c r="G13" s="28">
        <v>7600</v>
      </c>
      <c r="H13" s="29">
        <f>H12*EXP(B13*($A13-$A12))</f>
        <v>2720.535937912570</v>
      </c>
      <c r="I13" s="30"/>
      <c r="J13" s="31"/>
      <c r="K13" s="32">
        <f>(F13+F12)*($A13-$A12)/2/1000</f>
        <v>6876.75</v>
      </c>
      <c r="L13" s="33"/>
      <c r="M13" t="s" s="34">
        <v>29</v>
      </c>
      <c r="N13" s="35"/>
      <c r="O13" s="36">
        <f>LN(2)/D13</f>
        <v>58.8815382262462</v>
      </c>
      <c r="P13" s="36">
        <f>LN(2)/B13</f>
        <v>33.6240999631497</v>
      </c>
    </row>
    <row r="14" ht="20.05" customHeight="1">
      <c r="A14" s="24">
        <v>2100</v>
      </c>
      <c r="B14" s="25">
        <v>0.02</v>
      </c>
      <c r="C14" s="26">
        <f>B14-D14/$I$25</f>
        <v>0.0189432729372254</v>
      </c>
      <c r="D14" s="26">
        <f>LN(G14/G13)/($A14-$A13)</f>
        <v>0.00211345412554917</v>
      </c>
      <c r="E14" s="27">
        <f>E13*EXP(C14*($A14-$A13))</f>
        <v>53899.610848852</v>
      </c>
      <c r="F14" s="27">
        <f>G14*E14/1000</f>
        <v>485096.497639668</v>
      </c>
      <c r="G14" s="28">
        <v>9000</v>
      </c>
      <c r="H14" s="29">
        <f>EXP(B14*($A14-$A13))*H13</f>
        <v>13474.9027122131</v>
      </c>
      <c r="I14" t="s" s="37">
        <v>30</v>
      </c>
      <c r="J14" s="31"/>
      <c r="K14" s="32">
        <f>(F14+F13)*($A14-$A13)/2/1000</f>
        <v>23003.8599055867</v>
      </c>
      <c r="L14" s="33"/>
      <c r="M14" t="s" s="34">
        <v>31</v>
      </c>
      <c r="N14" s="35"/>
      <c r="O14" s="36"/>
      <c r="P14" s="36"/>
    </row>
    <row r="15" ht="20.05" customHeight="1">
      <c r="A15" s="24">
        <v>2200</v>
      </c>
      <c r="B15" s="25">
        <v>0.02</v>
      </c>
      <c r="C15" s="26">
        <f>B15-D15/$I$25</f>
        <v>0.02</v>
      </c>
      <c r="D15" s="26">
        <f>LN(G15/G14)/($A15-$A14)</f>
        <v>0</v>
      </c>
      <c r="E15" s="27">
        <f>E14*EXP(C15*($A15-$A14))</f>
        <v>398267.248272699</v>
      </c>
      <c r="F15" s="27">
        <f>G15*E15/1000</f>
        <v>3584405.23445429</v>
      </c>
      <c r="G15" s="28">
        <v>9000</v>
      </c>
      <c r="H15" s="29">
        <f>EXP(B15*($A15-$A14))*H14</f>
        <v>99566.812068175394</v>
      </c>
      <c r="I15" t="s" s="37">
        <v>30</v>
      </c>
      <c r="J15" s="31"/>
      <c r="K15" s="32">
        <f>(F15+F14)*($A15-$A14)/2/1000</f>
        <v>203475.086604698</v>
      </c>
      <c r="L15" s="33"/>
      <c r="M15" s="33"/>
      <c r="N15" s="33"/>
      <c r="O15" s="38"/>
      <c r="P15" s="38"/>
    </row>
    <row r="16" ht="20.05" customHeight="1">
      <c r="A16" s="24">
        <v>2500</v>
      </c>
      <c r="B16" s="25">
        <v>0.02</v>
      </c>
      <c r="C16" s="26">
        <f>B16-D16/$I$25</f>
        <v>0.02</v>
      </c>
      <c r="D16" s="26">
        <f>LN(G16/G15)/($A16-$A15)</f>
        <v>0</v>
      </c>
      <c r="E16" s="27">
        <f>E15*EXP(C16*($A16-$A15))</f>
        <v>160672475.458327</v>
      </c>
      <c r="F16" s="27">
        <f>G16*E16/1000</f>
        <v>1446052279.12494</v>
      </c>
      <c r="G16" s="28">
        <v>9000</v>
      </c>
      <c r="H16" s="29">
        <f>EXP(B16*($A16-$A15))*H15</f>
        <v>40168118.8645819</v>
      </c>
      <c r="I16" t="s" s="37">
        <v>30</v>
      </c>
      <c r="J16" s="31"/>
      <c r="K16" s="32">
        <f>(F16+F15)*($A16-$A15)/2/1000</f>
        <v>217445502.653909</v>
      </c>
      <c r="L16" s="33"/>
      <c r="M16" s="33"/>
      <c r="N16" s="33"/>
      <c r="O16" s="38"/>
      <c r="P16" s="38"/>
    </row>
    <row r="17" ht="20.05" customHeight="1">
      <c r="A17" s="39"/>
      <c r="B17" s="25"/>
      <c r="C17" s="26"/>
      <c r="D17" s="26"/>
      <c r="E17" s="27"/>
      <c r="F17" s="27"/>
      <c r="G17" s="30"/>
      <c r="H17" s="40"/>
      <c r="I17" s="30"/>
      <c r="J17" s="31"/>
      <c r="K17" s="32"/>
      <c r="L17" s="33"/>
      <c r="M17" s="33"/>
      <c r="N17" s="33"/>
      <c r="O17" s="38"/>
      <c r="P17" s="38"/>
    </row>
    <row r="18" ht="20.05" customHeight="1">
      <c r="A18" s="39"/>
      <c r="B18" s="25"/>
      <c r="C18" s="26"/>
      <c r="D18" s="26"/>
      <c r="E18" s="27"/>
      <c r="F18" s="27"/>
      <c r="G18" s="30"/>
      <c r="H18" s="40"/>
      <c r="I18" s="30"/>
      <c r="J18" s="31"/>
      <c r="K18" s="32"/>
      <c r="L18" s="33"/>
      <c r="M18" s="33"/>
      <c r="N18" s="33"/>
      <c r="O18" s="38"/>
      <c r="P18" s="38"/>
    </row>
    <row r="19" ht="20.05" customHeight="1">
      <c r="A19" s="39"/>
      <c r="B19" s="25"/>
      <c r="C19" s="26"/>
      <c r="D19" s="26"/>
      <c r="E19" s="27"/>
      <c r="F19" s="27"/>
      <c r="G19" s="30"/>
      <c r="H19" s="40"/>
      <c r="I19" s="30"/>
      <c r="J19" s="31"/>
      <c r="K19" s="32"/>
      <c r="L19" s="33"/>
      <c r="M19" s="31"/>
      <c r="N19" s="33"/>
      <c r="O19" s="38"/>
      <c r="P19" s="38"/>
    </row>
    <row r="20" ht="32.05" customHeight="1">
      <c r="A20" s="39"/>
      <c r="B20" s="25"/>
      <c r="C20" s="26"/>
      <c r="D20" s="26"/>
      <c r="E20" s="27"/>
      <c r="F20" t="s" s="37">
        <v>32</v>
      </c>
      <c r="G20" s="30"/>
      <c r="H20" s="40"/>
      <c r="I20" s="28">
        <f>I21^(4/3)</f>
        <v>1574.901312368590</v>
      </c>
      <c r="J20" s="31"/>
      <c r="K20" s="32"/>
      <c r="L20" s="33"/>
      <c r="M20" s="33"/>
      <c r="N20" s="33"/>
      <c r="O20" s="38"/>
      <c r="P20" s="38"/>
    </row>
    <row r="21" ht="20.05" customHeight="1">
      <c r="A21" s="39"/>
      <c r="B21" s="25"/>
      <c r="C21" s="26"/>
      <c r="D21" s="26"/>
      <c r="E21" s="27"/>
      <c r="F21" t="s" s="37">
        <v>33</v>
      </c>
      <c r="G21" s="30"/>
      <c r="H21" s="40"/>
      <c r="I21" s="28">
        <v>250</v>
      </c>
      <c r="J21" s="31"/>
      <c r="K21" s="32"/>
      <c r="L21" s="33"/>
      <c r="M21" s="33"/>
      <c r="N21" s="33"/>
      <c r="O21" s="38"/>
      <c r="P21" s="38"/>
    </row>
    <row r="22" ht="20.05" customHeight="1">
      <c r="A22" s="39"/>
      <c r="B22" s="25"/>
      <c r="C22" s="26"/>
      <c r="D22" s="26"/>
      <c r="E22" s="27"/>
      <c r="F22" t="s" s="37">
        <v>34</v>
      </c>
      <c r="G22" s="30"/>
      <c r="H22" s="40"/>
      <c r="I22" s="28">
        <v>1</v>
      </c>
      <c r="J22" s="31"/>
      <c r="K22" s="32"/>
      <c r="L22" s="33"/>
      <c r="M22" s="33"/>
      <c r="N22" s="33"/>
      <c r="O22" s="38"/>
      <c r="P22" s="38"/>
    </row>
    <row r="23" ht="20.05" customHeight="1">
      <c r="A23" s="39"/>
      <c r="B23" s="25"/>
      <c r="C23" s="26"/>
      <c r="D23" s="26"/>
      <c r="E23" s="27"/>
      <c r="F23" t="s" s="37">
        <v>35</v>
      </c>
      <c r="G23" s="30"/>
      <c r="H23" s="40"/>
      <c r="I23" s="28">
        <v>4</v>
      </c>
      <c r="J23" s="31"/>
      <c r="K23" s="32"/>
      <c r="L23" s="33"/>
      <c r="M23" s="33"/>
      <c r="N23" s="33"/>
      <c r="O23" s="38"/>
      <c r="P23" s="38"/>
    </row>
    <row r="24" ht="20.05" customHeight="1">
      <c r="A24" s="39"/>
      <c r="B24" s="25"/>
      <c r="C24" s="26"/>
      <c r="D24" s="26"/>
      <c r="E24" s="27"/>
      <c r="F24" t="s" s="37">
        <v>36</v>
      </c>
      <c r="G24" s="30"/>
      <c r="H24" s="40"/>
      <c r="I24" s="28">
        <v>0.5</v>
      </c>
      <c r="J24" s="31"/>
      <c r="K24" s="32"/>
      <c r="L24" s="33"/>
      <c r="M24" s="33"/>
      <c r="N24" s="33"/>
      <c r="O24" s="38"/>
      <c r="P24" s="38"/>
    </row>
    <row r="25" ht="20.05" customHeight="1">
      <c r="A25" s="39"/>
      <c r="B25" s="25"/>
      <c r="C25" s="26"/>
      <c r="D25" s="26"/>
      <c r="E25" s="30"/>
      <c r="F25" t="s" s="37">
        <v>37</v>
      </c>
      <c r="G25" s="30"/>
      <c r="H25" s="40"/>
      <c r="I25" s="28">
        <v>2</v>
      </c>
      <c r="J25" s="31"/>
      <c r="K25" s="32"/>
      <c r="L25" s="33"/>
      <c r="M25" s="33"/>
      <c r="N25" s="33"/>
      <c r="O25" s="38"/>
      <c r="P25" s="38"/>
    </row>
    <row r="26" ht="20.05" customHeight="1">
      <c r="A26" s="39"/>
      <c r="B26" s="25"/>
      <c r="C26" s="26"/>
      <c r="D26" s="26"/>
      <c r="E26" s="27"/>
      <c r="F26" s="27"/>
      <c r="G26" s="30"/>
      <c r="H26" s="40"/>
      <c r="I26" s="30"/>
      <c r="J26" s="31"/>
      <c r="K26" s="32"/>
      <c r="L26" s="33"/>
      <c r="M26" s="33"/>
      <c r="N26" s="33"/>
      <c r="O26" s="38"/>
      <c r="P26" s="38"/>
    </row>
    <row r="27" ht="23" customHeight="1">
      <c r="A27" s="39"/>
      <c r="B27" s="25"/>
      <c r="C27" s="26"/>
      <c r="D27" s="26"/>
      <c r="E27" s="27"/>
      <c r="F27" s="27"/>
      <c r="G27" t="s" s="41">
        <v>38</v>
      </c>
      <c r="H27" s="40"/>
      <c r="I27" s="30"/>
      <c r="J27" s="31"/>
      <c r="K27" s="32"/>
      <c r="L27" s="33"/>
      <c r="M27" s="33"/>
      <c r="N27" s="33"/>
      <c r="O27" s="38"/>
      <c r="P27" s="38"/>
    </row>
  </sheetData>
  <mergeCells count="1">
    <mergeCell ref="A1:P1"/>
  </mergeCells>
  <hyperlinks>
    <hyperlink ref="G27" r:id="rId1" location="" tooltip="" display="https://www.icloud.com/numbers/0Y0FpX-xky2r4_BwNZ-iJPbew"/>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Q2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9.46094" style="42" customWidth="1"/>
    <col min="2" max="2" width="13.4141" style="42" customWidth="1"/>
    <col min="3" max="3" width="15.5156" style="42" customWidth="1"/>
    <col min="4" max="5" width="11.6953" style="42" customWidth="1"/>
    <col min="6" max="6" width="5.39062" style="42" customWidth="1"/>
    <col min="7" max="7" width="11.1953" style="42" customWidth="1"/>
    <col min="8" max="8" width="10.5391" style="42" customWidth="1"/>
    <col min="9" max="9" width="10.8203" style="42" customWidth="1"/>
    <col min="10" max="10" width="8.90625" style="42" customWidth="1"/>
    <col min="11" max="17" width="12.6484" style="42" customWidth="1"/>
    <col min="18" max="16384" width="16.3516" style="42" customWidth="1"/>
  </cols>
  <sheetData>
    <row r="1" ht="37.4" customHeight="1">
      <c r="A1" t="s" s="43">
        <v>40</v>
      </c>
      <c r="B1" s="43"/>
      <c r="C1" s="43"/>
      <c r="D1" s="43"/>
      <c r="E1" s="43"/>
      <c r="F1" s="43"/>
      <c r="G1" s="43"/>
      <c r="H1" s="43"/>
      <c r="I1" s="43"/>
      <c r="J1" s="43"/>
      <c r="K1" s="43"/>
      <c r="L1" s="43"/>
      <c r="M1" s="43"/>
      <c r="N1" s="43"/>
      <c r="O1" s="43"/>
      <c r="P1" s="43"/>
      <c r="Q1" s="43"/>
    </row>
    <row r="2" ht="68.25" customHeight="1">
      <c r="A2" t="s" s="8">
        <v>7</v>
      </c>
      <c r="B2" t="s" s="8">
        <v>14</v>
      </c>
      <c r="C2" t="s" s="8">
        <v>42</v>
      </c>
      <c r="D2" t="s" s="8">
        <v>11</v>
      </c>
      <c r="E2" t="s" s="8">
        <v>43</v>
      </c>
      <c r="F2" s="9"/>
      <c r="G2" t="s" s="8">
        <v>10</v>
      </c>
      <c r="H2" t="s" s="8">
        <v>9</v>
      </c>
      <c r="I2" t="s" s="8">
        <v>44</v>
      </c>
      <c r="J2" t="s" s="8">
        <v>8</v>
      </c>
      <c r="K2" s="10"/>
      <c r="L2" s="10"/>
      <c r="M2" s="10"/>
      <c r="N2" s="10"/>
      <c r="O2" s="10"/>
      <c r="P2" s="10"/>
      <c r="Q2" s="10"/>
    </row>
    <row r="3" ht="20.25" customHeight="1">
      <c r="A3" s="11">
        <v>-68000</v>
      </c>
      <c r="B3" s="44">
        <v>1</v>
      </c>
      <c r="C3" s="45">
        <f>E3*D3/1000</f>
        <v>0.006</v>
      </c>
      <c r="D3" s="14">
        <v>1200</v>
      </c>
      <c r="E3" s="15">
        <v>0.005</v>
      </c>
      <c r="F3" s="17"/>
      <c r="G3" s="13"/>
      <c r="H3" s="13"/>
      <c r="I3" s="13"/>
      <c r="J3" s="13"/>
      <c r="K3" s="18"/>
      <c r="L3" s="18"/>
      <c r="M3" s="18"/>
      <c r="N3" s="18"/>
      <c r="O3" s="18"/>
      <c r="P3" s="18"/>
      <c r="Q3" s="18"/>
    </row>
    <row r="4" ht="20.05" customHeight="1">
      <c r="A4" s="24">
        <v>-8000</v>
      </c>
      <c r="B4" s="46">
        <f>B3*EXP(J4*($A4-$A3))</f>
        <v>4.47213595499957</v>
      </c>
      <c r="C4" s="47">
        <f>E4*D4/1000</f>
        <v>0.12</v>
      </c>
      <c r="D4" s="27">
        <v>1200</v>
      </c>
      <c r="E4" s="28">
        <v>0.1</v>
      </c>
      <c r="F4" s="30"/>
      <c r="G4" s="26">
        <f>LN(E4/E3)/($A4-$A3)</f>
        <v>4.99288712258998e-05</v>
      </c>
      <c r="H4" s="26">
        <f>LN(D4/D3)/($A4-$A3)</f>
        <v>0</v>
      </c>
      <c r="I4" s="26">
        <v>0</v>
      </c>
      <c r="J4" s="26">
        <f>H4+G4/$F$22</f>
        <v>2.49644356129499e-05</v>
      </c>
      <c r="K4" s="31"/>
      <c r="L4" s="31"/>
      <c r="M4" s="31">
        <f>LN(E3)</f>
        <v>-5.29831736654804</v>
      </c>
      <c r="N4" s="31">
        <f>LN(J4)</f>
        <v>-10.5980583213992</v>
      </c>
      <c r="O4" s="31"/>
      <c r="P4" s="31"/>
      <c r="Q4" s="31"/>
    </row>
    <row r="5" ht="20.05" customHeight="1">
      <c r="A5" s="24">
        <v>-6000</v>
      </c>
      <c r="B5" s="46">
        <f>B4*EXP(J5*($A5-$A4))</f>
        <v>4.74341649025256</v>
      </c>
      <c r="C5" s="47">
        <f>E5*D5/1000</f>
        <v>0.18</v>
      </c>
      <c r="D5" s="27">
        <v>900</v>
      </c>
      <c r="E5" s="28">
        <v>0.2</v>
      </c>
      <c r="F5" s="30"/>
      <c r="G5" s="26">
        <f>LN(E5/E4)/($A5-$A4)</f>
        <v>0.000346573590279973</v>
      </c>
      <c r="H5" s="26">
        <f>LN(D5/D4)/($A5-$A4)</f>
        <v>-0.00014384103622589</v>
      </c>
      <c r="I5" s="26">
        <v>0</v>
      </c>
      <c r="J5" s="26">
        <f>H5+G5/$F$22</f>
        <v>2.94457589140965e-05</v>
      </c>
      <c r="K5" s="31"/>
      <c r="L5" s="31"/>
      <c r="M5" s="31">
        <f>LN(E4)</f>
        <v>-2.30258509299405</v>
      </c>
      <c r="N5" s="31">
        <f>LN(J5)</f>
        <v>-10.4329606679452</v>
      </c>
      <c r="O5" s="31"/>
      <c r="P5" s="31"/>
      <c r="Q5" s="31"/>
    </row>
    <row r="6" ht="20.05" customHeight="1">
      <c r="A6" s="24">
        <v>-3000</v>
      </c>
      <c r="B6" s="46">
        <f>B5*EXP(J6*($A6-$A5))</f>
        <v>7.49999999999999</v>
      </c>
      <c r="C6" s="47">
        <f>E6*D6/1000</f>
        <v>0.45</v>
      </c>
      <c r="D6" s="27">
        <v>900</v>
      </c>
      <c r="E6" s="28">
        <v>0.5</v>
      </c>
      <c r="F6" s="30"/>
      <c r="G6" s="26">
        <f>LN(E6/E5)/($A6-$A5)</f>
        <v>0.000305430243958052</v>
      </c>
      <c r="H6" s="26">
        <f>LN(D6/D5)/($A6-$A5)</f>
        <v>0</v>
      </c>
      <c r="I6" s="26">
        <v>0</v>
      </c>
      <c r="J6" s="26">
        <f>H6+G6/$F$22</f>
        <v>0.000152715121979026</v>
      </c>
      <c r="K6" s="31"/>
      <c r="L6" s="31"/>
      <c r="M6" s="31">
        <f>LN(E5)</f>
        <v>-1.6094379124341</v>
      </c>
      <c r="N6" s="31">
        <f>LN(J6)</f>
        <v>-8.786936320000949</v>
      </c>
      <c r="O6" s="31"/>
      <c r="P6" s="31"/>
      <c r="Q6" s="31"/>
    </row>
    <row r="7" ht="20.05" customHeight="1">
      <c r="A7" s="24">
        <v>-1000</v>
      </c>
      <c r="B7" s="46">
        <f>B6*EXP(J7*($A7-$A6))</f>
        <v>15</v>
      </c>
      <c r="C7" s="47">
        <f>E7*D7/1000</f>
        <v>1.8</v>
      </c>
      <c r="D7" s="27">
        <f>D6</f>
        <v>900</v>
      </c>
      <c r="E7" s="28">
        <v>2</v>
      </c>
      <c r="F7" s="30"/>
      <c r="G7" s="26">
        <f>LN(E7/E6)/($A7-$A6)</f>
        <v>0.000693147180559945</v>
      </c>
      <c r="H7" s="26">
        <f>LN(D7/D6)/($A7-$A6)</f>
        <v>0</v>
      </c>
      <c r="I7" s="26">
        <v>0</v>
      </c>
      <c r="J7" s="26">
        <f>H7+G7/$F$22</f>
        <v>0.000346573590279973</v>
      </c>
      <c r="K7" s="31"/>
      <c r="L7" s="31"/>
      <c r="M7" s="31">
        <f>LN(E6)</f>
        <v>-0.693147180559945</v>
      </c>
      <c r="N7" s="31">
        <f>LN(J7)</f>
        <v>-7.96741538012375</v>
      </c>
      <c r="O7" s="31"/>
      <c r="P7" s="31"/>
      <c r="Q7" s="31"/>
    </row>
    <row r="8" ht="20.05" customHeight="1">
      <c r="A8" s="24">
        <v>0</v>
      </c>
      <c r="B8" s="46">
        <f>B7*EXP(J8*($A8-$A7))</f>
        <v>23.7170824512629</v>
      </c>
      <c r="C8" s="47">
        <f>E8*D8/1000</f>
        <v>4.5</v>
      </c>
      <c r="D8" s="27">
        <f>D7</f>
        <v>900</v>
      </c>
      <c r="E8" s="28">
        <v>5</v>
      </c>
      <c r="F8" s="30"/>
      <c r="G8" s="26">
        <f>LN(E8/E7)/($A8-$A7)</f>
        <v>0.000916290731874155</v>
      </c>
      <c r="H8" s="26">
        <f>LN(D8/D7)/($A8-$A7)</f>
        <v>0</v>
      </c>
      <c r="I8" s="26">
        <v>0</v>
      </c>
      <c r="J8" s="26">
        <f>H8+G8/$F$22</f>
        <v>0.000458145365937078</v>
      </c>
      <c r="K8" s="31"/>
      <c r="L8" s="31"/>
      <c r="M8" s="31">
        <f>LN(E7)</f>
        <v>0.693147180559945</v>
      </c>
      <c r="N8" s="31">
        <f>LN(J8)</f>
        <v>-7.68832403133284</v>
      </c>
      <c r="O8" s="31"/>
      <c r="P8" s="31"/>
      <c r="Q8" s="31"/>
    </row>
    <row r="9" ht="20.05" customHeight="1">
      <c r="A9" s="24">
        <v>800</v>
      </c>
      <c r="B9" s="46">
        <f>B8*EXP(J9*($A9-$A8))</f>
        <v>30.0000000000001</v>
      </c>
      <c r="C9" s="47">
        <f>E9*D9/1000</f>
        <v>7.2</v>
      </c>
      <c r="D9" s="27">
        <f>D8</f>
        <v>900</v>
      </c>
      <c r="E9" s="28">
        <v>8</v>
      </c>
      <c r="F9" s="30"/>
      <c r="G9" s="26">
        <f>LN(E9/E8)/($A9-$A8)</f>
        <v>0.00058750453655717</v>
      </c>
      <c r="H9" s="26">
        <f>LN(D9/D8)/($A9-$A8)</f>
        <v>0</v>
      </c>
      <c r="I9" s="26">
        <v>0</v>
      </c>
      <c r="J9" s="26">
        <f>H9+G9/$F$22</f>
        <v>0.000293752268278585</v>
      </c>
      <c r="K9" s="31"/>
      <c r="L9" s="31"/>
      <c r="M9" s="31">
        <f>LN(E8)</f>
        <v>1.6094379124341</v>
      </c>
      <c r="N9" s="31">
        <f>LN(J9)</f>
        <v>-8.13277377073628</v>
      </c>
      <c r="O9" s="31"/>
      <c r="P9" s="31"/>
      <c r="Q9" s="31"/>
    </row>
    <row r="10" ht="20.05" customHeight="1">
      <c r="A10" s="24">
        <v>1500</v>
      </c>
      <c r="B10" s="46">
        <f>B9*EXP(J10*($A10-$A9))</f>
        <v>58.9255650988791</v>
      </c>
      <c r="C10" s="47">
        <f>E10*D10/1000</f>
        <v>25</v>
      </c>
      <c r="D10" s="27">
        <v>1000</v>
      </c>
      <c r="E10" s="28">
        <v>25</v>
      </c>
      <c r="F10" s="30"/>
      <c r="G10" s="26">
        <f>LN(E10/E9)/($A10-$A9)</f>
        <v>0.00162776326169766</v>
      </c>
      <c r="H10" s="26">
        <f>LN(D10/D9)/($A10-$A9)</f>
        <v>0.000150515022368323</v>
      </c>
      <c r="I10" s="26">
        <v>0</v>
      </c>
      <c r="J10" s="26">
        <f>H10+G10/$F$22</f>
        <v>0.000964396653217153</v>
      </c>
      <c r="K10" s="31"/>
      <c r="L10" s="31"/>
      <c r="M10" s="31">
        <f>LN(E9)</f>
        <v>2.07944154167984</v>
      </c>
      <c r="N10" s="31">
        <f>LN(J10)</f>
        <v>-6.94400788198975</v>
      </c>
      <c r="O10" s="31"/>
      <c r="P10" s="31"/>
      <c r="Q10" s="31"/>
    </row>
    <row r="11" ht="20.05" customHeight="1">
      <c r="A11" s="24">
        <v>1770</v>
      </c>
      <c r="B11" s="46">
        <f>B10*EXP(J11*($A11-$A10))</f>
        <v>101.036297108185</v>
      </c>
      <c r="C11" s="47">
        <f>E11*D11/1000</f>
        <v>105</v>
      </c>
      <c r="D11" s="27">
        <v>1400</v>
      </c>
      <c r="E11" s="28">
        <v>75</v>
      </c>
      <c r="F11" s="30"/>
      <c r="G11" s="26">
        <f>LN(E11/E10)/($A11-$A10)</f>
        <v>0.00406893440247448</v>
      </c>
      <c r="H11" s="26">
        <f>LN(D11/D10)/($A11-$A10)</f>
        <v>0.00124619346896746</v>
      </c>
      <c r="I11" s="26">
        <f>LN(2)/270</f>
        <v>0.00256721177985165</v>
      </c>
      <c r="J11" s="26">
        <f>H11+G11/$F$22-I11/$F$22</f>
        <v>0.00199705478027888</v>
      </c>
      <c r="K11" s="31"/>
      <c r="L11" s="31"/>
      <c r="M11" s="31">
        <f>LN(E10)</f>
        <v>3.2188758248682</v>
      </c>
      <c r="N11" s="31">
        <f>LN(J11)</f>
        <v>-6.21608179363832</v>
      </c>
      <c r="O11" s="31"/>
      <c r="P11" s="31"/>
      <c r="Q11" s="31"/>
    </row>
    <row r="12" ht="20.05" customHeight="1">
      <c r="A12" s="24">
        <v>1870</v>
      </c>
      <c r="B12" s="46">
        <f>B11*EXP(J12*($A12-$A11))</f>
        <v>252.028804938085</v>
      </c>
      <c r="C12" s="47">
        <f>E12*D12/1000</f>
        <v>490</v>
      </c>
      <c r="D12" s="27">
        <v>2800</v>
      </c>
      <c r="E12" s="28">
        <v>175</v>
      </c>
      <c r="F12" s="30"/>
      <c r="G12" s="26">
        <f>LN(E12/E11)/($A12-$A11)</f>
        <v>0.00847297860387204</v>
      </c>
      <c r="H12" s="26">
        <f>LN(D12/D11)/($A12-$A11)</f>
        <v>0.00693147180559945</v>
      </c>
      <c r="I12" s="26">
        <f>LN(1.5)/100</f>
        <v>0.00405465108108164</v>
      </c>
      <c r="J12" s="26">
        <f>H12+G12/$F$22-I12/$F$22</f>
        <v>0.00914063556699465</v>
      </c>
      <c r="K12" s="31"/>
      <c r="L12" s="31"/>
      <c r="M12" s="31">
        <f>LN(E11)</f>
        <v>4.31748811353631</v>
      </c>
      <c r="N12" s="31">
        <f>LN(J12)</f>
        <v>-4.69502535906334</v>
      </c>
      <c r="O12" s="31"/>
      <c r="P12" s="31"/>
      <c r="Q12" s="31"/>
    </row>
    <row r="13" ht="20.05" customHeight="1">
      <c r="A13" s="24">
        <v>2020</v>
      </c>
      <c r="B13" s="46">
        <f>B12*EXP(J13*($A13-$A12))</f>
        <v>8439.494725697239</v>
      </c>
      <c r="C13" s="47">
        <f>E13*D13/1000</f>
        <v>40000</v>
      </c>
      <c r="D13" s="27">
        <v>50000</v>
      </c>
      <c r="E13" s="28">
        <v>800</v>
      </c>
      <c r="F13" s="30"/>
      <c r="G13" s="26">
        <f>LN(E13/E12)/($A13-$A12)</f>
        <v>0.0101321716916294</v>
      </c>
      <c r="H13" s="26">
        <f>LN(D13/D12)/($A13-$A12)</f>
        <v>0.0192160239216466</v>
      </c>
      <c r="I13" s="26">
        <f>LN(1.3)/150</f>
        <v>0.00174909509644994</v>
      </c>
      <c r="J13" s="26">
        <f>H13+G13/$F$22-I13/$F$22</f>
        <v>0.0234075622192363</v>
      </c>
      <c r="K13" s="31"/>
      <c r="L13" s="31"/>
      <c r="M13" s="31">
        <f>LN(E12)</f>
        <v>5.16478597392351</v>
      </c>
      <c r="N13" s="31">
        <f>LN(J13)</f>
        <v>-3.75469613706499</v>
      </c>
      <c r="O13" s="31"/>
      <c r="P13" s="31"/>
      <c r="Q13" s="31"/>
    </row>
    <row r="14" ht="20.05" customHeight="1">
      <c r="A14" s="39"/>
      <c r="B14" s="48"/>
      <c r="C14" s="47"/>
      <c r="D14" s="27"/>
      <c r="E14" s="30"/>
      <c r="F14" s="30"/>
      <c r="G14" s="26"/>
      <c r="H14" s="26"/>
      <c r="I14" s="26"/>
      <c r="J14" s="26"/>
      <c r="K14" s="31"/>
      <c r="L14" s="31"/>
      <c r="M14" s="31"/>
      <c r="N14" s="31"/>
      <c r="O14" s="31"/>
      <c r="P14" s="31"/>
      <c r="Q14" s="31"/>
    </row>
    <row r="15" ht="20.05" customHeight="1">
      <c r="A15" s="39"/>
      <c r="B15" s="48"/>
      <c r="C15" s="47"/>
      <c r="D15" s="27"/>
      <c r="E15" s="30"/>
      <c r="F15" s="30"/>
      <c r="G15" s="26"/>
      <c r="H15" s="26"/>
      <c r="I15" s="26"/>
      <c r="J15" s="26"/>
      <c r="K15" s="31"/>
      <c r="L15" s="31"/>
      <c r="M15" s="31"/>
      <c r="N15" s="31"/>
      <c r="O15" s="31"/>
      <c r="P15" s="31"/>
      <c r="Q15" s="31"/>
    </row>
    <row r="16" ht="20.05" customHeight="1">
      <c r="A16" s="39"/>
      <c r="B16" s="48"/>
      <c r="C16" s="47"/>
      <c r="D16" s="27"/>
      <c r="E16" s="30"/>
      <c r="F16" s="30"/>
      <c r="G16" s="26"/>
      <c r="H16" s="26"/>
      <c r="I16" s="26"/>
      <c r="J16" s="26"/>
      <c r="K16" s="31"/>
      <c r="L16" s="31"/>
      <c r="M16" s="31"/>
      <c r="N16" s="31"/>
      <c r="O16" s="31"/>
      <c r="P16" s="31"/>
      <c r="Q16" s="31"/>
    </row>
    <row r="17" ht="20.05" customHeight="1">
      <c r="A17" s="39"/>
      <c r="B17" s="48"/>
      <c r="C17" t="s" s="37">
        <v>32</v>
      </c>
      <c r="D17" s="27"/>
      <c r="E17" s="30"/>
      <c r="F17" s="28">
        <f>F18^(4/3)</f>
        <v>1574.901312368590</v>
      </c>
      <c r="G17" s="26"/>
      <c r="H17" s="26"/>
      <c r="I17" s="26"/>
      <c r="J17" s="26"/>
      <c r="K17" s="31"/>
      <c r="L17" s="31"/>
      <c r="M17" s="31"/>
      <c r="N17" s="31"/>
      <c r="O17" s="31"/>
      <c r="P17" s="31"/>
      <c r="Q17" s="31"/>
    </row>
    <row r="18" ht="20.05" customHeight="1">
      <c r="A18" s="39"/>
      <c r="B18" s="48"/>
      <c r="C18" t="s" s="37">
        <v>33</v>
      </c>
      <c r="D18" s="27"/>
      <c r="E18" s="30"/>
      <c r="F18" s="28">
        <v>250</v>
      </c>
      <c r="G18" s="26"/>
      <c r="H18" s="26"/>
      <c r="I18" s="26"/>
      <c r="J18" s="26"/>
      <c r="K18" s="31"/>
      <c r="L18" s="31"/>
      <c r="M18" s="31"/>
      <c r="N18" s="31"/>
      <c r="O18" s="31"/>
      <c r="P18" s="31"/>
      <c r="Q18" s="31"/>
    </row>
    <row r="19" ht="20.05" customHeight="1">
      <c r="A19" s="39"/>
      <c r="B19" s="48"/>
      <c r="C19" t="s" s="37">
        <v>34</v>
      </c>
      <c r="D19" s="27"/>
      <c r="E19" s="30"/>
      <c r="F19" s="28">
        <v>1</v>
      </c>
      <c r="G19" s="26"/>
      <c r="H19" s="26"/>
      <c r="I19" s="26"/>
      <c r="J19" s="26"/>
      <c r="K19" s="31"/>
      <c r="L19" s="31"/>
      <c r="M19" s="31"/>
      <c r="N19" s="31"/>
      <c r="O19" s="31"/>
      <c r="P19" s="31"/>
      <c r="Q19" s="31"/>
    </row>
    <row r="20" ht="20.05" customHeight="1">
      <c r="A20" s="39"/>
      <c r="B20" s="48"/>
      <c r="C20" t="s" s="37">
        <v>35</v>
      </c>
      <c r="D20" s="27"/>
      <c r="E20" s="30"/>
      <c r="F20" s="28">
        <v>4</v>
      </c>
      <c r="G20" s="26"/>
      <c r="H20" s="26"/>
      <c r="I20" s="26"/>
      <c r="J20" s="26"/>
      <c r="K20" s="31"/>
      <c r="L20" s="31"/>
      <c r="M20" s="31"/>
      <c r="N20" s="31"/>
      <c r="O20" s="31"/>
      <c r="P20" s="31"/>
      <c r="Q20" s="31"/>
    </row>
    <row r="21" ht="20.05" customHeight="1">
      <c r="A21" s="39"/>
      <c r="B21" s="48"/>
      <c r="C21" t="s" s="37">
        <v>36</v>
      </c>
      <c r="D21" s="27"/>
      <c r="E21" s="30"/>
      <c r="F21" s="28">
        <v>0.5</v>
      </c>
      <c r="G21" s="26"/>
      <c r="H21" s="26"/>
      <c r="I21" s="26"/>
      <c r="J21" s="26"/>
      <c r="K21" s="31"/>
      <c r="L21" s="31"/>
      <c r="M21" s="31"/>
      <c r="N21" s="31"/>
      <c r="O21" s="31"/>
      <c r="P21" s="31"/>
      <c r="Q21" s="31"/>
    </row>
    <row r="22" ht="20.05" customHeight="1">
      <c r="A22" s="39"/>
      <c r="B22" s="48"/>
      <c r="C22" t="s" s="37">
        <v>37</v>
      </c>
      <c r="D22" s="30"/>
      <c r="E22" s="30"/>
      <c r="F22" s="28">
        <v>2</v>
      </c>
      <c r="G22" s="26"/>
      <c r="H22" s="26"/>
      <c r="I22" s="26"/>
      <c r="J22" s="26"/>
      <c r="K22" s="31"/>
      <c r="L22" s="31"/>
      <c r="M22" s="31"/>
      <c r="N22" s="31"/>
      <c r="O22" s="31"/>
      <c r="P22" s="31"/>
      <c r="Q22" s="31"/>
    </row>
    <row r="23" ht="20.05" customHeight="1">
      <c r="A23" s="39"/>
      <c r="B23" s="48"/>
      <c r="C23" s="47"/>
      <c r="D23" s="27"/>
      <c r="E23" s="30"/>
      <c r="F23" s="30"/>
      <c r="G23" s="26"/>
      <c r="H23" s="26"/>
      <c r="I23" s="26"/>
      <c r="J23" s="26"/>
      <c r="K23" s="31"/>
      <c r="L23" s="31"/>
      <c r="M23" s="31"/>
      <c r="N23" s="31"/>
      <c r="O23" s="31"/>
      <c r="P23" s="31"/>
      <c r="Q23" s="31"/>
    </row>
    <row r="24" ht="23" customHeight="1">
      <c r="A24" s="39"/>
      <c r="B24" s="48"/>
      <c r="C24" s="47"/>
      <c r="D24" s="27"/>
      <c r="E24" t="s" s="41">
        <v>45</v>
      </c>
      <c r="F24" s="30"/>
      <c r="G24" s="26"/>
      <c r="H24" s="26"/>
      <c r="I24" s="26"/>
      <c r="J24" s="26"/>
      <c r="K24" s="31"/>
      <c r="L24" s="31"/>
      <c r="M24" s="31"/>
      <c r="N24" s="31"/>
      <c r="O24" s="31"/>
      <c r="P24" s="31"/>
      <c r="Q24" s="31"/>
    </row>
  </sheetData>
  <mergeCells count="1">
    <mergeCell ref="A1:Q1"/>
  </mergeCells>
  <hyperlinks>
    <hyperlink ref="E24" r:id="rId1" location="" tooltip="" display="https://www.icloud.com/numbers/0jaPx8AjooD2TDbNM4Og3Z2ow"/>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2"/>
</worksheet>
</file>

<file path=xl/worksheets/sheet4.xml><?xml version="1.0" encoding="utf-8"?>
<worksheet xmlns:r="http://schemas.openxmlformats.org/officeDocument/2006/relationships" xmlns="http://schemas.openxmlformats.org/spreadsheetml/2006/main">
  <sheetPr>
    <pageSetUpPr fitToPage="1"/>
  </sheetPr>
  <dimension ref="A2:M3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75" style="49" customWidth="1"/>
    <col min="2" max="2" width="12.5156" style="49" customWidth="1"/>
    <col min="3" max="3" width="12.4141" style="49" customWidth="1"/>
    <col min="4" max="4" width="11.5469" style="49" customWidth="1"/>
    <col min="5" max="5" width="4.625" style="49" customWidth="1"/>
    <col min="6" max="6" width="11.5781" style="49" customWidth="1"/>
    <col min="7" max="7" width="11.0312" style="49" customWidth="1"/>
    <col min="8" max="8" width="11.0625" style="49" customWidth="1"/>
    <col min="9" max="13" width="16.3516" style="49" customWidth="1"/>
    <col min="14" max="16384" width="16.3516" style="49" customWidth="1"/>
  </cols>
  <sheetData>
    <row r="1" ht="50.1" customHeight="1">
      <c r="A1" t="s" s="50">
        <v>46</v>
      </c>
      <c r="B1" s="50"/>
      <c r="C1" s="50"/>
      <c r="D1" s="50"/>
      <c r="E1" s="50"/>
      <c r="F1" s="50"/>
      <c r="G1" s="50"/>
      <c r="H1" s="50"/>
      <c r="I1" s="50"/>
      <c r="J1" s="50"/>
      <c r="K1" s="50"/>
      <c r="L1" s="50"/>
      <c r="M1" s="50"/>
    </row>
    <row r="2" ht="68.25" customHeight="1">
      <c r="A2" t="s" s="8">
        <v>7</v>
      </c>
      <c r="B2" t="s" s="8">
        <v>48</v>
      </c>
      <c r="C2" t="s" s="8">
        <v>49</v>
      </c>
      <c r="D2" t="s" s="8">
        <v>50</v>
      </c>
      <c r="E2" s="9"/>
      <c r="F2" t="s" s="8">
        <v>10</v>
      </c>
      <c r="G2" t="s" s="8">
        <v>9</v>
      </c>
      <c r="H2" t="s" s="8">
        <v>8</v>
      </c>
      <c r="I2" s="10"/>
      <c r="J2" t="s" s="8">
        <v>51</v>
      </c>
      <c r="K2" s="9"/>
      <c r="L2" t="s" s="8">
        <v>16</v>
      </c>
      <c r="M2" s="9"/>
    </row>
    <row r="3" ht="20.25" customHeight="1">
      <c r="A3" s="11">
        <v>-48000</v>
      </c>
      <c r="B3" s="51">
        <v>1</v>
      </c>
      <c r="C3" s="14">
        <v>1200</v>
      </c>
      <c r="D3" s="14">
        <f>B3*C3/1000</f>
        <v>1.2</v>
      </c>
      <c r="E3" s="17"/>
      <c r="F3" s="13"/>
      <c r="G3" s="13"/>
      <c r="H3" s="20"/>
      <c r="I3" s="18"/>
      <c r="J3" s="19"/>
      <c r="K3" s="20"/>
      <c r="L3" t="s" s="21">
        <v>19</v>
      </c>
      <c r="M3" s="22"/>
    </row>
    <row r="4" ht="20.05" customHeight="1">
      <c r="A4" s="24">
        <v>-8000</v>
      </c>
      <c r="B4" s="52">
        <v>3</v>
      </c>
      <c r="C4" s="27">
        <v>1200</v>
      </c>
      <c r="D4" s="27">
        <f>B4*C4/1000</f>
        <v>3.6</v>
      </c>
      <c r="E4" s="30"/>
      <c r="F4" s="26">
        <f>LN(B4/B3)/($A4-$A3)</f>
        <v>2.74653072167027e-05</v>
      </c>
      <c r="G4" s="26">
        <f>LN(C4/C3)/($A4-$A3)</f>
        <v>0</v>
      </c>
      <c r="H4" s="33">
        <f>(F4/2+G4)</f>
        <v>1.37326536083514e-05</v>
      </c>
      <c r="I4" s="31"/>
      <c r="J4" s="32">
        <f>(D4+D3)*($A4-$A3)/2/1000</f>
        <v>96</v>
      </c>
      <c r="K4" s="33"/>
      <c r="L4" t="s" s="34">
        <v>21</v>
      </c>
      <c r="M4" s="35"/>
    </row>
    <row r="5" ht="18.95" customHeight="1">
      <c r="A5" s="24">
        <v>-3000</v>
      </c>
      <c r="B5" s="52">
        <v>15</v>
      </c>
      <c r="C5" s="27">
        <v>900</v>
      </c>
      <c r="D5" s="27">
        <f>B5*C5/1000</f>
        <v>13.5</v>
      </c>
      <c r="E5" s="30"/>
      <c r="F5" s="26">
        <f>LN(B5/B4)/($A5-$A4)</f>
        <v>0.00032188758248682</v>
      </c>
      <c r="G5" s="26">
        <f>LN(C5/C4)/($A5-$A4)</f>
        <v>-5.75364144903562e-05</v>
      </c>
      <c r="H5" s="33">
        <f>(F5/2+G5)</f>
        <v>0.000103407376753054</v>
      </c>
      <c r="I5" s="31"/>
      <c r="J5" s="32">
        <f>(D5+D4)*($A5-$A4)/2/1000</f>
        <v>42.75</v>
      </c>
      <c r="K5" s="33"/>
      <c r="L5" t="s" s="37">
        <v>22</v>
      </c>
      <c r="M5" s="30"/>
    </row>
    <row r="6" ht="17.8" customHeight="1">
      <c r="A6" s="24">
        <v>-1000</v>
      </c>
      <c r="B6" s="52">
        <v>50</v>
      </c>
      <c r="C6" s="27">
        <v>900</v>
      </c>
      <c r="D6" s="27">
        <f>B6*C6/1000</f>
        <v>45</v>
      </c>
      <c r="E6" s="30"/>
      <c r="F6" s="26">
        <f>LN(B6/B5)/($A6-$A5)</f>
        <v>0.000601986402162968</v>
      </c>
      <c r="G6" s="26">
        <f>LN(C6/C5)/($A6-$A5)</f>
        <v>0</v>
      </c>
      <c r="H6" s="33">
        <f>(F6/2+G6)</f>
        <v>0.000300993201081484</v>
      </c>
      <c r="I6" s="31"/>
      <c r="J6" s="32">
        <f>(D6+D5)*($A6-$A5)/2/1000</f>
        <v>58.5</v>
      </c>
      <c r="K6" s="33"/>
      <c r="L6" t="s" s="37">
        <v>23</v>
      </c>
      <c r="M6" s="30"/>
    </row>
    <row r="7" ht="20.05" customHeight="1">
      <c r="A7" s="24">
        <v>0</v>
      </c>
      <c r="B7" s="52">
        <v>170</v>
      </c>
      <c r="C7" s="27">
        <v>900</v>
      </c>
      <c r="D7" s="27">
        <f>B7*C7/1000</f>
        <v>153</v>
      </c>
      <c r="E7" s="30"/>
      <c r="F7" s="26">
        <f>LN(B7/B6)/($A7-$A6)</f>
        <v>0.00122377543162212</v>
      </c>
      <c r="G7" s="26">
        <f>LN(C7/C6)/($A7-$A6)</f>
        <v>0</v>
      </c>
      <c r="H7" s="33">
        <f>(F7/2+G7)</f>
        <v>0.00061188771581106</v>
      </c>
      <c r="I7" s="31"/>
      <c r="J7" s="32">
        <f>(D7+D6)*($A7-$A6)/2/1000</f>
        <v>99</v>
      </c>
      <c r="K7" s="33"/>
      <c r="L7" t="s" s="34">
        <v>24</v>
      </c>
      <c r="M7" s="35"/>
    </row>
    <row r="8" ht="20.05" customHeight="1">
      <c r="A8" s="24">
        <v>800</v>
      </c>
      <c r="B8" s="52">
        <v>300</v>
      </c>
      <c r="C8" s="27">
        <v>900</v>
      </c>
      <c r="D8" s="27">
        <f>B8*C8/1000</f>
        <v>270</v>
      </c>
      <c r="E8" s="30"/>
      <c r="F8" s="26">
        <f>LN(B8/B7)/($A8-$A7)</f>
        <v>0.000709980047007424</v>
      </c>
      <c r="G8" s="26">
        <f>LN(C8/C7)/($A8-$A7)</f>
        <v>0</v>
      </c>
      <c r="H8" s="33">
        <f>(F8/2+G8)</f>
        <v>0.000354990023503712</v>
      </c>
      <c r="I8" s="31"/>
      <c r="J8" s="32">
        <f>(D8+D7)*($A8-$A7)/2/1000</f>
        <v>169.2</v>
      </c>
      <c r="K8" s="33"/>
      <c r="L8" t="s" s="34">
        <v>25</v>
      </c>
      <c r="M8" s="35"/>
    </row>
    <row r="9" ht="20.05" customHeight="1">
      <c r="A9" s="24">
        <v>1500</v>
      </c>
      <c r="B9" s="52">
        <v>500</v>
      </c>
      <c r="C9" s="27">
        <v>900</v>
      </c>
      <c r="D9" s="27">
        <f>B9*C9/1000</f>
        <v>450</v>
      </c>
      <c r="E9" s="30"/>
      <c r="F9" s="26">
        <f>LN(B9/B8)/($A9-$A8)</f>
        <v>0.000729750891094272</v>
      </c>
      <c r="G9" s="26">
        <f>LN(C9/C8)/($A9-$A8)</f>
        <v>0</v>
      </c>
      <c r="H9" s="33">
        <f>(F9/2+G9)</f>
        <v>0.000364875445547136</v>
      </c>
      <c r="I9" s="31"/>
      <c r="J9" s="32">
        <f>(D9+D8)*($A9-$A8)/2/1000</f>
        <v>252</v>
      </c>
      <c r="K9" s="33"/>
      <c r="L9" t="s" s="34">
        <v>26</v>
      </c>
      <c r="M9" s="35"/>
    </row>
    <row r="10" ht="20.05" customHeight="1">
      <c r="A10" s="24">
        <v>1770</v>
      </c>
      <c r="B10" s="53">
        <f>B9*EXP((($A10-$A9)*F10))</f>
        <v>608.582050271939</v>
      </c>
      <c r="C10" s="27">
        <v>900</v>
      </c>
      <c r="D10" s="27">
        <f>B10*C10/1000</f>
        <v>547.723845244745</v>
      </c>
      <c r="E10" s="30"/>
      <c r="F10" s="26">
        <f>(H10-G10)*2</f>
        <v>0.000727865352341084</v>
      </c>
      <c r="G10" s="26">
        <f>LN(C10/C9)/($A10-$A9)</f>
        <v>0</v>
      </c>
      <c r="H10" s="33">
        <f>G22</f>
        <v>0.000363932676170542</v>
      </c>
      <c r="I10" s="31"/>
      <c r="J10" s="32">
        <f>(D10+D9)*($A10-$A9)/2/1000</f>
        <v>134.692719108041</v>
      </c>
      <c r="K10" s="33"/>
      <c r="L10" t="s" s="34">
        <v>27</v>
      </c>
      <c r="M10" s="35"/>
    </row>
    <row r="11" ht="20.05" customHeight="1">
      <c r="A11" s="24">
        <v>1870</v>
      </c>
      <c r="B11" s="53">
        <f>B10*EXP((($A11-$A10)*F11))</f>
        <v>654.530561568964</v>
      </c>
      <c r="C11" s="27">
        <v>900</v>
      </c>
      <c r="D11" s="27">
        <f>B11*C11/1000</f>
        <v>589.077505412068</v>
      </c>
      <c r="E11" s="30"/>
      <c r="F11" s="26">
        <f>(H11-G11)*2</f>
        <v>0.000727865352341084</v>
      </c>
      <c r="G11" s="26">
        <f>LN(C11/C10)/($A11-$A10)</f>
        <v>0</v>
      </c>
      <c r="H11" s="33">
        <f>H10</f>
        <v>0.000363932676170542</v>
      </c>
      <c r="I11" s="31"/>
      <c r="J11" s="32">
        <f>(D11+D10)*($A11-$A10)/2/1000</f>
        <v>56.8400675328407</v>
      </c>
      <c r="K11" s="33"/>
      <c r="L11" t="s" s="34">
        <v>28</v>
      </c>
      <c r="M11" s="35"/>
    </row>
    <row r="12" ht="20.05" customHeight="1">
      <c r="A12" s="24">
        <v>2020</v>
      </c>
      <c r="B12" s="53">
        <f>B11*EXP((($A12-$A11)*F12))</f>
        <v>730.039090719492</v>
      </c>
      <c r="C12" s="27">
        <v>900</v>
      </c>
      <c r="D12" s="27">
        <f>B12*C12/1000</f>
        <v>657.035181647543</v>
      </c>
      <c r="E12" s="30"/>
      <c r="F12" s="26">
        <f>(H12-G12)*2</f>
        <v>0.000727865352341084</v>
      </c>
      <c r="G12" s="26">
        <f>LN(C12/C11)/($A12-$A11)</f>
        <v>0</v>
      </c>
      <c r="H12" s="33">
        <f>H11</f>
        <v>0.000363932676170542</v>
      </c>
      <c r="I12" s="31"/>
      <c r="J12" s="32">
        <f>(D12+D11)*($A12-$A11)/2/1000</f>
        <v>93.45845152947081</v>
      </c>
      <c r="K12" s="33"/>
      <c r="L12" t="s" s="34">
        <v>29</v>
      </c>
      <c r="M12" s="35"/>
    </row>
    <row r="13" ht="20.05" customHeight="1">
      <c r="A13" s="24">
        <v>2100</v>
      </c>
      <c r="B13" s="53">
        <f>B12*EXP((($A13-$A12)*F13))</f>
        <v>773.810730792665</v>
      </c>
      <c r="C13" s="27">
        <v>900</v>
      </c>
      <c r="D13" s="27">
        <f>B13*C13/1000</f>
        <v>696.429657713399</v>
      </c>
      <c r="E13" s="30"/>
      <c r="F13" s="26">
        <f>(H13-G13)*2</f>
        <v>0.000727865352341084</v>
      </c>
      <c r="G13" s="26">
        <f>LN(C13/C12)/($A13-$A12)</f>
        <v>0</v>
      </c>
      <c r="H13" s="33">
        <f>H12</f>
        <v>0.000363932676170542</v>
      </c>
      <c r="I13" s="30"/>
      <c r="J13" s="30"/>
      <c r="K13" s="30"/>
      <c r="L13" s="30"/>
      <c r="M13" s="30"/>
    </row>
    <row r="14" ht="20.05" customHeight="1">
      <c r="A14" s="24">
        <v>2200</v>
      </c>
      <c r="B14" s="53">
        <f>B13*EXP((($A14-$A13)*F14))</f>
        <v>832.234161272907</v>
      </c>
      <c r="C14" s="27">
        <v>900</v>
      </c>
      <c r="D14" s="27">
        <f>B14*C14/1000</f>
        <v>749.0107451456161</v>
      </c>
      <c r="E14" s="30"/>
      <c r="F14" s="26">
        <f>(H14-G14)*2</f>
        <v>0.000727865352341084</v>
      </c>
      <c r="G14" s="26">
        <f>LN(C14/C13)/($A14-$A13)</f>
        <v>0</v>
      </c>
      <c r="H14" s="33">
        <f>H13</f>
        <v>0.000363932676170542</v>
      </c>
      <c r="I14" s="30"/>
      <c r="J14" s="30"/>
      <c r="K14" s="30"/>
      <c r="L14" s="30"/>
      <c r="M14" s="30"/>
    </row>
    <row r="15" ht="20.05" customHeight="1">
      <c r="A15" s="39"/>
      <c r="B15" s="54"/>
      <c r="C15" s="27"/>
      <c r="D15" s="27"/>
      <c r="E15" s="30"/>
      <c r="F15" s="30"/>
      <c r="G15" s="30"/>
      <c r="H15" s="33"/>
      <c r="I15" s="30"/>
      <c r="J15" s="30"/>
      <c r="K15" s="30"/>
      <c r="L15" s="30"/>
      <c r="M15" s="30"/>
    </row>
    <row r="16" ht="20.05" customHeight="1">
      <c r="A16" s="39"/>
      <c r="B16" s="54"/>
      <c r="C16" s="27"/>
      <c r="D16" s="27"/>
      <c r="E16" s="30"/>
      <c r="F16" s="30"/>
      <c r="G16" s="30"/>
      <c r="H16" s="33"/>
      <c r="I16" s="30"/>
      <c r="J16" s="30"/>
      <c r="K16" s="30"/>
      <c r="L16" s="30"/>
      <c r="M16" s="30"/>
    </row>
    <row r="17" ht="20.05" customHeight="1">
      <c r="A17" s="39"/>
      <c r="B17" s="54"/>
      <c r="C17" s="27"/>
      <c r="D17" s="27"/>
      <c r="E17" s="30"/>
      <c r="F17" s="30"/>
      <c r="G17" s="30"/>
      <c r="H17" s="33"/>
      <c r="I17" s="30"/>
      <c r="J17" s="30"/>
      <c r="K17" s="30"/>
      <c r="L17" s="30"/>
      <c r="M17" s="30"/>
    </row>
    <row r="18" ht="68.05" customHeight="1">
      <c r="A18" s="39"/>
      <c r="B18" s="54"/>
      <c r="C18" t="s" s="55">
        <v>49</v>
      </c>
      <c r="D18" s="27"/>
      <c r="E18" s="30"/>
      <c r="F18" t="s" s="55">
        <v>10</v>
      </c>
      <c r="G18" t="s" s="55">
        <v>8</v>
      </c>
      <c r="H18" s="33"/>
      <c r="I18" s="28">
        <v>1770</v>
      </c>
      <c r="J18" s="28">
        <v>1870</v>
      </c>
      <c r="K18" s="28">
        <v>2018</v>
      </c>
      <c r="L18" s="28">
        <v>2100</v>
      </c>
      <c r="M18" s="28">
        <v>2200</v>
      </c>
    </row>
    <row r="19" ht="44.05" customHeight="1">
      <c r="A19" t="s" s="56">
        <v>52</v>
      </c>
      <c r="B19" s="54"/>
      <c r="C19" s="27">
        <f>1200</f>
        <v>1200</v>
      </c>
      <c r="D19" s="27"/>
      <c r="E19" s="30"/>
      <c r="F19" s="57">
        <f>$B$38*G19</f>
        <v>2e-06</v>
      </c>
      <c r="G19" s="57">
        <v>1e-06</v>
      </c>
      <c r="H19" s="33"/>
      <c r="I19" s="30"/>
      <c r="J19" s="30"/>
      <c r="K19" s="30"/>
      <c r="L19" s="30"/>
      <c r="M19" s="30"/>
    </row>
    <row r="20" ht="32.05" customHeight="1">
      <c r="A20" t="s" s="56">
        <v>53</v>
      </c>
      <c r="B20" s="54"/>
      <c r="C20" s="27">
        <f>B29</f>
        <v>922.864201561407</v>
      </c>
      <c r="D20" s="27"/>
      <c r="E20" s="30"/>
      <c r="F20" s="26">
        <f>$B$38*G20</f>
        <v>0.000254046684015632</v>
      </c>
      <c r="G20" s="26">
        <v>0.000127023342007816</v>
      </c>
      <c r="H20" s="33"/>
      <c r="I20" s="30"/>
      <c r="J20" s="30"/>
      <c r="K20" s="30"/>
      <c r="L20" s="30"/>
      <c r="M20" s="30"/>
    </row>
    <row r="21" ht="20.05" customHeight="1">
      <c r="A21" t="s" s="56">
        <v>54</v>
      </c>
      <c r="B21" s="54"/>
      <c r="C21" s="27">
        <f>B30</f>
        <v>1009.8</v>
      </c>
      <c r="D21" s="27"/>
      <c r="E21" s="30"/>
      <c r="F21" s="58">
        <f>$B$38*G21</f>
        <v>0.00122</v>
      </c>
      <c r="G21" s="58">
        <v>0.00061</v>
      </c>
      <c r="H21" s="33"/>
      <c r="I21" s="30"/>
      <c r="J21" s="30"/>
      <c r="K21" s="30"/>
      <c r="L21" s="30"/>
      <c r="M21" s="30"/>
    </row>
    <row r="22" ht="32.05" customHeight="1">
      <c r="A22" t="s" s="56">
        <v>55</v>
      </c>
      <c r="B22" s="54"/>
      <c r="C22" s="27">
        <f>B31</f>
        <v>965.507881710698</v>
      </c>
      <c r="D22" s="27"/>
      <c r="E22" s="30"/>
      <c r="F22" s="26">
        <f>$B$38*G22</f>
        <v>0.000727865352341084</v>
      </c>
      <c r="G22" s="26">
        <f>(H9+H8+1.5*H7)/4.5</f>
        <v>0.000363932676170542</v>
      </c>
      <c r="H22" s="33"/>
      <c r="I22" s="30"/>
      <c r="J22" s="30"/>
      <c r="K22" s="30"/>
      <c r="L22" s="30"/>
      <c r="M22" s="30"/>
    </row>
    <row r="23" ht="32.05" customHeight="1">
      <c r="A23" t="s" s="56">
        <v>56</v>
      </c>
      <c r="B23" s="54"/>
      <c r="C23" s="27">
        <f>B32</f>
        <v>1168.935499677490</v>
      </c>
      <c r="D23" s="27"/>
      <c r="E23" s="30"/>
      <c r="F23" s="26">
        <f>$B$38*G23</f>
        <v>0.00298817221863876</v>
      </c>
      <c r="G23" s="26">
        <v>0.00149408610931938</v>
      </c>
      <c r="H23" s="33"/>
      <c r="I23" s="28">
        <v>750</v>
      </c>
      <c r="J23" s="38">
        <f>I23*EXP($F23*(J18-I18)/2)</f>
        <v>870.860512341556</v>
      </c>
      <c r="K23" s="38">
        <f>J23*EXP($F23*(K18-J18))</f>
        <v>1355.236566395420</v>
      </c>
      <c r="L23" s="38">
        <f>K23*EXP($F23*(L18-K18))</f>
        <v>1731.531277937010</v>
      </c>
      <c r="M23" s="38">
        <f>L23*EXP($F23*(M18-L18))</f>
        <v>2334.559846146370</v>
      </c>
    </row>
    <row r="24" ht="32.05" customHeight="1">
      <c r="A24" t="s" s="56">
        <v>57</v>
      </c>
      <c r="B24" s="54"/>
      <c r="C24" s="27">
        <f>B33</f>
        <v>1695.739055621040</v>
      </c>
      <c r="D24" s="27"/>
      <c r="E24" s="30"/>
      <c r="F24" s="26">
        <f>$B$38*G24</f>
        <v>0.00884154506245604</v>
      </c>
      <c r="G24" s="26">
        <v>0.00442077253122802</v>
      </c>
      <c r="H24" s="33"/>
      <c r="I24" s="30"/>
      <c r="J24" s="28">
        <v>1300</v>
      </c>
      <c r="K24" s="38">
        <f>J24*EXP($F24*(K18-J18)/2)</f>
        <v>2500.869819319750</v>
      </c>
      <c r="L24" s="38">
        <f>K24*EXP($F24*(L18-K18))</f>
        <v>5163.658264120250</v>
      </c>
      <c r="M24" s="38">
        <f>L24*EXP($F24*(M18-L18))</f>
        <v>12500.8894834955</v>
      </c>
    </row>
    <row r="25" ht="20.05" customHeight="1">
      <c r="A25" t="s" s="56">
        <v>58</v>
      </c>
      <c r="B25" s="54"/>
      <c r="C25" s="27">
        <f>B34</f>
        <v>4610.626979979470</v>
      </c>
      <c r="D25" s="27"/>
      <c r="E25" s="30"/>
      <c r="F25" s="26">
        <f>$B$38*G25</f>
        <v>0.0412291886664386</v>
      </c>
      <c r="G25" s="26">
        <v>0.0206145943332193</v>
      </c>
      <c r="H25" s="33"/>
      <c r="I25" s="30"/>
      <c r="J25" s="30"/>
      <c r="K25" s="30"/>
      <c r="L25" s="30"/>
      <c r="M25" s="30"/>
    </row>
    <row r="26" ht="20.05" customHeight="1">
      <c r="A26" s="39"/>
      <c r="B26" s="54"/>
      <c r="C26" s="27"/>
      <c r="D26" s="27"/>
      <c r="E26" s="30"/>
      <c r="F26" s="30"/>
      <c r="G26" s="30"/>
      <c r="H26" t="s" s="37">
        <v>59</v>
      </c>
      <c r="I26" s="38">
        <v>13363.0391183955</v>
      </c>
      <c r="J26" s="38">
        <f>I26*EXP($G23*(J18-I18))</f>
        <v>15516.4574574482</v>
      </c>
      <c r="K26" s="38">
        <f>J26*EXP($G23*(K18-J18))</f>
        <v>19356.4554005704</v>
      </c>
      <c r="L26" s="38">
        <f>K26*EXP($G23*(L18-K18))</f>
        <v>21879.3011570143</v>
      </c>
      <c r="M26" s="38">
        <f>L26*EXP($G23*(M18-L18))</f>
        <v>25405.0925536969</v>
      </c>
    </row>
    <row r="27" ht="20.05" customHeight="1">
      <c r="A27" s="39"/>
      <c r="B27" t="s" s="59">
        <v>60</v>
      </c>
      <c r="C27" s="30"/>
      <c r="D27" s="27"/>
      <c r="E27" s="30"/>
      <c r="F27" s="30"/>
      <c r="G27" s="30"/>
      <c r="H27" t="s" s="37">
        <v>61</v>
      </c>
      <c r="I27" s="30"/>
      <c r="J27" s="38">
        <v>23144.5005344326</v>
      </c>
      <c r="K27" s="38">
        <f>J27*EXP($G24*(K18-J18))</f>
        <v>44524.140669071</v>
      </c>
      <c r="L27" s="38">
        <f>K27*EXP($G24*(L18-K18))</f>
        <v>63977.7186459348</v>
      </c>
      <c r="M27" s="38">
        <f>L27*EXP($G24*(M18-L18))</f>
        <v>99545.231589372794</v>
      </c>
    </row>
    <row r="28" ht="32.05" customHeight="1">
      <c r="A28" s="39"/>
      <c r="B28" t="s" s="60">
        <v>62</v>
      </c>
      <c r="C28" t="s" s="37">
        <v>63</v>
      </c>
      <c r="D28" s="27"/>
      <c r="E28" s="30"/>
      <c r="F28" s="30"/>
      <c r="G28" s="30"/>
      <c r="H28" t="s" s="37">
        <v>64</v>
      </c>
      <c r="I28" s="38">
        <v>13363.0391183955</v>
      </c>
      <c r="J28" s="38">
        <v>23144.5005344326</v>
      </c>
      <c r="K28" s="38">
        <v>764400.895818392</v>
      </c>
      <c r="L28" s="28">
        <f>K28*EXP($G25*(L18-K18))</f>
        <v>4144299.76987365</v>
      </c>
      <c r="M28" s="26">
        <f>L28*EXP($G25*(M18-L18))</f>
        <v>32563540.5330516</v>
      </c>
    </row>
    <row r="29" ht="20.05" customHeight="1">
      <c r="A29" s="39"/>
      <c r="B29" s="61">
        <f>$B$39*(C29/$B$37+1)</f>
        <v>922.864201561407</v>
      </c>
      <c r="C29" s="26">
        <f>F20</f>
        <v>0.000254046684015632</v>
      </c>
      <c r="D29" t="s" s="37">
        <v>65</v>
      </c>
      <c r="E29" s="30"/>
      <c r="F29" s="30"/>
      <c r="G29" s="30"/>
      <c r="H29" s="33"/>
      <c r="I29" s="30"/>
      <c r="J29" s="30"/>
      <c r="K29" s="30"/>
      <c r="L29" s="30"/>
      <c r="M29" s="30"/>
    </row>
    <row r="30" ht="20.05" customHeight="1">
      <c r="A30" s="39"/>
      <c r="B30" s="61">
        <f>$B$39*(C30/$B$37+1)</f>
        <v>1009.8</v>
      </c>
      <c r="C30" s="26">
        <f>F21</f>
        <v>0.00122</v>
      </c>
      <c r="D30" t="s" s="37">
        <v>66</v>
      </c>
      <c r="E30" s="30"/>
      <c r="F30" s="30"/>
      <c r="G30" s="30"/>
      <c r="H30" s="33"/>
      <c r="I30" s="30"/>
      <c r="J30" s="30"/>
      <c r="K30" s="30"/>
      <c r="L30" s="30"/>
      <c r="M30" s="30"/>
    </row>
    <row r="31" ht="20.05" customHeight="1">
      <c r="A31" s="39"/>
      <c r="B31" s="61">
        <f>$B$39*(C31/$B$37+1)</f>
        <v>965.507881710698</v>
      </c>
      <c r="C31" s="26">
        <f>F22</f>
        <v>0.000727865352341084</v>
      </c>
      <c r="D31" t="s" s="37">
        <v>67</v>
      </c>
      <c r="E31" s="30"/>
      <c r="F31" s="30"/>
      <c r="G31" s="30"/>
      <c r="H31" s="33"/>
      <c r="I31" s="30"/>
      <c r="J31" s="30"/>
      <c r="K31" s="30"/>
      <c r="L31" s="30"/>
      <c r="M31" s="30"/>
    </row>
    <row r="32" ht="20.05" customHeight="1">
      <c r="A32" s="39"/>
      <c r="B32" s="61">
        <f>$B$39*(C32/$B$37+1)</f>
        <v>1168.935499677490</v>
      </c>
      <c r="C32" s="26">
        <f>F23</f>
        <v>0.00298817221863876</v>
      </c>
      <c r="D32" t="s" s="37">
        <v>68</v>
      </c>
      <c r="E32" s="30"/>
      <c r="F32" s="30"/>
      <c r="G32" s="30"/>
      <c r="H32" s="33"/>
      <c r="I32" s="30"/>
      <c r="J32" s="30"/>
      <c r="K32" s="30"/>
      <c r="L32" s="30"/>
      <c r="M32" s="30"/>
    </row>
    <row r="33" ht="20.05" customHeight="1">
      <c r="A33" s="39"/>
      <c r="B33" s="61">
        <f>$B$39*(C33/$B$37+1)</f>
        <v>1695.739055621040</v>
      </c>
      <c r="C33" s="26">
        <f>F24</f>
        <v>0.00884154506245604</v>
      </c>
      <c r="D33" t="s" s="37">
        <v>69</v>
      </c>
      <c r="E33" s="30"/>
      <c r="F33" s="30"/>
      <c r="G33" s="30"/>
      <c r="H33" s="33"/>
      <c r="I33" s="30"/>
      <c r="J33" s="30"/>
      <c r="K33" s="30"/>
      <c r="L33" s="30"/>
      <c r="M33" s="30"/>
    </row>
    <row r="34" ht="20.05" customHeight="1">
      <c r="A34" s="39"/>
      <c r="B34" s="61">
        <f>$B$39*(C34/$B$37+1)</f>
        <v>4610.626979979470</v>
      </c>
      <c r="C34" s="26">
        <f>F25</f>
        <v>0.0412291886664386</v>
      </c>
      <c r="D34" t="s" s="37">
        <v>70</v>
      </c>
      <c r="E34" s="30"/>
      <c r="F34" s="30"/>
      <c r="G34" s="30"/>
      <c r="H34" s="33"/>
      <c r="I34" s="30"/>
      <c r="J34" s="30"/>
      <c r="K34" s="30"/>
      <c r="L34" s="30"/>
      <c r="M34" s="30"/>
    </row>
    <row r="35" ht="20.05" customHeight="1">
      <c r="A35" s="39"/>
      <c r="B35" s="54"/>
      <c r="C35" s="27"/>
      <c r="D35" s="27"/>
      <c r="E35" s="30"/>
      <c r="F35" s="30"/>
      <c r="G35" s="30"/>
      <c r="H35" s="33"/>
      <c r="I35" s="30"/>
      <c r="J35" s="30"/>
      <c r="K35" s="30"/>
      <c r="L35" s="30"/>
      <c r="M35" s="30"/>
    </row>
    <row r="36" ht="20.05" customHeight="1">
      <c r="A36" s="39"/>
      <c r="B36" s="54"/>
      <c r="C36" s="27"/>
      <c r="D36" s="27"/>
      <c r="E36" s="30"/>
      <c r="F36" s="30"/>
      <c r="G36" s="30"/>
      <c r="H36" s="33"/>
      <c r="I36" s="30"/>
      <c r="J36" s="30"/>
      <c r="K36" s="30"/>
      <c r="L36" s="30"/>
      <c r="M36" s="30"/>
    </row>
    <row r="37" ht="20.05" customHeight="1">
      <c r="A37" t="s" s="56">
        <v>71</v>
      </c>
      <c r="B37" s="52">
        <v>0.01</v>
      </c>
      <c r="C37" s="27"/>
      <c r="D37" s="27"/>
      <c r="E37" s="30"/>
      <c r="F37" s="30"/>
      <c r="G37" s="30"/>
      <c r="H37" s="33"/>
      <c r="I37" s="30"/>
      <c r="J37" s="30"/>
      <c r="K37" s="30"/>
      <c r="L37" s="30"/>
      <c r="M37" s="30"/>
    </row>
    <row r="38" ht="20.05" customHeight="1">
      <c r="A38" t="s" s="56">
        <v>72</v>
      </c>
      <c r="B38" s="52">
        <v>2</v>
      </c>
      <c r="C38" s="27"/>
      <c r="D38" s="27"/>
      <c r="E38" s="30"/>
      <c r="F38" s="30"/>
      <c r="G38" s="30"/>
      <c r="H38" s="33"/>
      <c r="I38" s="30"/>
      <c r="J38" s="30"/>
      <c r="K38" s="30"/>
      <c r="L38" s="30"/>
      <c r="M38" s="30"/>
    </row>
    <row r="39" ht="20.05" customHeight="1">
      <c r="A39" t="s" s="56">
        <v>73</v>
      </c>
      <c r="B39" s="52">
        <v>900</v>
      </c>
      <c r="C39" s="27"/>
      <c r="D39" s="27"/>
      <c r="E39" s="30"/>
      <c r="F39" s="30"/>
      <c r="G39" s="30"/>
      <c r="H39" s="33"/>
      <c r="I39" s="30"/>
      <c r="J39" s="30"/>
      <c r="K39" s="30"/>
      <c r="L39" s="30"/>
      <c r="M39" s="30"/>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M3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4.8438" style="62" customWidth="1"/>
    <col min="2" max="4" width="12.3203" style="62" customWidth="1"/>
    <col min="5" max="5" width="3.54688" style="62" customWidth="1"/>
    <col min="6" max="8" width="12.3203" style="62" customWidth="1"/>
    <col min="9" max="13" width="16.3516" style="62" customWidth="1"/>
    <col min="14" max="16384" width="16.3516" style="62" customWidth="1"/>
  </cols>
  <sheetData>
    <row r="1" ht="50.1" customHeight="1">
      <c r="A1" t="s" s="50">
        <v>74</v>
      </c>
      <c r="B1" s="50"/>
      <c r="C1" s="50"/>
      <c r="D1" s="50"/>
      <c r="E1" s="50"/>
      <c r="F1" s="50"/>
      <c r="G1" s="50"/>
      <c r="H1" s="50"/>
      <c r="I1" s="50"/>
      <c r="J1" s="50"/>
      <c r="K1" s="50"/>
      <c r="L1" s="50"/>
      <c r="M1" s="50"/>
    </row>
    <row r="2" ht="68.25" customHeight="1">
      <c r="A2" t="s" s="8">
        <v>7</v>
      </c>
      <c r="B2" t="s" s="8">
        <v>48</v>
      </c>
      <c r="C2" t="s" s="8">
        <v>49</v>
      </c>
      <c r="D2" t="s" s="8">
        <v>50</v>
      </c>
      <c r="E2" s="9"/>
      <c r="F2" t="s" s="8">
        <v>10</v>
      </c>
      <c r="G2" t="s" s="8">
        <v>9</v>
      </c>
      <c r="H2" t="s" s="8">
        <v>8</v>
      </c>
      <c r="I2" s="10"/>
      <c r="J2" t="s" s="8">
        <v>51</v>
      </c>
      <c r="K2" s="9"/>
      <c r="L2" t="s" s="8">
        <v>16</v>
      </c>
      <c r="M2" s="9"/>
    </row>
    <row r="3" ht="20.25" customHeight="1">
      <c r="A3" s="11">
        <v>-48000</v>
      </c>
      <c r="B3" s="51">
        <v>1</v>
      </c>
      <c r="C3" s="14">
        <v>1200</v>
      </c>
      <c r="D3" s="14">
        <f>B3*C3/1000</f>
        <v>1.2</v>
      </c>
      <c r="E3" s="17"/>
      <c r="F3" s="13"/>
      <c r="G3" s="13"/>
      <c r="H3" s="20"/>
      <c r="I3" s="18"/>
      <c r="J3" s="19"/>
      <c r="K3" s="20"/>
      <c r="L3" t="s" s="21">
        <v>19</v>
      </c>
      <c r="M3" s="22"/>
    </row>
    <row r="4" ht="20.05" customHeight="1">
      <c r="A4" s="24">
        <v>-8000</v>
      </c>
      <c r="B4" s="52">
        <v>3</v>
      </c>
      <c r="C4" s="27">
        <v>1200</v>
      </c>
      <c r="D4" s="27">
        <f>B4*C4/1000</f>
        <v>3.6</v>
      </c>
      <c r="E4" s="30"/>
      <c r="F4" s="26">
        <f>LN(B4/B3)/($A4-$A3)</f>
        <v>2.74653072167027e-05</v>
      </c>
      <c r="G4" s="26">
        <f>LN(C4/C3)/($A4-$A3)</f>
        <v>0</v>
      </c>
      <c r="H4" s="33">
        <f>(F4/2+G4)</f>
        <v>1.37326536083514e-05</v>
      </c>
      <c r="I4" s="31"/>
      <c r="J4" s="32">
        <f>(D4+D3)*($A4-$A3)/2/1000</f>
        <v>96</v>
      </c>
      <c r="K4" s="33"/>
      <c r="L4" t="s" s="34">
        <v>21</v>
      </c>
      <c r="M4" s="35"/>
    </row>
    <row r="5" ht="18.95" customHeight="1">
      <c r="A5" s="24">
        <v>-3000</v>
      </c>
      <c r="B5" s="52">
        <v>15</v>
      </c>
      <c r="C5" s="27">
        <v>900</v>
      </c>
      <c r="D5" s="27">
        <f>B5*C5/1000</f>
        <v>13.5</v>
      </c>
      <c r="E5" s="30"/>
      <c r="F5" s="26">
        <f>LN(B5/B4)/($A5-$A4)</f>
        <v>0.00032188758248682</v>
      </c>
      <c r="G5" s="26">
        <f>LN(C5/C4)/($A5-$A4)</f>
        <v>-5.75364144903562e-05</v>
      </c>
      <c r="H5" s="33">
        <f>(F5/2+G5)</f>
        <v>0.000103407376753054</v>
      </c>
      <c r="I5" s="31"/>
      <c r="J5" s="32">
        <f>(D5+D4)*($A5-$A4)/2/1000</f>
        <v>42.75</v>
      </c>
      <c r="K5" s="33"/>
      <c r="L5" t="s" s="37">
        <v>22</v>
      </c>
      <c r="M5" s="30"/>
    </row>
    <row r="6" ht="17.8" customHeight="1">
      <c r="A6" s="24">
        <v>-1000</v>
      </c>
      <c r="B6" s="52">
        <v>50</v>
      </c>
      <c r="C6" s="27">
        <v>900</v>
      </c>
      <c r="D6" s="27">
        <f>B6*C6/1000</f>
        <v>45</v>
      </c>
      <c r="E6" s="30"/>
      <c r="F6" s="26">
        <f>LN(B6/B5)/($A6-$A5)</f>
        <v>0.000601986402162968</v>
      </c>
      <c r="G6" s="26">
        <f>LN(C6/C5)/($A6-$A5)</f>
        <v>0</v>
      </c>
      <c r="H6" s="33">
        <f>(F6/2+G6)</f>
        <v>0.000300993201081484</v>
      </c>
      <c r="I6" s="31"/>
      <c r="J6" s="32">
        <f>(D6+D5)*($A6-$A5)/2/1000</f>
        <v>58.5</v>
      </c>
      <c r="K6" s="33"/>
      <c r="L6" t="s" s="37">
        <v>23</v>
      </c>
      <c r="M6" s="30"/>
    </row>
    <row r="7" ht="20.05" customHeight="1">
      <c r="A7" s="24">
        <v>0</v>
      </c>
      <c r="B7" s="52">
        <v>170</v>
      </c>
      <c r="C7" s="27">
        <v>900</v>
      </c>
      <c r="D7" s="27">
        <f>B7*C7/1000</f>
        <v>153</v>
      </c>
      <c r="E7" s="30"/>
      <c r="F7" s="26">
        <f>LN(B7/B6)/($A7-$A6)</f>
        <v>0.00122377543162212</v>
      </c>
      <c r="G7" s="26">
        <f>LN(C7/C6)/($A7-$A6)</f>
        <v>0</v>
      </c>
      <c r="H7" s="33">
        <f>(F7/2+G7)</f>
        <v>0.00061188771581106</v>
      </c>
      <c r="I7" s="31"/>
      <c r="J7" s="32">
        <f>(D7+D6)*($A7-$A6)/2/1000</f>
        <v>99</v>
      </c>
      <c r="K7" s="33"/>
      <c r="L7" t="s" s="34">
        <v>24</v>
      </c>
      <c r="M7" s="35"/>
    </row>
    <row r="8" ht="20.05" customHeight="1">
      <c r="A8" s="24">
        <v>800</v>
      </c>
      <c r="B8" s="52">
        <v>300</v>
      </c>
      <c r="C8" s="27">
        <v>900</v>
      </c>
      <c r="D8" s="27">
        <f>B8*C8/1000</f>
        <v>270</v>
      </c>
      <c r="E8" s="30"/>
      <c r="F8" s="26">
        <f>LN(B8/B7)/($A8-$A7)</f>
        <v>0.000709980047007424</v>
      </c>
      <c r="G8" s="26">
        <f>LN(C8/C7)/($A8-$A7)</f>
        <v>0</v>
      </c>
      <c r="H8" s="33">
        <f>(F8/2+G8)</f>
        <v>0.000354990023503712</v>
      </c>
      <c r="I8" s="31"/>
      <c r="J8" s="32">
        <f>(D8+D7)*($A8-$A7)/2/1000</f>
        <v>169.2</v>
      </c>
      <c r="K8" s="33"/>
      <c r="L8" t="s" s="34">
        <v>25</v>
      </c>
      <c r="M8" s="35"/>
    </row>
    <row r="9" ht="20.05" customHeight="1">
      <c r="A9" s="24">
        <v>1500</v>
      </c>
      <c r="B9" s="52">
        <v>500</v>
      </c>
      <c r="C9" s="27">
        <v>900</v>
      </c>
      <c r="D9" s="27">
        <f>B9*C9/1000</f>
        <v>450</v>
      </c>
      <c r="E9" s="30"/>
      <c r="F9" s="26">
        <f>LN(B9/B8)/($A9-$A8)</f>
        <v>0.000729750891094272</v>
      </c>
      <c r="G9" s="26">
        <f>LN(C9/C8)/($A9-$A8)</f>
        <v>0</v>
      </c>
      <c r="H9" s="33">
        <f>(F9/2+G9)</f>
        <v>0.000364875445547136</v>
      </c>
      <c r="I9" s="31"/>
      <c r="J9" s="32">
        <f>(D9+D8)*($A9-$A8)/2/1000</f>
        <v>252</v>
      </c>
      <c r="K9" s="33"/>
      <c r="L9" t="s" s="34">
        <v>26</v>
      </c>
      <c r="M9" s="35"/>
    </row>
    <row r="10" ht="20.05" customHeight="1">
      <c r="A10" s="24">
        <v>1770</v>
      </c>
      <c r="B10" s="52">
        <v>750</v>
      </c>
      <c r="C10" s="27">
        <v>1100</v>
      </c>
      <c r="D10" s="27">
        <f>B10*C10/1000</f>
        <v>825</v>
      </c>
      <c r="E10" s="30"/>
      <c r="F10" s="26">
        <f>LN(B10/B9)/($A10-$A9)</f>
        <v>0.00150172262262283</v>
      </c>
      <c r="G10" s="26">
        <f>LN(C10/C9)/($A10-$A9)</f>
        <v>0.000743224798007968</v>
      </c>
      <c r="H10" s="33">
        <f>(F10/2+G10)</f>
        <v>0.00149408610931938</v>
      </c>
      <c r="I10" s="31"/>
      <c r="J10" s="32">
        <f>(D10+D9)*($A10-$A9)/2/1000</f>
        <v>172.125</v>
      </c>
      <c r="K10" s="33"/>
      <c r="L10" t="s" s="34">
        <v>27</v>
      </c>
      <c r="M10" s="35"/>
    </row>
    <row r="11" ht="20.05" customHeight="1">
      <c r="A11" s="24">
        <v>1870</v>
      </c>
      <c r="B11" s="53">
        <v>895.4</v>
      </c>
      <c r="C11" s="27">
        <f>C23</f>
        <v>1168.935499677490</v>
      </c>
      <c r="D11" s="27">
        <f>B11*C11/1000</f>
        <v>1046.664846411220</v>
      </c>
      <c r="E11" s="30"/>
      <c r="F11" s="26">
        <f>LN(B11/B10)/($A11-$A10)</f>
        <v>0.00177197339276509</v>
      </c>
      <c r="G11" s="26">
        <f>LN(C11/C10)/($A11-$A10)</f>
        <v>0.000607833255239309</v>
      </c>
      <c r="H11" s="33">
        <f>(F11/2+G11)</f>
        <v>0.00149381995162185</v>
      </c>
      <c r="I11" s="31"/>
      <c r="J11" s="32">
        <f>(D11+D10)*($A11-$A10)/2/1000</f>
        <v>93.583242320561</v>
      </c>
      <c r="K11" s="33"/>
      <c r="L11" t="s" s="34">
        <v>28</v>
      </c>
      <c r="M11" s="35"/>
    </row>
    <row r="12" ht="20.05" customHeight="1">
      <c r="A12" s="24">
        <v>2020</v>
      </c>
      <c r="B12" s="53">
        <f>EXP(($A12-$A11)*$F$23)*B11</f>
        <v>1401.7775356852</v>
      </c>
      <c r="C12" s="27">
        <f>C11</f>
        <v>1168.935499677490</v>
      </c>
      <c r="D12" s="27">
        <f>B12*C12/1000</f>
        <v>1638.587524112860</v>
      </c>
      <c r="E12" s="30"/>
      <c r="F12" s="26">
        <f>LN(B12/B11)/($A12-$A11)</f>
        <v>0.00298817221863874</v>
      </c>
      <c r="G12" s="26">
        <f>LN(C12/C11)/($A12-$A11)</f>
        <v>0</v>
      </c>
      <c r="H12" s="33">
        <f>(F12/2+G12)</f>
        <v>0.00149408610931937</v>
      </c>
      <c r="I12" s="31"/>
      <c r="J12" s="32">
        <f>(D12+D11)*($A12-$A11)/2/1000</f>
        <v>201.393927789306</v>
      </c>
      <c r="K12" s="33"/>
      <c r="L12" t="s" s="34">
        <v>29</v>
      </c>
      <c r="M12" s="35"/>
    </row>
    <row r="13" ht="20.05" customHeight="1">
      <c r="A13" s="24">
        <v>2100</v>
      </c>
      <c r="B13" s="53">
        <f>EXP(($A13-$A12)*$F$23)*B12</f>
        <v>1780.323122122130</v>
      </c>
      <c r="C13" s="27">
        <f>C12</f>
        <v>1168.935499677490</v>
      </c>
      <c r="D13" s="27">
        <f>B13*C13/1000</f>
        <v>2081.082898345220</v>
      </c>
      <c r="E13" s="30"/>
      <c r="F13" s="26">
        <f>LN(B13/B12)/($A13-$A12)</f>
        <v>0.00298817221863879</v>
      </c>
      <c r="G13" s="26">
        <f>LN(C13/C12)/($A13-$A12)</f>
        <v>0</v>
      </c>
      <c r="H13" s="33">
        <f>(F13/2+G13)</f>
        <v>0.0014940861093194</v>
      </c>
      <c r="I13" s="30"/>
      <c r="J13" s="30"/>
      <c r="K13" s="30"/>
      <c r="L13" s="30"/>
      <c r="M13" s="30"/>
    </row>
    <row r="14" ht="20.05" customHeight="1">
      <c r="A14" s="24">
        <v>2200</v>
      </c>
      <c r="B14" s="53">
        <f>EXP(($A14-$A13)*$F$23)*B13</f>
        <v>2400.344092556130</v>
      </c>
      <c r="C14" s="27">
        <f>C13</f>
        <v>1168.935499677490</v>
      </c>
      <c r="D14" s="27">
        <f>B14*C14/1000</f>
        <v>2805.847421230010</v>
      </c>
      <c r="E14" s="30"/>
      <c r="F14" s="26">
        <f>LN(B14/B13)/($A14-$A13)</f>
        <v>0.00298817221863876</v>
      </c>
      <c r="G14" s="26">
        <f>LN(C14/C13)/($A14-$A13)</f>
        <v>0</v>
      </c>
      <c r="H14" s="33">
        <f>(F14/2+G14)</f>
        <v>0.00149408610931938</v>
      </c>
      <c r="I14" s="30"/>
      <c r="J14" s="30"/>
      <c r="K14" s="30"/>
      <c r="L14" s="30"/>
      <c r="M14" s="30"/>
    </row>
    <row r="15" ht="20.05" customHeight="1">
      <c r="A15" s="39"/>
      <c r="B15" s="54"/>
      <c r="C15" s="27"/>
      <c r="D15" s="27"/>
      <c r="E15" s="30"/>
      <c r="F15" s="30"/>
      <c r="G15" s="30"/>
      <c r="H15" s="33"/>
      <c r="I15" s="30"/>
      <c r="J15" s="30"/>
      <c r="K15" s="30"/>
      <c r="L15" s="30"/>
      <c r="M15" s="30"/>
    </row>
    <row r="16" ht="20.05" customHeight="1">
      <c r="A16" s="39"/>
      <c r="B16" s="54"/>
      <c r="C16" s="27"/>
      <c r="D16" s="27"/>
      <c r="E16" s="30"/>
      <c r="F16" s="30"/>
      <c r="G16" s="30"/>
      <c r="H16" s="33"/>
      <c r="I16" s="30"/>
      <c r="J16" s="30"/>
      <c r="K16" s="30"/>
      <c r="L16" s="30"/>
      <c r="M16" s="30"/>
    </row>
    <row r="17" ht="20.05" customHeight="1">
      <c r="A17" s="39"/>
      <c r="B17" s="54"/>
      <c r="C17" s="27"/>
      <c r="D17" s="27"/>
      <c r="E17" s="30"/>
      <c r="F17" s="30"/>
      <c r="G17" s="30"/>
      <c r="H17" s="33"/>
      <c r="I17" s="30"/>
      <c r="J17" s="30"/>
      <c r="K17" s="30"/>
      <c r="L17" s="30"/>
      <c r="M17" s="30"/>
    </row>
    <row r="18" ht="68.05" customHeight="1">
      <c r="A18" s="39"/>
      <c r="B18" s="54"/>
      <c r="C18" t="s" s="55">
        <v>49</v>
      </c>
      <c r="D18" s="27"/>
      <c r="E18" s="30"/>
      <c r="F18" t="s" s="55">
        <v>10</v>
      </c>
      <c r="G18" t="s" s="55">
        <v>8</v>
      </c>
      <c r="H18" s="33"/>
      <c r="I18" s="28">
        <v>1770</v>
      </c>
      <c r="J18" s="28">
        <v>1870</v>
      </c>
      <c r="K18" s="28">
        <v>2018</v>
      </c>
      <c r="L18" s="28">
        <v>2100</v>
      </c>
      <c r="M18" s="28">
        <v>2200</v>
      </c>
    </row>
    <row r="19" ht="32.05" customHeight="1">
      <c r="A19" t="s" s="56">
        <v>52</v>
      </c>
      <c r="B19" s="54"/>
      <c r="C19" s="27">
        <f>1200</f>
        <v>1200</v>
      </c>
      <c r="D19" s="27"/>
      <c r="E19" s="30"/>
      <c r="F19" s="57">
        <f>$B$38*G19</f>
        <v>2e-06</v>
      </c>
      <c r="G19" s="57">
        <v>1e-06</v>
      </c>
      <c r="H19" s="33"/>
      <c r="I19" s="30"/>
      <c r="J19" s="30"/>
      <c r="K19" s="30"/>
      <c r="L19" s="30"/>
      <c r="M19" s="30"/>
    </row>
    <row r="20" ht="20.05" customHeight="1">
      <c r="A20" t="s" s="56">
        <v>53</v>
      </c>
      <c r="B20" s="54"/>
      <c r="C20" s="27">
        <f>B29</f>
        <v>922.864201561407</v>
      </c>
      <c r="D20" s="27"/>
      <c r="E20" s="30"/>
      <c r="F20" s="26">
        <f>$B$38*G20</f>
        <v>0.000254046684015632</v>
      </c>
      <c r="G20" s="26">
        <v>0.000127023342007816</v>
      </c>
      <c r="H20" s="33"/>
      <c r="I20" s="30"/>
      <c r="J20" s="30"/>
      <c r="K20" s="30"/>
      <c r="L20" s="30"/>
      <c r="M20" s="30"/>
    </row>
    <row r="21" ht="20.05" customHeight="1">
      <c r="A21" t="s" s="56">
        <v>54</v>
      </c>
      <c r="B21" s="54"/>
      <c r="C21" s="27">
        <f>B30</f>
        <v>1009.8</v>
      </c>
      <c r="D21" s="27"/>
      <c r="E21" s="30"/>
      <c r="F21" s="58">
        <f>$B$38*G21</f>
        <v>0.00122</v>
      </c>
      <c r="G21" s="58">
        <v>0.00061</v>
      </c>
      <c r="H21" s="33"/>
      <c r="I21" s="30"/>
      <c r="J21" s="30"/>
      <c r="K21" s="30"/>
      <c r="L21" s="30"/>
      <c r="M21" s="30"/>
    </row>
    <row r="22" ht="20.05" customHeight="1">
      <c r="A22" t="s" s="56">
        <v>55</v>
      </c>
      <c r="B22" s="54"/>
      <c r="C22" s="27">
        <f>B31</f>
        <v>950.4</v>
      </c>
      <c r="D22" s="27"/>
      <c r="E22" s="30"/>
      <c r="F22" s="58">
        <f>$B$38*G22</f>
        <v>0.00056</v>
      </c>
      <c r="G22" s="58">
        <v>0.00028</v>
      </c>
      <c r="H22" s="33"/>
      <c r="I22" s="30"/>
      <c r="J22" s="30"/>
      <c r="K22" s="30"/>
      <c r="L22" s="30"/>
      <c r="M22" s="30"/>
    </row>
    <row r="23" ht="32.05" customHeight="1">
      <c r="A23" t="s" s="56">
        <v>56</v>
      </c>
      <c r="B23" s="54"/>
      <c r="C23" s="27">
        <f>B32</f>
        <v>1168.935499677490</v>
      </c>
      <c r="D23" s="27"/>
      <c r="E23" s="30"/>
      <c r="F23" s="26">
        <f>$B$38*G23</f>
        <v>0.00298817221863876</v>
      </c>
      <c r="G23" s="26">
        <v>0.00149408610931938</v>
      </c>
      <c r="H23" s="33"/>
      <c r="I23" s="28">
        <v>750</v>
      </c>
      <c r="J23" s="38">
        <f>I23*EXP($F23*(J18-I18)/2)</f>
        <v>870.860512341556</v>
      </c>
      <c r="K23" s="38">
        <f>J23*EXP($F23*(K18-J18))</f>
        <v>1355.236566395420</v>
      </c>
      <c r="L23" s="38">
        <f>K23*EXP($F23*(L18-K18))</f>
        <v>1731.531277937010</v>
      </c>
      <c r="M23" s="38">
        <f>L23*EXP($F23*(M18-L18))</f>
        <v>2334.559846146370</v>
      </c>
    </row>
    <row r="24" ht="20.05" customHeight="1">
      <c r="A24" t="s" s="56">
        <v>57</v>
      </c>
      <c r="B24" s="54"/>
      <c r="C24" s="27">
        <f>B33</f>
        <v>1695.739055621040</v>
      </c>
      <c r="D24" s="27"/>
      <c r="E24" s="30"/>
      <c r="F24" s="26">
        <f>$B$38*G24</f>
        <v>0.00884154506245604</v>
      </c>
      <c r="G24" s="26">
        <v>0.00442077253122802</v>
      </c>
      <c r="H24" s="33"/>
      <c r="I24" s="30"/>
      <c r="J24" s="28">
        <v>1300</v>
      </c>
      <c r="K24" s="38">
        <f>J24*EXP($F24*(K18-J18)/2)</f>
        <v>2500.869819319750</v>
      </c>
      <c r="L24" s="38">
        <f>K24*EXP($F24*(L18-K18))</f>
        <v>5163.658264120250</v>
      </c>
      <c r="M24" s="38">
        <f>L24*EXP($F24*(M18-L18))</f>
        <v>12500.8894834955</v>
      </c>
    </row>
    <row r="25" ht="20.05" customHeight="1">
      <c r="A25" t="s" s="56">
        <v>58</v>
      </c>
      <c r="B25" s="54"/>
      <c r="C25" s="27">
        <f>B34</f>
        <v>4610.626979979470</v>
      </c>
      <c r="D25" s="27"/>
      <c r="E25" s="30"/>
      <c r="F25" s="26">
        <f>$B$38*G25</f>
        <v>0.0412291886664386</v>
      </c>
      <c r="G25" s="26">
        <v>0.0206145943332193</v>
      </c>
      <c r="H25" s="33"/>
      <c r="I25" s="30"/>
      <c r="J25" s="30"/>
      <c r="K25" s="30"/>
      <c r="L25" s="30"/>
      <c r="M25" s="30"/>
    </row>
    <row r="26" ht="20.05" customHeight="1">
      <c r="A26" s="39"/>
      <c r="B26" s="54"/>
      <c r="C26" s="27"/>
      <c r="D26" s="27"/>
      <c r="E26" s="30"/>
      <c r="F26" s="30"/>
      <c r="G26" s="30"/>
      <c r="H26" t="s" s="37">
        <v>59</v>
      </c>
      <c r="I26" s="38">
        <v>13363.0391183955</v>
      </c>
      <c r="J26" s="38">
        <f>I26*EXP($G23*(J18-I18))</f>
        <v>15516.4574574482</v>
      </c>
      <c r="K26" s="38">
        <f>J26*EXP($G23*(K18-J18))</f>
        <v>19356.4554005704</v>
      </c>
      <c r="L26" s="38">
        <f>K26*EXP($G23*(L18-K18))</f>
        <v>21879.3011570143</v>
      </c>
      <c r="M26" s="38">
        <f>L26*EXP($G23*(M18-L18))</f>
        <v>25405.0925536969</v>
      </c>
    </row>
    <row r="27" ht="20.05" customHeight="1">
      <c r="A27" s="39"/>
      <c r="B27" t="s" s="59">
        <v>60</v>
      </c>
      <c r="C27" s="30"/>
      <c r="D27" s="27"/>
      <c r="E27" s="30"/>
      <c r="F27" s="30"/>
      <c r="G27" s="30"/>
      <c r="H27" t="s" s="37">
        <v>61</v>
      </c>
      <c r="I27" s="30"/>
      <c r="J27" s="38">
        <v>23144.5005344326</v>
      </c>
      <c r="K27" s="38">
        <f>J27*EXP($G24*(K18-J18))</f>
        <v>44524.140669071</v>
      </c>
      <c r="L27" s="38">
        <f>K27*EXP($G24*(L18-K18))</f>
        <v>63977.7186459348</v>
      </c>
      <c r="M27" s="38">
        <f>L27*EXP($G24*(M18-L18))</f>
        <v>99545.231589372794</v>
      </c>
    </row>
    <row r="28" ht="32.05" customHeight="1">
      <c r="A28" s="39"/>
      <c r="B28" t="s" s="60">
        <v>62</v>
      </c>
      <c r="C28" t="s" s="37">
        <v>63</v>
      </c>
      <c r="D28" s="27"/>
      <c r="E28" s="30"/>
      <c r="F28" s="30"/>
      <c r="G28" s="30"/>
      <c r="H28" t="s" s="37">
        <v>64</v>
      </c>
      <c r="I28" s="38">
        <v>13363.0391183955</v>
      </c>
      <c r="J28" s="38">
        <v>23144.5005344326</v>
      </c>
      <c r="K28" s="38">
        <v>764400.895818392</v>
      </c>
      <c r="L28" s="28">
        <f>K28*EXP($G25*(L18-K18))</f>
        <v>4144299.76987365</v>
      </c>
      <c r="M28" s="26">
        <f>L28*EXP($G25*(M18-L18))</f>
        <v>32563540.5330516</v>
      </c>
    </row>
    <row r="29" ht="20.05" customHeight="1">
      <c r="A29" s="39"/>
      <c r="B29" s="61">
        <f>$B$39*(C29/$B$37+1)</f>
        <v>922.864201561407</v>
      </c>
      <c r="C29" s="26">
        <f>F20</f>
        <v>0.000254046684015632</v>
      </c>
      <c r="D29" t="s" s="37">
        <v>65</v>
      </c>
      <c r="E29" s="30"/>
      <c r="F29" s="30"/>
      <c r="G29" s="30"/>
      <c r="H29" s="33"/>
      <c r="I29" s="30"/>
      <c r="J29" s="30"/>
      <c r="K29" s="30"/>
      <c r="L29" s="30"/>
      <c r="M29" s="30"/>
    </row>
    <row r="30" ht="20.05" customHeight="1">
      <c r="A30" s="39"/>
      <c r="B30" s="61">
        <f>$B$39*(C30/$B$37+1)</f>
        <v>1009.8</v>
      </c>
      <c r="C30" s="26">
        <f>F21</f>
        <v>0.00122</v>
      </c>
      <c r="D30" t="s" s="37">
        <v>66</v>
      </c>
      <c r="E30" s="30"/>
      <c r="F30" s="30"/>
      <c r="G30" s="30"/>
      <c r="H30" s="33"/>
      <c r="I30" s="30"/>
      <c r="J30" s="30"/>
      <c r="K30" s="30"/>
      <c r="L30" s="30"/>
      <c r="M30" s="30"/>
    </row>
    <row r="31" ht="20.05" customHeight="1">
      <c r="A31" s="39"/>
      <c r="B31" s="61">
        <f>$B$39*(C31/$B$37+1)</f>
        <v>950.4</v>
      </c>
      <c r="C31" s="26">
        <f>F22</f>
        <v>0.00056</v>
      </c>
      <c r="D31" t="s" s="37">
        <v>67</v>
      </c>
      <c r="E31" s="30"/>
      <c r="F31" s="30"/>
      <c r="G31" s="30"/>
      <c r="H31" s="33"/>
      <c r="I31" s="30"/>
      <c r="J31" s="30"/>
      <c r="K31" s="30"/>
      <c r="L31" s="30"/>
      <c r="M31" s="30"/>
    </row>
    <row r="32" ht="20.05" customHeight="1">
      <c r="A32" s="39"/>
      <c r="B32" s="61">
        <f>$B$39*(C32/$B$37+1)</f>
        <v>1168.935499677490</v>
      </c>
      <c r="C32" s="26">
        <f>F23</f>
        <v>0.00298817221863876</v>
      </c>
      <c r="D32" t="s" s="37">
        <v>68</v>
      </c>
      <c r="E32" s="30"/>
      <c r="F32" s="30"/>
      <c r="G32" s="30"/>
      <c r="H32" s="33"/>
      <c r="I32" s="30"/>
      <c r="J32" s="30"/>
      <c r="K32" s="30"/>
      <c r="L32" s="30"/>
      <c r="M32" s="30"/>
    </row>
    <row r="33" ht="20.05" customHeight="1">
      <c r="A33" s="39"/>
      <c r="B33" s="61">
        <f>$B$39*(C33/$B$37+1)</f>
        <v>1695.739055621040</v>
      </c>
      <c r="C33" s="26">
        <f>F24</f>
        <v>0.00884154506245604</v>
      </c>
      <c r="D33" t="s" s="37">
        <v>69</v>
      </c>
      <c r="E33" s="30"/>
      <c r="F33" s="30"/>
      <c r="G33" s="30"/>
      <c r="H33" s="33"/>
      <c r="I33" s="30"/>
      <c r="J33" s="30"/>
      <c r="K33" s="30"/>
      <c r="L33" s="30"/>
      <c r="M33" s="30"/>
    </row>
    <row r="34" ht="20.05" customHeight="1">
      <c r="A34" s="39"/>
      <c r="B34" s="61">
        <f>$B$39*(C34/$B$37+1)</f>
        <v>4610.626979979470</v>
      </c>
      <c r="C34" s="26">
        <f>F25</f>
        <v>0.0412291886664386</v>
      </c>
      <c r="D34" t="s" s="37">
        <v>70</v>
      </c>
      <c r="E34" s="30"/>
      <c r="F34" s="30"/>
      <c r="G34" s="30"/>
      <c r="H34" s="33"/>
      <c r="I34" s="30"/>
      <c r="J34" s="30"/>
      <c r="K34" s="30"/>
      <c r="L34" s="30"/>
      <c r="M34" s="30"/>
    </row>
    <row r="35" ht="20.05" customHeight="1">
      <c r="A35" s="39"/>
      <c r="B35" s="54"/>
      <c r="C35" s="27"/>
      <c r="D35" s="27"/>
      <c r="E35" s="30"/>
      <c r="F35" s="30"/>
      <c r="G35" s="30"/>
      <c r="H35" s="33"/>
      <c r="I35" s="30"/>
      <c r="J35" s="30"/>
      <c r="K35" s="30"/>
      <c r="L35" s="30"/>
      <c r="M35" s="30"/>
    </row>
    <row r="36" ht="20.05" customHeight="1">
      <c r="A36" s="39"/>
      <c r="B36" s="54"/>
      <c r="C36" s="27"/>
      <c r="D36" s="27"/>
      <c r="E36" s="30"/>
      <c r="F36" s="30"/>
      <c r="G36" s="30"/>
      <c r="H36" s="33"/>
      <c r="I36" s="30"/>
      <c r="J36" s="30"/>
      <c r="K36" s="30"/>
      <c r="L36" s="30"/>
      <c r="M36" s="30"/>
    </row>
    <row r="37" ht="20.05" customHeight="1">
      <c r="A37" t="s" s="56">
        <v>71</v>
      </c>
      <c r="B37" s="52">
        <v>0.01</v>
      </c>
      <c r="C37" s="27"/>
      <c r="D37" s="27"/>
      <c r="E37" s="30"/>
      <c r="F37" s="30"/>
      <c r="G37" s="30"/>
      <c r="H37" s="33"/>
      <c r="I37" s="30"/>
      <c r="J37" s="30"/>
      <c r="K37" s="30"/>
      <c r="L37" s="30"/>
      <c r="M37" s="30"/>
    </row>
    <row r="38" ht="20.05" customHeight="1">
      <c r="A38" t="s" s="56">
        <v>72</v>
      </c>
      <c r="B38" s="52">
        <v>2</v>
      </c>
      <c r="C38" s="27"/>
      <c r="D38" s="27"/>
      <c r="E38" s="30"/>
      <c r="F38" s="30"/>
      <c r="G38" s="30"/>
      <c r="H38" s="33"/>
      <c r="I38" s="30"/>
      <c r="J38" s="30"/>
      <c r="K38" s="30"/>
      <c r="L38" s="30"/>
      <c r="M38" s="30"/>
    </row>
    <row r="39" ht="20.05" customHeight="1">
      <c r="A39" t="s" s="56">
        <v>73</v>
      </c>
      <c r="B39" s="52">
        <v>900</v>
      </c>
      <c r="C39" s="27"/>
      <c r="D39" s="27"/>
      <c r="E39" s="30"/>
      <c r="F39" s="30"/>
      <c r="G39" s="30"/>
      <c r="H39" s="33"/>
      <c r="I39" s="30"/>
      <c r="J39" s="30"/>
      <c r="K39" s="30"/>
      <c r="L39" s="30"/>
      <c r="M39" s="30"/>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M3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3.2344" style="63" customWidth="1"/>
    <col min="2" max="4" width="10.9766" style="63" customWidth="1"/>
    <col min="5" max="5" width="4.11719" style="63" customWidth="1"/>
    <col min="6" max="8" width="10.9766" style="63" customWidth="1"/>
    <col min="9" max="13" width="16.3516" style="63" customWidth="1"/>
    <col min="14" max="16384" width="16.3516" style="63" customWidth="1"/>
  </cols>
  <sheetData>
    <row r="1" ht="50.1" customHeight="1">
      <c r="A1" t="s" s="50">
        <v>76</v>
      </c>
      <c r="B1" s="50"/>
      <c r="C1" s="50"/>
      <c r="D1" s="50"/>
      <c r="E1" s="50"/>
      <c r="F1" s="50"/>
      <c r="G1" s="50"/>
      <c r="H1" s="50"/>
      <c r="I1" s="50"/>
      <c r="J1" s="50"/>
      <c r="K1" s="50"/>
      <c r="L1" s="50"/>
      <c r="M1" s="50"/>
    </row>
    <row r="2" ht="68.25" customHeight="1">
      <c r="A2" t="s" s="8">
        <v>7</v>
      </c>
      <c r="B2" t="s" s="8">
        <v>48</v>
      </c>
      <c r="C2" t="s" s="8">
        <v>49</v>
      </c>
      <c r="D2" t="s" s="8">
        <v>50</v>
      </c>
      <c r="E2" s="9"/>
      <c r="F2" t="s" s="8">
        <v>10</v>
      </c>
      <c r="G2" t="s" s="8">
        <v>9</v>
      </c>
      <c r="H2" t="s" s="8">
        <v>8</v>
      </c>
      <c r="I2" s="10"/>
      <c r="J2" t="s" s="8">
        <v>51</v>
      </c>
      <c r="K2" s="9"/>
      <c r="L2" t="s" s="8">
        <v>16</v>
      </c>
      <c r="M2" s="9"/>
    </row>
    <row r="3" ht="20.25" customHeight="1">
      <c r="A3" s="11">
        <v>-48000</v>
      </c>
      <c r="B3" s="51">
        <v>1</v>
      </c>
      <c r="C3" s="14">
        <v>1200</v>
      </c>
      <c r="D3" s="14">
        <f>B3*C3/1000</f>
        <v>1.2</v>
      </c>
      <c r="E3" s="17"/>
      <c r="F3" s="13"/>
      <c r="G3" s="13"/>
      <c r="H3" s="20"/>
      <c r="I3" s="18"/>
      <c r="J3" s="19"/>
      <c r="K3" s="20"/>
      <c r="L3" t="s" s="21">
        <v>19</v>
      </c>
      <c r="M3" s="22"/>
    </row>
    <row r="4" ht="20.05" customHeight="1">
      <c r="A4" s="24">
        <v>-8000</v>
      </c>
      <c r="B4" s="52">
        <v>3</v>
      </c>
      <c r="C4" s="27">
        <v>1200</v>
      </c>
      <c r="D4" s="27">
        <f>B4*C4/1000</f>
        <v>3.6</v>
      </c>
      <c r="E4" s="30"/>
      <c r="F4" s="26">
        <f>LN(B4/B3)/($A4-$A3)</f>
        <v>2.74653072167027e-05</v>
      </c>
      <c r="G4" s="26">
        <f>LN(C4/C3)/($A4-$A3)</f>
        <v>0</v>
      </c>
      <c r="H4" s="33">
        <f>(F4/2+G4)</f>
        <v>1.37326536083514e-05</v>
      </c>
      <c r="I4" s="31"/>
      <c r="J4" s="32">
        <f>(D4+D3)*($A4-$A3)/2/1000</f>
        <v>96</v>
      </c>
      <c r="K4" s="33"/>
      <c r="L4" t="s" s="34">
        <v>21</v>
      </c>
      <c r="M4" s="35"/>
    </row>
    <row r="5" ht="18.95" customHeight="1">
      <c r="A5" s="24">
        <v>-3000</v>
      </c>
      <c r="B5" s="52">
        <v>15</v>
      </c>
      <c r="C5" s="27">
        <v>900</v>
      </c>
      <c r="D5" s="27">
        <f>B5*C5/1000</f>
        <v>13.5</v>
      </c>
      <c r="E5" s="30"/>
      <c r="F5" s="26">
        <f>LN(B5/B4)/($A5-$A4)</f>
        <v>0.00032188758248682</v>
      </c>
      <c r="G5" s="26">
        <f>LN(C5/C4)/($A5-$A4)</f>
        <v>-5.75364144903562e-05</v>
      </c>
      <c r="H5" s="33">
        <f>(F5/2+G5)</f>
        <v>0.000103407376753054</v>
      </c>
      <c r="I5" s="31"/>
      <c r="J5" s="32">
        <f>(D5+D4)*($A5-$A4)/2/1000</f>
        <v>42.75</v>
      </c>
      <c r="K5" s="33"/>
      <c r="L5" t="s" s="37">
        <v>22</v>
      </c>
      <c r="M5" s="30"/>
    </row>
    <row r="6" ht="17.8" customHeight="1">
      <c r="A6" s="24">
        <v>-1000</v>
      </c>
      <c r="B6" s="52">
        <v>50</v>
      </c>
      <c r="C6" s="27">
        <v>900</v>
      </c>
      <c r="D6" s="27">
        <f>B6*C6/1000</f>
        <v>45</v>
      </c>
      <c r="E6" s="30"/>
      <c r="F6" s="26">
        <f>LN(B6/B5)/($A6-$A5)</f>
        <v>0.000601986402162968</v>
      </c>
      <c r="G6" s="26">
        <f>LN(C6/C5)/($A6-$A5)</f>
        <v>0</v>
      </c>
      <c r="H6" s="33">
        <f>(F6/2+G6)</f>
        <v>0.000300993201081484</v>
      </c>
      <c r="I6" s="31"/>
      <c r="J6" s="32">
        <f>(D6+D5)*($A6-$A5)/2/1000</f>
        <v>58.5</v>
      </c>
      <c r="K6" s="33"/>
      <c r="L6" t="s" s="37">
        <v>23</v>
      </c>
      <c r="M6" s="30"/>
    </row>
    <row r="7" ht="20.05" customHeight="1">
      <c r="A7" s="24">
        <v>0</v>
      </c>
      <c r="B7" s="52">
        <v>170</v>
      </c>
      <c r="C7" s="27">
        <v>900</v>
      </c>
      <c r="D7" s="27">
        <f>B7*C7/1000</f>
        <v>153</v>
      </c>
      <c r="E7" s="30"/>
      <c r="F7" s="26">
        <f>LN(B7/B6)/($A7-$A6)</f>
        <v>0.00122377543162212</v>
      </c>
      <c r="G7" s="26">
        <f>LN(C7/C6)/($A7-$A6)</f>
        <v>0</v>
      </c>
      <c r="H7" s="33">
        <f>(F7/2+G7)</f>
        <v>0.00061188771581106</v>
      </c>
      <c r="I7" s="31"/>
      <c r="J7" s="32">
        <f>(D7+D6)*($A7-$A6)/2/1000</f>
        <v>99</v>
      </c>
      <c r="K7" s="33"/>
      <c r="L7" t="s" s="34">
        <v>24</v>
      </c>
      <c r="M7" s="35"/>
    </row>
    <row r="8" ht="20.05" customHeight="1">
      <c r="A8" s="24">
        <v>800</v>
      </c>
      <c r="B8" s="52">
        <v>300</v>
      </c>
      <c r="C8" s="27">
        <v>900</v>
      </c>
      <c r="D8" s="27">
        <f>B8*C8/1000</f>
        <v>270</v>
      </c>
      <c r="E8" s="30"/>
      <c r="F8" s="26">
        <f>LN(B8/B7)/($A8-$A7)</f>
        <v>0.000709980047007424</v>
      </c>
      <c r="G8" s="26">
        <f>LN(C8/C7)/($A8-$A7)</f>
        <v>0</v>
      </c>
      <c r="H8" s="33">
        <f>(F8/2+G8)</f>
        <v>0.000354990023503712</v>
      </c>
      <c r="I8" s="31"/>
      <c r="J8" s="32">
        <f>(D8+D7)*($A8-$A7)/2/1000</f>
        <v>169.2</v>
      </c>
      <c r="K8" s="33"/>
      <c r="L8" t="s" s="34">
        <v>25</v>
      </c>
      <c r="M8" s="35"/>
    </row>
    <row r="9" ht="20.05" customHeight="1">
      <c r="A9" s="24">
        <v>1500</v>
      </c>
      <c r="B9" s="52">
        <v>500</v>
      </c>
      <c r="C9" s="27">
        <v>900</v>
      </c>
      <c r="D9" s="27">
        <f>B9*C9/1000</f>
        <v>450</v>
      </c>
      <c r="E9" s="30"/>
      <c r="F9" s="26">
        <f>LN(B9/B8)/($A9-$A8)</f>
        <v>0.000729750891094272</v>
      </c>
      <c r="G9" s="26">
        <f>LN(C9/C8)/($A9-$A8)</f>
        <v>0</v>
      </c>
      <c r="H9" s="33">
        <f>(F9/2+G9)</f>
        <v>0.000364875445547136</v>
      </c>
      <c r="I9" s="31"/>
      <c r="J9" s="32">
        <f>(D9+D8)*($A9-$A8)/2/1000</f>
        <v>252</v>
      </c>
      <c r="K9" s="33"/>
      <c r="L9" t="s" s="34">
        <v>26</v>
      </c>
      <c r="M9" s="35"/>
    </row>
    <row r="10" ht="20.05" customHeight="1">
      <c r="A10" s="24">
        <v>1770</v>
      </c>
      <c r="B10" s="52">
        <v>750</v>
      </c>
      <c r="C10" s="27">
        <v>1100</v>
      </c>
      <c r="D10" s="27">
        <f>B10*C10/1000</f>
        <v>825</v>
      </c>
      <c r="E10" s="30"/>
      <c r="F10" s="26">
        <f>LN(B10/B9)/($A10-$A9)</f>
        <v>0.00150172262262283</v>
      </c>
      <c r="G10" s="26">
        <f>LN(C10/C9)/($A10-$A9)</f>
        <v>0.000743224798007968</v>
      </c>
      <c r="H10" s="33">
        <f>(F10/2+G10)</f>
        <v>0.00149408610931938</v>
      </c>
      <c r="I10" s="31"/>
      <c r="J10" s="32">
        <f>(D10+D9)*($A10-$A9)/2/1000</f>
        <v>172.125</v>
      </c>
      <c r="K10" s="33"/>
      <c r="L10" t="s" s="34">
        <v>27</v>
      </c>
      <c r="M10" s="35"/>
    </row>
    <row r="11" ht="20.05" customHeight="1">
      <c r="A11" s="24">
        <v>1870</v>
      </c>
      <c r="B11" s="64">
        <v>1300</v>
      </c>
      <c r="C11" s="27">
        <v>1300</v>
      </c>
      <c r="D11" s="27">
        <f>B11*C11/1000</f>
        <v>1690</v>
      </c>
      <c r="E11" s="30"/>
      <c r="F11" s="26">
        <f>LN(B11/B10)/($A11-$A10)</f>
        <v>0.00550046336919272</v>
      </c>
      <c r="G11" s="26">
        <f>LN(C11/C10)/($A11-$A10)</f>
        <v>0.00167054084663166</v>
      </c>
      <c r="H11" s="33">
        <f>(F11/2+G11)</f>
        <v>0.00442077253122802</v>
      </c>
      <c r="I11" s="26">
        <v>0.00442077253122802</v>
      </c>
      <c r="J11" s="31"/>
      <c r="K11" s="32">
        <v>125.75</v>
      </c>
      <c r="L11" t="s" s="34">
        <v>28</v>
      </c>
      <c r="M11" s="35"/>
    </row>
    <row r="12" ht="20.05" customHeight="1">
      <c r="A12" s="24">
        <v>2020</v>
      </c>
      <c r="B12" s="53">
        <v>2878</v>
      </c>
      <c r="C12" s="27">
        <f>C24</f>
        <v>1695.739055621040</v>
      </c>
      <c r="D12" s="27">
        <f>B12*C12/1000</f>
        <v>4880.337002077350</v>
      </c>
      <c r="E12" s="30"/>
      <c r="F12" s="26">
        <f>LN(B12/B11)/($A12-$A11)</f>
        <v>0.00529820895998457</v>
      </c>
      <c r="G12" s="26">
        <f>LN(C12/C11)/($A12-$A11)</f>
        <v>0.00177169601567163</v>
      </c>
      <c r="H12" s="33">
        <f>(F12/2+G12)</f>
        <v>0.00442080049566392</v>
      </c>
      <c r="I12" s="31"/>
      <c r="J12" s="32">
        <f>(D12+D11)*($A12-$A11)/2/1000</f>
        <v>492.775275155801</v>
      </c>
      <c r="K12" s="33"/>
      <c r="L12" t="s" s="34">
        <v>29</v>
      </c>
      <c r="M12" s="35"/>
    </row>
    <row r="13" ht="20.05" customHeight="1">
      <c r="A13" s="24">
        <v>2100</v>
      </c>
      <c r="B13" s="53">
        <f>EXP(($A13-$A12)*$F$24)*B12</f>
        <v>5838.180636526130</v>
      </c>
      <c r="C13" s="27">
        <f>C12</f>
        <v>1695.739055621040</v>
      </c>
      <c r="D13" s="27">
        <f>B13*C13/1000</f>
        <v>9900.030919127859</v>
      </c>
      <c r="E13" s="30"/>
      <c r="F13" s="26">
        <f>2*(H13-G13)</f>
        <v>0.008841600991327841</v>
      </c>
      <c r="G13" s="26">
        <f>LN(C13/C12)/($A13-$A12)</f>
        <v>0</v>
      </c>
      <c r="H13" s="33">
        <f>H12</f>
        <v>0.00442080049566392</v>
      </c>
      <c r="I13" s="30"/>
      <c r="J13" s="30"/>
      <c r="K13" s="30"/>
      <c r="L13" s="30"/>
      <c r="M13" s="30"/>
    </row>
    <row r="14" ht="20.05" customHeight="1">
      <c r="A14" s="24">
        <v>2200</v>
      </c>
      <c r="B14" s="53">
        <f>EXP(($A14-$A13)*$F$23)*B13</f>
        <v>7871.403919900190</v>
      </c>
      <c r="C14" s="27">
        <f>C13</f>
        <v>1695.739055621040</v>
      </c>
      <c r="D14" s="27">
        <f>B14*C14/1000</f>
        <v>13347.8470495433</v>
      </c>
      <c r="E14" s="30"/>
      <c r="F14" s="26">
        <f>2*(H14-G14)</f>
        <v>0.008841600991327841</v>
      </c>
      <c r="G14" s="26">
        <f>LN(C14/C13)/($A14-$A13)</f>
        <v>0</v>
      </c>
      <c r="H14" s="33">
        <f>H13</f>
        <v>0.00442080049566392</v>
      </c>
      <c r="I14" s="30"/>
      <c r="J14" s="30"/>
      <c r="K14" s="30"/>
      <c r="L14" s="30"/>
      <c r="M14" s="30"/>
    </row>
    <row r="15" ht="20.05" customHeight="1">
      <c r="A15" s="39"/>
      <c r="B15" s="54"/>
      <c r="C15" s="27"/>
      <c r="D15" s="27"/>
      <c r="E15" s="30"/>
      <c r="F15" s="30"/>
      <c r="G15" s="30"/>
      <c r="H15" s="33"/>
      <c r="I15" s="30"/>
      <c r="J15" s="30"/>
      <c r="K15" s="30"/>
      <c r="L15" s="30"/>
      <c r="M15" s="30"/>
    </row>
    <row r="16" ht="20.05" customHeight="1">
      <c r="A16" s="39"/>
      <c r="B16" s="54"/>
      <c r="C16" s="27"/>
      <c r="D16" s="27"/>
      <c r="E16" s="30"/>
      <c r="F16" s="30"/>
      <c r="G16" s="30"/>
      <c r="H16" s="33"/>
      <c r="I16" s="30"/>
      <c r="J16" s="30"/>
      <c r="K16" s="30"/>
      <c r="L16" s="30"/>
      <c r="M16" s="30"/>
    </row>
    <row r="17" ht="20.05" customHeight="1">
      <c r="A17" s="39"/>
      <c r="B17" s="54"/>
      <c r="C17" s="27"/>
      <c r="D17" s="27"/>
      <c r="E17" s="30"/>
      <c r="F17" s="30"/>
      <c r="G17" s="30"/>
      <c r="H17" s="33"/>
      <c r="I17" s="30"/>
      <c r="J17" s="30"/>
      <c r="K17" s="30"/>
      <c r="L17" s="30"/>
      <c r="M17" s="30"/>
    </row>
    <row r="18" ht="68.05" customHeight="1">
      <c r="A18" s="39"/>
      <c r="B18" s="54"/>
      <c r="C18" t="s" s="55">
        <v>49</v>
      </c>
      <c r="D18" s="27"/>
      <c r="E18" s="30"/>
      <c r="F18" t="s" s="55">
        <v>10</v>
      </c>
      <c r="G18" t="s" s="55">
        <v>8</v>
      </c>
      <c r="H18" s="33"/>
      <c r="I18" s="28">
        <v>1770</v>
      </c>
      <c r="J18" s="28">
        <v>1870</v>
      </c>
      <c r="K18" s="28">
        <v>2018</v>
      </c>
      <c r="L18" s="28">
        <v>2100</v>
      </c>
      <c r="M18" s="28">
        <v>2200</v>
      </c>
    </row>
    <row r="19" ht="44.05" customHeight="1">
      <c r="A19" t="s" s="56">
        <v>52</v>
      </c>
      <c r="B19" s="54"/>
      <c r="C19" s="27">
        <f>1200</f>
        <v>1200</v>
      </c>
      <c r="D19" s="27"/>
      <c r="E19" s="30"/>
      <c r="F19" s="57">
        <f>$B$38*G19</f>
        <v>2e-06</v>
      </c>
      <c r="G19" s="57">
        <v>1e-06</v>
      </c>
      <c r="H19" s="33"/>
      <c r="I19" s="30"/>
      <c r="J19" s="30"/>
      <c r="K19" s="30"/>
      <c r="L19" s="30"/>
      <c r="M19" s="30"/>
    </row>
    <row r="20" ht="32.05" customHeight="1">
      <c r="A20" t="s" s="56">
        <v>53</v>
      </c>
      <c r="B20" s="54"/>
      <c r="C20" s="27">
        <f>B29</f>
        <v>922.864201561407</v>
      </c>
      <c r="D20" s="27"/>
      <c r="E20" s="30"/>
      <c r="F20" s="26">
        <f>$B$38*G20</f>
        <v>0.000254046684015632</v>
      </c>
      <c r="G20" s="26">
        <v>0.000127023342007816</v>
      </c>
      <c r="H20" s="33"/>
      <c r="I20" s="30"/>
      <c r="J20" s="30"/>
      <c r="K20" s="30"/>
      <c r="L20" s="30"/>
      <c r="M20" s="30"/>
    </row>
    <row r="21" ht="20.05" customHeight="1">
      <c r="A21" t="s" s="56">
        <v>54</v>
      </c>
      <c r="B21" s="54"/>
      <c r="C21" s="27">
        <f>B30</f>
        <v>1009.8</v>
      </c>
      <c r="D21" s="27"/>
      <c r="E21" s="30"/>
      <c r="F21" s="58">
        <f>$B$38*G21</f>
        <v>0.00122</v>
      </c>
      <c r="G21" s="58">
        <v>0.00061</v>
      </c>
      <c r="H21" s="33"/>
      <c r="I21" s="30"/>
      <c r="J21" s="30"/>
      <c r="K21" s="30"/>
      <c r="L21" s="30"/>
      <c r="M21" s="30"/>
    </row>
    <row r="22" ht="20.05" customHeight="1">
      <c r="A22" t="s" s="56">
        <v>55</v>
      </c>
      <c r="B22" s="54"/>
      <c r="C22" s="27">
        <f>B31</f>
        <v>950.4</v>
      </c>
      <c r="D22" s="27"/>
      <c r="E22" s="30"/>
      <c r="F22" s="58">
        <f>$B$38*G22</f>
        <v>0.00056</v>
      </c>
      <c r="G22" s="58">
        <v>0.00028</v>
      </c>
      <c r="H22" s="33"/>
      <c r="I22" s="30"/>
      <c r="J22" s="30"/>
      <c r="K22" s="30"/>
      <c r="L22" s="30"/>
      <c r="M22" s="30"/>
    </row>
    <row r="23" ht="32.05" customHeight="1">
      <c r="A23" t="s" s="56">
        <v>56</v>
      </c>
      <c r="B23" s="54"/>
      <c r="C23" s="27">
        <f>B32</f>
        <v>1168.935499677490</v>
      </c>
      <c r="D23" s="27"/>
      <c r="E23" s="30"/>
      <c r="F23" s="26">
        <f>$B$38*G23</f>
        <v>0.00298817221863876</v>
      </c>
      <c r="G23" s="26">
        <v>0.00149408610931938</v>
      </c>
      <c r="H23" s="33"/>
      <c r="I23" s="28">
        <v>750</v>
      </c>
      <c r="J23" s="38">
        <f>I23*EXP($F23*(J18-I18)/2)</f>
        <v>870.860512341556</v>
      </c>
      <c r="K23" s="38">
        <f>J23*EXP($F23*(K18-J18))</f>
        <v>1355.236566395420</v>
      </c>
      <c r="L23" s="38">
        <f>K23*EXP($F23*(L18-K18))</f>
        <v>1731.531277937010</v>
      </c>
      <c r="M23" s="38">
        <f>L23*EXP($F23*(M18-L18))</f>
        <v>2334.559846146370</v>
      </c>
    </row>
    <row r="24" ht="32.05" customHeight="1">
      <c r="A24" t="s" s="56">
        <v>57</v>
      </c>
      <c r="B24" s="54"/>
      <c r="C24" s="27">
        <f>B33</f>
        <v>1695.739055621040</v>
      </c>
      <c r="D24" s="27"/>
      <c r="E24" s="30"/>
      <c r="F24" s="26">
        <f>$B$38*G24</f>
        <v>0.00884154506245604</v>
      </c>
      <c r="G24" s="26">
        <v>0.00442077253122802</v>
      </c>
      <c r="H24" s="33"/>
      <c r="I24" s="30"/>
      <c r="J24" s="28">
        <v>1300</v>
      </c>
      <c r="K24" s="38">
        <f>J24*EXP($F24*(K18-J18)/2)</f>
        <v>2500.869819319750</v>
      </c>
      <c r="L24" s="38">
        <f>K24*EXP($F24*(L18-K18))</f>
        <v>5163.658264120250</v>
      </c>
      <c r="M24" s="38">
        <f>L24*EXP($F24*(M18-L18))</f>
        <v>12500.8894834955</v>
      </c>
    </row>
    <row r="25" ht="20.05" customHeight="1">
      <c r="A25" t="s" s="56">
        <v>58</v>
      </c>
      <c r="B25" s="54"/>
      <c r="C25" s="27">
        <f>B34</f>
        <v>4610.626979979470</v>
      </c>
      <c r="D25" s="27"/>
      <c r="E25" s="30"/>
      <c r="F25" s="26">
        <f>$B$38*G25</f>
        <v>0.0412291886664386</v>
      </c>
      <c r="G25" s="26">
        <v>0.0206145943332193</v>
      </c>
      <c r="H25" s="33"/>
      <c r="I25" s="30"/>
      <c r="J25" s="30"/>
      <c r="K25" s="30"/>
      <c r="L25" s="30"/>
      <c r="M25" s="30"/>
    </row>
    <row r="26" ht="20.05" customHeight="1">
      <c r="A26" s="39"/>
      <c r="B26" s="54"/>
      <c r="C26" s="27"/>
      <c r="D26" s="27"/>
      <c r="E26" s="30"/>
      <c r="F26" s="30"/>
      <c r="G26" s="30"/>
      <c r="H26" t="s" s="37">
        <v>59</v>
      </c>
      <c r="I26" s="38">
        <v>13363.0391183955</v>
      </c>
      <c r="J26" s="38">
        <f>I26*EXP($G23*(J18-I18))</f>
        <v>15516.4574574482</v>
      </c>
      <c r="K26" s="38">
        <f>J26*EXP($G23*(K18-J18))</f>
        <v>19356.4554005704</v>
      </c>
      <c r="L26" s="38">
        <f>K26*EXP($G23*(L18-K18))</f>
        <v>21879.3011570143</v>
      </c>
      <c r="M26" s="38">
        <f>L26*EXP($G23*(M18-L18))</f>
        <v>25405.0925536969</v>
      </c>
    </row>
    <row r="27" ht="20.05" customHeight="1">
      <c r="A27" s="39"/>
      <c r="B27" t="s" s="59">
        <v>60</v>
      </c>
      <c r="C27" s="30"/>
      <c r="D27" s="27"/>
      <c r="E27" s="30"/>
      <c r="F27" s="30"/>
      <c r="G27" s="30"/>
      <c r="H27" t="s" s="37">
        <v>61</v>
      </c>
      <c r="I27" s="30"/>
      <c r="J27" s="38">
        <v>23144.5005344326</v>
      </c>
      <c r="K27" s="38">
        <f>J27*EXP($G24*(K18-J18))</f>
        <v>44524.140669071</v>
      </c>
      <c r="L27" s="38">
        <f>K27*EXP($G24*(L18-K18))</f>
        <v>63977.7186459348</v>
      </c>
      <c r="M27" s="38">
        <f>L27*EXP($G24*(M18-L18))</f>
        <v>99545.231589372794</v>
      </c>
    </row>
    <row r="28" ht="32.05" customHeight="1">
      <c r="A28" s="39"/>
      <c r="B28" t="s" s="60">
        <v>62</v>
      </c>
      <c r="C28" t="s" s="37">
        <v>63</v>
      </c>
      <c r="D28" s="27"/>
      <c r="E28" s="30"/>
      <c r="F28" s="30"/>
      <c r="G28" s="30"/>
      <c r="H28" t="s" s="37">
        <v>64</v>
      </c>
      <c r="I28" s="38">
        <v>13363.0391183955</v>
      </c>
      <c r="J28" s="38">
        <v>23144.5005344326</v>
      </c>
      <c r="K28" s="38">
        <v>764400.895818392</v>
      </c>
      <c r="L28" s="28">
        <f>K28*EXP($G25*(L18-K18))</f>
        <v>4144299.76987365</v>
      </c>
      <c r="M28" s="26">
        <f>L28*EXP($G25*(M18-L18))</f>
        <v>32563540.5330516</v>
      </c>
    </row>
    <row r="29" ht="20.05" customHeight="1">
      <c r="A29" s="39"/>
      <c r="B29" s="61">
        <f>$B$39*(C29/$B$37+1)</f>
        <v>922.864201561407</v>
      </c>
      <c r="C29" s="26">
        <f>F20</f>
        <v>0.000254046684015632</v>
      </c>
      <c r="D29" t="s" s="37">
        <v>65</v>
      </c>
      <c r="E29" s="30"/>
      <c r="F29" s="30"/>
      <c r="G29" s="30"/>
      <c r="H29" s="33"/>
      <c r="I29" s="30"/>
      <c r="J29" s="30"/>
      <c r="K29" s="30"/>
      <c r="L29" s="30"/>
      <c r="M29" s="30"/>
    </row>
    <row r="30" ht="20.05" customHeight="1">
      <c r="A30" s="39"/>
      <c r="B30" s="61">
        <f>$B$39*(C30/$B$37+1)</f>
        <v>1009.8</v>
      </c>
      <c r="C30" s="26">
        <f>F21</f>
        <v>0.00122</v>
      </c>
      <c r="D30" t="s" s="37">
        <v>66</v>
      </c>
      <c r="E30" s="30"/>
      <c r="F30" s="30"/>
      <c r="G30" s="30"/>
      <c r="H30" s="33"/>
      <c r="I30" s="30"/>
      <c r="J30" s="30"/>
      <c r="K30" s="30"/>
      <c r="L30" s="30"/>
      <c r="M30" s="30"/>
    </row>
    <row r="31" ht="20.05" customHeight="1">
      <c r="A31" s="39"/>
      <c r="B31" s="61">
        <f>$B$39*(C31/$B$37+1)</f>
        <v>950.4</v>
      </c>
      <c r="C31" s="26">
        <f>F22</f>
        <v>0.00056</v>
      </c>
      <c r="D31" t="s" s="37">
        <v>67</v>
      </c>
      <c r="E31" s="30"/>
      <c r="F31" s="30"/>
      <c r="G31" s="30"/>
      <c r="H31" s="33"/>
      <c r="I31" s="30"/>
      <c r="J31" s="30"/>
      <c r="K31" s="30"/>
      <c r="L31" s="30"/>
      <c r="M31" s="30"/>
    </row>
    <row r="32" ht="20.05" customHeight="1">
      <c r="A32" s="39"/>
      <c r="B32" s="61">
        <f>$B$39*(C32/$B$37+1)</f>
        <v>1168.935499677490</v>
      </c>
      <c r="C32" s="26">
        <f>F23</f>
        <v>0.00298817221863876</v>
      </c>
      <c r="D32" t="s" s="37">
        <v>68</v>
      </c>
      <c r="E32" s="30"/>
      <c r="F32" s="30"/>
      <c r="G32" s="30"/>
      <c r="H32" s="33"/>
      <c r="I32" s="30"/>
      <c r="J32" s="30"/>
      <c r="K32" s="30"/>
      <c r="L32" s="30"/>
      <c r="M32" s="30"/>
    </row>
    <row r="33" ht="20.05" customHeight="1">
      <c r="A33" s="39"/>
      <c r="B33" s="61">
        <f>$B$39*(C33/$B$37+1)</f>
        <v>1695.739055621040</v>
      </c>
      <c r="C33" s="26">
        <f>F24</f>
        <v>0.00884154506245604</v>
      </c>
      <c r="D33" t="s" s="37">
        <v>69</v>
      </c>
      <c r="E33" s="30"/>
      <c r="F33" s="30"/>
      <c r="G33" s="30"/>
      <c r="H33" s="33"/>
      <c r="I33" s="30"/>
      <c r="J33" s="30"/>
      <c r="K33" s="30"/>
      <c r="L33" s="30"/>
      <c r="M33" s="30"/>
    </row>
    <row r="34" ht="20.05" customHeight="1">
      <c r="A34" s="39"/>
      <c r="B34" s="61">
        <f>$B$39*(C34/$B$37+1)</f>
        <v>4610.626979979470</v>
      </c>
      <c r="C34" s="26">
        <f>F25</f>
        <v>0.0412291886664386</v>
      </c>
      <c r="D34" t="s" s="37">
        <v>70</v>
      </c>
      <c r="E34" s="30"/>
      <c r="F34" s="30"/>
      <c r="G34" s="30"/>
      <c r="H34" s="33"/>
      <c r="I34" s="30"/>
      <c r="J34" s="30"/>
      <c r="K34" s="30"/>
      <c r="L34" s="30"/>
      <c r="M34" s="30"/>
    </row>
    <row r="35" ht="20.05" customHeight="1">
      <c r="A35" s="39"/>
      <c r="B35" s="54"/>
      <c r="C35" s="27"/>
      <c r="D35" s="27"/>
      <c r="E35" s="30"/>
      <c r="F35" s="30"/>
      <c r="G35" s="30"/>
      <c r="H35" s="33"/>
      <c r="I35" s="30"/>
      <c r="J35" s="30"/>
      <c r="K35" s="30"/>
      <c r="L35" s="30"/>
      <c r="M35" s="30"/>
    </row>
    <row r="36" ht="20.05" customHeight="1">
      <c r="A36" s="39"/>
      <c r="B36" s="54"/>
      <c r="C36" s="27"/>
      <c r="D36" s="27"/>
      <c r="E36" s="30"/>
      <c r="F36" s="30"/>
      <c r="G36" s="30"/>
      <c r="H36" s="33"/>
      <c r="I36" s="30"/>
      <c r="J36" s="30"/>
      <c r="K36" s="30"/>
      <c r="L36" s="30"/>
      <c r="M36" s="30"/>
    </row>
    <row r="37" ht="20.05" customHeight="1">
      <c r="A37" t="s" s="56">
        <v>71</v>
      </c>
      <c r="B37" s="52">
        <v>0.01</v>
      </c>
      <c r="C37" s="27"/>
      <c r="D37" s="27"/>
      <c r="E37" s="30"/>
      <c r="F37" s="30"/>
      <c r="G37" s="30"/>
      <c r="H37" s="33"/>
      <c r="I37" s="30"/>
      <c r="J37" s="30"/>
      <c r="K37" s="30"/>
      <c r="L37" s="30"/>
      <c r="M37" s="30"/>
    </row>
    <row r="38" ht="20.05" customHeight="1">
      <c r="A38" t="s" s="56">
        <v>72</v>
      </c>
      <c r="B38" s="52">
        <v>2</v>
      </c>
      <c r="C38" s="27"/>
      <c r="D38" s="27"/>
      <c r="E38" s="30"/>
      <c r="F38" s="30"/>
      <c r="G38" s="30"/>
      <c r="H38" s="33"/>
      <c r="I38" s="30"/>
      <c r="J38" s="30"/>
      <c r="K38" s="30"/>
      <c r="L38" s="30"/>
      <c r="M38" s="30"/>
    </row>
    <row r="39" ht="20.05" customHeight="1">
      <c r="A39" t="s" s="56">
        <v>73</v>
      </c>
      <c r="B39" s="52">
        <v>900</v>
      </c>
      <c r="C39" s="27"/>
      <c r="D39" s="27"/>
      <c r="E39" s="30"/>
      <c r="F39" s="30"/>
      <c r="G39" s="30"/>
      <c r="H39" s="33"/>
      <c r="I39" s="30"/>
      <c r="J39" s="30"/>
      <c r="K39" s="30"/>
      <c r="L39" s="30"/>
      <c r="M39" s="30"/>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Q2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9.46094" style="65" customWidth="1"/>
    <col min="2" max="2" width="13.4141" style="65" customWidth="1"/>
    <col min="3" max="3" width="15.5156" style="65" customWidth="1"/>
    <col min="4" max="5" width="11.6953" style="65" customWidth="1"/>
    <col min="6" max="6" width="2.95312" style="65" customWidth="1"/>
    <col min="7" max="7" width="11.1953" style="65" customWidth="1"/>
    <col min="8" max="8" width="10.5391" style="65" customWidth="1"/>
    <col min="9" max="9" width="8.90625" style="65" customWidth="1"/>
    <col min="10" max="11" width="12.6484" style="65" customWidth="1"/>
    <col min="12" max="12" width="13.2344" style="65" customWidth="1"/>
    <col min="13" max="13" width="8.3125" style="65" customWidth="1"/>
    <col min="14" max="14" width="77.3125" style="65" customWidth="1"/>
    <col min="15" max="15" width="5.27344" style="65" customWidth="1"/>
    <col min="16" max="16" width="9.16406" style="65" customWidth="1"/>
    <col min="17" max="17" width="8.61719" style="65" customWidth="1"/>
    <col min="18" max="16384" width="16.3516" style="65" customWidth="1"/>
  </cols>
  <sheetData>
    <row r="1" ht="42.3" customHeight="1">
      <c r="A1" t="s" s="66">
        <v>79</v>
      </c>
      <c r="B1" s="66"/>
      <c r="C1" s="66"/>
      <c r="D1" s="66"/>
      <c r="E1" s="66"/>
      <c r="F1" s="66"/>
      <c r="G1" s="66"/>
      <c r="H1" s="66"/>
      <c r="I1" s="66"/>
      <c r="J1" s="66"/>
      <c r="K1" s="66"/>
      <c r="L1" s="66"/>
      <c r="M1" s="66"/>
      <c r="N1" s="66"/>
      <c r="O1" s="66"/>
      <c r="P1" s="66"/>
      <c r="Q1" s="66"/>
    </row>
    <row r="2" ht="68.25" customHeight="1">
      <c r="A2" t="s" s="8">
        <v>7</v>
      </c>
      <c r="B2" t="s" s="8">
        <v>14</v>
      </c>
      <c r="C2" t="s" s="8">
        <v>12</v>
      </c>
      <c r="D2" t="s" s="8">
        <v>11</v>
      </c>
      <c r="E2" t="s" s="8">
        <v>13</v>
      </c>
      <c r="F2" s="9"/>
      <c r="G2" t="s" s="8">
        <v>10</v>
      </c>
      <c r="H2" t="s" s="8">
        <v>9</v>
      </c>
      <c r="I2" t="s" s="8">
        <v>8</v>
      </c>
      <c r="J2" t="s" s="8">
        <v>81</v>
      </c>
      <c r="K2" s="10"/>
      <c r="L2" t="s" s="8">
        <v>15</v>
      </c>
      <c r="M2" s="9"/>
      <c r="N2" t="s" s="8">
        <v>16</v>
      </c>
      <c r="O2" s="9"/>
      <c r="P2" t="s" s="8">
        <v>17</v>
      </c>
      <c r="Q2" t="s" s="8">
        <v>18</v>
      </c>
    </row>
    <row r="3" ht="20.25" customHeight="1">
      <c r="A3" s="11">
        <v>-68000</v>
      </c>
      <c r="B3" s="44">
        <v>1</v>
      </c>
      <c r="C3" s="14">
        <f>E3*D3/1000</f>
        <v>0.12</v>
      </c>
      <c r="D3" s="14">
        <v>1200</v>
      </c>
      <c r="E3" s="15">
        <v>0.1</v>
      </c>
      <c r="F3" s="17"/>
      <c r="G3" s="13"/>
      <c r="H3" s="13"/>
      <c r="I3" s="13"/>
      <c r="J3" s="67">
        <f>J4*E3/E4</f>
        <v>0.00170940170940172</v>
      </c>
      <c r="K3" s="18"/>
      <c r="L3" s="19"/>
      <c r="M3" s="20"/>
      <c r="N3" t="s" s="21">
        <v>19</v>
      </c>
      <c r="O3" s="22"/>
      <c r="P3" s="23"/>
      <c r="Q3" s="23"/>
    </row>
    <row r="4" ht="20.05" customHeight="1">
      <c r="A4" s="24">
        <v>-8000</v>
      </c>
      <c r="B4" s="46">
        <f>B3*EXP(I4*($A4-$A3))</f>
        <v>5</v>
      </c>
      <c r="C4" s="27">
        <f>E4*D4/1000</f>
        <v>3</v>
      </c>
      <c r="D4" s="27">
        <v>1200</v>
      </c>
      <c r="E4" s="28">
        <v>2.5</v>
      </c>
      <c r="F4" s="30"/>
      <c r="G4" s="26">
        <f>LN(E4/E3)/($A4-$A3)</f>
        <v>5.364793041447e-05</v>
      </c>
      <c r="H4" s="26">
        <f>LN(D4/D3)/($A4-$A3)</f>
        <v>0</v>
      </c>
      <c r="I4" s="26">
        <f>H4+G4/$F$25</f>
        <v>2.6823965207235e-05</v>
      </c>
      <c r="J4" s="68">
        <f>J5*E4/E5</f>
        <v>0.0427350427350429</v>
      </c>
      <c r="K4" s="31"/>
      <c r="L4" s="32">
        <f>(C4+C3)*($A4-$A3)/2/1000</f>
        <v>93.59999999999999</v>
      </c>
      <c r="M4" s="33"/>
      <c r="N4" t="s" s="34">
        <v>20</v>
      </c>
      <c r="O4" s="35"/>
      <c r="P4" s="36">
        <f>LN(2)/G4</f>
        <v>12920.2967422018</v>
      </c>
      <c r="Q4" s="36">
        <f>LN(2)/I4</f>
        <v>25840.5934844036</v>
      </c>
    </row>
    <row r="5" ht="20.05" customHeight="1">
      <c r="A5" s="24">
        <v>-6000</v>
      </c>
      <c r="B5" s="46">
        <f>B4*EXP(I5*($A5-$A4))</f>
        <v>6.27495019900558</v>
      </c>
      <c r="C5" s="27">
        <f>E5*D5/1000</f>
        <v>6.3</v>
      </c>
      <c r="D5" s="27">
        <v>900</v>
      </c>
      <c r="E5" s="28">
        <v>7</v>
      </c>
      <c r="F5" s="30"/>
      <c r="G5" s="26">
        <f>LN(E5/E4)/($A5-$A4)</f>
        <v>0.000514809708590579</v>
      </c>
      <c r="H5" s="26">
        <f>LN(D5/D4)/($A5-$A4)</f>
        <v>-0.00014384103622589</v>
      </c>
      <c r="I5" s="26">
        <f>H5+G5/$F$25</f>
        <v>0.0001135638180694</v>
      </c>
      <c r="J5" s="40">
        <f>J6*E5/E6*0.2</f>
        <v>0.11965811965812</v>
      </c>
      <c r="K5" s="31"/>
      <c r="L5" s="32">
        <f>(C5+C4)*($A5-$A4)/2/1000</f>
        <v>9.300000000000001</v>
      </c>
      <c r="M5" s="33"/>
      <c r="N5" t="s" s="34">
        <v>21</v>
      </c>
      <c r="O5" s="30"/>
      <c r="P5" s="36">
        <f>LN(2)/G5</f>
        <v>1346.414352708320</v>
      </c>
      <c r="Q5" s="36">
        <f>LN(2)/I5</f>
        <v>6103.591727924790</v>
      </c>
    </row>
    <row r="6" ht="20.05" customHeight="1">
      <c r="A6" s="24">
        <v>-3000</v>
      </c>
      <c r="B6" s="46">
        <f>B5*EXP(I6*($A6-$A5))</f>
        <v>9.185586535436929</v>
      </c>
      <c r="C6" s="27">
        <f>E6*D6/1000</f>
        <v>13.5</v>
      </c>
      <c r="D6" s="27">
        <v>900</v>
      </c>
      <c r="E6" s="28">
        <v>15</v>
      </c>
      <c r="F6" s="30"/>
      <c r="G6" s="26">
        <f>LN(E6/E5)/($A6-$A5)</f>
        <v>0.000254046684015632</v>
      </c>
      <c r="H6" s="26">
        <f>LN(D6/D5)/($A6-$A5)</f>
        <v>0</v>
      </c>
      <c r="I6" s="26">
        <f>H6+G6/$F$25</f>
        <v>0.000127023342007816</v>
      </c>
      <c r="J6" s="40">
        <f>J7*E6/E7</f>
        <v>1.28205128205129</v>
      </c>
      <c r="K6" s="31"/>
      <c r="L6" s="32">
        <f>(C6+C4)*($A6-$A4)/2/1000</f>
        <v>41.25</v>
      </c>
      <c r="M6" s="33"/>
      <c r="N6" t="s" s="37">
        <v>22</v>
      </c>
      <c r="O6" s="30"/>
      <c r="P6" s="36">
        <f>LN(2)/G6</f>
        <v>2728.424436027260</v>
      </c>
      <c r="Q6" s="36">
        <f>LN(2)/I6</f>
        <v>5456.848872054510</v>
      </c>
    </row>
    <row r="7" ht="20.05" customHeight="1">
      <c r="A7" s="24">
        <v>-1000</v>
      </c>
      <c r="B7" s="46">
        <f>B6*EXP(I7*($A7-$A6))</f>
        <v>16.7705098312484</v>
      </c>
      <c r="C7" s="27">
        <f>E7*D7/1000</f>
        <v>45</v>
      </c>
      <c r="D7" s="27">
        <f>D6</f>
        <v>900</v>
      </c>
      <c r="E7" s="28">
        <v>50</v>
      </c>
      <c r="F7" s="30"/>
      <c r="G7" s="26">
        <f>LN(E7/E6)/($A7-$A6)</f>
        <v>0.000601986402162968</v>
      </c>
      <c r="H7" s="26">
        <f>LN(D7/D6)/($A7-$A6)</f>
        <v>0</v>
      </c>
      <c r="I7" s="26">
        <f>H7+G7/$F$25</f>
        <v>0.000300993201081484</v>
      </c>
      <c r="J7" s="40">
        <f>J8*E7/E8</f>
        <v>4.27350427350429</v>
      </c>
      <c r="K7" s="31"/>
      <c r="L7" s="32">
        <f>(C7+C6)*($A7-$A6)/2/1000</f>
        <v>58.5</v>
      </c>
      <c r="M7" s="33"/>
      <c r="N7" t="s" s="37">
        <v>23</v>
      </c>
      <c r="O7" s="30"/>
      <c r="P7" s="36">
        <f>LN(2)/G7</f>
        <v>1151.433284986890</v>
      </c>
      <c r="Q7" s="36">
        <f>LN(2)/I7</f>
        <v>2302.866569973780</v>
      </c>
    </row>
    <row r="8" ht="20.05" customHeight="1">
      <c r="A8" s="24">
        <v>0</v>
      </c>
      <c r="B8" s="46">
        <f>B7*EXP(I8*($A8-$A7))</f>
        <v>30.9232921921325</v>
      </c>
      <c r="C8" s="27">
        <f>E8*D8/1000</f>
        <v>153</v>
      </c>
      <c r="D8" s="27">
        <f>D7</f>
        <v>900</v>
      </c>
      <c r="E8" s="28">
        <v>170</v>
      </c>
      <c r="F8" s="30"/>
      <c r="G8" s="26">
        <f>LN(E8/E7)/($A8-$A7)</f>
        <v>0.00122377543162212</v>
      </c>
      <c r="H8" s="26">
        <f>LN(D8/D7)/($A8-$A7)</f>
        <v>0</v>
      </c>
      <c r="I8" s="26">
        <f>H8+G8/$F$25</f>
        <v>0.00061188771581106</v>
      </c>
      <c r="J8" s="38">
        <f>J9*E8/E9</f>
        <v>14.5299145299146</v>
      </c>
      <c r="K8" s="31"/>
      <c r="L8" s="32">
        <f>(C8+C7)*($A8-$A7)/2/1000</f>
        <v>99</v>
      </c>
      <c r="M8" s="33"/>
      <c r="N8" t="s" s="34">
        <v>24</v>
      </c>
      <c r="O8" s="35"/>
      <c r="P8" s="36">
        <f>LN(2)/G8</f>
        <v>566.4006341761381</v>
      </c>
      <c r="Q8" s="36">
        <f>LN(2)/I8</f>
        <v>1132.801268352280</v>
      </c>
    </row>
    <row r="9" ht="20.05" customHeight="1">
      <c r="A9" s="24">
        <v>800</v>
      </c>
      <c r="B9" s="46">
        <f>B8*EXP(I9*($A9-$A8))</f>
        <v>41.0791918128875</v>
      </c>
      <c r="C9" s="27">
        <f>E9*D9/1000</f>
        <v>270</v>
      </c>
      <c r="D9" s="27">
        <f>D8</f>
        <v>900</v>
      </c>
      <c r="E9" s="28">
        <v>300</v>
      </c>
      <c r="F9" s="30"/>
      <c r="G9" s="26">
        <f>LN(E9/E8)/($A9-$A8)</f>
        <v>0.000709980047007424</v>
      </c>
      <c r="H9" s="26">
        <f>LN(D9/D8)/($A9-$A8)</f>
        <v>0</v>
      </c>
      <c r="I9" s="26">
        <f>H9+G9/$F$25</f>
        <v>0.000354990023503712</v>
      </c>
      <c r="J9" s="38">
        <f>J10*E9/E10*0.3</f>
        <v>25.6410256410257</v>
      </c>
      <c r="K9" s="31"/>
      <c r="L9" s="32">
        <f>(C9+C8)*($A9-$A8)/2/1000</f>
        <v>169.2</v>
      </c>
      <c r="M9" s="33"/>
      <c r="N9" t="s" s="34">
        <v>25</v>
      </c>
      <c r="O9" s="35"/>
      <c r="P9" s="36">
        <f>LN(2)/G9</f>
        <v>976.291071110478</v>
      </c>
      <c r="Q9" s="36">
        <f>LN(2)/I9</f>
        <v>1952.582142220960</v>
      </c>
    </row>
    <row r="10" ht="20.05" customHeight="1">
      <c r="A10" s="24">
        <v>1500</v>
      </c>
      <c r="B10" s="46">
        <f>B9*EXP(I10*($A10-$A9))</f>
        <v>53.0330085889911</v>
      </c>
      <c r="C10" s="27">
        <f>E10*D10/1000</f>
        <v>450</v>
      </c>
      <c r="D10" s="27">
        <f>D9</f>
        <v>900</v>
      </c>
      <c r="E10" s="28">
        <v>500</v>
      </c>
      <c r="F10" s="30"/>
      <c r="G10" s="26">
        <f>LN(E10/E9)/($A10-$A9)</f>
        <v>0.000729750891094272</v>
      </c>
      <c r="H10" s="26">
        <f>LN(D10/D9)/($A10-$A9)</f>
        <v>0</v>
      </c>
      <c r="I10" s="26">
        <f>H10+G10/$F$25</f>
        <v>0.000364875445547136</v>
      </c>
      <c r="J10" s="38">
        <f>J11*2/3*2/3</f>
        <v>142.450142450143</v>
      </c>
      <c r="K10" s="31"/>
      <c r="L10" s="32">
        <f>(C10+C9)*($A10-$A9)/2/1000</f>
        <v>252</v>
      </c>
      <c r="M10" s="33"/>
      <c r="N10" t="s" s="34">
        <v>26</v>
      </c>
      <c r="O10" s="35"/>
      <c r="P10" s="36">
        <f>LN(2)/G10</f>
        <v>949.840814199707</v>
      </c>
      <c r="Q10" s="36">
        <f>LN(2)/I10</f>
        <v>1899.681628399410</v>
      </c>
    </row>
    <row r="11" ht="20.05" customHeight="1">
      <c r="A11" s="24">
        <v>1770</v>
      </c>
      <c r="B11" s="46">
        <f>B10*EXP(I11*($A11-$A10))</f>
        <v>79.38566201357349</v>
      </c>
      <c r="C11" s="27">
        <f>E11*D11/1000</f>
        <v>825</v>
      </c>
      <c r="D11" s="27">
        <v>1100</v>
      </c>
      <c r="E11" s="28">
        <v>750</v>
      </c>
      <c r="F11" s="30"/>
      <c r="G11" s="26">
        <f>LN(E11/E10)/($A11-$A10)</f>
        <v>0.00150172262262283</v>
      </c>
      <c r="H11" s="26">
        <f>LN(D11/D10)/($A11-$A10)</f>
        <v>0.000743224798007968</v>
      </c>
      <c r="I11" s="26">
        <f>H11+G11/$F$25</f>
        <v>0.00149408610931938</v>
      </c>
      <c r="J11" s="38">
        <f>J12*15/26/3</f>
        <v>320.512820512821</v>
      </c>
      <c r="K11" s="31"/>
      <c r="L11" s="32">
        <f>(C11+C10)*($A11-$A10)/2/1000</f>
        <v>172.125</v>
      </c>
      <c r="M11" s="33"/>
      <c r="N11" t="s" s="34">
        <v>27</v>
      </c>
      <c r="O11" s="35"/>
      <c r="P11" s="36">
        <f>LN(2)/G11</f>
        <v>461.568048664893</v>
      </c>
      <c r="Q11" s="36">
        <f>LN(2)/I11</f>
        <v>463.927196857284</v>
      </c>
    </row>
    <row r="12" ht="20.05" customHeight="1">
      <c r="A12" s="24">
        <v>1870</v>
      </c>
      <c r="B12" s="46">
        <f>B11*EXP(I12*($A12-$A11))</f>
        <v>123.519004385740</v>
      </c>
      <c r="C12" s="27">
        <f>E12*D12/1000</f>
        <v>1690</v>
      </c>
      <c r="D12" s="27">
        <v>1300</v>
      </c>
      <c r="E12" s="28">
        <v>1300</v>
      </c>
      <c r="F12" s="30"/>
      <c r="G12" s="26">
        <f>LN(E12/E11)/($A12-$A11)</f>
        <v>0.00550046336919272</v>
      </c>
      <c r="H12" s="26">
        <f>LN(D12/D11)/($A12-$A11)</f>
        <v>0.00167054084663166</v>
      </c>
      <c r="I12" s="26">
        <f>H12+G12/$F$25</f>
        <v>0.00442077253122802</v>
      </c>
      <c r="J12" s="38">
        <f>J13/60</f>
        <v>1666.666666666670</v>
      </c>
      <c r="K12" s="31"/>
      <c r="L12" s="32">
        <f>(C12+C11)*($A12-$A11)/2/1000</f>
        <v>125.75</v>
      </c>
      <c r="M12" s="33"/>
      <c r="N12" t="s" s="34">
        <v>28</v>
      </c>
      <c r="O12" s="35"/>
      <c r="P12" s="36">
        <f>LN(2)/G12</f>
        <v>126.016143374785</v>
      </c>
      <c r="Q12" s="36">
        <f>LN(2)/I12</f>
        <v>156.793224637459</v>
      </c>
    </row>
    <row r="13" ht="20.05" customHeight="1">
      <c r="A13" s="24">
        <v>2020</v>
      </c>
      <c r="B13" s="46">
        <f>B12*EXP(I13*($A13-$A12))</f>
        <v>2720.535937912570</v>
      </c>
      <c r="C13" s="27">
        <v>90000</v>
      </c>
      <c r="D13" s="27">
        <f>C13/E13*1000</f>
        <v>11842.1052631579</v>
      </c>
      <c r="E13" s="28">
        <v>7600</v>
      </c>
      <c r="F13" s="30"/>
      <c r="G13" s="26">
        <f>LN(E13/E12)/($A13-$A12)</f>
        <v>0.011771893218832</v>
      </c>
      <c r="H13" s="26">
        <f>LN(D13/D12)/($A13-$A12)</f>
        <v>0.0147286477238033</v>
      </c>
      <c r="I13" s="26">
        <f>H13+G13/$F$25</f>
        <v>0.0206145943332193</v>
      </c>
      <c r="J13" s="38">
        <v>100000</v>
      </c>
      <c r="K13" s="31"/>
      <c r="L13" s="32">
        <f>(C13+C12)*($A13-$A12)/2/1000</f>
        <v>6876.75</v>
      </c>
      <c r="M13" s="33"/>
      <c r="N13" t="s" s="34">
        <v>29</v>
      </c>
      <c r="O13" s="35"/>
      <c r="P13" s="36">
        <f>LN(2)/G13</f>
        <v>58.8815382262462</v>
      </c>
      <c r="Q13" s="36">
        <f>LN(2)/I13</f>
        <v>33.6240999631497</v>
      </c>
    </row>
    <row r="14" ht="20.05" customHeight="1">
      <c r="A14" s="24">
        <v>2100</v>
      </c>
      <c r="B14" s="46">
        <f>EXP(I14*($A14-$A13))*B13</f>
        <v>13474.9027122131</v>
      </c>
      <c r="C14" s="27">
        <f>E14*D14/1000</f>
        <v>485096.497639668</v>
      </c>
      <c r="D14" s="27">
        <f>D13*EXP(H14*($A14-$A13))</f>
        <v>53899.610848852</v>
      </c>
      <c r="E14" s="28">
        <v>9000</v>
      </c>
      <c r="F14" t="s" s="37">
        <v>30</v>
      </c>
      <c r="G14" s="26">
        <f>LN(E14/E13)/($A14-$A13)</f>
        <v>0.00211345412554917</v>
      </c>
      <c r="H14" s="26">
        <f>I14-G14/$F$25</f>
        <v>0.0189432729372254</v>
      </c>
      <c r="I14" s="26">
        <v>0.02</v>
      </c>
      <c r="J14" s="38"/>
      <c r="K14" s="31"/>
      <c r="L14" s="32">
        <f>(C14+C13)*($A14-$A13)/2/1000</f>
        <v>23003.8599055867</v>
      </c>
      <c r="M14" s="33"/>
      <c r="N14" t="s" s="34">
        <v>31</v>
      </c>
      <c r="O14" s="35"/>
      <c r="P14" s="36"/>
      <c r="Q14" s="36"/>
    </row>
    <row r="15" ht="20.05" customHeight="1">
      <c r="A15" s="24">
        <v>2200</v>
      </c>
      <c r="B15" s="46">
        <f>EXP(I15*($A15-$A14))*B14</f>
        <v>99566.812068175394</v>
      </c>
      <c r="C15" s="27">
        <f>E15*D15/1000</f>
        <v>3584405.23445429</v>
      </c>
      <c r="D15" s="27">
        <f>D14*EXP(H15*($A15-$A14))</f>
        <v>398267.248272699</v>
      </c>
      <c r="E15" s="28">
        <v>9000</v>
      </c>
      <c r="F15" t="s" s="37">
        <v>30</v>
      </c>
      <c r="G15" s="26">
        <f>LN(E15/E14)/($A15-$A14)</f>
        <v>0</v>
      </c>
      <c r="H15" s="26">
        <f>I15-G15/$F$25</f>
        <v>0.02</v>
      </c>
      <c r="I15" s="26">
        <v>0.02</v>
      </c>
      <c r="J15" s="38"/>
      <c r="K15" s="31"/>
      <c r="L15" s="32">
        <f>(C15+C14)*($A15-$A14)/2/1000</f>
        <v>203475.086604698</v>
      </c>
      <c r="M15" s="33"/>
      <c r="N15" s="33"/>
      <c r="O15" s="33"/>
      <c r="P15" s="38"/>
      <c r="Q15" s="38"/>
    </row>
    <row r="16" ht="20.05" customHeight="1">
      <c r="A16" s="24">
        <v>2500</v>
      </c>
      <c r="B16" s="46">
        <f>EXP(I16*($A16-$A15))*B15</f>
        <v>40168118.8645819</v>
      </c>
      <c r="C16" s="27">
        <f>E16*D16/1000</f>
        <v>1446052279.12494</v>
      </c>
      <c r="D16" s="27">
        <f>D15*EXP(H16*($A16-$A15))</f>
        <v>160672475.458327</v>
      </c>
      <c r="E16" s="28">
        <v>9000</v>
      </c>
      <c r="F16" t="s" s="37">
        <v>30</v>
      </c>
      <c r="G16" s="26">
        <f>LN(E16/E15)/($A16-$A15)</f>
        <v>0</v>
      </c>
      <c r="H16" s="26">
        <f>I16-G16/$F$25</f>
        <v>0.02</v>
      </c>
      <c r="I16" s="26">
        <v>0.02</v>
      </c>
      <c r="J16" s="38"/>
      <c r="K16" s="31"/>
      <c r="L16" s="32">
        <f>(C16+C15)*($A16-$A15)/2/1000</f>
        <v>217445502.653909</v>
      </c>
      <c r="M16" s="33"/>
      <c r="N16" s="33"/>
      <c r="O16" s="33"/>
      <c r="P16" s="38"/>
      <c r="Q16" s="38"/>
    </row>
    <row r="17" ht="20.05" customHeight="1">
      <c r="A17" s="39"/>
      <c r="B17" s="48"/>
      <c r="C17" s="27"/>
      <c r="D17" s="27"/>
      <c r="E17" s="30"/>
      <c r="F17" s="30"/>
      <c r="G17" s="26"/>
      <c r="H17" s="26"/>
      <c r="I17" s="26"/>
      <c r="J17" s="38"/>
      <c r="K17" s="31"/>
      <c r="L17" s="32"/>
      <c r="M17" s="33"/>
      <c r="N17" s="33"/>
      <c r="O17" s="33"/>
      <c r="P17" s="38"/>
      <c r="Q17" s="38"/>
    </row>
    <row r="18" ht="20.05" customHeight="1">
      <c r="A18" s="39"/>
      <c r="B18" s="48"/>
      <c r="C18" s="27"/>
      <c r="D18" s="27"/>
      <c r="E18" s="30"/>
      <c r="F18" s="30"/>
      <c r="G18" s="26"/>
      <c r="H18" s="26"/>
      <c r="I18" s="26"/>
      <c r="J18" s="38"/>
      <c r="K18" s="31"/>
      <c r="L18" s="32"/>
      <c r="M18" s="33"/>
      <c r="N18" s="33"/>
      <c r="O18" s="33"/>
      <c r="P18" s="38"/>
      <c r="Q18" s="38"/>
    </row>
    <row r="19" ht="20.05" customHeight="1">
      <c r="A19" s="39"/>
      <c r="B19" s="48"/>
      <c r="C19" s="27"/>
      <c r="D19" s="27"/>
      <c r="E19" s="30"/>
      <c r="F19" s="30"/>
      <c r="G19" s="26"/>
      <c r="H19" s="26"/>
      <c r="I19" s="26"/>
      <c r="J19" s="38"/>
      <c r="K19" s="31"/>
      <c r="L19" s="32"/>
      <c r="M19" s="33"/>
      <c r="N19" s="31"/>
      <c r="O19" s="33"/>
      <c r="P19" s="38"/>
      <c r="Q19" s="38"/>
    </row>
    <row r="20" ht="20.05" customHeight="1">
      <c r="A20" s="39"/>
      <c r="B20" s="48"/>
      <c r="C20" t="s" s="37">
        <v>32</v>
      </c>
      <c r="D20" s="27"/>
      <c r="E20" s="30"/>
      <c r="F20" s="28">
        <f>F21^(4/3)</f>
        <v>1574.901312368590</v>
      </c>
      <c r="G20" s="26"/>
      <c r="H20" s="26"/>
      <c r="I20" s="26"/>
      <c r="J20" s="38"/>
      <c r="K20" s="31"/>
      <c r="L20" s="32"/>
      <c r="M20" s="33"/>
      <c r="N20" s="33"/>
      <c r="O20" s="33"/>
      <c r="P20" s="38"/>
      <c r="Q20" s="38"/>
    </row>
    <row r="21" ht="20.05" customHeight="1">
      <c r="A21" s="39"/>
      <c r="B21" s="48"/>
      <c r="C21" t="s" s="37">
        <v>33</v>
      </c>
      <c r="D21" s="27"/>
      <c r="E21" s="30"/>
      <c r="F21" s="28">
        <v>250</v>
      </c>
      <c r="G21" s="26"/>
      <c r="H21" s="26"/>
      <c r="I21" s="26"/>
      <c r="J21" s="38"/>
      <c r="K21" s="31"/>
      <c r="L21" s="32"/>
      <c r="M21" s="33"/>
      <c r="N21" s="33"/>
      <c r="O21" s="33"/>
      <c r="P21" s="38"/>
      <c r="Q21" s="38"/>
    </row>
    <row r="22" ht="20.05" customHeight="1">
      <c r="A22" s="39"/>
      <c r="B22" s="48"/>
      <c r="C22" t="s" s="37">
        <v>34</v>
      </c>
      <c r="D22" s="27"/>
      <c r="E22" s="30"/>
      <c r="F22" s="28">
        <v>1</v>
      </c>
      <c r="G22" s="26"/>
      <c r="H22" s="26"/>
      <c r="I22" s="26"/>
      <c r="J22" s="38"/>
      <c r="K22" s="31"/>
      <c r="L22" s="32"/>
      <c r="M22" s="33"/>
      <c r="N22" s="33"/>
      <c r="O22" s="33"/>
      <c r="P22" s="38"/>
      <c r="Q22" s="38"/>
    </row>
    <row r="23" ht="20.05" customHeight="1">
      <c r="A23" s="39"/>
      <c r="B23" s="48"/>
      <c r="C23" t="s" s="37">
        <v>35</v>
      </c>
      <c r="D23" s="27"/>
      <c r="E23" s="30"/>
      <c r="F23" s="28">
        <v>4</v>
      </c>
      <c r="G23" s="26"/>
      <c r="H23" s="26"/>
      <c r="I23" s="26"/>
      <c r="J23" s="38"/>
      <c r="K23" s="31"/>
      <c r="L23" s="32"/>
      <c r="M23" s="33"/>
      <c r="N23" s="33"/>
      <c r="O23" s="33"/>
      <c r="P23" s="38"/>
      <c r="Q23" s="38"/>
    </row>
    <row r="24" ht="20.05" customHeight="1">
      <c r="A24" s="39"/>
      <c r="B24" s="48"/>
      <c r="C24" t="s" s="37">
        <v>36</v>
      </c>
      <c r="D24" s="27"/>
      <c r="E24" s="30"/>
      <c r="F24" s="28">
        <v>0.5</v>
      </c>
      <c r="G24" s="26"/>
      <c r="H24" s="26"/>
      <c r="I24" s="26"/>
      <c r="J24" s="38"/>
      <c r="K24" s="31"/>
      <c r="L24" s="32"/>
      <c r="M24" s="33"/>
      <c r="N24" s="33"/>
      <c r="O24" s="33"/>
      <c r="P24" s="38"/>
      <c r="Q24" s="38"/>
    </row>
    <row r="25" ht="20.05" customHeight="1">
      <c r="A25" s="39"/>
      <c r="B25" s="48"/>
      <c r="C25" t="s" s="37">
        <v>37</v>
      </c>
      <c r="D25" s="30"/>
      <c r="E25" s="30"/>
      <c r="F25" s="28">
        <v>2</v>
      </c>
      <c r="G25" s="26"/>
      <c r="H25" s="26"/>
      <c r="I25" s="26"/>
      <c r="J25" s="38"/>
      <c r="K25" s="31"/>
      <c r="L25" s="32"/>
      <c r="M25" s="33"/>
      <c r="N25" s="33"/>
      <c r="O25" s="33"/>
      <c r="P25" s="38"/>
      <c r="Q25" s="38"/>
    </row>
    <row r="26" ht="20.05" customHeight="1">
      <c r="A26" s="39"/>
      <c r="B26" s="48"/>
      <c r="C26" s="27"/>
      <c r="D26" s="27"/>
      <c r="E26" s="30"/>
      <c r="F26" s="30"/>
      <c r="G26" s="26"/>
      <c r="H26" s="26"/>
      <c r="I26" s="26"/>
      <c r="J26" s="38"/>
      <c r="K26" s="31"/>
      <c r="L26" s="32"/>
      <c r="M26" s="33"/>
      <c r="N26" s="33"/>
      <c r="O26" s="33"/>
      <c r="P26" s="38"/>
      <c r="Q26" s="38"/>
    </row>
    <row r="27" ht="23" customHeight="1">
      <c r="A27" s="39"/>
      <c r="B27" s="48"/>
      <c r="C27" s="27"/>
      <c r="D27" s="27"/>
      <c r="E27" t="s" s="41">
        <v>45</v>
      </c>
      <c r="F27" s="30"/>
      <c r="G27" s="26"/>
      <c r="H27" s="26"/>
      <c r="I27" s="26"/>
      <c r="J27" s="38"/>
      <c r="K27" s="31"/>
      <c r="L27" s="32"/>
      <c r="M27" s="33"/>
      <c r="N27" s="33"/>
      <c r="O27" s="33"/>
      <c r="P27" s="38"/>
      <c r="Q27" s="38"/>
    </row>
  </sheetData>
  <mergeCells count="1">
    <mergeCell ref="A1:Q1"/>
  </mergeCells>
  <hyperlinks>
    <hyperlink ref="E27" r:id="rId1" location="" tooltip="" display="https://www.icloud.com/numbers/0jaPx8AjooD2TDbNM4Og3Z2ow"/>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