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_qo6snjb\OneDrive\Excel tutorial\Excel_Tutorial_BBGA_Enhanced\"/>
    </mc:Choice>
  </mc:AlternateContent>
  <bookViews>
    <workbookView xWindow="0" yWindow="0" windowWidth="19200" windowHeight="8040" activeTab="6" xr2:uid="{00000000-000D-0000-FFFF-FFFF00000000}"/>
  </bookViews>
  <sheets>
    <sheet name="ExBag" sheetId="10" r:id="rId1"/>
    <sheet name="Bag" sheetId="1" r:id="rId2"/>
    <sheet name="Kamut" sheetId="7" r:id="rId3"/>
    <sheet name="CO" sheetId="5" r:id="rId4"/>
    <sheet name="Brioche" sheetId="6" r:id="rId5"/>
    <sheet name="prices" sheetId="3" r:id="rId6"/>
    <sheet name="Sheet1" sheetId="8" r:id="rId7"/>
    <sheet name="improvements" sheetId="9" r:id="rId8"/>
    <sheet name="control" sheetId="2" r:id="rId9"/>
  </sheets>
  <externalReferences>
    <externalReference r:id="rId10"/>
  </externalReferences>
  <definedNames>
    <definedName name="bev" localSheetId="0">'[1]prices 2017'!#REF!</definedName>
    <definedName name="bev" localSheetId="2">'[1]prices 2017'!#REF!</definedName>
    <definedName name="bev">'[1]prices 2017'!#REF!</definedName>
    <definedName name="Beverage" localSheetId="4">'[1]prices 2017'!#REF!</definedName>
    <definedName name="Beverage" localSheetId="3">'[1]prices 2017'!#REF!</definedName>
    <definedName name="Beverage" localSheetId="0">'[1]prices 2017'!#REF!</definedName>
    <definedName name="Beverage" localSheetId="2">'[1]prices 2017'!#REF!</definedName>
    <definedName name="Beverage">'[1]prices 2017'!#REF!</definedName>
    <definedName name="Dairy_and_Eggs" localSheetId="4">'[1]prices 2017'!#REF!</definedName>
    <definedName name="Dairy_and_Eggs" localSheetId="3">'[1]prices 2017'!#REF!</definedName>
    <definedName name="Dairy_and_Eggs" localSheetId="0">'[1]prices 2017'!#REF!</definedName>
    <definedName name="Dairy_and_Eggs" localSheetId="2">'[1]prices 2017'!#REF!</definedName>
    <definedName name="Dairy_and_Eggs">'[1]prices 2017'!#REF!</definedName>
    <definedName name="Flour_and_Grains" localSheetId="4">'[1]prices 2017'!#REF!</definedName>
    <definedName name="Flour_and_Grains" localSheetId="3">'[1]prices 2017'!#REF!</definedName>
    <definedName name="Flour_and_Grains" localSheetId="0">'[1]prices 2017'!#REF!</definedName>
    <definedName name="Flour_and_Grains" localSheetId="2">'[1]prices 2017'!#REF!</definedName>
    <definedName name="Flour_and_Grains">'[1]prices 2017'!#REF!</definedName>
    <definedName name="Fruit" localSheetId="4">'[1]prices 2017'!#REF!</definedName>
    <definedName name="Fruit" localSheetId="3">'[1]prices 2017'!#REF!</definedName>
    <definedName name="Fruit" localSheetId="0">'[1]prices 2017'!#REF!</definedName>
    <definedName name="Fruit" localSheetId="2">'[1]prices 2017'!#REF!</definedName>
    <definedName name="Fruit">'[1]prices 2017'!#REF!</definedName>
    <definedName name="Herbs_and_Spices" localSheetId="4">'[1]prices 2017'!#REF!</definedName>
    <definedName name="Herbs_and_Spices" localSheetId="3">'[1]prices 2017'!#REF!</definedName>
    <definedName name="Herbs_and_Spices" localSheetId="0">'[1]prices 2017'!#REF!</definedName>
    <definedName name="Herbs_and_Spices" localSheetId="2">'[1]prices 2017'!#REF!</definedName>
    <definedName name="Herbs_and_Spices">'[1]prices 2017'!#REF!</definedName>
    <definedName name="I" localSheetId="4">[1]!Additions[[#All],[Primary Addition]]</definedName>
    <definedName name="I" localSheetId="3">[1]!Additions[[#All],[Primary Addition]]</definedName>
    <definedName name="I" localSheetId="2">[1]!Additions[[#All],[Primary Addition]]</definedName>
    <definedName name="I">[1]!Additions[[#All],[Primary Addition]]</definedName>
    <definedName name="Ing" localSheetId="4">[1]!Additions[[#All],[Primary Addition]]</definedName>
    <definedName name="Ing" localSheetId="3">[1]!Additions[[#All],[Primary Addition]]</definedName>
    <definedName name="Ing" localSheetId="2">[1]!Additions[[#All],[Primary Addition]]</definedName>
    <definedName name="Ing">[1]!Additions[[#All],[Primary Addition]]</definedName>
    <definedName name="Ingr" localSheetId="4">[1]!Additions[[#All],[Primary Addition]]</definedName>
    <definedName name="Ingr" localSheetId="3">[1]!Additions[[#All],[Primary Addition]]</definedName>
    <definedName name="Ingr" localSheetId="2">[1]!Additions[[#All],[Primary Addition]]</definedName>
    <definedName name="Ingr">[1]!Additions[[#All],[Primary Addition]]</definedName>
    <definedName name="Ingred" localSheetId="4">[1]!Additions[[#All],[Primary Addition]]</definedName>
    <definedName name="Ingred" localSheetId="3">[1]!Additions[[#All],[Primary Addition]]</definedName>
    <definedName name="Ingred" localSheetId="2">[1]!Additions[[#All],[Primary Addition]]</definedName>
    <definedName name="Ingred">[1]!Additions[[#All],[Primary Addition]]</definedName>
    <definedName name="Ingredients" localSheetId="4">[1]!Additions[[#All],[Primary Addition]]</definedName>
    <definedName name="Ingredients" localSheetId="3">[1]!Additions[[#All],[Primary Addition]]</definedName>
    <definedName name="Ingredients" localSheetId="2">[1]!Additions[[#All],[Primary Addition]]</definedName>
    <definedName name="Ingredients">[1]!Additions[[#All],[Primary Addition]]</definedName>
    <definedName name="j" localSheetId="4">[1]!Additions[[#All],[Primary Addition]]</definedName>
    <definedName name="j" localSheetId="3">[1]!Additions[[#All],[Primary Addition]]</definedName>
    <definedName name="j" localSheetId="2">[1]!Additions[[#All],[Primary Addition]]</definedName>
    <definedName name="j">[1]!Additions[[#All],[Primary Addition]]</definedName>
    <definedName name="Meat" localSheetId="4">'[1]prices 2017'!#REF!</definedName>
    <definedName name="Meat" localSheetId="3">'[1]prices 2017'!#REF!</definedName>
    <definedName name="Meat" localSheetId="0">'[1]prices 2017'!#REF!</definedName>
    <definedName name="Meat" localSheetId="2">'[1]prices 2017'!#REF!</definedName>
    <definedName name="Meat">'[1]prices 2017'!#REF!</definedName>
    <definedName name="Nuts_and_Seeds" localSheetId="4">'[1]prices 2017'!#REF!</definedName>
    <definedName name="Nuts_and_Seeds" localSheetId="3">'[1]prices 2017'!#REF!</definedName>
    <definedName name="Nuts_and_Seeds" localSheetId="0">'[1]prices 2017'!#REF!</definedName>
    <definedName name="Nuts_and_Seeds" localSheetId="2">'[1]prices 2017'!#REF!</definedName>
    <definedName name="Nuts_and_Seeds">'[1]prices 2017'!#REF!</definedName>
    <definedName name="Other" localSheetId="4">'[1]prices 2017'!#REF!</definedName>
    <definedName name="Other" localSheetId="3">'[1]prices 2017'!#REF!</definedName>
    <definedName name="Other" localSheetId="0">'[1]prices 2017'!#REF!</definedName>
    <definedName name="Other" localSheetId="2">'[1]prices 2017'!#REF!</definedName>
    <definedName name="Other">'[1]prices 2017'!#REF!</definedName>
    <definedName name="others" localSheetId="4">'[1]prices 2017'!#REF!</definedName>
    <definedName name="others" localSheetId="3">'[1]prices 2017'!#REF!</definedName>
    <definedName name="others" localSheetId="0">'[1]prices 2017'!#REF!</definedName>
    <definedName name="others" localSheetId="2">'[1]prices 2017'!#REF!</definedName>
    <definedName name="others">'[1]prices 2017'!#REF!</definedName>
    <definedName name="_xlnm.Print_Area" localSheetId="1">Bag!$B$1:$H$37</definedName>
    <definedName name="_xlnm.Print_Area" localSheetId="4">Brioche!$B$1:$H$39</definedName>
    <definedName name="_xlnm.Print_Area" localSheetId="3">CO!$B$1:$J$37</definedName>
    <definedName name="_xlnm.Print_Area" localSheetId="0">ExBag!$B$1:$H$36</definedName>
    <definedName name="_xlnm.Print_Area" localSheetId="2">Kamut!$B$1:$H$38</definedName>
    <definedName name="Sweeteners_and_leavening" localSheetId="4">'[1]prices 2017'!#REF!</definedName>
    <definedName name="Sweeteners_and_leavening" localSheetId="3">'[1]prices 2017'!#REF!</definedName>
    <definedName name="Sweeteners_and_leavening" localSheetId="0">'[1]prices 2017'!#REF!</definedName>
    <definedName name="Sweeteners_and_leavening" localSheetId="2">'[1]prices 2017'!#REF!</definedName>
    <definedName name="Sweeteners_and_leavening">'[1]prices 2017'!#REF!</definedName>
    <definedName name="Veggies" localSheetId="4">'[1]prices 2017'!#REF!</definedName>
    <definedName name="Veggies" localSheetId="3">'[1]prices 2017'!#REF!</definedName>
    <definedName name="Veggies" localSheetId="0">'[1]prices 2017'!#REF!</definedName>
    <definedName name="Veggies" localSheetId="2">'[1]prices 2017'!#REF!</definedName>
    <definedName name="Veggies">'[1]prices 2017'!#REF!</definedName>
    <definedName name="Vendors" localSheetId="4">VendorList[Vendors]</definedName>
    <definedName name="Vendors" localSheetId="3">VendorList[Vendors]</definedName>
    <definedName name="Vendors" localSheetId="0">VendorList[Vendors]</definedName>
    <definedName name="Vendors" localSheetId="2">VendorList[Vendors]</definedName>
    <definedName name="Vendors">VendorList[Vendors]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D9" i="8"/>
  <c r="D10" i="8"/>
  <c r="D11" i="8"/>
  <c r="D7" i="8"/>
  <c r="C15" i="8"/>
  <c r="C12" i="8"/>
  <c r="D12" i="8" l="1"/>
  <c r="C18" i="10"/>
  <c r="B16" i="10"/>
  <c r="B43" i="10" s="1"/>
  <c r="B15" i="10"/>
  <c r="G15" i="10" s="1"/>
  <c r="B14" i="10"/>
  <c r="G14" i="10" s="1"/>
  <c r="B13" i="10"/>
  <c r="G13" i="10" s="1"/>
  <c r="A12" i="10"/>
  <c r="B11" i="10"/>
  <c r="D8" i="10"/>
  <c r="D13" i="10" s="1"/>
  <c r="L7" i="3"/>
  <c r="B12" i="10" l="1"/>
  <c r="B39" i="10" s="1"/>
  <c r="D11" i="10"/>
  <c r="F11" i="10" s="1"/>
  <c r="F13" i="10" s="1"/>
  <c r="H13" i="10" s="1"/>
  <c r="G12" i="10"/>
  <c r="D16" i="10"/>
  <c r="F16" i="10" s="1"/>
  <c r="B42" i="10"/>
  <c r="D12" i="10"/>
  <c r="D14" i="10"/>
  <c r="D15" i="10"/>
  <c r="B41" i="10"/>
  <c r="B40" i="10"/>
  <c r="C40" i="10" s="1"/>
  <c r="A17" i="7"/>
  <c r="B17" i="7" s="1"/>
  <c r="G17" i="7" s="1"/>
  <c r="B16" i="7"/>
  <c r="G16" i="7" s="1"/>
  <c r="A16" i="7"/>
  <c r="C15" i="7"/>
  <c r="A15" i="7"/>
  <c r="A14" i="7"/>
  <c r="A13" i="7"/>
  <c r="A12" i="7"/>
  <c r="G11" i="2"/>
  <c r="H11" i="2"/>
  <c r="B18" i="7"/>
  <c r="B46" i="7" s="1"/>
  <c r="G12" i="7"/>
  <c r="B11" i="7"/>
  <c r="F12" i="10" l="1"/>
  <c r="C43" i="10"/>
  <c r="H11" i="10"/>
  <c r="C41" i="10"/>
  <c r="H14" i="10"/>
  <c r="C39" i="10"/>
  <c r="D18" i="10"/>
  <c r="H12" i="10"/>
  <c r="C42" i="10"/>
  <c r="H15" i="10"/>
  <c r="F18" i="10"/>
  <c r="H17" i="10" s="1"/>
  <c r="B45" i="7"/>
  <c r="G13" i="7"/>
  <c r="J8" i="3"/>
  <c r="A18" i="6"/>
  <c r="A17" i="6"/>
  <c r="A16" i="6"/>
  <c r="A15" i="6"/>
  <c r="B15" i="6" s="1"/>
  <c r="A14" i="6"/>
  <c r="B14" i="6" s="1"/>
  <c r="A13" i="6"/>
  <c r="B13" i="6" s="1"/>
  <c r="A12" i="6"/>
  <c r="B12" i="6" s="1"/>
  <c r="D6" i="6"/>
  <c r="C10" i="6"/>
  <c r="A11" i="6"/>
  <c r="A10" i="6"/>
  <c r="G10" i="2"/>
  <c r="G9" i="2"/>
  <c r="G8" i="2"/>
  <c r="G7" i="2"/>
  <c r="H18" i="10" l="1"/>
  <c r="B18" i="6"/>
  <c r="B17" i="6"/>
  <c r="B16" i="6"/>
  <c r="B48" i="6" s="1"/>
  <c r="B47" i="6"/>
  <c r="G14" i="6"/>
  <c r="G13" i="6"/>
  <c r="B9" i="6"/>
  <c r="D16" i="6"/>
  <c r="H16" i="6" s="1"/>
  <c r="B50" i="6" l="1"/>
  <c r="G18" i="6"/>
  <c r="G15" i="6"/>
  <c r="G17" i="6"/>
  <c r="B49" i="6"/>
  <c r="B44" i="6"/>
  <c r="G12" i="6"/>
  <c r="D10" i="6"/>
  <c r="B45" i="6"/>
  <c r="D11" i="6"/>
  <c r="H11" i="6" s="1"/>
  <c r="D14" i="6"/>
  <c r="H14" i="6" s="1"/>
  <c r="G16" i="6"/>
  <c r="D17" i="6"/>
  <c r="D18" i="6"/>
  <c r="B46" i="6"/>
  <c r="D13" i="6"/>
  <c r="H13" i="6" s="1"/>
  <c r="D9" i="6"/>
  <c r="D12" i="6"/>
  <c r="H12" i="6" s="1"/>
  <c r="D15" i="6"/>
  <c r="H15" i="6" s="1"/>
  <c r="F29" i="3"/>
  <c r="E29" i="3"/>
  <c r="F28" i="3"/>
  <c r="E28" i="3"/>
  <c r="F27" i="3"/>
  <c r="E27" i="3"/>
  <c r="F26" i="3"/>
  <c r="E26" i="3"/>
  <c r="F25" i="3"/>
  <c r="E25" i="3"/>
  <c r="D24" i="3"/>
  <c r="F24" i="3" s="1"/>
  <c r="F23" i="3"/>
  <c r="E23" i="3"/>
  <c r="F9" i="6" l="1"/>
  <c r="H9" i="6" s="1"/>
  <c r="C45" i="6"/>
  <c r="C50" i="6"/>
  <c r="C47" i="6"/>
  <c r="D21" i="6"/>
  <c r="E24" i="3"/>
  <c r="F17" i="6" l="1"/>
  <c r="H17" i="6" s="1"/>
  <c r="F18" i="6"/>
  <c r="H18" i="6" s="1"/>
  <c r="F10" i="6"/>
  <c r="H10" i="6" s="1"/>
  <c r="A8" i="5"/>
  <c r="F21" i="6" l="1"/>
  <c r="H19" i="6" s="1"/>
  <c r="C8" i="3"/>
  <c r="J6" i="3"/>
  <c r="D20" i="3"/>
  <c r="C20" i="3"/>
  <c r="F22" i="3"/>
  <c r="E22" i="3"/>
  <c r="F21" i="3"/>
  <c r="E21" i="3"/>
  <c r="B13" i="5"/>
  <c r="H21" i="6" l="1"/>
  <c r="E20" i="3"/>
  <c r="F20" i="3"/>
  <c r="A15" i="5" l="1"/>
  <c r="B15" i="5" s="1"/>
  <c r="B14" i="5"/>
  <c r="A11" i="5"/>
  <c r="A10" i="5"/>
  <c r="A9" i="5"/>
  <c r="B8" i="5"/>
  <c r="D4" i="5"/>
  <c r="D13" i="5" s="1"/>
  <c r="J13" i="5" s="1"/>
  <c r="G6" i="2"/>
  <c r="B16" i="5"/>
  <c r="B48" i="5" s="1"/>
  <c r="B7" i="5"/>
  <c r="J4" i="3"/>
  <c r="G5" i="2"/>
  <c r="G4" i="2"/>
  <c r="G3" i="2"/>
  <c r="G2" i="2"/>
  <c r="J2" i="3"/>
  <c r="J3" i="3"/>
  <c r="B16" i="1"/>
  <c r="B15" i="1"/>
  <c r="C18" i="3"/>
  <c r="E18" i="3"/>
  <c r="F17" i="3"/>
  <c r="C48" i="6" s="1"/>
  <c r="E17" i="3"/>
  <c r="F16" i="3"/>
  <c r="E16" i="3"/>
  <c r="F15" i="3"/>
  <c r="E15" i="3"/>
  <c r="F14" i="3"/>
  <c r="C44" i="6" s="1"/>
  <c r="E14" i="3"/>
  <c r="D13" i="3"/>
  <c r="F13" i="3" s="1"/>
  <c r="C46" i="6" s="1"/>
  <c r="E2" i="3"/>
  <c r="E3" i="3"/>
  <c r="E4" i="3"/>
  <c r="E5" i="3"/>
  <c r="E6" i="3"/>
  <c r="E8" i="3"/>
  <c r="E9" i="3"/>
  <c r="E10" i="3"/>
  <c r="E11" i="3"/>
  <c r="E12" i="3"/>
  <c r="F2" i="3"/>
  <c r="F3" i="3"/>
  <c r="F4" i="3"/>
  <c r="F5" i="3"/>
  <c r="F6" i="3"/>
  <c r="F8" i="3"/>
  <c r="F9" i="3"/>
  <c r="F10" i="3"/>
  <c r="F11" i="3"/>
  <c r="F12" i="3"/>
  <c r="C49" i="6" s="1"/>
  <c r="I14" i="5" l="1"/>
  <c r="B46" i="5"/>
  <c r="I13" i="5"/>
  <c r="B45" i="5"/>
  <c r="C45" i="5" s="1"/>
  <c r="I15" i="5"/>
  <c r="B47" i="5"/>
  <c r="D16" i="5"/>
  <c r="D14" i="5"/>
  <c r="D12" i="5"/>
  <c r="D15" i="5"/>
  <c r="J15" i="5" s="1"/>
  <c r="B40" i="5"/>
  <c r="I8" i="5"/>
  <c r="D7" i="5"/>
  <c r="D9" i="5"/>
  <c r="D10" i="5"/>
  <c r="H16" i="5"/>
  <c r="D8" i="5"/>
  <c r="D11" i="5"/>
  <c r="E13" i="3"/>
  <c r="C47" i="5" l="1"/>
  <c r="C46" i="5"/>
  <c r="H7" i="5"/>
  <c r="F7" i="5"/>
  <c r="C40" i="5"/>
  <c r="D19" i="5"/>
  <c r="J7" i="5" l="1"/>
  <c r="H9" i="5"/>
  <c r="J9" i="5" s="1"/>
  <c r="H14" i="5"/>
  <c r="H11" i="5"/>
  <c r="J11" i="5" s="1"/>
  <c r="F12" i="5"/>
  <c r="J12" i="5" s="1"/>
  <c r="F10" i="5"/>
  <c r="J10" i="5" s="1"/>
  <c r="F14" i="5"/>
  <c r="J14" i="5" s="1"/>
  <c r="H19" i="5" l="1"/>
  <c r="J18" i="5" s="1"/>
  <c r="J8" i="5"/>
  <c r="F19" i="5"/>
  <c r="J17" i="5" s="1"/>
  <c r="J19" i="5" l="1"/>
  <c r="B43" i="1"/>
  <c r="B44" i="1"/>
  <c r="H4" i="2"/>
  <c r="H5" i="2"/>
  <c r="H3" i="2"/>
  <c r="D8" i="1" l="1"/>
  <c r="D16" i="1" s="1"/>
  <c r="D8" i="7"/>
  <c r="B2" i="2"/>
  <c r="G15" i="1"/>
  <c r="G16" i="1"/>
  <c r="B17" i="1"/>
  <c r="B45" i="1" s="1"/>
  <c r="B14" i="1"/>
  <c r="C12" i="1"/>
  <c r="D15" i="1" l="1"/>
  <c r="D12" i="1"/>
  <c r="D17" i="1"/>
  <c r="D13" i="1"/>
  <c r="D11" i="1"/>
  <c r="F11" i="1" s="1"/>
  <c r="F14" i="1" s="1"/>
  <c r="D14" i="1"/>
  <c r="B11" i="5"/>
  <c r="B12" i="7"/>
  <c r="B41" i="7" s="1"/>
  <c r="B11" i="6"/>
  <c r="D18" i="7"/>
  <c r="D11" i="7"/>
  <c r="D13" i="7"/>
  <c r="D17" i="7"/>
  <c r="H17" i="7" s="1"/>
  <c r="D16" i="7"/>
  <c r="D12" i="7"/>
  <c r="D14" i="7"/>
  <c r="D15" i="7"/>
  <c r="G14" i="1"/>
  <c r="B42" i="1"/>
  <c r="C42" i="1" s="1"/>
  <c r="I11" i="5"/>
  <c r="B43" i="5"/>
  <c r="F17" i="1"/>
  <c r="H16" i="1"/>
  <c r="C44" i="1"/>
  <c r="H15" i="1"/>
  <c r="C43" i="1"/>
  <c r="H14" i="1"/>
  <c r="H11" i="1"/>
  <c r="F12" i="1"/>
  <c r="F13" i="1"/>
  <c r="D19" i="1" l="1"/>
  <c r="H13" i="1"/>
  <c r="H16" i="7"/>
  <c r="C45" i="7"/>
  <c r="F18" i="7"/>
  <c r="H15" i="7"/>
  <c r="G11" i="6"/>
  <c r="B43" i="6"/>
  <c r="D20" i="7"/>
  <c r="F11" i="7"/>
  <c r="H11" i="7"/>
  <c r="H12" i="1"/>
  <c r="F19" i="1"/>
  <c r="K1" i="2" s="1"/>
  <c r="F12" i="7" l="1"/>
  <c r="F13" i="7"/>
  <c r="H13" i="7" s="1"/>
  <c r="F14" i="7"/>
  <c r="H14" i="7" s="1"/>
  <c r="H18" i="1"/>
  <c r="H19" i="1" s="1"/>
  <c r="D19" i="3"/>
  <c r="B11" i="1"/>
  <c r="A13" i="1"/>
  <c r="A12" i="1"/>
  <c r="B3" i="2"/>
  <c r="C9" i="2"/>
  <c r="C6" i="2"/>
  <c r="B4" i="2"/>
  <c r="C10" i="3"/>
  <c r="B8" i="2"/>
  <c r="C5" i="2"/>
  <c r="B7" i="2"/>
  <c r="C7" i="3"/>
  <c r="B12" i="5" l="1"/>
  <c r="I12" i="5" s="1"/>
  <c r="B13" i="7"/>
  <c r="B42" i="7" s="1"/>
  <c r="C42" i="7" s="1"/>
  <c r="B9" i="5"/>
  <c r="B41" i="5" s="1"/>
  <c r="C41" i="5" s="1"/>
  <c r="B14" i="7"/>
  <c r="B10" i="6"/>
  <c r="B10" i="5"/>
  <c r="B42" i="5" s="1"/>
  <c r="C42" i="5" s="1"/>
  <c r="B15" i="7"/>
  <c r="F20" i="7"/>
  <c r="H19" i="7" s="1"/>
  <c r="H12" i="7"/>
  <c r="I9" i="5"/>
  <c r="B44" i="5"/>
  <c r="C44" i="5" s="1"/>
  <c r="F7" i="3"/>
  <c r="E7" i="3"/>
  <c r="B12" i="1"/>
  <c r="B40" i="1" s="1"/>
  <c r="C40" i="1" s="1"/>
  <c r="G12" i="1"/>
  <c r="G13" i="1"/>
  <c r="B13" i="1"/>
  <c r="B41" i="1" s="1"/>
  <c r="C41" i="1" s="1"/>
  <c r="C4" i="2"/>
  <c r="C7" i="2"/>
  <c r="C3" i="2"/>
  <c r="C8" i="2"/>
  <c r="I10" i="5" l="1"/>
  <c r="C43" i="5"/>
  <c r="C41" i="7"/>
  <c r="C43" i="6"/>
  <c r="G14" i="7"/>
  <c r="B43" i="7"/>
  <c r="C43" i="7" s="1"/>
  <c r="G15" i="7"/>
  <c r="B44" i="7"/>
  <c r="C44" i="7" s="1"/>
  <c r="H20" i="7"/>
  <c r="B42" i="6"/>
  <c r="C42" i="6" s="1"/>
  <c r="G10" i="6"/>
  <c r="C19" i="3"/>
  <c r="C2" i="2"/>
  <c r="K7" i="3" l="1"/>
  <c r="M7" i="3" s="1"/>
  <c r="K8" i="3"/>
  <c r="M8" i="3" s="1"/>
  <c r="F19" i="3"/>
  <c r="C46" i="7" s="1"/>
  <c r="E19" i="3"/>
  <c r="C45" i="1" l="1"/>
  <c r="K2" i="3" s="1"/>
  <c r="K3" i="3" s="1"/>
  <c r="M3" i="3" s="1"/>
  <c r="C48" i="5"/>
  <c r="K6" i="3" s="1"/>
  <c r="M6" i="3" s="1"/>
  <c r="K4" i="3" l="1"/>
  <c r="K5" i="3" s="1"/>
  <c r="M5" i="3" s="1"/>
  <c r="M2" i="3"/>
  <c r="M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Adesys</author>
  </authors>
  <commentList>
    <comment ref="D1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formula is how many dozen  x 12 x 54 grams per egg/453.6 grams per lb.
</t>
        </r>
      </text>
    </comment>
  </commentList>
</comments>
</file>

<file path=xl/sharedStrings.xml><?xml version="1.0" encoding="utf-8"?>
<sst xmlns="http://schemas.openxmlformats.org/spreadsheetml/2006/main" count="289" uniqueCount="129">
  <si>
    <t>Ingredients</t>
  </si>
  <si>
    <t>Total Dough Weight</t>
  </si>
  <si>
    <t>Total Flour</t>
  </si>
  <si>
    <t>%</t>
  </si>
  <si>
    <t>kilograms</t>
  </si>
  <si>
    <t>Total Formula</t>
  </si>
  <si>
    <t>Whole Wheat Flour</t>
  </si>
  <si>
    <t>Sifted Wheat Flour</t>
  </si>
  <si>
    <t>Fine Rye Flour</t>
  </si>
  <si>
    <t>Course Rye Flour</t>
  </si>
  <si>
    <t>Steel Cut Oats</t>
  </si>
  <si>
    <t>Patent Flour</t>
  </si>
  <si>
    <t>Winona</t>
  </si>
  <si>
    <t>Lonesome Stone</t>
  </si>
  <si>
    <t>Valley Bakers</t>
  </si>
  <si>
    <t>Product Type</t>
  </si>
  <si>
    <t>Vendors</t>
  </si>
  <si>
    <t>Golden Produce</t>
  </si>
  <si>
    <t>Marchese</t>
  </si>
  <si>
    <t>Engelhart Dairy</t>
  </si>
  <si>
    <t>Elegant Foods</t>
  </si>
  <si>
    <t>Jordandal</t>
  </si>
  <si>
    <t>Artisan AP flour</t>
  </si>
  <si>
    <t>Whole Corn</t>
  </si>
  <si>
    <t>Flour and Grains</t>
  </si>
  <si>
    <t>Flynn Creek HRWW</t>
  </si>
  <si>
    <t>Flynn Creek</t>
  </si>
  <si>
    <t>Groats, steel cut oats</t>
  </si>
  <si>
    <t>Item</t>
  </si>
  <si>
    <t>Category</t>
  </si>
  <si>
    <t>Price</t>
  </si>
  <si>
    <t>lbs</t>
  </si>
  <si>
    <t>$/lb</t>
  </si>
  <si>
    <t>$/kg</t>
  </si>
  <si>
    <t>Source</t>
  </si>
  <si>
    <t>Organic rye</t>
  </si>
  <si>
    <t>Montana Flour &amp; Grain</t>
  </si>
  <si>
    <t>Updated</t>
  </si>
  <si>
    <t xml:space="preserve">KA Sir Galahad </t>
  </si>
  <si>
    <t>Organic Rye</t>
  </si>
  <si>
    <t>Kamut</t>
  </si>
  <si>
    <t>Alt WE flour</t>
  </si>
  <si>
    <t>Product</t>
  </si>
  <si>
    <t>Cost</t>
  </si>
  <si>
    <t>price</t>
  </si>
  <si>
    <t>COGS</t>
  </si>
  <si>
    <t>water</t>
  </si>
  <si>
    <t>salt</t>
  </si>
  <si>
    <t>yeast</t>
  </si>
  <si>
    <t>seed</t>
  </si>
  <si>
    <t>Sourdough Starter</t>
  </si>
  <si>
    <t>Totals</t>
  </si>
  <si>
    <t>Final Dough</t>
  </si>
  <si>
    <t xml:space="preserve">                 %</t>
  </si>
  <si>
    <t>Total Flour Fermented</t>
  </si>
  <si>
    <t>Sifted Wheat</t>
  </si>
  <si>
    <t>Total</t>
  </si>
  <si>
    <t>Madison Sourdough Baguette</t>
  </si>
  <si>
    <t>Pizza Rounds</t>
  </si>
  <si>
    <t>Roll Press</t>
  </si>
  <si>
    <t>Baguettes</t>
  </si>
  <si>
    <t>Demi</t>
  </si>
  <si>
    <t>Price*Amt</t>
  </si>
  <si>
    <t>Ingredient</t>
  </si>
  <si>
    <t>Sweeteners &amp; leavening</t>
  </si>
  <si>
    <t>Valley</t>
  </si>
  <si>
    <t>Dairy and Eggs</t>
  </si>
  <si>
    <t>Sunflower kernels</t>
  </si>
  <si>
    <t>Nuts and Seeds</t>
  </si>
  <si>
    <t>Pepitas</t>
  </si>
  <si>
    <t>Spices, Choc &amp; Flavorings</t>
  </si>
  <si>
    <t>Golden</t>
  </si>
  <si>
    <t>misc</t>
  </si>
  <si>
    <t>n/a</t>
  </si>
  <si>
    <t>Instant Dry Yeast</t>
  </si>
  <si>
    <t>Grams</t>
  </si>
  <si>
    <t>Sea Salt</t>
  </si>
  <si>
    <t>seed/sour</t>
  </si>
  <si>
    <t>Soaker</t>
  </si>
  <si>
    <t>Country Hearth</t>
  </si>
  <si>
    <t>Flour in Soaker</t>
  </si>
  <si>
    <t>Kamut Flour</t>
  </si>
  <si>
    <t>Whole WE Flour</t>
  </si>
  <si>
    <t>eggs, brown</t>
  </si>
  <si>
    <t>Flax/Sesame</t>
  </si>
  <si>
    <t>Soaker total</t>
  </si>
  <si>
    <t>Sourdough total</t>
  </si>
  <si>
    <t>Sourdough starter</t>
  </si>
  <si>
    <t>Sesame Seeds</t>
  </si>
  <si>
    <t>Flax Seeds, Brown</t>
  </si>
  <si>
    <t>kamut</t>
  </si>
  <si>
    <t>Loaves:</t>
  </si>
  <si>
    <t>Target COGS</t>
  </si>
  <si>
    <t>Hard Rolls</t>
  </si>
  <si>
    <t>Honey</t>
  </si>
  <si>
    <t>Sun Ray</t>
  </si>
  <si>
    <t>Sassy Cow Whole Milk</t>
  </si>
  <si>
    <t>Engelhardt</t>
  </si>
  <si>
    <t>Baking Powder</t>
  </si>
  <si>
    <t>Semolina EUU</t>
  </si>
  <si>
    <t xml:space="preserve">Brown Sugar </t>
  </si>
  <si>
    <t>Nonfat Milk</t>
  </si>
  <si>
    <t>Brioche &amp; Burger Buns</t>
  </si>
  <si>
    <t>Burger Buns</t>
  </si>
  <si>
    <t>Burger Bun Presses</t>
  </si>
  <si>
    <t>Tavern Bun Presses</t>
  </si>
  <si>
    <t>Slider Bun Presses</t>
  </si>
  <si>
    <t>Brioche Loaves</t>
  </si>
  <si>
    <t>grams/oz</t>
  </si>
  <si>
    <t>Sugar</t>
  </si>
  <si>
    <t>Butter, unsalted</t>
  </si>
  <si>
    <t>Sponge</t>
  </si>
  <si>
    <t>Flour in Sponge</t>
  </si>
  <si>
    <t>Sponge total</t>
  </si>
  <si>
    <t>Kamut Pan loaves</t>
  </si>
  <si>
    <t>AP flour</t>
  </si>
  <si>
    <t>Enhancements to Standard BBGA format</t>
  </si>
  <si>
    <t>Multipe product sizes of same dough</t>
  </si>
  <si>
    <t>Instantly scalable batch size  based on units to make</t>
  </si>
  <si>
    <t>formated for printing</t>
  </si>
  <si>
    <t>formulas connected to price list</t>
  </si>
  <si>
    <t>Instant product costing when prices change</t>
  </si>
  <si>
    <t>Sourdough Baguette</t>
  </si>
  <si>
    <t>kg</t>
  </si>
  <si>
    <t>sea salt</t>
  </si>
  <si>
    <t>Seed</t>
  </si>
  <si>
    <t>Bakers' %</t>
  </si>
  <si>
    <t>Batch Size</t>
  </si>
  <si>
    <t>kg/baguette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</si>
</sst>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%"/>
    <numFmt numFmtId="166" formatCode="0.000"/>
    <numFmt numFmtId="167" formatCode="&quot;$&quot;#,##0.00"/>
    <numFmt numFmtId="168" formatCode="_(* #,##0.0_);_(* \(#,##0.0\);_(* &quot;-&quot;??_);_(@_)"/>
    <numFmt numFmtId="169" formatCode="0.000%"/>
    <numFmt numFmtId="170" formatCode="0.0"/>
    <numFmt numFmtId="171" formatCode="_(* #,##0_);_(* \(#,##0\);_(* &quot;-&quot;??_);_(@_)"/>
    <numFmt numFmtId="172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NumberFormat="1"/>
    <xf numFmtId="44" fontId="0" fillId="0" borderId="0" xfId="0" applyNumberFormat="1"/>
    <xf numFmtId="0" fontId="1" fillId="0" borderId="0" xfId="3" applyFill="1"/>
    <xf numFmtId="0" fontId="4" fillId="0" borderId="2" xfId="5" applyNumberFormat="1" applyFont="1" applyFill="1" applyBorder="1" applyAlignment="1">
      <alignment horizontal="center"/>
    </xf>
    <xf numFmtId="44" fontId="1" fillId="0" borderId="1" xfId="2" applyFont="1" applyFill="1" applyBorder="1" applyAlignment="1">
      <alignment horizontal="center"/>
    </xf>
    <xf numFmtId="168" fontId="4" fillId="0" borderId="2" xfId="1" applyNumberFormat="1" applyFont="1" applyFill="1" applyBorder="1" applyAlignment="1">
      <alignment horizontal="center"/>
    </xf>
    <xf numFmtId="44" fontId="4" fillId="0" borderId="2" xfId="2" applyFont="1" applyFill="1" applyBorder="1" applyAlignment="1">
      <alignment horizontal="center"/>
    </xf>
    <xf numFmtId="44" fontId="5" fillId="0" borderId="2" xfId="2" applyFont="1" applyFill="1" applyBorder="1" applyAlignment="1">
      <alignment horizontal="center"/>
    </xf>
    <xf numFmtId="0" fontId="0" fillId="0" borderId="0" xfId="0" applyFill="1"/>
    <xf numFmtId="0" fontId="1" fillId="0" borderId="1" xfId="3" applyNumberFormat="1" applyFont="1" applyFill="1" applyBorder="1" applyAlignment="1"/>
    <xf numFmtId="44" fontId="2" fillId="0" borderId="1" xfId="2" applyFont="1" applyFill="1" applyBorder="1" applyAlignment="1">
      <alignment horizontal="center"/>
    </xf>
    <xf numFmtId="0" fontId="0" fillId="0" borderId="1" xfId="3" applyNumberFormat="1" applyFont="1" applyFill="1" applyBorder="1" applyAlignment="1"/>
    <xf numFmtId="14" fontId="1" fillId="0" borderId="1" xfId="3" applyNumberFormat="1" applyFont="1" applyFill="1" applyBorder="1" applyAlignment="1"/>
    <xf numFmtId="44" fontId="0" fillId="0" borderId="0" xfId="2" applyNumberFormat="1" applyFont="1" applyFill="1"/>
    <xf numFmtId="165" fontId="0" fillId="0" borderId="0" xfId="7" applyNumberFormat="1" applyFont="1" applyFill="1"/>
    <xf numFmtId="44" fontId="3" fillId="0" borderId="1" xfId="2" applyFont="1" applyFill="1" applyBorder="1" applyAlignment="1">
      <alignment horizontal="center"/>
    </xf>
    <xf numFmtId="0" fontId="0" fillId="0" borderId="3" xfId="3" applyNumberFormat="1" applyFont="1" applyFill="1" applyBorder="1" applyAlignment="1"/>
    <xf numFmtId="0" fontId="1" fillId="0" borderId="3" xfId="3" applyNumberFormat="1" applyFont="1" applyFill="1" applyBorder="1" applyAlignment="1"/>
    <xf numFmtId="44" fontId="1" fillId="0" borderId="3" xfId="2" applyFont="1" applyFill="1" applyBorder="1" applyAlignment="1">
      <alignment horizontal="center"/>
    </xf>
    <xf numFmtId="44" fontId="2" fillId="0" borderId="3" xfId="2" applyFont="1" applyFill="1" applyBorder="1" applyAlignment="1">
      <alignment horizontal="center"/>
    </xf>
    <xf numFmtId="14" fontId="1" fillId="0" borderId="3" xfId="3" applyNumberFormat="1" applyFont="1" applyFill="1" applyBorder="1" applyAlignment="1"/>
    <xf numFmtId="0" fontId="0" fillId="0" borderId="0" xfId="3" applyFont="1" applyFill="1"/>
    <xf numFmtId="44" fontId="1" fillId="0" borderId="0" xfId="2" applyFill="1" applyAlignment="1">
      <alignment horizontal="center"/>
    </xf>
    <xf numFmtId="44" fontId="0" fillId="0" borderId="0" xfId="2" applyFont="1" applyFill="1" applyAlignment="1">
      <alignment horizontal="center"/>
    </xf>
    <xf numFmtId="0" fontId="1" fillId="0" borderId="0" xfId="3" applyFont="1" applyFill="1"/>
    <xf numFmtId="14" fontId="1" fillId="0" borderId="0" xfId="3" applyNumberFormat="1" applyFill="1"/>
    <xf numFmtId="44" fontId="0" fillId="0" borderId="3" xfId="2" applyFont="1" applyFill="1" applyBorder="1" applyAlignment="1">
      <alignment horizontal="center"/>
    </xf>
    <xf numFmtId="14" fontId="0" fillId="0" borderId="3" xfId="3" applyNumberFormat="1" applyFont="1" applyFill="1" applyBorder="1" applyAlignment="1"/>
    <xf numFmtId="167" fontId="1" fillId="0" borderId="0" xfId="3" applyNumberFormat="1" applyFill="1" applyAlignment="1">
      <alignment horizontal="center"/>
    </xf>
    <xf numFmtId="43" fontId="0" fillId="0" borderId="0" xfId="4" applyFont="1" applyFill="1" applyAlignment="1">
      <alignment horizontal="center"/>
    </xf>
    <xf numFmtId="167" fontId="0" fillId="0" borderId="3" xfId="2" applyNumberFormat="1" applyFont="1" applyFill="1" applyBorder="1" applyAlignment="1">
      <alignment horizontal="center"/>
    </xf>
    <xf numFmtId="43" fontId="2" fillId="0" borderId="3" xfId="2" applyNumberFormat="1" applyFont="1" applyFill="1" applyBorder="1" applyAlignment="1">
      <alignment horizontal="center"/>
    </xf>
    <xf numFmtId="168" fontId="0" fillId="0" borderId="0" xfId="1" applyNumberFormat="1" applyFont="1" applyFill="1"/>
    <xf numFmtId="44" fontId="0" fillId="0" borderId="0" xfId="2" applyFont="1" applyFill="1"/>
    <xf numFmtId="169" fontId="0" fillId="0" borderId="0" xfId="7" applyNumberFormat="1" applyFont="1"/>
    <xf numFmtId="0" fontId="0" fillId="0" borderId="0" xfId="0" applyNumberFormat="1" applyFill="1"/>
    <xf numFmtId="164" fontId="0" fillId="0" borderId="0" xfId="0" applyNumberFormat="1"/>
    <xf numFmtId="0" fontId="1" fillId="0" borderId="0" xfId="3" applyFill="1" applyAlignment="1">
      <alignment horizontal="center"/>
    </xf>
    <xf numFmtId="0" fontId="9" fillId="0" borderId="5" xfId="0" applyFont="1" applyBorder="1" applyAlignment="1">
      <alignment horizontal="right"/>
    </xf>
    <xf numFmtId="0" fontId="9" fillId="4" borderId="5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4" fontId="9" fillId="0" borderId="4" xfId="1" applyNumberFormat="1" applyFont="1" applyBorder="1"/>
    <xf numFmtId="0" fontId="9" fillId="0" borderId="0" xfId="0" applyFont="1" applyAlignment="1">
      <alignment horizontal="center" wrapText="1"/>
    </xf>
    <xf numFmtId="165" fontId="9" fillId="4" borderId="4" xfId="0" applyNumberFormat="1" applyFont="1" applyFill="1" applyBorder="1"/>
    <xf numFmtId="164" fontId="9" fillId="0" borderId="0" xfId="1" applyNumberFormat="1" applyFont="1"/>
    <xf numFmtId="0" fontId="9" fillId="2" borderId="0" xfId="0" applyFont="1" applyFill="1"/>
    <xf numFmtId="0" fontId="9" fillId="2" borderId="4" xfId="0" applyFont="1" applyFill="1" applyBorder="1"/>
    <xf numFmtId="0" fontId="9" fillId="2" borderId="0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3" borderId="0" xfId="0" applyFont="1" applyFill="1"/>
    <xf numFmtId="10" fontId="9" fillId="3" borderId="0" xfId="0" applyNumberFormat="1" applyFont="1" applyFill="1"/>
    <xf numFmtId="166" fontId="9" fillId="3" borderId="4" xfId="0" applyNumberFormat="1" applyFont="1" applyFill="1" applyBorder="1"/>
    <xf numFmtId="165" fontId="9" fillId="3" borderId="0" xfId="7" applyNumberFormat="1" applyFont="1" applyFill="1" applyBorder="1" applyAlignment="1">
      <alignment horizontal="center"/>
    </xf>
    <xf numFmtId="165" fontId="9" fillId="3" borderId="0" xfId="0" applyNumberFormat="1" applyFont="1" applyFill="1"/>
    <xf numFmtId="166" fontId="9" fillId="3" borderId="0" xfId="0" applyNumberFormat="1" applyFont="1" applyFill="1"/>
    <xf numFmtId="165" fontId="9" fillId="0" borderId="0" xfId="7" applyNumberFormat="1" applyFont="1"/>
    <xf numFmtId="166" fontId="9" fillId="0" borderId="4" xfId="0" applyNumberFormat="1" applyFont="1" applyBorder="1"/>
    <xf numFmtId="166" fontId="9" fillId="0" borderId="0" xfId="0" applyNumberFormat="1" applyFont="1" applyBorder="1"/>
    <xf numFmtId="165" fontId="9" fillId="0" borderId="0" xfId="0" applyNumberFormat="1" applyFont="1"/>
    <xf numFmtId="166" fontId="9" fillId="0" borderId="0" xfId="0" applyNumberFormat="1" applyFont="1"/>
    <xf numFmtId="165" fontId="9" fillId="4" borderId="0" xfId="7" applyNumberFormat="1" applyFont="1" applyFill="1"/>
    <xf numFmtId="165" fontId="9" fillId="0" borderId="0" xfId="7" applyNumberFormat="1" applyFont="1" applyBorder="1" applyAlignment="1">
      <alignment horizontal="center"/>
    </xf>
    <xf numFmtId="165" fontId="9" fillId="4" borderId="0" xfId="0" applyNumberFormat="1" applyFont="1" applyFill="1"/>
    <xf numFmtId="10" fontId="9" fillId="0" borderId="0" xfId="7" applyNumberFormat="1" applyFont="1"/>
    <xf numFmtId="0" fontId="9" fillId="3" borderId="0" xfId="0" applyFont="1" applyFill="1" applyAlignment="1">
      <alignment horizontal="center"/>
    </xf>
    <xf numFmtId="166" fontId="9" fillId="3" borderId="4" xfId="0" applyNumberFormat="1" applyFont="1" applyFill="1" applyBorder="1" applyAlignment="1">
      <alignment horizontal="right"/>
    </xf>
    <xf numFmtId="166" fontId="9" fillId="3" borderId="0" xfId="0" applyNumberFormat="1" applyFont="1" applyFill="1" applyBorder="1" applyAlignment="1">
      <alignment horizontal="right"/>
    </xf>
    <xf numFmtId="166" fontId="9" fillId="3" borderId="0" xfId="0" applyNumberFormat="1" applyFont="1" applyFill="1" applyAlignment="1">
      <alignment horizontal="right"/>
    </xf>
    <xf numFmtId="10" fontId="9" fillId="4" borderId="0" xfId="7" applyNumberFormat="1" applyFont="1" applyFill="1"/>
    <xf numFmtId="10" fontId="9" fillId="4" borderId="0" xfId="0" applyNumberFormat="1" applyFont="1" applyFill="1"/>
    <xf numFmtId="2" fontId="0" fillId="0" borderId="0" xfId="0" applyNumberFormat="1" applyFill="1"/>
    <xf numFmtId="0" fontId="1" fillId="0" borderId="0" xfId="3"/>
    <xf numFmtId="0" fontId="1" fillId="0" borderId="0" xfId="3" applyAlignment="1">
      <alignment horizontal="center"/>
    </xf>
    <xf numFmtId="167" fontId="1" fillId="0" borderId="0" xfId="3" applyNumberFormat="1" applyAlignment="1">
      <alignment horizontal="center"/>
    </xf>
    <xf numFmtId="43" fontId="0" fillId="0" borderId="0" xfId="4" applyFont="1" applyAlignment="1">
      <alignment horizontal="center"/>
    </xf>
    <xf numFmtId="14" fontId="1" fillId="0" borderId="0" xfId="3" applyNumberFormat="1"/>
    <xf numFmtId="170" fontId="1" fillId="0" borderId="0" xfId="3" applyNumberFormat="1" applyFill="1" applyAlignment="1">
      <alignment horizontal="center"/>
    </xf>
    <xf numFmtId="165" fontId="0" fillId="4" borderId="8" xfId="0" applyNumberFormat="1" applyFill="1" applyBorder="1"/>
    <xf numFmtId="171" fontId="1" fillId="0" borderId="1" xfId="1" applyNumberFormat="1" applyFont="1" applyFill="1" applyBorder="1" applyAlignment="1">
      <alignment horizontal="center"/>
    </xf>
    <xf numFmtId="0" fontId="1" fillId="0" borderId="0" xfId="3" applyFont="1"/>
    <xf numFmtId="170" fontId="0" fillId="0" borderId="0" xfId="0" applyNumberFormat="1"/>
    <xf numFmtId="1" fontId="0" fillId="0" borderId="0" xfId="0" applyNumberFormat="1"/>
    <xf numFmtId="10" fontId="9" fillId="0" borderId="0" xfId="7" applyNumberFormat="1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4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172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10" fontId="9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7" applyNumberFormat="1" applyFont="1" applyAlignment="1">
      <alignment horizontal="center"/>
    </xf>
    <xf numFmtId="10" fontId="0" fillId="0" borderId="0" xfId="7" applyNumberFormat="1" applyFont="1" applyAlignment="1">
      <alignment horizontal="center"/>
    </xf>
    <xf numFmtId="43" fontId="0" fillId="0" borderId="0" xfId="1" applyFont="1"/>
    <xf numFmtId="165" fontId="0" fillId="0" borderId="0" xfId="7" applyNumberFormat="1" applyFont="1"/>
    <xf numFmtId="0" fontId="11" fillId="0" borderId="0" xfId="0" applyFont="1" applyAlignment="1">
      <alignment horizontal="left"/>
    </xf>
  </cellXfs>
  <cellStyles count="11">
    <cellStyle name="Comma" xfId="1" builtinId="3"/>
    <cellStyle name="Comma 2" xfId="8" xr:uid="{00000000-0005-0000-0000-000001000000}"/>
    <cellStyle name="Comma 4" xfId="4" xr:uid="{00000000-0005-0000-0000-000002000000}"/>
    <cellStyle name="Currency" xfId="2" builtinId="4"/>
    <cellStyle name="Currency 2" xfId="6" xr:uid="{00000000-0005-0000-0000-000004000000}"/>
    <cellStyle name="Normal" xfId="0" builtinId="0"/>
    <cellStyle name="Normal 2" xfId="5" xr:uid="{00000000-0005-0000-0000-000006000000}"/>
    <cellStyle name="Normal 3" xfId="9" xr:uid="{00000000-0005-0000-0000-000007000000}"/>
    <cellStyle name="Normal 4" xfId="3" xr:uid="{00000000-0005-0000-0000-000008000000}"/>
    <cellStyle name="Percent" xfId="7" builtinId="5"/>
    <cellStyle name="Percent 2" xfId="10" xr:uid="{00000000-0005-0000-0000-00000A000000}"/>
  </cellStyles>
  <dxfs count="85">
    <dxf>
      <numFmt numFmtId="0" formatCode="General"/>
    </dxf>
    <dxf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_);_(* \(#,##0.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b563c157b4d394/financial%20docs/MSCO%20Bread%20MASTER%20recipes%20CURR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 2017"/>
      <sheetName val="Brioche-Buns"/>
      <sheetName val="Brioche-rich"/>
      <sheetName val="Crois"/>
      <sheetName val="Cocoa Crois"/>
      <sheetName val="RO Pan"/>
      <sheetName val="Rye Pan"/>
      <sheetName val="White pan"/>
      <sheetName val="CO Pan"/>
      <sheetName val="WE Pan"/>
      <sheetName val="CO Hearth"/>
      <sheetName val="MSCO"/>
      <sheetName val="S&amp;G"/>
      <sheetName val="5"/>
      <sheetName val="Miche"/>
      <sheetName val="Kamut "/>
      <sheetName val="Cracked Kamut"/>
      <sheetName val="MSCo Baguette"/>
      <sheetName val="Pepitas"/>
      <sheetName val="T Oat &amp; Rye"/>
      <sheetName val="G Flax"/>
      <sheetName val="Ses-Buck"/>
      <sheetName val="PM Rye Sour"/>
      <sheetName val="Walnut"/>
      <sheetName val="Dodge"/>
      <sheetName val="WisHeirloom"/>
      <sheetName val="PM Miche Sour"/>
      <sheetName val="M (R&amp;D)"/>
      <sheetName val="Cia"/>
      <sheetName val="Poppy"/>
      <sheetName val="Wheat Test"/>
      <sheetName val="Genzano"/>
      <sheetName val="M sour"/>
      <sheetName val="Rüg"/>
      <sheetName val="porridge"/>
      <sheetName val="Pizza Bianca"/>
      <sheetName val="Rye SO"/>
      <sheetName val="WE"/>
      <sheetName val="M hearth"/>
      <sheetName val="RC"/>
      <sheetName val="HopMalt"/>
      <sheetName val="temp"/>
      <sheetName val="MSCO Bread MASTER recipes CUR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27E0F43-2F58-488B-9074-ECB952334438}" name="Table715" displayName="Table715" ref="A8:H18" headerRowCount="0" totalsRowShown="0" headerRowDxfId="84" dataDxfId="83">
  <tableColumns count="8">
    <tableColumn id="1" xr3:uid="{BCA7DD48-2C0F-4DFA-9BC4-7A2FD15ED947}" name="Column1" dataDxfId="82"/>
    <tableColumn id="2" xr3:uid="{971BFD6E-7A0E-4720-B213-AB2D79B11200}" name="Column2" dataDxfId="81"/>
    <tableColumn id="3" xr3:uid="{382AFE6B-5D5B-4AE3-9319-3B568B182286}" name="Column3" headerRowDxfId="80" dataDxfId="79"/>
    <tableColumn id="4" xr3:uid="{D133A929-126D-4699-93A4-AD44911AF4D7}" name="Column4" headerRowDxfId="78" dataDxfId="77" headerRowCellStyle="Comma"/>
    <tableColumn id="5" xr3:uid="{4DA00EB1-929F-4ADC-8844-2850DF09B06B}" name="Column5" dataDxfId="76"/>
    <tableColumn id="6" xr3:uid="{FE13A441-ACF1-46ED-8C7D-FCBCC195B4AC}" name="Column6" dataDxfId="75"/>
    <tableColumn id="7" xr3:uid="{9B63B3FB-A8AD-44CC-BEC4-55FAF31B4C08}" name="Column7" dataDxfId="74"/>
    <tableColumn id="8" xr3:uid="{D5A2D5D6-5E95-41FC-A5FB-7248E0EA29BE}" name="Column8" dataDxfId="73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BagCost1210" displayName="BagCost1210" ref="B41:C50" totalsRowShown="0">
  <autoFilter ref="B41:C50" xr:uid="{00000000-0009-0000-0100-000009000000}"/>
  <tableColumns count="2">
    <tableColumn id="1" xr3:uid="{00000000-0010-0000-0700-000001000000}" name="Ingredient">
      <calculatedColumnFormula>B10</calculatedColumnFormula>
    </tableColumn>
    <tableColumn id="2" xr3:uid="{00000000-0010-0000-0700-000002000000}" name="Price*Amt" dataDxfId="20">
      <calculatedColumnFormula>VLOOKUP(BagCost1210[[#This Row],[Ingredient]],PriceList[#All],6,FALSE)*D10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PriceList" displayName="PriceList" ref="A1:H29" totalsRowShown="0" headerRowDxfId="19" dataDxfId="17" headerRowBorderDxfId="18" tableBorderDxfId="16" totalsRowBorderDxfId="15" headerRowCellStyle="Normal 2">
  <autoFilter ref="A1:H29" xr:uid="{00000000-0009-0000-0100-000004000000}"/>
  <tableColumns count="8">
    <tableColumn id="1" xr3:uid="{00000000-0010-0000-0800-000001000000}" name="Item" dataDxfId="14" dataCellStyle="Normal 4"/>
    <tableColumn id="2" xr3:uid="{00000000-0010-0000-0800-000002000000}" name="Category" dataDxfId="13" dataCellStyle="Normal 4"/>
    <tableColumn id="3" xr3:uid="{00000000-0010-0000-0800-000003000000}" name="Price" dataDxfId="12" dataCellStyle="Currency"/>
    <tableColumn id="4" xr3:uid="{00000000-0010-0000-0800-000004000000}" name="lbs" dataDxfId="11" dataCellStyle="Comma"/>
    <tableColumn id="5" xr3:uid="{00000000-0010-0000-0800-000005000000}" name="$/lb" dataDxfId="10" dataCellStyle="Currency">
      <calculatedColumnFormula>C2/D2</calculatedColumnFormula>
    </tableColumn>
    <tableColumn id="6" xr3:uid="{00000000-0010-0000-0800-000006000000}" name="$/kg" dataDxfId="9" dataCellStyle="Currency">
      <calculatedColumnFormula>C2/(D2/2.205)</calculatedColumnFormula>
    </tableColumn>
    <tableColumn id="7" xr3:uid="{00000000-0010-0000-0800-000007000000}" name="Source" dataDxfId="8" dataCellStyle="Normal 4"/>
    <tableColumn id="8" xr3:uid="{00000000-0010-0000-0800-000008000000}" name="Updated" dataDxfId="7" dataCellStyle="Normal 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5" displayName="Table5" ref="J1:M8" totalsRowShown="0" headerRowDxfId="6" dataDxfId="5">
  <autoFilter ref="J1:M8" xr:uid="{00000000-0009-0000-0100-000005000000}"/>
  <tableColumns count="4">
    <tableColumn id="1" xr3:uid="{00000000-0010-0000-0900-000001000000}" name="Product" dataDxfId="4">
      <calculatedColumnFormula>Bag!B4</calculatedColumnFormula>
    </tableColumn>
    <tableColumn id="2" xr3:uid="{00000000-0010-0000-0900-000002000000}" name="Cost" dataDxfId="3" dataCellStyle="Currency">
      <calculatedColumnFormula>SUM(BagCost[Price*Amt])/(1000*Bag!D8/ProductWeight[[#This Row],[Grams]])</calculatedColumnFormula>
    </tableColumn>
    <tableColumn id="3" xr3:uid="{00000000-0010-0000-0900-000003000000}" name="price" dataDxfId="2" dataCellStyle="Currency"/>
    <tableColumn id="4" xr3:uid="{00000000-0010-0000-0900-000004000000}" name="COGS" dataDxfId="1" dataCellStyle="Percent">
      <calculatedColumnFormula>Table5[Cost]/Table5[price]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SourceTable" displayName="SourceTable" ref="A1:C9" totalsRowShown="0">
  <autoFilter ref="A1:C9" xr:uid="{00000000-0009-0000-0100-000001000000}"/>
  <tableColumns count="3">
    <tableColumn id="1" xr3:uid="{00000000-0010-0000-0A00-000001000000}" name="Product Type"/>
    <tableColumn id="2" xr3:uid="{00000000-0010-0000-0A00-000002000000}" name="Item"/>
    <tableColumn id="4" xr3:uid="{00000000-0010-0000-0A00-000004000000}" name="$/kg" dataCellStyle="Currency">
      <calculatedColumnFormula>VLOOKUP(SourceTable[[#This Row],[Item]],PriceList[#All],6,FALSE)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VendorList" displayName="VendorList" ref="E1:E10" totalsRowShown="0">
  <autoFilter ref="E1:E10" xr:uid="{00000000-0009-0000-0100-000003000000}"/>
  <tableColumns count="1">
    <tableColumn id="1" xr3:uid="{00000000-0010-0000-0B00-000001000000}" name="Vendors"/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C000000}" name="ProductWeight" displayName="ProductWeight" ref="G1:H11" totalsRowShown="0">
  <autoFilter ref="G1:H11" xr:uid="{00000000-0009-0000-0100-000002000000}"/>
  <tableColumns count="2">
    <tableColumn id="1" xr3:uid="{00000000-0010-0000-0C00-000001000000}" name="Product">
      <calculatedColumnFormula>Bag!D1</calculatedColumnFormula>
    </tableColumn>
    <tableColumn id="2" xr3:uid="{00000000-0010-0000-0C00-000002000000}" name="Grams" dataDxfId="0">
      <calculatedColumnFormula>16*28.35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D03F9A-AB6D-4E0B-9203-B8BE9A10A0F9}" name="BagCost16" displayName="BagCost16" ref="B38:C43" totalsRowShown="0">
  <autoFilter ref="B38:C43" xr:uid="{00000000-0009-0000-0100-000006000000}"/>
  <tableColumns count="2">
    <tableColumn id="1" xr3:uid="{AF3FE780-59CB-4575-B3AD-2902FD184811}" name="Ingredient">
      <calculatedColumnFormula>B12</calculatedColumnFormula>
    </tableColumn>
    <tableColumn id="2" xr3:uid="{C31662CC-0C9D-4BB9-829C-C57FF48E0AE1}" name="Price*Amt" dataDxfId="72">
      <calculatedColumnFormula>VLOOKUP(BagCost16[[#This Row],[Ingredient]],PriceList[#All],6,FALSE)*D12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8:H19" headerRowCount="0" totalsRowShown="0" headerRowDxfId="71" dataDxfId="70">
  <tableColumns count="8">
    <tableColumn id="1" xr3:uid="{00000000-0010-0000-0000-000001000000}" name="Column1" dataDxfId="69"/>
    <tableColumn id="2" xr3:uid="{00000000-0010-0000-0000-000002000000}" name="Column2" dataDxfId="68"/>
    <tableColumn id="3" xr3:uid="{00000000-0010-0000-0000-000003000000}" name="Column3" headerRowDxfId="67" dataDxfId="66"/>
    <tableColumn id="4" xr3:uid="{00000000-0010-0000-0000-000004000000}" name="Column4" headerRowDxfId="65" dataDxfId="64" headerRowCellStyle="Comma"/>
    <tableColumn id="5" xr3:uid="{00000000-0010-0000-0000-000005000000}" name="Column5" dataDxfId="63"/>
    <tableColumn id="6" xr3:uid="{00000000-0010-0000-0000-000006000000}" name="Column6" dataDxfId="62"/>
    <tableColumn id="7" xr3:uid="{00000000-0010-0000-0000-000007000000}" name="Column7" dataDxfId="61"/>
    <tableColumn id="8" xr3:uid="{00000000-0010-0000-0000-000008000000}" name="Column8" dataDxfId="6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BagCost" displayName="BagCost" ref="B39:C45" totalsRowShown="0">
  <autoFilter ref="B39:C45" xr:uid="{00000000-0009-0000-0100-000006000000}"/>
  <tableColumns count="2">
    <tableColumn id="1" xr3:uid="{00000000-0010-0000-0100-000001000000}" name="Ingredient">
      <calculatedColumnFormula>B12</calculatedColumnFormula>
    </tableColumn>
    <tableColumn id="2" xr3:uid="{00000000-0010-0000-0100-000002000000}" name="Price*Amt" dataDxfId="59">
      <calculatedColumnFormula>VLOOKUP(BagCost[[#This Row],[Ingredient]],PriceList[#All],6,FALSE)*D12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713" displayName="Table713" ref="A8:H20" headerRowCount="0" totalsRowShown="0" headerRowDxfId="58" dataDxfId="57">
  <tableColumns count="8">
    <tableColumn id="1" xr3:uid="{00000000-0010-0000-0200-000001000000}" name="Column1" dataDxfId="56"/>
    <tableColumn id="2" xr3:uid="{00000000-0010-0000-0200-000002000000}" name="Column2" dataDxfId="55"/>
    <tableColumn id="3" xr3:uid="{00000000-0010-0000-0200-000003000000}" name="Column3" headerRowDxfId="54" dataDxfId="53"/>
    <tableColumn id="4" xr3:uid="{00000000-0010-0000-0200-000004000000}" name="Column4" headerRowDxfId="52" dataDxfId="51" headerRowCellStyle="Comma"/>
    <tableColumn id="5" xr3:uid="{00000000-0010-0000-0200-000005000000}" name="Column5" dataDxfId="50"/>
    <tableColumn id="6" xr3:uid="{00000000-0010-0000-0200-000006000000}" name="Column6" dataDxfId="49"/>
    <tableColumn id="7" xr3:uid="{00000000-0010-0000-0200-000007000000}" name="Column7" dataDxfId="48"/>
    <tableColumn id="8" xr3:uid="{00000000-0010-0000-0200-000008000000}" name="Column8" dataDxfId="4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BagCost14" displayName="BagCost14" ref="B40:C46" totalsRowShown="0">
  <autoFilter ref="B40:C46" xr:uid="{00000000-0009-0000-0100-00000D000000}"/>
  <tableColumns count="2">
    <tableColumn id="1" xr3:uid="{00000000-0010-0000-0300-000001000000}" name="Ingredient">
      <calculatedColumnFormula>B12</calculatedColumnFormula>
    </tableColumn>
    <tableColumn id="2" xr3:uid="{00000000-0010-0000-0300-000002000000}" name="Price*Amt" dataDxfId="46">
      <calculatedColumnFormula>VLOOKUP(BagCost14[[#This Row],[Ingredient]],PriceList[#All],6,FALSE)*D12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711" displayName="Table711" ref="A4:J19" headerRowCount="0" totalsRowShown="0">
  <tableColumns count="10">
    <tableColumn id="1" xr3:uid="{00000000-0010-0000-0400-000001000000}" name="Column1"/>
    <tableColumn id="2" xr3:uid="{00000000-0010-0000-0400-000002000000}" name="Column2" dataDxfId="45"/>
    <tableColumn id="3" xr3:uid="{00000000-0010-0000-0400-000003000000}" name="Column3" headerRowDxfId="44" dataDxfId="43"/>
    <tableColumn id="4" xr3:uid="{00000000-0010-0000-0400-000004000000}" name="Column4" headerRowDxfId="42" dataDxfId="41" headerRowCellStyle="Comma"/>
    <tableColumn id="9" xr3:uid="{00000000-0010-0000-0400-000009000000}" name="Column9" headerRowDxfId="40" dataDxfId="39" headerRowCellStyle="Comma"/>
    <tableColumn id="10" xr3:uid="{00000000-0010-0000-0400-00000A000000}" name="Column10" headerRowDxfId="38" dataDxfId="37" headerRowCellStyle="Comma"/>
    <tableColumn id="5" xr3:uid="{00000000-0010-0000-0400-000005000000}" name="Column5" dataDxfId="36"/>
    <tableColumn id="6" xr3:uid="{00000000-0010-0000-0400-000006000000}" name="Column6" dataDxfId="35"/>
    <tableColumn id="7" xr3:uid="{00000000-0010-0000-0400-000007000000}" name="Column7" dataDxfId="34"/>
    <tableColumn id="8" xr3:uid="{00000000-0010-0000-0400-000008000000}" name="Column8" dataDxfId="33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BagCost12" displayName="BagCost12" ref="B39:C48" totalsRowShown="0">
  <autoFilter ref="B39:C48" xr:uid="{00000000-0009-0000-0100-00000B000000}"/>
  <tableColumns count="2">
    <tableColumn id="1" xr3:uid="{00000000-0010-0000-0500-000001000000}" name="Ingredient">
      <calculatedColumnFormula>B8</calculatedColumnFormula>
    </tableColumn>
    <tableColumn id="2" xr3:uid="{00000000-0010-0000-0500-000002000000}" name="Price*Amt" dataDxfId="32">
      <calculatedColumnFormula>VLOOKUP(BagCost12[[#This Row],[Ingredient]],PriceList[#All],6,FALSE)*D8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7119" displayName="Table7119" ref="A6:H21" headerRowCount="0" totalsRowShown="0">
  <tableColumns count="8">
    <tableColumn id="1" xr3:uid="{00000000-0010-0000-0600-000001000000}" name="Column1"/>
    <tableColumn id="2" xr3:uid="{00000000-0010-0000-0600-000002000000}" name="Column2" dataDxfId="31"/>
    <tableColumn id="3" xr3:uid="{00000000-0010-0000-0600-000003000000}" name="Column3" headerRowDxfId="30" dataDxfId="29"/>
    <tableColumn id="4" xr3:uid="{00000000-0010-0000-0600-000004000000}" name="Column4" headerRowDxfId="28" dataDxfId="27" headerRowCellStyle="Comma"/>
    <tableColumn id="9" xr3:uid="{00000000-0010-0000-0600-000009000000}" name="Column9" headerRowDxfId="26" dataDxfId="25" headerRowCellStyle="Comma"/>
    <tableColumn id="10" xr3:uid="{00000000-0010-0000-0600-00000A000000}" name="Column10" headerRowDxfId="24" dataDxfId="23" headerRowCellStyle="Comma"/>
    <tableColumn id="7" xr3:uid="{00000000-0010-0000-0600-000007000000}" name="Column7" dataDxfId="22"/>
    <tableColumn id="8" xr3:uid="{00000000-0010-0000-0600-000008000000}" name="Column8" dataDxfId="2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F992-1A40-4872-8737-DB8BA292AC6C}">
  <sheetPr>
    <pageSetUpPr fitToPage="1"/>
  </sheetPr>
  <dimension ref="A1:J43"/>
  <sheetViews>
    <sheetView topLeftCell="B1" zoomScale="120" zoomScaleNormal="120" workbookViewId="0">
      <selection activeCell="D16" sqref="D16"/>
    </sheetView>
  </sheetViews>
  <sheetFormatPr defaultRowHeight="15" outlineLevelRow="1" outlineLevelCol="1" x14ac:dyDescent="0.25"/>
  <cols>
    <col min="1" max="1" width="18.42578125" hidden="1" customWidth="1" outlineLevel="1"/>
    <col min="2" max="2" width="17.5703125" customWidth="1" collapsed="1"/>
    <col min="3" max="3" width="11.42578125" customWidth="1"/>
    <col min="4" max="4" width="11.140625" customWidth="1"/>
    <col min="5" max="5" width="16.42578125" customWidth="1"/>
    <col min="7" max="7" width="18.140625" bestFit="1" customWidth="1"/>
    <col min="8" max="8" width="11.140625" customWidth="1"/>
  </cols>
  <sheetData>
    <row r="1" spans="1:10" ht="23.25" x14ac:dyDescent="0.35">
      <c r="D1" s="5" t="s">
        <v>122</v>
      </c>
    </row>
    <row r="4" spans="1:10" ht="21" hidden="1" outlineLevel="1" x14ac:dyDescent="0.35">
      <c r="A4" s="46"/>
      <c r="B4" s="95" t="s">
        <v>60</v>
      </c>
      <c r="C4" s="96">
        <v>50</v>
      </c>
      <c r="D4" s="46"/>
      <c r="E4" s="46"/>
      <c r="F4" s="46"/>
      <c r="G4" s="46"/>
      <c r="H4" s="46"/>
    </row>
    <row r="5" spans="1:10" ht="21" hidden="1" outlineLevel="1" x14ac:dyDescent="0.35">
      <c r="A5" s="46"/>
      <c r="B5" s="95" t="s">
        <v>61</v>
      </c>
      <c r="C5" s="96">
        <v>0</v>
      </c>
      <c r="D5" s="46"/>
      <c r="E5" s="46"/>
      <c r="F5" s="46"/>
      <c r="G5" s="46"/>
      <c r="H5" s="46"/>
    </row>
    <row r="6" spans="1:10" ht="21" hidden="1" outlineLevel="1" x14ac:dyDescent="0.35">
      <c r="A6" s="46"/>
      <c r="B6" s="95" t="s">
        <v>58</v>
      </c>
      <c r="C6" s="96">
        <v>2</v>
      </c>
      <c r="D6" s="46"/>
      <c r="E6" s="46"/>
      <c r="F6" s="46"/>
      <c r="G6" s="46"/>
      <c r="H6" s="46"/>
    </row>
    <row r="7" spans="1:10" ht="21" hidden="1" outlineLevel="1" x14ac:dyDescent="0.35">
      <c r="A7" s="46"/>
      <c r="B7" s="95" t="s">
        <v>59</v>
      </c>
      <c r="C7" s="96">
        <v>0</v>
      </c>
      <c r="D7" s="46"/>
      <c r="E7" s="46"/>
      <c r="F7" s="46"/>
      <c r="G7" s="46"/>
      <c r="H7" s="46"/>
    </row>
    <row r="8" spans="1:10" ht="31.5" collapsed="1" x14ac:dyDescent="0.25">
      <c r="A8" s="46"/>
      <c r="B8" s="46"/>
      <c r="C8" s="47" t="s">
        <v>1</v>
      </c>
      <c r="D8" s="48">
        <f>((C4*control!H2)+(control!H3*ExBag!C5)+(ExBag!C6*control!H4)+(control!H5*ExBag!C7))/1000</f>
        <v>23.020199999999999</v>
      </c>
      <c r="E8" s="49" t="s">
        <v>54</v>
      </c>
      <c r="F8" s="50">
        <v>0.16600000000000001</v>
      </c>
      <c r="G8" s="47" t="s">
        <v>52</v>
      </c>
      <c r="H8" s="51"/>
    </row>
    <row r="9" spans="1:10" ht="15.75" x14ac:dyDescent="0.25">
      <c r="A9" s="52"/>
      <c r="B9" s="52"/>
      <c r="C9" s="52" t="s">
        <v>5</v>
      </c>
      <c r="D9" s="53"/>
      <c r="E9" s="52" t="s">
        <v>50</v>
      </c>
      <c r="F9" s="53"/>
      <c r="G9" s="52"/>
      <c r="H9" s="52"/>
      <c r="J9" s="40"/>
    </row>
    <row r="10" spans="1:10" ht="15.75" x14ac:dyDescent="0.25">
      <c r="A10" s="52" t="s">
        <v>0</v>
      </c>
      <c r="B10" s="52" t="s">
        <v>0</v>
      </c>
      <c r="C10" s="55" t="s">
        <v>3</v>
      </c>
      <c r="D10" s="56" t="s">
        <v>4</v>
      </c>
      <c r="E10" s="55" t="s">
        <v>53</v>
      </c>
      <c r="F10" s="53" t="s">
        <v>4</v>
      </c>
      <c r="G10" s="52" t="s">
        <v>0</v>
      </c>
      <c r="H10" s="58" t="s">
        <v>4</v>
      </c>
    </row>
    <row r="11" spans="1:10" ht="15.75" x14ac:dyDescent="0.25">
      <c r="A11" s="59" t="s">
        <v>2</v>
      </c>
      <c r="B11" s="59" t="str">
        <f>A11</f>
        <v>Total Flour</v>
      </c>
      <c r="C11" s="60">
        <v>1</v>
      </c>
      <c r="D11" s="61">
        <f>D$8*Table715[[#This Row],[Column3]]/SUM(C$12:C$16)</f>
        <v>13.156129091251994</v>
      </c>
      <c r="E11" s="63">
        <v>1</v>
      </c>
      <c r="F11" s="61">
        <f>Table715[[#This Row],[Column4]]*F8</f>
        <v>2.1839174291478312</v>
      </c>
      <c r="G11" s="59" t="s">
        <v>2</v>
      </c>
      <c r="H11" s="64">
        <f>Table715[[#This Row],[Column4]]-Table715[[#This Row],[Column6]]</f>
        <v>10.972211662104163</v>
      </c>
    </row>
    <row r="12" spans="1:10" ht="15.75" x14ac:dyDescent="0.25">
      <c r="A12" s="46" t="str">
        <f>control!A4</f>
        <v>Artisan AP flour</v>
      </c>
      <c r="B12" s="46" t="str">
        <f>Table715[[#This Row],[Column1]]</f>
        <v>Artisan AP flour</v>
      </c>
      <c r="C12" s="73">
        <v>1</v>
      </c>
      <c r="D12" s="66">
        <f>D$8*Table715[[#This Row],[Column3]]/SUM(C$12:C$16)</f>
        <v>13.156129091251994</v>
      </c>
      <c r="E12" s="68">
        <v>1</v>
      </c>
      <c r="F12" s="66">
        <f>Table715[[#This Row],[Column5]]*F11</f>
        <v>2.1839174291478312</v>
      </c>
      <c r="G12" s="46" t="str">
        <f>Table715[[#This Row],[Column1]]</f>
        <v>Artisan AP flour</v>
      </c>
      <c r="H12" s="69">
        <f>Table715[[#This Row],[Column4]]-Table715[[#This Row],[Column6]]</f>
        <v>10.972211662104163</v>
      </c>
    </row>
    <row r="13" spans="1:10" ht="15.75" x14ac:dyDescent="0.25">
      <c r="A13" s="46" t="s">
        <v>46</v>
      </c>
      <c r="B13" s="46" t="str">
        <f>Table715[[#This Row],[Column1]]</f>
        <v>water</v>
      </c>
      <c r="C13" s="78">
        <v>0.7</v>
      </c>
      <c r="D13" s="66">
        <f>D$8*Table715[[#This Row],[Column3]]/SUM(C$12:C$16)</f>
        <v>9.209290363876395</v>
      </c>
      <c r="E13" s="68">
        <v>0.68</v>
      </c>
      <c r="F13" s="66">
        <f>Table715[[#This Row],[Column5]]*F11</f>
        <v>1.4850638518205252</v>
      </c>
      <c r="G13" s="46" t="str">
        <f>Table715[[#This Row],[Column2]]</f>
        <v>water</v>
      </c>
      <c r="H13" s="69">
        <f>Table715[[#This Row],[Column4]]-Table715[[#This Row],[Column6]]</f>
        <v>7.7242265120558695</v>
      </c>
    </row>
    <row r="14" spans="1:10" ht="15.75" x14ac:dyDescent="0.25">
      <c r="A14" s="46" t="s">
        <v>47</v>
      </c>
      <c r="B14" s="46" t="str">
        <f>prices!A17</f>
        <v>Sea Salt</v>
      </c>
      <c r="C14" s="78">
        <v>0.02</v>
      </c>
      <c r="D14" s="66">
        <f>D$8*Table715[[#This Row],[Column3]]/SUM(C$12:C$16)</f>
        <v>0.26312258182503989</v>
      </c>
      <c r="E14" s="68"/>
      <c r="F14" s="66"/>
      <c r="G14" s="46" t="str">
        <f>Table715[[#This Row],[Column2]]</f>
        <v>Sea Salt</v>
      </c>
      <c r="H14" s="69">
        <f>Table715[[#This Row],[Column4]]</f>
        <v>0.26312258182503989</v>
      </c>
    </row>
    <row r="15" spans="1:10" ht="15.75" x14ac:dyDescent="0.25">
      <c r="A15" s="46" t="s">
        <v>48</v>
      </c>
      <c r="B15" s="46" t="str">
        <f>prices!A12</f>
        <v>Instant Dry Yeast</v>
      </c>
      <c r="C15" s="78">
        <v>5.0000000000000001E-4</v>
      </c>
      <c r="D15" s="66">
        <f>D$8*Table715[[#This Row],[Column3]]/SUM(C$12:C$16)</f>
        <v>6.5780645456259973E-3</v>
      </c>
      <c r="E15" s="68"/>
      <c r="F15" s="66"/>
      <c r="G15" s="46" t="str">
        <f>Table715[[#This Row],[Column2]]</f>
        <v>Instant Dry Yeast</v>
      </c>
      <c r="H15" s="69">
        <f>Table715[[#This Row],[Column4]]</f>
        <v>6.5780645456259973E-3</v>
      </c>
    </row>
    <row r="16" spans="1:10" ht="15.75" x14ac:dyDescent="0.25">
      <c r="A16" s="46" t="s">
        <v>49</v>
      </c>
      <c r="B16" s="46" t="str">
        <f>Table715[[#This Row],[Column1]]</f>
        <v>seed</v>
      </c>
      <c r="C16" s="79">
        <v>2.9270000000000001E-2</v>
      </c>
      <c r="D16" s="66">
        <f>D$8*Table715[[#This Row],[Column3]]/SUM(C$12:C$16)</f>
        <v>0.38507989850094587</v>
      </c>
      <c r="E16" s="68"/>
      <c r="F16" s="66">
        <f>Table715[[#This Row],[Column4]]</f>
        <v>0.38507989850094587</v>
      </c>
      <c r="G16" s="46"/>
      <c r="H16" s="69"/>
    </row>
    <row r="17" spans="1:8" ht="15.75" x14ac:dyDescent="0.25">
      <c r="A17" s="46"/>
      <c r="B17" s="46"/>
      <c r="C17" s="73"/>
      <c r="D17" s="66"/>
      <c r="E17" s="68"/>
      <c r="F17" s="66"/>
      <c r="G17" s="46" t="s">
        <v>50</v>
      </c>
      <c r="H17" s="69">
        <f>F18</f>
        <v>4.0540611794693024</v>
      </c>
    </row>
    <row r="18" spans="1:8" ht="15.75" x14ac:dyDescent="0.25">
      <c r="A18" s="59" t="s">
        <v>51</v>
      </c>
      <c r="B18" s="59" t="s">
        <v>51</v>
      </c>
      <c r="C18" s="100">
        <f>SUM(C11:C16)</f>
        <v>2.7497700000000003</v>
      </c>
      <c r="D18" s="75">
        <f>SUM(D12:D16)</f>
        <v>23.020200000000003</v>
      </c>
      <c r="E18" s="74"/>
      <c r="F18" s="61">
        <f>SUM(F12:F16)</f>
        <v>4.0540611794693024</v>
      </c>
      <c r="G18" s="59" t="s">
        <v>56</v>
      </c>
      <c r="H18" s="77">
        <f>SUM(H12:H17)</f>
        <v>23.020200000000003</v>
      </c>
    </row>
    <row r="38" spans="2:3" outlineLevel="1" x14ac:dyDescent="0.25">
      <c r="B38" t="s">
        <v>63</v>
      </c>
      <c r="C38" t="s">
        <v>62</v>
      </c>
    </row>
    <row r="39" spans="2:3" outlineLevel="1" x14ac:dyDescent="0.25">
      <c r="B39" t="str">
        <f>B12</f>
        <v>Artisan AP flour</v>
      </c>
      <c r="C39" s="7" t="e">
        <f>VLOOKUP(BagCost16[[#This Row],[Ingredient]],PriceList[#All],6,FALSE)*D12</f>
        <v>#N/A</v>
      </c>
    </row>
    <row r="40" spans="2:3" outlineLevel="1" x14ac:dyDescent="0.25">
      <c r="B40" t="str">
        <f t="shared" ref="B40:B43" si="0">B13</f>
        <v>water</v>
      </c>
      <c r="C40" s="7">
        <f>VLOOKUP(BagCost16[[#This Row],[Ingredient]],PriceList[#All],6,FALSE)*D13</f>
        <v>9.2092903638763948E-2</v>
      </c>
    </row>
    <row r="41" spans="2:3" outlineLevel="1" x14ac:dyDescent="0.25">
      <c r="B41" t="str">
        <f t="shared" si="0"/>
        <v>Sea Salt</v>
      </c>
      <c r="C41" s="7">
        <f>VLOOKUP(BagCost16[[#This Row],[Ingredient]],PriceList[#All],6,FALSE)*D14</f>
        <v>0.38849207214205295</v>
      </c>
    </row>
    <row r="42" spans="2:3" outlineLevel="1" x14ac:dyDescent="0.25">
      <c r="B42" t="str">
        <f t="shared" si="0"/>
        <v>Instant Dry Yeast</v>
      </c>
      <c r="C42" s="7">
        <f>VLOOKUP(BagCost16[[#This Row],[Ingredient]],PriceList[#All],6,FALSE)*D15</f>
        <v>3.7037578637049443E-2</v>
      </c>
    </row>
    <row r="43" spans="2:3" outlineLevel="1" x14ac:dyDescent="0.25">
      <c r="B43" t="str">
        <f t="shared" si="0"/>
        <v>seed</v>
      </c>
      <c r="C43" s="7">
        <f>VLOOKUP(BagCost16[[#This Row],[Ingredient]],PriceList[#All],6,FALSE)*D16</f>
        <v>0.20410269933529052</v>
      </c>
    </row>
  </sheetData>
  <pageMargins left="0.7" right="0.7" top="0.75" bottom="0.75" header="0.3" footer="0.3"/>
  <pageSetup scale="97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opLeftCell="B1" zoomScale="120" zoomScaleNormal="120" workbookViewId="0">
      <selection activeCell="B24" sqref="B24"/>
    </sheetView>
  </sheetViews>
  <sheetFormatPr defaultRowHeight="15" outlineLevelRow="1" outlineLevelCol="1" x14ac:dyDescent="0.25"/>
  <cols>
    <col min="1" max="1" width="18.42578125" hidden="1" customWidth="1" outlineLevel="1"/>
    <col min="2" max="2" width="17.5703125" customWidth="1" collapsed="1"/>
    <col min="3" max="3" width="11.42578125" customWidth="1"/>
    <col min="4" max="4" width="11.140625" customWidth="1"/>
    <col min="5" max="5" width="16.42578125" customWidth="1"/>
    <col min="7" max="7" width="16.140625" customWidth="1"/>
    <col min="8" max="8" width="11.140625" customWidth="1"/>
  </cols>
  <sheetData>
    <row r="1" spans="1:10" ht="23.25" x14ac:dyDescent="0.35">
      <c r="D1" s="5" t="s">
        <v>57</v>
      </c>
    </row>
    <row r="4" spans="1:10" ht="21" outlineLevel="1" x14ac:dyDescent="0.35">
      <c r="A4" s="46"/>
      <c r="B4" s="95" t="s">
        <v>60</v>
      </c>
      <c r="C4" s="96">
        <v>50</v>
      </c>
      <c r="D4" s="46"/>
      <c r="E4" s="46"/>
      <c r="F4" s="46"/>
      <c r="G4" s="46"/>
      <c r="H4" s="46"/>
    </row>
    <row r="5" spans="1:10" ht="21" outlineLevel="1" x14ac:dyDescent="0.35">
      <c r="A5" s="46"/>
      <c r="B5" s="95" t="s">
        <v>61</v>
      </c>
      <c r="C5" s="96">
        <v>0</v>
      </c>
      <c r="D5" s="46"/>
      <c r="E5" s="46"/>
      <c r="F5" s="46"/>
      <c r="G5" s="46"/>
      <c r="H5" s="46"/>
    </row>
    <row r="6" spans="1:10" ht="21" outlineLevel="1" x14ac:dyDescent="0.35">
      <c r="A6" s="46"/>
      <c r="B6" s="95" t="s">
        <v>58</v>
      </c>
      <c r="C6" s="96">
        <v>2</v>
      </c>
      <c r="D6" s="46"/>
      <c r="E6" s="46"/>
      <c r="F6" s="46"/>
      <c r="G6" s="46"/>
      <c r="H6" s="46"/>
    </row>
    <row r="7" spans="1:10" ht="21" outlineLevel="1" x14ac:dyDescent="0.35">
      <c r="A7" s="46"/>
      <c r="B7" s="95" t="s">
        <v>59</v>
      </c>
      <c r="C7" s="96">
        <v>0</v>
      </c>
      <c r="D7" s="46"/>
      <c r="E7" s="46"/>
      <c r="F7" s="46"/>
      <c r="G7" s="46"/>
      <c r="H7" s="46"/>
    </row>
    <row r="8" spans="1:10" ht="31.5" x14ac:dyDescent="0.25">
      <c r="A8" s="46"/>
      <c r="B8" s="46"/>
      <c r="C8" s="47" t="s">
        <v>1</v>
      </c>
      <c r="D8" s="48">
        <f>((C4*control!H2)+(control!H3*Bag!C5)+(Bag!C6*control!H4)+(control!H5*Bag!C7))/1000</f>
        <v>23.020199999999999</v>
      </c>
      <c r="E8" s="49" t="s">
        <v>54</v>
      </c>
      <c r="F8" s="50">
        <v>0.16600000000000001</v>
      </c>
      <c r="G8" s="47" t="s">
        <v>52</v>
      </c>
      <c r="H8" s="51"/>
    </row>
    <row r="9" spans="1:10" ht="15.75" x14ac:dyDescent="0.25">
      <c r="A9" s="52"/>
      <c r="B9" s="52"/>
      <c r="C9" s="52" t="s">
        <v>5</v>
      </c>
      <c r="D9" s="53"/>
      <c r="E9" s="52" t="s">
        <v>50</v>
      </c>
      <c r="F9" s="53"/>
      <c r="G9" s="52"/>
      <c r="H9" s="52"/>
      <c r="J9" s="40"/>
    </row>
    <row r="10" spans="1:10" ht="15.75" x14ac:dyDescent="0.25">
      <c r="A10" s="52" t="s">
        <v>0</v>
      </c>
      <c r="B10" s="52" t="s">
        <v>0</v>
      </c>
      <c r="C10" s="55" t="s">
        <v>3</v>
      </c>
      <c r="D10" s="56" t="s">
        <v>4</v>
      </c>
      <c r="E10" s="55" t="s">
        <v>53</v>
      </c>
      <c r="F10" s="53" t="s">
        <v>4</v>
      </c>
      <c r="G10" s="52" t="s">
        <v>0</v>
      </c>
      <c r="H10" s="58" t="s">
        <v>4</v>
      </c>
    </row>
    <row r="11" spans="1:10" ht="15.75" x14ac:dyDescent="0.25">
      <c r="A11" s="59" t="s">
        <v>2</v>
      </c>
      <c r="B11" s="59" t="str">
        <f>A11</f>
        <v>Total Flour</v>
      </c>
      <c r="C11" s="60">
        <v>1</v>
      </c>
      <c r="D11" s="61">
        <f>D$8*Table7[[#This Row],[Column3]]/SUM(C$12:C$17)</f>
        <v>12.98470841065617</v>
      </c>
      <c r="E11" s="63">
        <v>1</v>
      </c>
      <c r="F11" s="61">
        <f>Table7[[#This Row],[Column4]]*F8</f>
        <v>2.1554615961689243</v>
      </c>
      <c r="G11" s="59" t="s">
        <v>2</v>
      </c>
      <c r="H11" s="64">
        <f>Table7[[#This Row],[Column4]]-Table7[[#This Row],[Column6]]</f>
        <v>10.829246814487245</v>
      </c>
    </row>
    <row r="12" spans="1:10" ht="15.75" x14ac:dyDescent="0.25">
      <c r="A12" s="46" t="str">
        <f>control!A4</f>
        <v>Artisan AP flour</v>
      </c>
      <c r="B12" s="46" t="str">
        <f>VLOOKUP(Table7[[#This Row],[Column1]],SourceTable[#All],2,FALSE)</f>
        <v xml:space="preserve">KA Sir Galahad </v>
      </c>
      <c r="C12" s="73">
        <f>C11-C13</f>
        <v>0.75439999999999996</v>
      </c>
      <c r="D12" s="66">
        <f>D$8*Table7[[#This Row],[Column3]]/SUM(C$12:C$17)</f>
        <v>9.795664024999013</v>
      </c>
      <c r="E12" s="68">
        <v>0.5</v>
      </c>
      <c r="F12" s="66">
        <f>Table7[[#This Row],[Column5]]*F11</f>
        <v>1.0777307980844621</v>
      </c>
      <c r="G12" s="46" t="str">
        <f>Table7[[#This Row],[Column1]]</f>
        <v>Artisan AP flour</v>
      </c>
      <c r="H12" s="69">
        <f>Table7[[#This Row],[Column4]]-Table7[[#This Row],[Column6]]</f>
        <v>8.7179332269145515</v>
      </c>
    </row>
    <row r="13" spans="1:10" ht="15.75" x14ac:dyDescent="0.25">
      <c r="A13" s="46" t="str">
        <f>control!A2</f>
        <v>Sifted Wheat Flour</v>
      </c>
      <c r="B13" s="46" t="str">
        <f>VLOOKUP(Table7[[#This Row],[Column1]],SourceTable[#All],2,FALSE)</f>
        <v>Sifted Wheat</v>
      </c>
      <c r="C13" s="78">
        <v>0.24560000000000001</v>
      </c>
      <c r="D13" s="66">
        <f>D$8*Table7[[#This Row],[Column3]]/SUM(C$12:C$17)</f>
        <v>3.1890443856571555</v>
      </c>
      <c r="E13" s="68">
        <v>0.5</v>
      </c>
      <c r="F13" s="66">
        <f>F11*Table7[[#This Row],[Column5]]</f>
        <v>1.0777307980844621</v>
      </c>
      <c r="G13" s="46" t="str">
        <f>Table7[[#This Row],[Column1]]</f>
        <v>Sifted Wheat Flour</v>
      </c>
      <c r="H13" s="69">
        <f>Table7[[#This Row],[Column4]]-Table7[[#This Row],[Column6]]</f>
        <v>2.1113135875726936</v>
      </c>
    </row>
    <row r="14" spans="1:10" ht="15.75" x14ac:dyDescent="0.25">
      <c r="A14" s="46" t="s">
        <v>46</v>
      </c>
      <c r="B14" s="46" t="str">
        <f>Table7[[#This Row],[Column1]]</f>
        <v>water</v>
      </c>
      <c r="C14" s="78">
        <v>0.72070000000000001</v>
      </c>
      <c r="D14" s="66">
        <f>D$8*Table7[[#This Row],[Column3]]/SUM(C$12:C$17)</f>
        <v>9.3580793515599012</v>
      </c>
      <c r="E14" s="68">
        <v>0.68</v>
      </c>
      <c r="F14" s="66">
        <f>Table7[[#This Row],[Column5]]*F11</f>
        <v>1.4657138853948686</v>
      </c>
      <c r="G14" s="46" t="str">
        <f>Table7[[#This Row],[Column2]]</f>
        <v>water</v>
      </c>
      <c r="H14" s="69">
        <f>Table7[[#This Row],[Column4]]-Table7[[#This Row],[Column6]]</f>
        <v>7.8923654661650327</v>
      </c>
    </row>
    <row r="15" spans="1:10" ht="15.75" x14ac:dyDescent="0.25">
      <c r="A15" s="46" t="s">
        <v>47</v>
      </c>
      <c r="B15" s="46" t="str">
        <f>prices!A17</f>
        <v>Sea Salt</v>
      </c>
      <c r="C15" s="78">
        <v>2.24E-2</v>
      </c>
      <c r="D15" s="66">
        <f>D$8*Table7[[#This Row],[Column3]]/SUM(C$12:C$17)</f>
        <v>0.29085746839869819</v>
      </c>
      <c r="E15" s="68"/>
      <c r="F15" s="66"/>
      <c r="G15" s="46" t="str">
        <f>Table7[[#This Row],[Column2]]</f>
        <v>Sea Salt</v>
      </c>
      <c r="H15" s="69">
        <f>Table7[[#This Row],[Column4]]</f>
        <v>0.29085746839869819</v>
      </c>
    </row>
    <row r="16" spans="1:10" ht="15.75" x14ac:dyDescent="0.25">
      <c r="A16" s="46" t="s">
        <v>48</v>
      </c>
      <c r="B16" s="46" t="str">
        <f>prices!A12</f>
        <v>Instant Dry Yeast</v>
      </c>
      <c r="C16" s="78">
        <v>5.0000000000000001E-4</v>
      </c>
      <c r="D16" s="66">
        <f>D$8*Table7[[#This Row],[Column3]]/SUM(C$12:C$17)</f>
        <v>6.4923542053280849E-3</v>
      </c>
      <c r="E16" s="68"/>
      <c r="F16" s="66"/>
      <c r="G16" s="46" t="str">
        <f>Table7[[#This Row],[Column2]]</f>
        <v>Instant Dry Yeast</v>
      </c>
      <c r="H16" s="69">
        <f>Table7[[#This Row],[Column4]]</f>
        <v>6.4923542053280849E-3</v>
      </c>
    </row>
    <row r="17" spans="1:8" ht="15.75" x14ac:dyDescent="0.25">
      <c r="A17" s="46" t="s">
        <v>49</v>
      </c>
      <c r="B17" s="46" t="str">
        <f>Table7[[#This Row],[Column1]]</f>
        <v>seed</v>
      </c>
      <c r="C17" s="79">
        <v>2.9270000000000001E-2</v>
      </c>
      <c r="D17" s="66">
        <f>D$8*Table7[[#This Row],[Column3]]/SUM(C$12:C$17)</f>
        <v>0.38006241517990608</v>
      </c>
      <c r="E17" s="68"/>
      <c r="F17" s="66">
        <f>Table7[[#This Row],[Column4]]</f>
        <v>0.38006241517990608</v>
      </c>
      <c r="G17" s="46"/>
      <c r="H17" s="69"/>
    </row>
    <row r="18" spans="1:8" ht="15.75" x14ac:dyDescent="0.25">
      <c r="A18" s="46"/>
      <c r="B18" s="46"/>
      <c r="C18" s="73"/>
      <c r="D18" s="66"/>
      <c r="E18" s="68"/>
      <c r="F18" s="66"/>
      <c r="G18" s="46" t="s">
        <v>50</v>
      </c>
      <c r="H18" s="69">
        <f>F19</f>
        <v>4.0012378967436986</v>
      </c>
    </row>
    <row r="19" spans="1:8" ht="15.75" x14ac:dyDescent="0.25">
      <c r="A19" s="59" t="s">
        <v>51</v>
      </c>
      <c r="B19" s="59"/>
      <c r="C19" s="74"/>
      <c r="D19" s="75">
        <f>SUM(D12:D17)</f>
        <v>23.020200000000003</v>
      </c>
      <c r="E19" s="74"/>
      <c r="F19" s="61">
        <f>SUM(F12:F17)</f>
        <v>4.0012378967436986</v>
      </c>
      <c r="G19" s="59" t="s">
        <v>56</v>
      </c>
      <c r="H19" s="77">
        <f>SUM(H12:H18)</f>
        <v>23.020200000000003</v>
      </c>
    </row>
    <row r="39" spans="2:3" outlineLevel="1" x14ac:dyDescent="0.25">
      <c r="B39" t="s">
        <v>63</v>
      </c>
      <c r="C39" t="s">
        <v>62</v>
      </c>
    </row>
    <row r="40" spans="2:3" outlineLevel="1" x14ac:dyDescent="0.25">
      <c r="B40" t="str">
        <f t="shared" ref="B40:B45" si="0">B12</f>
        <v xml:space="preserve">KA Sir Galahad </v>
      </c>
      <c r="C40" s="7">
        <f>VLOOKUP(BagCost[[#This Row],[Ingredient]],PriceList[#All],6,FALSE)*D12</f>
        <v>6.0521628568694146</v>
      </c>
    </row>
    <row r="41" spans="2:3" outlineLevel="1" x14ac:dyDescent="0.25">
      <c r="B41" t="str">
        <f t="shared" si="0"/>
        <v>Sifted Wheat</v>
      </c>
      <c r="C41" s="7">
        <f>VLOOKUP(BagCost[[#This Row],[Ingredient]],PriceList[#All],6,FALSE)*D13</f>
        <v>4.2617229517418354</v>
      </c>
    </row>
    <row r="42" spans="2:3" outlineLevel="1" x14ac:dyDescent="0.25">
      <c r="B42" t="str">
        <f t="shared" si="0"/>
        <v>water</v>
      </c>
      <c r="C42" s="7">
        <f>VLOOKUP(BagCost[[#This Row],[Ingredient]],PriceList[#All],6,FALSE)*D14</f>
        <v>9.3580793515599017E-2</v>
      </c>
    </row>
    <row r="43" spans="2:3" outlineLevel="1" x14ac:dyDescent="0.25">
      <c r="B43" t="str">
        <f t="shared" si="0"/>
        <v>Sea Salt</v>
      </c>
      <c r="C43" s="7">
        <f>VLOOKUP(BagCost[[#This Row],[Ingredient]],PriceList[#All],6,FALSE)*D15</f>
        <v>0.42944174465168911</v>
      </c>
    </row>
    <row r="44" spans="2:3" outlineLevel="1" x14ac:dyDescent="0.25">
      <c r="B44" t="str">
        <f t="shared" si="0"/>
        <v>Instant Dry Yeast</v>
      </c>
      <c r="C44" s="7">
        <f>VLOOKUP(BagCost[[#This Row],[Ingredient]],PriceList[#All],6,FALSE)*D16</f>
        <v>3.6554989351588109E-2</v>
      </c>
    </row>
    <row r="45" spans="2:3" outlineLevel="1" x14ac:dyDescent="0.25">
      <c r="B45" t="str">
        <f t="shared" si="0"/>
        <v>seed</v>
      </c>
      <c r="C45" s="7">
        <f>VLOOKUP(BagCost[[#This Row],[Ingredient]],PriceList[#All],6,FALSE)*D17</f>
        <v>0.20144329827675539</v>
      </c>
    </row>
  </sheetData>
  <pageMargins left="0.7" right="0.7" top="0.75" bottom="0.75" header="0.3" footer="0.3"/>
  <pageSetup scale="97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7"/>
  <sheetViews>
    <sheetView workbookViewId="0">
      <selection activeCell="B26" sqref="B26"/>
    </sheetView>
  </sheetViews>
  <sheetFormatPr defaultRowHeight="15" outlineLevelRow="1" outlineLevelCol="1" x14ac:dyDescent="0.25"/>
  <cols>
    <col min="1" max="1" width="18.42578125" customWidth="1" outlineLevel="1"/>
    <col min="2" max="2" width="16.85546875" customWidth="1"/>
    <col min="3" max="3" width="11.42578125" customWidth="1"/>
    <col min="4" max="4" width="11.140625" customWidth="1"/>
    <col min="5" max="5" width="16.42578125" customWidth="1"/>
    <col min="7" max="7" width="16.140625" customWidth="1"/>
    <col min="8" max="8" width="11.140625" customWidth="1"/>
  </cols>
  <sheetData>
    <row r="1" spans="1:10" ht="23.25" x14ac:dyDescent="0.35">
      <c r="D1" s="5" t="s">
        <v>40</v>
      </c>
    </row>
    <row r="4" spans="1:10" ht="15.75" outlineLevel="1" x14ac:dyDescent="0.25">
      <c r="A4" s="46"/>
      <c r="B4" s="44" t="s">
        <v>114</v>
      </c>
      <c r="C4" s="45">
        <v>100</v>
      </c>
      <c r="D4" s="46"/>
      <c r="E4" s="46"/>
      <c r="F4" s="46"/>
      <c r="G4" s="46"/>
      <c r="H4" s="46"/>
    </row>
    <row r="5" spans="1:10" ht="15.75" outlineLevel="1" x14ac:dyDescent="0.25">
      <c r="A5" s="46"/>
      <c r="B5" s="44"/>
      <c r="C5" s="45">
        <v>0</v>
      </c>
      <c r="D5" s="46"/>
      <c r="E5" s="46"/>
      <c r="F5" s="46"/>
      <c r="G5" s="46"/>
      <c r="H5" s="46"/>
    </row>
    <row r="6" spans="1:10" ht="15.75" outlineLevel="1" x14ac:dyDescent="0.25">
      <c r="A6" s="46"/>
      <c r="B6" s="44"/>
      <c r="C6" s="45">
        <v>0</v>
      </c>
      <c r="D6" s="46"/>
      <c r="E6" s="46"/>
      <c r="F6" s="46"/>
      <c r="G6" s="46"/>
      <c r="H6" s="46"/>
    </row>
    <row r="7" spans="1:10" ht="15.75" outlineLevel="1" x14ac:dyDescent="0.25">
      <c r="A7" s="46"/>
      <c r="B7" s="44"/>
      <c r="C7" s="45">
        <v>0</v>
      </c>
      <c r="D7" s="46"/>
      <c r="E7" s="46"/>
      <c r="F7" s="46"/>
      <c r="G7" s="46"/>
      <c r="H7" s="46"/>
    </row>
    <row r="8" spans="1:10" ht="31.5" x14ac:dyDescent="0.25">
      <c r="A8" s="46"/>
      <c r="B8" s="46"/>
      <c r="C8" s="47" t="s">
        <v>1</v>
      </c>
      <c r="D8" s="48">
        <f>((C4*control!H2)+(control!H3*Kamut!C5)+(Kamut!C6*control!H4)+(control!H5*Kamut!C7))/1000</f>
        <v>45.36</v>
      </c>
      <c r="E8" s="49" t="s">
        <v>54</v>
      </c>
      <c r="F8" s="50">
        <v>0.16600000000000001</v>
      </c>
      <c r="G8" s="47" t="s">
        <v>52</v>
      </c>
      <c r="H8" s="51"/>
    </row>
    <row r="9" spans="1:10" ht="15.75" x14ac:dyDescent="0.25">
      <c r="A9" s="52"/>
      <c r="B9" s="52"/>
      <c r="C9" s="52" t="s">
        <v>5</v>
      </c>
      <c r="D9" s="53"/>
      <c r="E9" s="52" t="s">
        <v>50</v>
      </c>
      <c r="F9" s="53"/>
      <c r="G9" s="52"/>
      <c r="H9" s="52"/>
      <c r="J9" s="40"/>
    </row>
    <row r="10" spans="1:10" ht="15.75" x14ac:dyDescent="0.25">
      <c r="A10" s="52" t="s">
        <v>0</v>
      </c>
      <c r="B10" s="52" t="s">
        <v>0</v>
      </c>
      <c r="C10" s="55" t="s">
        <v>3</v>
      </c>
      <c r="D10" s="56" t="s">
        <v>4</v>
      </c>
      <c r="E10" s="55" t="s">
        <v>53</v>
      </c>
      <c r="F10" s="53" t="s">
        <v>4</v>
      </c>
      <c r="G10" s="52" t="s">
        <v>0</v>
      </c>
      <c r="H10" s="58" t="s">
        <v>4</v>
      </c>
    </row>
    <row r="11" spans="1:10" ht="15.75" x14ac:dyDescent="0.25">
      <c r="A11" s="59" t="s">
        <v>2</v>
      </c>
      <c r="B11" s="59" t="str">
        <f>A11</f>
        <v>Total Flour</v>
      </c>
      <c r="C11" s="60">
        <v>1</v>
      </c>
      <c r="D11" s="61">
        <f>D$8*Table713[[#This Row],[Column3]]/SUM(C$12:C$18)</f>
        <v>23.210712951639234</v>
      </c>
      <c r="E11" s="63">
        <v>1</v>
      </c>
      <c r="F11" s="61">
        <f>Table713[[#This Row],[Column4]]*F8</f>
        <v>3.8529783499721129</v>
      </c>
      <c r="G11" s="59" t="s">
        <v>2</v>
      </c>
      <c r="H11" s="64">
        <f>Table713[[#This Row],[Column4]]-Table713[[#This Row],[Column6]]</f>
        <v>19.357734601667122</v>
      </c>
    </row>
    <row r="12" spans="1:10" ht="15.75" x14ac:dyDescent="0.25">
      <c r="A12" s="46" t="str">
        <f>control!A2</f>
        <v>Sifted Wheat Flour</v>
      </c>
      <c r="B12" s="46" t="str">
        <f>VLOOKUP(Table713[[#This Row],[Column1]],SourceTable[#All],2,FALSE)</f>
        <v>Sifted Wheat</v>
      </c>
      <c r="C12" s="73">
        <v>0.3</v>
      </c>
      <c r="D12" s="66">
        <f>D$8*Table713[[#This Row],[Column3]]/SUM(C$12:C$18)</f>
        <v>6.9632138854917693</v>
      </c>
      <c r="E12" s="68">
        <v>0.5</v>
      </c>
      <c r="F12" s="66">
        <f>Table713[[#This Row],[Column5]]*F11</f>
        <v>1.9264891749860564</v>
      </c>
      <c r="G12" s="46" t="str">
        <f>Table713[[#This Row],[Column1]]</f>
        <v>Sifted Wheat Flour</v>
      </c>
      <c r="H12" s="69">
        <f>Table713[[#This Row],[Column4]]-Table713[[#This Row],[Column6]]</f>
        <v>5.0367247105057125</v>
      </c>
    </row>
    <row r="13" spans="1:10" ht="15.75" x14ac:dyDescent="0.25">
      <c r="A13" s="46" t="str">
        <f>control!A7</f>
        <v>Kamut</v>
      </c>
      <c r="B13" s="46" t="str">
        <f>VLOOKUP(Table713[[#This Row],[Column1]],SourceTable[#All],2,FALSE)</f>
        <v>Kamut Flour</v>
      </c>
      <c r="C13" s="78">
        <v>0.6</v>
      </c>
      <c r="D13" s="66">
        <f>D$8*Table713[[#This Row],[Column3]]/SUM(C$12:C$18)</f>
        <v>13.926427770983539</v>
      </c>
      <c r="E13" s="68">
        <v>0.5</v>
      </c>
      <c r="F13" s="66">
        <f>F11*Table713[[#This Row],[Column5]]</f>
        <v>1.9264891749860564</v>
      </c>
      <c r="G13" s="46" t="str">
        <f>Table713[[#This Row],[Column1]]</f>
        <v>Kamut</v>
      </c>
      <c r="H13" s="69">
        <f>Table713[[#This Row],[Column4]]-Table713[[#This Row],[Column6]]</f>
        <v>11.999938595997483</v>
      </c>
    </row>
    <row r="14" spans="1:10" ht="15.75" x14ac:dyDescent="0.25">
      <c r="A14" s="46" t="str">
        <f>control!A4</f>
        <v>Artisan AP flour</v>
      </c>
      <c r="B14" s="46" t="str">
        <f>VLOOKUP(Table713[[#This Row],[Column1]],SourceTable[#All],2,FALSE)</f>
        <v xml:space="preserve">KA Sir Galahad </v>
      </c>
      <c r="C14" s="78">
        <v>0.04</v>
      </c>
      <c r="D14" s="66">
        <f>D$8*Table713[[#This Row],[Column3]]/SUM(C$12:C$18)</f>
        <v>0.92842851806556936</v>
      </c>
      <c r="E14" s="68">
        <v>0.68</v>
      </c>
      <c r="F14" s="66">
        <f>Table713[[#This Row],[Column5]]*F11</f>
        <v>2.6200252779810369</v>
      </c>
      <c r="G14" s="46" t="str">
        <f>Table713[[#This Row],[Column2]]</f>
        <v xml:space="preserve">KA Sir Galahad </v>
      </c>
      <c r="H14" s="69">
        <f>Table713[[#This Row],[Column4]]-Table713[[#This Row],[Column6]]</f>
        <v>-1.6915967599154675</v>
      </c>
    </row>
    <row r="15" spans="1:10" ht="15.75" x14ac:dyDescent="0.25">
      <c r="A15" s="46" t="str">
        <f>control!A3</f>
        <v>Whole Wheat Flour</v>
      </c>
      <c r="B15" s="46" t="str">
        <f>VLOOKUP(Table713[[#This Row],[Column1]],SourceTable[#All],2,FALSE)</f>
        <v>Whole WE Flour</v>
      </c>
      <c r="C15" s="78">
        <f>C11-C12-C13-C14</f>
        <v>5.9999999999999977E-2</v>
      </c>
      <c r="D15" s="66">
        <f>D$8*Table713[[#This Row],[Column3]]/SUM(C$12:C$18)</f>
        <v>1.3926427770983536</v>
      </c>
      <c r="E15" s="68"/>
      <c r="F15" s="66"/>
      <c r="G15" s="46" t="str">
        <f>Table713[[#This Row],[Column2]]</f>
        <v>Whole WE Flour</v>
      </c>
      <c r="H15" s="69">
        <f>Table713[[#This Row],[Column4]]</f>
        <v>1.3926427770983536</v>
      </c>
    </row>
    <row r="16" spans="1:10" ht="15.75" x14ac:dyDescent="0.25">
      <c r="A16" s="46" t="str">
        <f>prices!A18</f>
        <v>water</v>
      </c>
      <c r="B16" s="46" t="str">
        <f>Table713[[#This Row],[Column1]]</f>
        <v>water</v>
      </c>
      <c r="C16" s="78">
        <v>0.9</v>
      </c>
      <c r="D16" s="66">
        <f>D$8*Table713[[#This Row],[Column3]]/SUM(C$12:C$18)</f>
        <v>20.889641656475309</v>
      </c>
      <c r="E16" s="68"/>
      <c r="F16" s="66"/>
      <c r="G16" s="46" t="str">
        <f>Table713[[#This Row],[Column2]]</f>
        <v>water</v>
      </c>
      <c r="H16" s="69">
        <f>Table713[[#This Row],[Column4]]</f>
        <v>20.889641656475309</v>
      </c>
    </row>
    <row r="17" spans="1:8" ht="15.75" x14ac:dyDescent="0.25">
      <c r="A17" s="46" t="str">
        <f>PriceList[[#This Row],[Item]]</f>
        <v>Sea Salt</v>
      </c>
      <c r="B17" s="46" t="str">
        <f>Table713[[#This Row],[Column1]]</f>
        <v>Sea Salt</v>
      </c>
      <c r="C17" s="78">
        <v>2.5000000000000001E-2</v>
      </c>
      <c r="D17" s="66">
        <f>D$8*Table713[[#This Row],[Column3]]/SUM(C$12:C$18)</f>
        <v>0.58026782379098096</v>
      </c>
      <c r="E17" s="68"/>
      <c r="F17" s="66"/>
      <c r="G17" s="46" t="str">
        <f>Table713[[#This Row],[Column2]]</f>
        <v>Sea Salt</v>
      </c>
      <c r="H17" s="69">
        <f>Table713[[#This Row],[Column4]]</f>
        <v>0.58026782379098096</v>
      </c>
    </row>
    <row r="18" spans="1:8" ht="15.75" x14ac:dyDescent="0.25">
      <c r="A18" s="46" t="s">
        <v>49</v>
      </c>
      <c r="B18" s="46" t="str">
        <f>Table713[[#This Row],[Column1]]</f>
        <v>seed</v>
      </c>
      <c r="C18" s="79">
        <v>2.9270000000000001E-2</v>
      </c>
      <c r="D18" s="66">
        <f>D$8*Table713[[#This Row],[Column3]]/SUM(C$12:C$18)</f>
        <v>0.67937756809448036</v>
      </c>
      <c r="E18" s="68"/>
      <c r="F18" s="66">
        <f>Table713[[#This Row],[Column4]]</f>
        <v>0.67937756809448036</v>
      </c>
      <c r="G18" s="46"/>
      <c r="H18" s="69"/>
    </row>
    <row r="19" spans="1:8" ht="15.75" x14ac:dyDescent="0.25">
      <c r="A19" s="46"/>
      <c r="B19" s="46"/>
      <c r="C19" s="73"/>
      <c r="D19" s="66"/>
      <c r="E19" s="68"/>
      <c r="F19" s="66"/>
      <c r="G19" s="46" t="s">
        <v>50</v>
      </c>
      <c r="H19" s="69">
        <f>F20</f>
        <v>7.1523811960476298</v>
      </c>
    </row>
    <row r="20" spans="1:8" ht="15.75" x14ac:dyDescent="0.25">
      <c r="A20" s="59" t="s">
        <v>51</v>
      </c>
      <c r="B20" s="59"/>
      <c r="C20" s="74"/>
      <c r="D20" s="75">
        <f>SUM(D12:D18)</f>
        <v>45.360000000000007</v>
      </c>
      <c r="E20" s="74"/>
      <c r="F20" s="61">
        <f>SUM(F12:F18)</f>
        <v>7.1523811960476298</v>
      </c>
      <c r="G20" s="59" t="s">
        <v>56</v>
      </c>
      <c r="H20" s="77">
        <f>SUM(H12:H19)</f>
        <v>45.36</v>
      </c>
    </row>
    <row r="40" spans="2:3" hidden="1" outlineLevel="1" x14ac:dyDescent="0.25">
      <c r="B40" t="s">
        <v>63</v>
      </c>
      <c r="C40" t="s">
        <v>62</v>
      </c>
    </row>
    <row r="41" spans="2:3" hidden="1" outlineLevel="1" x14ac:dyDescent="0.25">
      <c r="B41" t="str">
        <f>B12</f>
        <v>Sifted Wheat</v>
      </c>
      <c r="C41" s="7">
        <f>VLOOKUP(BagCost14[[#This Row],[Ingredient]],PriceList[#All],6,FALSE)*D12</f>
        <v>9.3053858287935469</v>
      </c>
    </row>
    <row r="42" spans="2:3" hidden="1" outlineLevel="1" x14ac:dyDescent="0.25">
      <c r="B42" t="str">
        <f>B13</f>
        <v>Kamut Flour</v>
      </c>
      <c r="C42" s="7">
        <f>VLOOKUP(BagCost14[[#This Row],[Ingredient]],PriceList[#All],6,FALSE)*D13</f>
        <v>30.677065461783684</v>
      </c>
    </row>
    <row r="43" spans="2:3" hidden="1" outlineLevel="1" x14ac:dyDescent="0.25">
      <c r="B43" t="str">
        <f>B14</f>
        <v xml:space="preserve">KA Sir Galahad </v>
      </c>
      <c r="C43" s="7">
        <f>VLOOKUP(BagCost14[[#This Row],[Ingredient]],PriceList[#All],6,FALSE)*D14</f>
        <v>0.57362120403014938</v>
      </c>
    </row>
    <row r="44" spans="2:3" hidden="1" outlineLevel="1" x14ac:dyDescent="0.25">
      <c r="B44" t="str">
        <f>B15</f>
        <v>Whole WE Flour</v>
      </c>
      <c r="C44" s="7">
        <f>VLOOKUP(BagCost14[[#This Row],[Ingredient]],PriceList[#All],6,FALSE)*D15</f>
        <v>1.6749694491828382</v>
      </c>
    </row>
    <row r="45" spans="2:3" hidden="1" outlineLevel="1" x14ac:dyDescent="0.25">
      <c r="B45" t="str">
        <f>B16</f>
        <v>water</v>
      </c>
      <c r="C45" s="7">
        <f>VLOOKUP(BagCost14[[#This Row],[Ingredient]],PriceList[#All],6,FALSE)*D16</f>
        <v>0.20889641656475311</v>
      </c>
    </row>
    <row r="46" spans="2:3" hidden="1" outlineLevel="1" x14ac:dyDescent="0.25">
      <c r="B46" t="str">
        <f t="shared" ref="B46" si="0">B18</f>
        <v>seed</v>
      </c>
      <c r="C46" s="7">
        <f>VLOOKUP(BagCost14[[#This Row],[Ingredient]],PriceList[#All],6,FALSE)*D18</f>
        <v>0.3600883766089078</v>
      </c>
    </row>
    <row r="47" spans="2:3" collapsed="1" x14ac:dyDescent="0.25"/>
  </sheetData>
  <pageMargins left="0.7" right="0.7" top="0.75" bottom="0.75" header="0.3" footer="0.3"/>
  <pageSetup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8"/>
  <sheetViews>
    <sheetView topLeftCell="B19" workbookViewId="0">
      <selection activeCell="B23" sqref="B23"/>
    </sheetView>
  </sheetViews>
  <sheetFormatPr defaultRowHeight="15" outlineLevelRow="1" outlineLevelCol="1" x14ac:dyDescent="0.25"/>
  <cols>
    <col min="1" max="1" width="17.28515625" hidden="1" customWidth="1" outlineLevel="1"/>
    <col min="2" max="2" width="17" customWidth="1" collapsed="1"/>
    <col min="3" max="3" width="11.42578125" customWidth="1"/>
    <col min="4" max="4" width="11.140625" customWidth="1"/>
    <col min="5" max="5" width="13.85546875" customWidth="1"/>
    <col min="6" max="6" width="11.140625" customWidth="1"/>
    <col min="7" max="7" width="16.42578125" customWidth="1"/>
    <col min="9" max="9" width="17.140625" customWidth="1"/>
    <col min="10" max="10" width="11.140625" customWidth="1"/>
  </cols>
  <sheetData>
    <row r="1" spans="1:12" ht="23.25" x14ac:dyDescent="0.35">
      <c r="D1" s="5" t="s">
        <v>79</v>
      </c>
      <c r="E1" s="5"/>
      <c r="F1" s="5"/>
    </row>
    <row r="3" spans="1:12" ht="23.25" outlineLevel="1" x14ac:dyDescent="0.35">
      <c r="B3" s="93" t="s">
        <v>91</v>
      </c>
      <c r="C3" s="94">
        <v>95</v>
      </c>
      <c r="D3" s="46"/>
      <c r="E3" s="46"/>
      <c r="F3" s="46"/>
      <c r="G3" s="46"/>
      <c r="H3" s="46"/>
      <c r="I3" s="46"/>
      <c r="J3" s="46"/>
    </row>
    <row r="4" spans="1:12" ht="31.5" x14ac:dyDescent="0.25">
      <c r="B4" s="46"/>
      <c r="C4" s="47" t="s">
        <v>1</v>
      </c>
      <c r="D4" s="48">
        <f>C3*control!H6/1000</f>
        <v>55.214000000000006</v>
      </c>
      <c r="E4" s="49" t="s">
        <v>80</v>
      </c>
      <c r="F4" s="50">
        <v>8.4970000000000004E-2</v>
      </c>
      <c r="G4" s="49" t="s">
        <v>54</v>
      </c>
      <c r="H4" s="50">
        <v>0.10985</v>
      </c>
      <c r="I4" s="47" t="s">
        <v>52</v>
      </c>
      <c r="J4" s="51"/>
    </row>
    <row r="5" spans="1:12" ht="15.75" x14ac:dyDescent="0.25">
      <c r="A5" s="3"/>
      <c r="B5" s="52"/>
      <c r="C5" s="52" t="s">
        <v>5</v>
      </c>
      <c r="D5" s="53"/>
      <c r="E5" s="54" t="s">
        <v>78</v>
      </c>
      <c r="F5" s="53"/>
      <c r="G5" s="52" t="s">
        <v>50</v>
      </c>
      <c r="H5" s="53"/>
      <c r="I5" s="52"/>
      <c r="J5" s="52"/>
      <c r="L5" s="40"/>
    </row>
    <row r="6" spans="1:12" ht="15.75" x14ac:dyDescent="0.25">
      <c r="A6" s="3" t="s">
        <v>0</v>
      </c>
      <c r="B6" s="52" t="s">
        <v>0</v>
      </c>
      <c r="C6" s="55" t="s">
        <v>3</v>
      </c>
      <c r="D6" s="56" t="s">
        <v>4</v>
      </c>
      <c r="E6" s="57" t="s">
        <v>3</v>
      </c>
      <c r="F6" s="56" t="s">
        <v>4</v>
      </c>
      <c r="G6" s="55" t="s">
        <v>53</v>
      </c>
      <c r="H6" s="53" t="s">
        <v>4</v>
      </c>
      <c r="I6" s="52" t="s">
        <v>0</v>
      </c>
      <c r="J6" s="58" t="s">
        <v>4</v>
      </c>
    </row>
    <row r="7" spans="1:12" ht="15.75" x14ac:dyDescent="0.25">
      <c r="A7" s="4" t="s">
        <v>2</v>
      </c>
      <c r="B7" s="59" t="str">
        <f>A7</f>
        <v>Total Flour</v>
      </c>
      <c r="C7" s="60">
        <v>1</v>
      </c>
      <c r="D7" s="61">
        <f>D$4*Table711[[#This Row],[Column3]]/SUM(C$8:C$16)</f>
        <v>27.639061311120908</v>
      </c>
      <c r="E7" s="62">
        <v>1</v>
      </c>
      <c r="F7" s="61">
        <f>Table711[[#This Row],[Column4]]*F4</f>
        <v>2.3484910396059435</v>
      </c>
      <c r="G7" s="63">
        <v>1</v>
      </c>
      <c r="H7" s="61">
        <f>Table711[[#This Row],[Column4]]*H4</f>
        <v>3.0361508850266317</v>
      </c>
      <c r="I7" s="59" t="s">
        <v>2</v>
      </c>
      <c r="J7" s="64">
        <f>Table711[[#This Row],[Column4]]-Table711[[#This Row],[Column10]]-Table711[[#This Row],[Column6]]</f>
        <v>22.254419386488333</v>
      </c>
    </row>
    <row r="8" spans="1:12" ht="15.75" x14ac:dyDescent="0.25">
      <c r="A8" t="str">
        <f>control!A9</f>
        <v>Patent Flour</v>
      </c>
      <c r="B8" s="46" t="str">
        <f>VLOOKUP(Table711[[#This Row],[Column1]],SourceTable[#All],2,FALSE)</f>
        <v>Winona</v>
      </c>
      <c r="C8" s="65">
        <v>0.38225999999999999</v>
      </c>
      <c r="D8" s="66">
        <f>D$4*Table711[[#This Row],[Column3]]/SUM(C$8:C$16)</f>
        <v>10.565307576789078</v>
      </c>
      <c r="E8" s="67"/>
      <c r="F8" s="66"/>
      <c r="G8" s="68"/>
      <c r="H8" s="66"/>
      <c r="I8" s="46" t="str">
        <f>Table711[[#This Row],[Column2]]</f>
        <v>Winona</v>
      </c>
      <c r="J8" s="69">
        <f>Table711[[#This Row],[Column4]]-Table711[[#This Row],[Column6]]</f>
        <v>10.565307576789078</v>
      </c>
    </row>
    <row r="9" spans="1:12" ht="15.75" x14ac:dyDescent="0.25">
      <c r="A9" t="str">
        <f>control!A4</f>
        <v>Artisan AP flour</v>
      </c>
      <c r="B9" s="46" t="str">
        <f>VLOOKUP(Table711[[#This Row],[Column1]],SourceTable[#All],2,FALSE)</f>
        <v xml:space="preserve">KA Sir Galahad </v>
      </c>
      <c r="C9" s="70">
        <v>0.35038999999999998</v>
      </c>
      <c r="D9" s="66">
        <f>D$4*Table711[[#This Row],[Column3]]/SUM(C$8:C$16)</f>
        <v>9.6844506928036544</v>
      </c>
      <c r="E9" s="67"/>
      <c r="F9" s="66"/>
      <c r="G9" s="68">
        <v>0.5</v>
      </c>
      <c r="H9" s="66">
        <f>H7*Table711[[#This Row],[Column5]]</f>
        <v>1.5180754425133158</v>
      </c>
      <c r="I9" s="46" t="str">
        <f>Table711[[#This Row],[Column2]]</f>
        <v xml:space="preserve">KA Sir Galahad </v>
      </c>
      <c r="J9" s="69">
        <f>Table711[[#This Row],[Column4]]-Table711[[#This Row],[Column10]]-Table711[[#This Row],[Column6]]</f>
        <v>8.1663752502903382</v>
      </c>
    </row>
    <row r="10" spans="1:12" ht="15.75" x14ac:dyDescent="0.25">
      <c r="A10" t="str">
        <f>control!A3</f>
        <v>Whole Wheat Flour</v>
      </c>
      <c r="B10" s="46" t="str">
        <f>VLOOKUP(Table711[[#This Row],[Column1]],SourceTable[#All],2,FALSE)</f>
        <v>Whole WE Flour</v>
      </c>
      <c r="C10" s="70">
        <v>8.4970000000000004E-2</v>
      </c>
      <c r="D10" s="66">
        <f>D$4*Table711[[#This Row],[Column3]]/SUM(C$8:C$16)</f>
        <v>2.3484910396059435</v>
      </c>
      <c r="E10" s="71">
        <v>0.5</v>
      </c>
      <c r="F10" s="66">
        <f>F7*Table711[[#This Row],[Column9]]</f>
        <v>1.1742455198029718</v>
      </c>
      <c r="G10" s="68"/>
      <c r="H10" s="66"/>
      <c r="I10" s="46" t="str">
        <f>Table711[[#This Row],[Column2]]</f>
        <v>Whole WE Flour</v>
      </c>
      <c r="J10" s="69">
        <f>Table711[[#This Row],[Column4]]-Table711[[#This Row],[Column10]]-Table711[[#This Row],[Column6]]</f>
        <v>1.1742455198029718</v>
      </c>
    </row>
    <row r="11" spans="1:12" ht="15.75" x14ac:dyDescent="0.25">
      <c r="A11" t="str">
        <f>control!A2</f>
        <v>Sifted Wheat Flour</v>
      </c>
      <c r="B11" s="46" t="str">
        <f>VLOOKUP(Table711[[#This Row],[Column1]],SourceTable[#All],2,FALSE)</f>
        <v>Sifted Wheat</v>
      </c>
      <c r="C11" s="70">
        <v>5.4919999999999997E-2</v>
      </c>
      <c r="D11" s="66">
        <f>D$4*Table711[[#This Row],[Column3]]/SUM(C$8:C$16)</f>
        <v>1.51793724720676</v>
      </c>
      <c r="E11" s="67"/>
      <c r="F11" s="66"/>
      <c r="G11" s="68">
        <v>0.5</v>
      </c>
      <c r="H11" s="66">
        <f>H7*Table711[[#This Row],[Column5]]</f>
        <v>1.5180754425133158</v>
      </c>
      <c r="I11" s="46" t="str">
        <f>Table711[[#This Row],[Column2]]</f>
        <v>Sifted Wheat</v>
      </c>
      <c r="J11" s="69">
        <f>Table711[[#This Row],[Column4]]-Table711[[#This Row],[Column10]]-Table711[[#This Row],[Column6]]</f>
        <v>-1.3819530655578838E-4</v>
      </c>
    </row>
    <row r="12" spans="1:12" ht="15.75" x14ac:dyDescent="0.25">
      <c r="A12" t="s">
        <v>90</v>
      </c>
      <c r="B12" s="46" t="str">
        <f>VLOOKUP(Table711[[#This Row],[Column1]],SourceTable[#All],2,FALSE)</f>
        <v>Kamut Flour</v>
      </c>
      <c r="C12" s="70">
        <v>0.12745000000000001</v>
      </c>
      <c r="D12" s="66">
        <f>D$4*Table711[[#This Row],[Column3]]/SUM(C$8:C$16)</f>
        <v>3.5225983641023602</v>
      </c>
      <c r="E12" s="71">
        <v>0.5</v>
      </c>
      <c r="F12" s="66">
        <f>F7*Table711[[#This Row],[Column9]]</f>
        <v>1.1742455198029718</v>
      </c>
      <c r="G12" s="68"/>
      <c r="H12" s="66"/>
      <c r="I12" s="46" t="str">
        <f>Table711[[#This Row],[Column2]]</f>
        <v>Kamut Flour</v>
      </c>
      <c r="J12" s="69">
        <f>Table711[[#This Row],[Column4]]-Table711[[#This Row],[Column10]]-Table711[[#This Row],[Column6]]</f>
        <v>2.3483528442993884</v>
      </c>
    </row>
    <row r="13" spans="1:12" ht="15.75" x14ac:dyDescent="0.25">
      <c r="A13" t="s">
        <v>84</v>
      </c>
      <c r="B13" s="46" t="str">
        <f>prices!A20</f>
        <v>Flax/Sesame</v>
      </c>
      <c r="C13" s="70">
        <v>7.4759999999999993E-2</v>
      </c>
      <c r="D13" s="66">
        <f>D$4*Table711[[#This Row],[Column3]]/SUM(C$8:C$16)</f>
        <v>2.0662962236193989</v>
      </c>
      <c r="E13" s="67"/>
      <c r="F13" s="66"/>
      <c r="G13" s="68"/>
      <c r="H13" s="66"/>
      <c r="I13" s="46" t="str">
        <f>Table711[[#This Row],[Column2]]</f>
        <v>Flax/Sesame</v>
      </c>
      <c r="J13" s="69">
        <f>Table711[[#This Row],[Column4]]-Table711[[#This Row],[Column10]]-Table711[[#This Row],[Column6]]</f>
        <v>2.0662962236193989</v>
      </c>
    </row>
    <row r="14" spans="1:12" ht="15.75" x14ac:dyDescent="0.25">
      <c r="A14" t="s">
        <v>46</v>
      </c>
      <c r="B14" s="46" t="str">
        <f>Table711[[#This Row],[Column1]]</f>
        <v>water</v>
      </c>
      <c r="C14" s="70">
        <v>0.88231000000000004</v>
      </c>
      <c r="D14" s="66">
        <f>D$4*Table711[[#This Row],[Column3]]/SUM(C$8:C$16)</f>
        <v>24.386220185415091</v>
      </c>
      <c r="E14" s="71">
        <v>1</v>
      </c>
      <c r="F14" s="66">
        <f>F7*Table711[[#This Row],[Column9]]</f>
        <v>2.3484910396059435</v>
      </c>
      <c r="G14" s="68">
        <v>0.68</v>
      </c>
      <c r="H14" s="66">
        <f>H7*Table711[[#This Row],[Column5]]</f>
        <v>2.0645826018181097</v>
      </c>
      <c r="I14" s="46" t="str">
        <f>Table711[[#This Row],[Column2]]</f>
        <v>water</v>
      </c>
      <c r="J14" s="69">
        <f>Table711[[#This Row],[Column4]]-Table711[[#This Row],[Column10]]-Table711[[#This Row],[Column6]]</f>
        <v>19.973146543991039</v>
      </c>
    </row>
    <row r="15" spans="1:12" ht="15.75" x14ac:dyDescent="0.25">
      <c r="A15" t="str">
        <f>prices!A17</f>
        <v>Sea Salt</v>
      </c>
      <c r="B15" s="46" t="str">
        <f>Table711[[#This Row],[Column1]]</f>
        <v>Sea Salt</v>
      </c>
      <c r="C15" s="70">
        <v>2.1239999999999998E-2</v>
      </c>
      <c r="D15" s="66">
        <f>D$4*Table711[[#This Row],[Column3]]/SUM(C$8:C$16)</f>
        <v>0.58705366224820799</v>
      </c>
      <c r="E15" s="67"/>
      <c r="F15" s="66"/>
      <c r="G15" s="68"/>
      <c r="H15" s="66"/>
      <c r="I15" s="46" t="str">
        <f>Table711[[#This Row],[Column2]]</f>
        <v>Sea Salt</v>
      </c>
      <c r="J15" s="69">
        <f>Table711[[#This Row],[Column4]]-Table711[[#This Row],[Column10]]-Table711[[#This Row],[Column6]]</f>
        <v>0.58705366224820799</v>
      </c>
    </row>
    <row r="16" spans="1:12" ht="15.75" x14ac:dyDescent="0.25">
      <c r="A16" t="s">
        <v>49</v>
      </c>
      <c r="B16" s="46" t="str">
        <f>Table711[[#This Row],[Column1]]</f>
        <v>seed</v>
      </c>
      <c r="C16" s="72">
        <v>1.9380000000000001E-2</v>
      </c>
      <c r="D16" s="66">
        <f>D$4*Table711[[#This Row],[Column3]]/SUM(C$8:C$16)</f>
        <v>0.53564500820952321</v>
      </c>
      <c r="E16" s="67"/>
      <c r="F16" s="66"/>
      <c r="G16" s="68"/>
      <c r="H16" s="66">
        <f>Table711[[#This Row],[Column4]]</f>
        <v>0.53564500820952321</v>
      </c>
      <c r="I16" s="46"/>
      <c r="J16" s="69"/>
    </row>
    <row r="17" spans="1:10" ht="15.75" x14ac:dyDescent="0.25">
      <c r="B17" s="46"/>
      <c r="C17" s="72"/>
      <c r="D17" s="66"/>
      <c r="E17" s="67"/>
      <c r="F17" s="66"/>
      <c r="G17" s="68"/>
      <c r="H17" s="66"/>
      <c r="I17" s="46" t="s">
        <v>78</v>
      </c>
      <c r="J17" s="69">
        <f>F19</f>
        <v>4.696982079211887</v>
      </c>
    </row>
    <row r="18" spans="1:10" ht="15.75" x14ac:dyDescent="0.25">
      <c r="B18" s="46"/>
      <c r="C18" s="73"/>
      <c r="D18" s="66"/>
      <c r="E18" s="67"/>
      <c r="F18" s="66"/>
      <c r="G18" s="68"/>
      <c r="H18" s="66"/>
      <c r="I18" s="46" t="s">
        <v>87</v>
      </c>
      <c r="J18" s="69">
        <f>H19</f>
        <v>5.6363784950542648</v>
      </c>
    </row>
    <row r="19" spans="1:10" ht="15.75" x14ac:dyDescent="0.25">
      <c r="A19" s="4" t="s">
        <v>51</v>
      </c>
      <c r="B19" s="59"/>
      <c r="C19" s="74" t="s">
        <v>56</v>
      </c>
      <c r="D19" s="75">
        <f>SUM(D8:D16)</f>
        <v>55.21400000000002</v>
      </c>
      <c r="E19" s="76" t="s">
        <v>85</v>
      </c>
      <c r="F19" s="75">
        <f>SUM(F8:F18)</f>
        <v>4.696982079211887</v>
      </c>
      <c r="G19" s="74" t="s">
        <v>86</v>
      </c>
      <c r="H19" s="61">
        <f>SUM(H8:H16)</f>
        <v>5.6363784950542648</v>
      </c>
      <c r="I19" s="59" t="s">
        <v>56</v>
      </c>
      <c r="J19" s="77">
        <f>SUM(J8:J18)</f>
        <v>55.214000000000027</v>
      </c>
    </row>
    <row r="25" spans="1:10" x14ac:dyDescent="0.25">
      <c r="D25" s="42"/>
    </row>
    <row r="39" spans="2:3" outlineLevel="1" x14ac:dyDescent="0.25">
      <c r="B39" t="s">
        <v>63</v>
      </c>
      <c r="C39" t="s">
        <v>62</v>
      </c>
    </row>
    <row r="40" spans="2:3" outlineLevel="1" x14ac:dyDescent="0.25">
      <c r="B40" t="str">
        <f>B8</f>
        <v>Winona</v>
      </c>
      <c r="C40" s="7">
        <f>VLOOKUP(BagCost12[[#This Row],[Ingredient]],PriceList[#All],6,FALSE)*D8</f>
        <v>5.9778827228699907</v>
      </c>
    </row>
    <row r="41" spans="2:3" outlineLevel="1" x14ac:dyDescent="0.25">
      <c r="B41" t="str">
        <f t="shared" ref="B41:B48" si="0">B9</f>
        <v xml:space="preserve">KA Sir Galahad </v>
      </c>
      <c r="C41" s="7">
        <f>VLOOKUP(BagCost12[[#This Row],[Ingredient]],PriceList[#All],6,FALSE)*D9</f>
        <v>5.9834507004925026</v>
      </c>
    </row>
    <row r="42" spans="2:3" outlineLevel="1" x14ac:dyDescent="0.25">
      <c r="B42" t="str">
        <f t="shared" si="0"/>
        <v>Whole WE Flour</v>
      </c>
      <c r="C42" s="7">
        <f>VLOOKUP(BagCost12[[#This Row],[Ingredient]],PriceList[#All],6,FALSE)*D10</f>
        <v>2.8245942230896941</v>
      </c>
    </row>
    <row r="43" spans="2:3" outlineLevel="1" x14ac:dyDescent="0.25">
      <c r="B43" t="str">
        <f t="shared" si="0"/>
        <v>Sifted Wheat</v>
      </c>
      <c r="C43" s="7">
        <f>VLOOKUP(BagCost12[[#This Row],[Ingredient]],PriceList[#All],6,FALSE)*D11</f>
        <v>2.0285161394490339</v>
      </c>
    </row>
    <row r="44" spans="2:3" outlineLevel="1" x14ac:dyDescent="0.25">
      <c r="B44" t="str">
        <f t="shared" si="0"/>
        <v>Kamut Flour</v>
      </c>
      <c r="C44" s="7">
        <f>VLOOKUP(BagCost12[[#This Row],[Ingredient]],PriceList[#All],6,FALSE)*D12</f>
        <v>7.7595620634528588</v>
      </c>
    </row>
    <row r="45" spans="2:3" outlineLevel="1" x14ac:dyDescent="0.25">
      <c r="B45" t="str">
        <f t="shared" si="0"/>
        <v>Flax/Sesame</v>
      </c>
      <c r="C45" s="7">
        <f>VLOOKUP(BagCost12[[#This Row],[Ingredient]],PriceList[#All],6,FALSE)*D13</f>
        <v>4.1506828706765866</v>
      </c>
    </row>
    <row r="46" spans="2:3" outlineLevel="1" x14ac:dyDescent="0.25">
      <c r="B46" t="str">
        <f t="shared" si="0"/>
        <v>water</v>
      </c>
      <c r="C46" s="7">
        <f>VLOOKUP(BagCost12[[#This Row],[Ingredient]],PriceList[#All],6,FALSE)*D14</f>
        <v>0.24386220185415092</v>
      </c>
    </row>
    <row r="47" spans="2:3" outlineLevel="1" x14ac:dyDescent="0.25">
      <c r="B47" t="str">
        <f t="shared" si="0"/>
        <v>Sea Salt</v>
      </c>
      <c r="C47" s="7">
        <f>VLOOKUP(BagCost12[[#This Row],[Ingredient]],PriceList[#All],6,FALSE)*D15</f>
        <v>0.86676594659228712</v>
      </c>
    </row>
    <row r="48" spans="2:3" outlineLevel="1" x14ac:dyDescent="0.25">
      <c r="B48" t="str">
        <f t="shared" si="0"/>
        <v>seed</v>
      </c>
      <c r="C48" s="7">
        <f>VLOOKUP(BagCost12[[#This Row],[Ingredient]],PriceList[#All],6,FALSE)*D16</f>
        <v>0.28390625552418702</v>
      </c>
    </row>
  </sheetData>
  <pageMargins left="0.7" right="0.7" top="0.75" bottom="0.75" header="0.3" footer="0.3"/>
  <pageSetup scale="76"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50"/>
  <sheetViews>
    <sheetView topLeftCell="B1" zoomScaleNormal="100" workbookViewId="0">
      <selection activeCell="B23" sqref="B23"/>
    </sheetView>
  </sheetViews>
  <sheetFormatPr defaultRowHeight="15" outlineLevelRow="1" outlineLevelCol="1" x14ac:dyDescent="0.25"/>
  <cols>
    <col min="1" max="1" width="17.28515625" hidden="1" customWidth="1" outlineLevel="1"/>
    <col min="2" max="2" width="21.42578125" customWidth="1" collapsed="1"/>
    <col min="3" max="3" width="11.42578125" customWidth="1"/>
    <col min="4" max="4" width="11.140625" customWidth="1"/>
    <col min="5" max="5" width="13.85546875" customWidth="1"/>
    <col min="6" max="6" width="11.140625" customWidth="1"/>
    <col min="7" max="7" width="17.140625" customWidth="1"/>
    <col min="8" max="8" width="11.140625" customWidth="1"/>
  </cols>
  <sheetData>
    <row r="1" spans="1:10" ht="23.25" x14ac:dyDescent="0.35">
      <c r="D1" s="5" t="s">
        <v>102</v>
      </c>
      <c r="E1" s="5"/>
      <c r="F1" s="5"/>
    </row>
    <row r="2" spans="1:10" ht="15.75" outlineLevel="1" x14ac:dyDescent="0.25">
      <c r="B2" s="44" t="s">
        <v>104</v>
      </c>
      <c r="C2" s="45">
        <v>4</v>
      </c>
      <c r="D2" s="46"/>
      <c r="E2" s="46"/>
      <c r="F2" s="46"/>
      <c r="G2" s="46"/>
      <c r="H2" s="46"/>
    </row>
    <row r="3" spans="1:10" ht="15.75" outlineLevel="1" x14ac:dyDescent="0.25">
      <c r="B3" s="44" t="s">
        <v>105</v>
      </c>
      <c r="C3" s="45">
        <v>0</v>
      </c>
      <c r="D3" s="46"/>
      <c r="E3" s="46"/>
      <c r="F3" s="46"/>
      <c r="G3" s="46"/>
      <c r="H3" s="46"/>
    </row>
    <row r="4" spans="1:10" ht="15.75" outlineLevel="1" x14ac:dyDescent="0.25">
      <c r="B4" s="44" t="s">
        <v>106</v>
      </c>
      <c r="C4" s="45">
        <v>0</v>
      </c>
      <c r="D4" s="46"/>
      <c r="E4" s="46"/>
      <c r="F4" s="46"/>
      <c r="G4" s="46"/>
      <c r="H4" s="46"/>
    </row>
    <row r="5" spans="1:10" ht="15.75" outlineLevel="1" x14ac:dyDescent="0.25">
      <c r="B5" s="44" t="s">
        <v>107</v>
      </c>
      <c r="C5" s="45">
        <v>20</v>
      </c>
      <c r="D5" s="46"/>
      <c r="E5" s="46"/>
      <c r="F5" s="46"/>
      <c r="G5" s="46"/>
      <c r="H5" s="46"/>
    </row>
    <row r="6" spans="1:10" ht="31.5" x14ac:dyDescent="0.25">
      <c r="B6" s="46"/>
      <c r="C6" s="47" t="s">
        <v>1</v>
      </c>
      <c r="D6" s="48">
        <f>((C2*control!H7)+(control!H8*Brioche!C3)+(Brioche!C4*control!H9)+(control!H10*Brioche!C5))/1000</f>
        <v>24.448</v>
      </c>
      <c r="E6" s="49" t="s">
        <v>112</v>
      </c>
      <c r="F6" s="50">
        <v>0.4</v>
      </c>
      <c r="G6" s="47" t="s">
        <v>52</v>
      </c>
      <c r="H6" s="51"/>
    </row>
    <row r="7" spans="1:10" ht="15.75" x14ac:dyDescent="0.25">
      <c r="A7" s="3"/>
      <c r="B7" s="52"/>
      <c r="C7" s="52" t="s">
        <v>5</v>
      </c>
      <c r="D7" s="53"/>
      <c r="E7" s="54" t="s">
        <v>111</v>
      </c>
      <c r="F7" s="53"/>
      <c r="G7" s="52"/>
      <c r="H7" s="52"/>
      <c r="J7" s="40"/>
    </row>
    <row r="8" spans="1:10" ht="15.75" x14ac:dyDescent="0.25">
      <c r="A8" s="3" t="s">
        <v>0</v>
      </c>
      <c r="B8" s="52" t="s">
        <v>0</v>
      </c>
      <c r="C8" s="55" t="s">
        <v>3</v>
      </c>
      <c r="D8" s="56" t="s">
        <v>4</v>
      </c>
      <c r="E8" s="57" t="s">
        <v>3</v>
      </c>
      <c r="F8" s="56" t="s">
        <v>4</v>
      </c>
      <c r="G8" s="52" t="s">
        <v>0</v>
      </c>
      <c r="H8" s="58" t="s">
        <v>4</v>
      </c>
    </row>
    <row r="9" spans="1:10" ht="15.75" x14ac:dyDescent="0.25">
      <c r="A9" s="4" t="s">
        <v>2</v>
      </c>
      <c r="B9" s="59" t="str">
        <f>A9</f>
        <v>Total Flour</v>
      </c>
      <c r="C9" s="63">
        <v>1</v>
      </c>
      <c r="D9" s="61">
        <f>D$6*Table7119[[#This Row],[Column3]]/SUM(C$10:C$18)</f>
        <v>13.484831770546055</v>
      </c>
      <c r="E9" s="62">
        <v>1</v>
      </c>
      <c r="F9" s="61">
        <f>Table7119[[#This Row],[Column4]]*F6</f>
        <v>5.3939327082184221</v>
      </c>
      <c r="G9" s="59" t="s">
        <v>2</v>
      </c>
      <c r="H9" s="64">
        <f>Table7119[[#This Row],[Column4]]-Table7119[[#This Row],[Column10]]</f>
        <v>8.0908990623276331</v>
      </c>
    </row>
    <row r="10" spans="1:10" ht="15.75" x14ac:dyDescent="0.25">
      <c r="A10" t="str">
        <f>control!A4</f>
        <v>Artisan AP flour</v>
      </c>
      <c r="B10" s="46" t="str">
        <f>VLOOKUP(Table7119[[#This Row],[Column1]],SourceTable[#All],2,FALSE)</f>
        <v xml:space="preserve">KA Sir Galahad </v>
      </c>
      <c r="C10" s="65">
        <f>C9-C11</f>
        <v>0.96962999999999999</v>
      </c>
      <c r="D10" s="66">
        <f>D$6*Table7119[[#This Row],[Column3]]/SUM(C$10:C$18)</f>
        <v>13.075297429674571</v>
      </c>
      <c r="E10" s="71">
        <v>1</v>
      </c>
      <c r="F10" s="66">
        <f>Table7119[[#This Row],[Column9]]*F9</f>
        <v>5.3939327082184221</v>
      </c>
      <c r="G10" s="46" t="str">
        <f>Table7119[[#This Row],[Column2]]</f>
        <v xml:space="preserve">KA Sir Galahad </v>
      </c>
      <c r="H10" s="69">
        <f>Table7119[[#This Row],[Column4]]-Table7119[[#This Row],[Column10]]</f>
        <v>7.6813647214561485</v>
      </c>
    </row>
    <row r="11" spans="1:10" ht="15.75" x14ac:dyDescent="0.25">
      <c r="A11" t="str">
        <f>control!A2</f>
        <v>Sifted Wheat Flour</v>
      </c>
      <c r="B11" s="46" t="str">
        <f>VLOOKUP(Table7119[[#This Row],[Column1]],SourceTable[#All],2,FALSE)</f>
        <v>Sifted Wheat</v>
      </c>
      <c r="C11" s="70">
        <v>3.0370000000000001E-2</v>
      </c>
      <c r="D11" s="66">
        <f>D$6*Table7119[[#This Row],[Column3]]/SUM(C$10:C$18)</f>
        <v>0.40953434087148372</v>
      </c>
      <c r="E11" s="67"/>
      <c r="F11" s="66"/>
      <c r="G11" s="46" t="str">
        <f>Table7119[[#This Row],[Column2]]</f>
        <v>Sifted Wheat</v>
      </c>
      <c r="H11" s="69">
        <f>Table7119[[#This Row],[Column4]]-Table7119[[#This Row],[Column10]]</f>
        <v>0.40953434087148372</v>
      </c>
    </row>
    <row r="12" spans="1:10" ht="15.75" x14ac:dyDescent="0.25">
      <c r="A12" t="str">
        <f>prices!A14</f>
        <v>Butter, unsalted</v>
      </c>
      <c r="B12" s="46" t="str">
        <f>Table7119[[#This Row],[Column1]]</f>
        <v>Butter, unsalted</v>
      </c>
      <c r="C12" s="70">
        <v>8.022E-2</v>
      </c>
      <c r="D12" s="66">
        <f>D$6*Table7119[[#This Row],[Column3]]/SUM(C$10:C$18)</f>
        <v>1.0817532046332046</v>
      </c>
      <c r="E12" s="71"/>
      <c r="F12" s="66"/>
      <c r="G12" s="46" t="str">
        <f>Table7119[[#This Row],[Column2]]</f>
        <v>Butter, unsalted</v>
      </c>
      <c r="H12" s="69">
        <f>Table7119[[#This Row],[Column4]]-Table7119[[#This Row],[Column10]]</f>
        <v>1.0817532046332046</v>
      </c>
    </row>
    <row r="13" spans="1:10" ht="15.75" x14ac:dyDescent="0.25">
      <c r="A13" t="str">
        <f>prices!A25</f>
        <v>Sugar</v>
      </c>
      <c r="B13" s="46" t="str">
        <f>Table7119[[#This Row],[Column1]]</f>
        <v>Sugar</v>
      </c>
      <c r="C13" s="70">
        <v>7.009E-2</v>
      </c>
      <c r="D13" s="66">
        <f>D$6*Table7119[[#This Row],[Column3]]/SUM(C$10:C$18)</f>
        <v>0.94515185879757302</v>
      </c>
      <c r="E13" s="67"/>
      <c r="F13" s="66"/>
      <c r="G13" s="46" t="str">
        <f>Table7119[[#This Row],[Column2]]</f>
        <v>Sugar</v>
      </c>
      <c r="H13" s="69">
        <f>Table7119[[#This Row],[Column4]]-Table7119[[#This Row],[Column10]]</f>
        <v>0.94515185879757302</v>
      </c>
    </row>
    <row r="14" spans="1:10" ht="15.75" x14ac:dyDescent="0.25">
      <c r="A14" t="str">
        <f>prices!A13</f>
        <v>eggs, brown</v>
      </c>
      <c r="B14" s="46" t="str">
        <f>Table7119[[#This Row],[Column1]]</f>
        <v>eggs, brown</v>
      </c>
      <c r="C14" s="70">
        <v>5.9970000000000002E-2</v>
      </c>
      <c r="D14" s="66">
        <f>D$6*Table7119[[#This Row],[Column3]]/SUM(C$10:C$18)</f>
        <v>0.80868536127964696</v>
      </c>
      <c r="E14" s="71"/>
      <c r="F14" s="66"/>
      <c r="G14" s="46" t="str">
        <f>Table7119[[#This Row],[Column2]]</f>
        <v>eggs, brown</v>
      </c>
      <c r="H14" s="69">
        <f>Table7119[[#This Row],[Column4]]-Table7119[[#This Row],[Column10]]</f>
        <v>0.80868536127964696</v>
      </c>
    </row>
    <row r="15" spans="1:10" ht="15.75" x14ac:dyDescent="0.25">
      <c r="A15" t="str">
        <f>prices!A29</f>
        <v>Nonfat Milk</v>
      </c>
      <c r="B15" s="46" t="str">
        <f>Table7119[[#This Row],[Column1]]</f>
        <v>Nonfat Milk</v>
      </c>
      <c r="C15" s="70">
        <v>2.4920000000000001E-2</v>
      </c>
      <c r="D15" s="66">
        <f>D$6*Table7119[[#This Row],[Column3]]/SUM(C$10:C$18)</f>
        <v>0.33604200772200771</v>
      </c>
      <c r="E15" s="67"/>
      <c r="F15" s="66"/>
      <c r="G15" s="46" t="str">
        <f>Table7119[[#This Row],[Column2]]</f>
        <v>Nonfat Milk</v>
      </c>
      <c r="H15" s="69">
        <f>Table7119[[#This Row],[Column4]]-Table7119[[#This Row],[Column10]]</f>
        <v>0.33604200772200771</v>
      </c>
    </row>
    <row r="16" spans="1:10" ht="15.75" x14ac:dyDescent="0.25">
      <c r="A16" t="str">
        <f>prices!A17</f>
        <v>Sea Salt</v>
      </c>
      <c r="B16" s="46" t="str">
        <f>Table7119[[#This Row],[Column1]]</f>
        <v>Sea Salt</v>
      </c>
      <c r="C16" s="70">
        <v>2.002E-2</v>
      </c>
      <c r="D16" s="66">
        <f>D$6*Table7119[[#This Row],[Column3]]/SUM(C$10:C$18)</f>
        <v>0.26996633204633202</v>
      </c>
      <c r="E16" s="71"/>
      <c r="F16" s="66"/>
      <c r="G16" s="46" t="str">
        <f>Table7119[[#This Row],[Column2]]</f>
        <v>Sea Salt</v>
      </c>
      <c r="H16" s="69">
        <f>Table7119[[#This Row],[Column4]]-Table7119[[#This Row],[Column10]]</f>
        <v>0.26996633204633202</v>
      </c>
    </row>
    <row r="17" spans="1:8" ht="15.75" x14ac:dyDescent="0.25">
      <c r="A17" t="str">
        <f>prices!A12</f>
        <v>Instant Dry Yeast</v>
      </c>
      <c r="B17" s="46" t="str">
        <f>Table7119[[#This Row],[Column1]]</f>
        <v>Instant Dry Yeast</v>
      </c>
      <c r="C17" s="70">
        <v>7.9399999999999991E-3</v>
      </c>
      <c r="D17" s="66">
        <f>D$6*Table7119[[#This Row],[Column3]]/SUM(C$10:C$18)</f>
        <v>0.10706956425813566</v>
      </c>
      <c r="E17" s="92">
        <v>1E-3</v>
      </c>
      <c r="F17" s="66">
        <f>Table7119[[#This Row],[Column9]]*F9</f>
        <v>5.393932708218422E-3</v>
      </c>
      <c r="G17" s="46" t="str">
        <f>Table7119[[#This Row],[Column2]]</f>
        <v>Instant Dry Yeast</v>
      </c>
      <c r="H17" s="69">
        <f>Table7119[[#This Row],[Column4]]-Table7119[[#This Row],[Column10]]</f>
        <v>0.10167563154991724</v>
      </c>
    </row>
    <row r="18" spans="1:8" ht="15.75" x14ac:dyDescent="0.25">
      <c r="A18" t="str">
        <f>PriceList[#This Row]</f>
        <v>water</v>
      </c>
      <c r="B18" s="46" t="str">
        <f>Table7119[[#This Row],[Column1]]</f>
        <v>water</v>
      </c>
      <c r="C18" s="72">
        <v>0.54984</v>
      </c>
      <c r="D18" s="66">
        <f>D$6*Table7119[[#This Row],[Column3]]/SUM(C$10:C$18)</f>
        <v>7.4144999007170433</v>
      </c>
      <c r="E18" s="71">
        <v>0.67</v>
      </c>
      <c r="F18" s="66">
        <f>Table7119[[#This Row],[Column9]]*F9</f>
        <v>3.6139349145063431</v>
      </c>
      <c r="G18" s="46" t="str">
        <f>Table7119[[#This Row],[Column2]]</f>
        <v>water</v>
      </c>
      <c r="H18" s="69">
        <f>Table7119[[#This Row],[Column4]]-Table7119[[#This Row],[Column10]]</f>
        <v>3.8005649862107003</v>
      </c>
    </row>
    <row r="19" spans="1:8" ht="15.75" x14ac:dyDescent="0.25">
      <c r="B19" s="46"/>
      <c r="C19" s="46"/>
      <c r="D19" s="66"/>
      <c r="E19" s="67"/>
      <c r="F19" s="66"/>
      <c r="G19" s="46" t="s">
        <v>111</v>
      </c>
      <c r="H19" s="69">
        <f>F21</f>
        <v>9.0132615554329831</v>
      </c>
    </row>
    <row r="20" spans="1:8" ht="15.75" x14ac:dyDescent="0.25">
      <c r="B20" s="46"/>
      <c r="C20" s="73"/>
      <c r="D20" s="66"/>
      <c r="E20" s="67"/>
      <c r="F20" s="66"/>
      <c r="G20" s="46"/>
      <c r="H20" s="69"/>
    </row>
    <row r="21" spans="1:8" ht="15.75" x14ac:dyDescent="0.25">
      <c r="A21" s="4" t="s">
        <v>51</v>
      </c>
      <c r="B21" s="59"/>
      <c r="C21" s="74" t="s">
        <v>56</v>
      </c>
      <c r="D21" s="75">
        <f>SUM(D10:D18)</f>
        <v>24.447999999999997</v>
      </c>
      <c r="E21" s="76" t="s">
        <v>113</v>
      </c>
      <c r="F21" s="75">
        <f>SUM(F10:F20)</f>
        <v>9.0132615554329831</v>
      </c>
      <c r="G21" s="59" t="s">
        <v>56</v>
      </c>
      <c r="H21" s="77">
        <f>SUM(H10:H20)</f>
        <v>24.447999999999993</v>
      </c>
    </row>
    <row r="27" spans="1:8" x14ac:dyDescent="0.25">
      <c r="D27" s="42"/>
    </row>
    <row r="41" spans="2:3" outlineLevel="1" x14ac:dyDescent="0.25">
      <c r="B41" t="s">
        <v>63</v>
      </c>
      <c r="C41" t="s">
        <v>62</v>
      </c>
    </row>
    <row r="42" spans="2:3" outlineLevel="1" x14ac:dyDescent="0.25">
      <c r="B42" t="str">
        <f>B10</f>
        <v xml:space="preserve">KA Sir Galahad </v>
      </c>
      <c r="C42" s="7">
        <f>VLOOKUP(BagCost1210[[#This Row],[Ingredient]],PriceList[#All],6,FALSE)*D10</f>
        <v>8.0784548392475664</v>
      </c>
    </row>
    <row r="43" spans="2:3" outlineLevel="1" x14ac:dyDescent="0.25">
      <c r="B43" t="str">
        <f t="shared" ref="B43:B50" si="0">B11</f>
        <v>Sifted Wheat</v>
      </c>
      <c r="C43" s="7">
        <f>VLOOKUP(BagCost1210[[#This Row],[Ingredient]],PriceList[#All],6,FALSE)*D11</f>
        <v>0.54728680098280102</v>
      </c>
    </row>
    <row r="44" spans="2:3" outlineLevel="1" x14ac:dyDescent="0.25">
      <c r="B44" t="str">
        <f t="shared" si="0"/>
        <v>Butter, unsalted</v>
      </c>
      <c r="C44" s="7">
        <f>VLOOKUP(BagCost1210[[#This Row],[Ingredient]],PriceList[#All],6,FALSE)*D12</f>
        <v>7.2849993470270267</v>
      </c>
    </row>
    <row r="45" spans="2:3" outlineLevel="1" x14ac:dyDescent="0.25">
      <c r="B45" t="str">
        <f t="shared" si="0"/>
        <v>Sugar</v>
      </c>
      <c r="C45" s="7">
        <f>VLOOKUP(BagCost1210[[#This Row],[Ingredient]],PriceList[#All],6,FALSE)*D13</f>
        <v>1.3629751410162163</v>
      </c>
    </row>
    <row r="46" spans="2:3" outlineLevel="1" x14ac:dyDescent="0.25">
      <c r="B46" t="str">
        <f t="shared" si="0"/>
        <v>eggs, brown</v>
      </c>
      <c r="C46" s="7">
        <f>VLOOKUP(BagCost1210[[#This Row],[Ingredient]],PriceList[#All],6,FALSE)*D14</f>
        <v>2.4548048484324325</v>
      </c>
    </row>
    <row r="47" spans="2:3" outlineLevel="1" x14ac:dyDescent="0.25">
      <c r="B47" t="str">
        <f t="shared" si="0"/>
        <v>Nonfat Milk</v>
      </c>
      <c r="C47" s="7">
        <f>VLOOKUP(BagCost1210[[#This Row],[Ingredient]],PriceList[#All],6,FALSE)*D15</f>
        <v>1.8195323829275678</v>
      </c>
    </row>
    <row r="48" spans="2:3" outlineLevel="1" x14ac:dyDescent="0.25">
      <c r="B48" t="str">
        <f t="shared" si="0"/>
        <v>Sea Salt</v>
      </c>
      <c r="C48" s="7">
        <f>VLOOKUP(BagCost1210[[#This Row],[Ingredient]],PriceList[#All],6,FALSE)*D16</f>
        <v>0.39859665034378372</v>
      </c>
    </row>
    <row r="49" spans="2:3" outlineLevel="1" x14ac:dyDescent="0.25">
      <c r="B49" t="str">
        <f t="shared" si="0"/>
        <v>Instant Dry Yeast</v>
      </c>
      <c r="C49" s="7">
        <f>VLOOKUP(BagCost1210[[#This Row],[Ingredient]],PriceList[#All],6,FALSE)*D17</f>
        <v>0.60285170179459446</v>
      </c>
    </row>
    <row r="50" spans="2:3" outlineLevel="1" x14ac:dyDescent="0.25">
      <c r="B50" t="str">
        <f t="shared" si="0"/>
        <v>water</v>
      </c>
      <c r="C50" s="7">
        <f>VLOOKUP(BagCost1210[[#This Row],[Ingredient]],PriceList[#All],6,FALSE)*D18</f>
        <v>7.4144999007170434E-2</v>
      </c>
    </row>
  </sheetData>
  <pageMargins left="0.7" right="0.7" top="0.75" bottom="0.75" header="0.3" footer="0.3"/>
  <pageSetup scale="76" orientation="portrait" horizontalDpi="4294967293" verticalDpi="4294967293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>
      <selection activeCell="B35" sqref="B35"/>
    </sheetView>
  </sheetViews>
  <sheetFormatPr defaultColWidth="8.7109375" defaultRowHeight="15" x14ac:dyDescent="0.25"/>
  <cols>
    <col min="1" max="1" width="23.28515625" style="14" customWidth="1"/>
    <col min="2" max="2" width="18.28515625" style="14" customWidth="1"/>
    <col min="3" max="3" width="11.5703125" style="10" customWidth="1"/>
    <col min="4" max="4" width="8.5703125" style="38" customWidth="1"/>
    <col min="5" max="5" width="7.85546875" style="39" customWidth="1"/>
    <col min="6" max="6" width="8.7109375" style="39"/>
    <col min="7" max="7" width="19" style="14" customWidth="1"/>
    <col min="8" max="8" width="10.85546875" style="14" customWidth="1"/>
    <col min="9" max="9" width="6.5703125" style="14" customWidth="1"/>
    <col min="10" max="10" width="14.42578125" style="14" customWidth="1"/>
    <col min="11" max="11" width="9.85546875" style="14" customWidth="1"/>
    <col min="12" max="13" width="8.7109375" style="14"/>
    <col min="14" max="14" width="4.140625" style="14" customWidth="1"/>
    <col min="15" max="15" width="6.42578125" style="14" customWidth="1"/>
    <col min="16" max="16384" width="8.7109375" style="14"/>
  </cols>
  <sheetData>
    <row r="1" spans="1:15" ht="15.75" thickBot="1" x14ac:dyDescent="0.3">
      <c r="A1" s="9" t="s">
        <v>28</v>
      </c>
      <c r="B1" s="9" t="s">
        <v>29</v>
      </c>
      <c r="C1" s="10" t="s">
        <v>30</v>
      </c>
      <c r="D1" s="11" t="s">
        <v>31</v>
      </c>
      <c r="E1" s="12" t="s">
        <v>32</v>
      </c>
      <c r="F1" s="13" t="s">
        <v>33</v>
      </c>
      <c r="G1" s="9" t="s">
        <v>34</v>
      </c>
      <c r="H1" s="9" t="s">
        <v>37</v>
      </c>
      <c r="J1" s="14" t="s">
        <v>42</v>
      </c>
      <c r="K1" s="14" t="s">
        <v>43</v>
      </c>
      <c r="L1" s="14" t="s">
        <v>44</v>
      </c>
      <c r="M1" s="14" t="s">
        <v>45</v>
      </c>
      <c r="O1" s="101" t="s">
        <v>92</v>
      </c>
    </row>
    <row r="2" spans="1:15" ht="15.75" thickTop="1" x14ac:dyDescent="0.25">
      <c r="A2" s="15" t="s">
        <v>23</v>
      </c>
      <c r="B2" s="15" t="s">
        <v>24</v>
      </c>
      <c r="C2" s="10">
        <v>26</v>
      </c>
      <c r="D2" s="88">
        <v>50</v>
      </c>
      <c r="E2" s="10">
        <f t="shared" ref="E2:E12" si="0">C2/D2</f>
        <v>0.52</v>
      </c>
      <c r="F2" s="16">
        <f t="shared" ref="F2:F12" si="1">C2/(D2/2.205)</f>
        <v>1.1466000000000001</v>
      </c>
      <c r="G2" s="17" t="s">
        <v>13</v>
      </c>
      <c r="H2" s="18">
        <v>42745</v>
      </c>
      <c r="J2" s="14" t="str">
        <f>Bag!B4</f>
        <v>Baguettes</v>
      </c>
      <c r="K2" s="19">
        <f>SUM(BagCost[Price*Amt])/(1000*Bag!D8/ProductWeight[[#This Row],[Grams]])</f>
        <v>0.21822476126910112</v>
      </c>
      <c r="L2" s="39">
        <v>3.5</v>
      </c>
      <c r="M2" s="20">
        <f>Table5[Cost]/Table5[price]</f>
        <v>6.234993179117175E-2</v>
      </c>
      <c r="O2" s="102"/>
    </row>
    <row r="3" spans="1:15" ht="15.75" thickBot="1" x14ac:dyDescent="0.3">
      <c r="A3" s="15" t="s">
        <v>25</v>
      </c>
      <c r="B3" s="15" t="s">
        <v>24</v>
      </c>
      <c r="C3" s="10">
        <v>0.5</v>
      </c>
      <c r="D3" s="88">
        <v>1</v>
      </c>
      <c r="E3" s="10">
        <f t="shared" si="0"/>
        <v>0.5</v>
      </c>
      <c r="F3" s="21">
        <f t="shared" si="1"/>
        <v>1.1025</v>
      </c>
      <c r="G3" s="15" t="s">
        <v>26</v>
      </c>
      <c r="H3" s="18">
        <v>42700</v>
      </c>
      <c r="J3" s="14" t="str">
        <f>Bag!B5</f>
        <v>Demi</v>
      </c>
      <c r="K3" s="19">
        <f>K2*ProductWeight[[#This Row],[Grams]]/control!H2</f>
        <v>5.455619031727528E-2</v>
      </c>
      <c r="L3" s="39">
        <v>1</v>
      </c>
      <c r="M3" s="20">
        <f>Table5[Cost]/Table5[price]</f>
        <v>5.455619031727528E-2</v>
      </c>
      <c r="O3" s="87">
        <v>7.0000000000000007E-2</v>
      </c>
    </row>
    <row r="4" spans="1:15" x14ac:dyDescent="0.25">
      <c r="A4" s="15" t="s">
        <v>27</v>
      </c>
      <c r="B4" s="15" t="s">
        <v>24</v>
      </c>
      <c r="C4" s="10">
        <v>20.39</v>
      </c>
      <c r="D4" s="88">
        <v>50</v>
      </c>
      <c r="E4" s="10">
        <f t="shared" si="0"/>
        <v>0.4078</v>
      </c>
      <c r="F4" s="16">
        <f t="shared" si="1"/>
        <v>0.89919900000000008</v>
      </c>
      <c r="G4" s="15" t="s">
        <v>14</v>
      </c>
      <c r="H4" s="18">
        <v>42751</v>
      </c>
      <c r="J4" s="41" t="str">
        <f>Bag!B6</f>
        <v>Pizza Rounds</v>
      </c>
      <c r="K4" s="19">
        <f>K3*ProductWeight[[#This Row],[Grams]]/control!H3</f>
        <v>8.1834285475912927E-2</v>
      </c>
      <c r="L4" s="39">
        <v>1.25</v>
      </c>
      <c r="M4" s="20">
        <f>Table5[Cost]/Table5[price]</f>
        <v>6.5467428380730344E-2</v>
      </c>
      <c r="O4" s="80"/>
    </row>
    <row r="5" spans="1:15" x14ac:dyDescent="0.25">
      <c r="A5" s="17" t="s">
        <v>81</v>
      </c>
      <c r="B5" s="15" t="s">
        <v>24</v>
      </c>
      <c r="C5" s="10">
        <v>1998</v>
      </c>
      <c r="D5" s="88">
        <v>2000</v>
      </c>
      <c r="E5" s="10">
        <f t="shared" si="0"/>
        <v>0.999</v>
      </c>
      <c r="F5" s="16">
        <f t="shared" si="1"/>
        <v>2.2027950000000001</v>
      </c>
      <c r="G5" s="15" t="s">
        <v>36</v>
      </c>
      <c r="H5" s="18">
        <v>42755</v>
      </c>
      <c r="J5" s="41" t="s">
        <v>93</v>
      </c>
      <c r="K5" s="19">
        <f>(K4*ProductWeight[[#This Row],[Grams]]/control!H4)/36</f>
        <v>2.727809515863764E-2</v>
      </c>
      <c r="L5" s="39">
        <v>0.5</v>
      </c>
      <c r="M5" s="20">
        <f>Table5[Cost]/Table5[price]</f>
        <v>5.455619031727528E-2</v>
      </c>
    </row>
    <row r="6" spans="1:15" x14ac:dyDescent="0.25">
      <c r="A6" s="22" t="s">
        <v>38</v>
      </c>
      <c r="B6" s="23" t="s">
        <v>24</v>
      </c>
      <c r="C6" s="10">
        <v>14.01</v>
      </c>
      <c r="D6" s="88">
        <v>50</v>
      </c>
      <c r="E6" s="24">
        <f t="shared" si="0"/>
        <v>0.2802</v>
      </c>
      <c r="F6" s="25">
        <f t="shared" si="1"/>
        <v>0.61784099999999997</v>
      </c>
      <c r="G6" s="23" t="s">
        <v>14</v>
      </c>
      <c r="H6" s="26">
        <v>42767</v>
      </c>
      <c r="J6" s="41" t="str">
        <f>CO!D1</f>
        <v>Country Hearth</v>
      </c>
      <c r="K6" s="19">
        <f>SUM(BagCost12[Price*Amt])/CO!C3</f>
        <v>0.31704445393685571</v>
      </c>
      <c r="L6" s="39">
        <v>5</v>
      </c>
      <c r="M6" s="20">
        <f>Table5[Cost]/Table5[price]</f>
        <v>6.3408890787371136E-2</v>
      </c>
    </row>
    <row r="7" spans="1:15" x14ac:dyDescent="0.25">
      <c r="A7" s="27" t="s">
        <v>55</v>
      </c>
      <c r="B7" s="8" t="s">
        <v>24</v>
      </c>
      <c r="C7" s="10">
        <f>C8/0.9</f>
        <v>30.303030303030305</v>
      </c>
      <c r="D7" s="88">
        <v>50</v>
      </c>
      <c r="E7" s="28">
        <f t="shared" si="0"/>
        <v>0.60606060606060608</v>
      </c>
      <c r="F7" s="29">
        <f t="shared" si="1"/>
        <v>1.3363636363636364</v>
      </c>
      <c r="G7" s="30" t="s">
        <v>13</v>
      </c>
      <c r="H7" s="31">
        <v>42753</v>
      </c>
      <c r="J7" s="41" t="s">
        <v>103</v>
      </c>
      <c r="K7" s="19">
        <f>SUM(BagCost1210[Price*Amt])/(Brioche!D6/(0.001*ProductWeight[[#This Row],[Grams]]/36))</f>
        <v>7.6395113011329785E-2</v>
      </c>
      <c r="L7" s="39">
        <f>27.5/48</f>
        <v>0.57291666666666663</v>
      </c>
      <c r="M7" s="20">
        <f>Table5[Cost]/Table5[price]</f>
        <v>0.13334419725613927</v>
      </c>
    </row>
    <row r="8" spans="1:15" x14ac:dyDescent="0.25">
      <c r="A8" s="27" t="s">
        <v>82</v>
      </c>
      <c r="B8" s="8" t="s">
        <v>24</v>
      </c>
      <c r="C8" s="10">
        <f>25+(25/11)</f>
        <v>27.272727272727273</v>
      </c>
      <c r="D8" s="88">
        <v>50</v>
      </c>
      <c r="E8" s="28">
        <f t="shared" si="0"/>
        <v>0.54545454545454541</v>
      </c>
      <c r="F8" s="29">
        <f t="shared" si="1"/>
        <v>1.2027272727272729</v>
      </c>
      <c r="G8" s="8" t="s">
        <v>13</v>
      </c>
      <c r="H8" s="31">
        <v>42753</v>
      </c>
      <c r="J8" s="41" t="str">
        <f>Brioche!B5</f>
        <v>Brioche Loaves</v>
      </c>
      <c r="K8" s="19">
        <f>SUM(BagCost1210[Price*Amt])/(Brioche!D6/(0.001*control!H10))</f>
        <v>0.58113752185738365</v>
      </c>
      <c r="L8" s="39">
        <v>3.9</v>
      </c>
      <c r="M8" s="20">
        <f>Table5[Cost]/Table5[price]</f>
        <v>0.14900962098907272</v>
      </c>
    </row>
    <row r="9" spans="1:15" x14ac:dyDescent="0.25">
      <c r="A9" s="27" t="s">
        <v>12</v>
      </c>
      <c r="B9" s="8" t="s">
        <v>24</v>
      </c>
      <c r="C9" s="10">
        <v>12.83</v>
      </c>
      <c r="D9" s="88">
        <v>50</v>
      </c>
      <c r="E9" s="28">
        <f t="shared" si="0"/>
        <v>0.25659999999999999</v>
      </c>
      <c r="F9" s="29">
        <f t="shared" si="1"/>
        <v>0.56580300000000006</v>
      </c>
      <c r="G9" s="8" t="s">
        <v>14</v>
      </c>
      <c r="H9" s="31">
        <v>42767</v>
      </c>
    </row>
    <row r="10" spans="1:15" x14ac:dyDescent="0.25">
      <c r="A10" s="27" t="s">
        <v>39</v>
      </c>
      <c r="B10" s="8" t="s">
        <v>24</v>
      </c>
      <c r="C10" s="10">
        <f>25+(25/11)</f>
        <v>27.272727272727273</v>
      </c>
      <c r="D10" s="88">
        <v>50</v>
      </c>
      <c r="E10" s="28">
        <f t="shared" si="0"/>
        <v>0.54545454545454541</v>
      </c>
      <c r="F10" s="29">
        <f t="shared" si="1"/>
        <v>1.2027272727272729</v>
      </c>
      <c r="G10" s="8" t="s">
        <v>13</v>
      </c>
      <c r="H10" s="31">
        <v>42759</v>
      </c>
    </row>
    <row r="11" spans="1:15" x14ac:dyDescent="0.25">
      <c r="A11" s="22" t="s">
        <v>41</v>
      </c>
      <c r="B11" s="22" t="s">
        <v>24</v>
      </c>
      <c r="C11" s="10">
        <v>24</v>
      </c>
      <c r="D11" s="88">
        <v>50</v>
      </c>
      <c r="E11" s="32">
        <f t="shared" si="0"/>
        <v>0.48</v>
      </c>
      <c r="F11" s="25">
        <f t="shared" si="1"/>
        <v>1.0584</v>
      </c>
      <c r="G11" s="22" t="s">
        <v>18</v>
      </c>
      <c r="H11" s="33">
        <v>42780</v>
      </c>
    </row>
    <row r="12" spans="1:15" x14ac:dyDescent="0.25">
      <c r="A12" s="27" t="s">
        <v>74</v>
      </c>
      <c r="B12" s="8" t="s">
        <v>64</v>
      </c>
      <c r="C12" s="10">
        <v>51.07</v>
      </c>
      <c r="D12" s="88">
        <v>20</v>
      </c>
      <c r="E12" s="34">
        <f t="shared" si="0"/>
        <v>2.5535000000000001</v>
      </c>
      <c r="F12" s="35">
        <f t="shared" si="1"/>
        <v>5.6304675</v>
      </c>
      <c r="G12" s="8" t="s">
        <v>65</v>
      </c>
      <c r="H12" s="31">
        <v>42741</v>
      </c>
    </row>
    <row r="13" spans="1:15" x14ac:dyDescent="0.25">
      <c r="A13" s="27" t="s">
        <v>83</v>
      </c>
      <c r="B13" s="8" t="s">
        <v>66</v>
      </c>
      <c r="C13" s="10">
        <v>29.5</v>
      </c>
      <c r="D13" s="88">
        <f>(15*12*54)/453.6</f>
        <v>21.428571428571427</v>
      </c>
      <c r="E13" s="34">
        <f t="shared" ref="E13:E19" si="2">C13/D13</f>
        <v>1.3766666666666667</v>
      </c>
      <c r="F13" s="35">
        <f>C13/(D13/2.205)</f>
        <v>3.0355500000000002</v>
      </c>
      <c r="G13" s="8" t="s">
        <v>18</v>
      </c>
      <c r="H13" s="31">
        <v>42741</v>
      </c>
    </row>
    <row r="14" spans="1:15" x14ac:dyDescent="0.25">
      <c r="A14" s="27" t="s">
        <v>110</v>
      </c>
      <c r="B14" s="8" t="s">
        <v>66</v>
      </c>
      <c r="C14" s="10">
        <v>109.95</v>
      </c>
      <c r="D14" s="88">
        <v>36</v>
      </c>
      <c r="E14" s="34">
        <f t="shared" si="2"/>
        <v>3.0541666666666667</v>
      </c>
      <c r="F14" s="35">
        <f>C14/(D14/2.205)</f>
        <v>6.7344375000000003</v>
      </c>
      <c r="G14" s="8" t="s">
        <v>18</v>
      </c>
      <c r="H14" s="31">
        <v>42741</v>
      </c>
    </row>
    <row r="15" spans="1:15" x14ac:dyDescent="0.25">
      <c r="A15" s="8" t="s">
        <v>67</v>
      </c>
      <c r="B15" s="8" t="s">
        <v>68</v>
      </c>
      <c r="C15" s="10">
        <v>51.51</v>
      </c>
      <c r="D15" s="88">
        <v>50</v>
      </c>
      <c r="E15" s="34">
        <f t="shared" si="2"/>
        <v>1.0302</v>
      </c>
      <c r="F15" s="35">
        <f>C15/(D15/2.205)</f>
        <v>2.2715909999999999</v>
      </c>
      <c r="G15" s="8" t="s">
        <v>65</v>
      </c>
      <c r="H15" s="31">
        <v>42760</v>
      </c>
    </row>
    <row r="16" spans="1:15" x14ac:dyDescent="0.25">
      <c r="A16" s="8" t="s">
        <v>69</v>
      </c>
      <c r="B16" s="8" t="s">
        <v>68</v>
      </c>
      <c r="C16" s="10">
        <v>72.209999999999994</v>
      </c>
      <c r="D16" s="88">
        <v>25</v>
      </c>
      <c r="E16" s="34">
        <f t="shared" si="2"/>
        <v>2.8883999999999999</v>
      </c>
      <c r="F16" s="35">
        <f>C16/(D16/2.205)</f>
        <v>6.3689219999999995</v>
      </c>
      <c r="G16" s="8" t="s">
        <v>65</v>
      </c>
      <c r="H16" s="31">
        <v>42767</v>
      </c>
    </row>
    <row r="17" spans="1:8" x14ac:dyDescent="0.25">
      <c r="A17" s="27" t="s">
        <v>76</v>
      </c>
      <c r="B17" s="8" t="s">
        <v>70</v>
      </c>
      <c r="C17" s="10">
        <v>66.959999999999994</v>
      </c>
      <c r="D17" s="88">
        <v>100</v>
      </c>
      <c r="E17" s="34">
        <f t="shared" si="2"/>
        <v>0.66959999999999997</v>
      </c>
      <c r="F17" s="35">
        <f>C17/(D17/2.205)</f>
        <v>1.4764679999999999</v>
      </c>
      <c r="G17" s="8" t="s">
        <v>71</v>
      </c>
      <c r="H17" s="31">
        <v>41750</v>
      </c>
    </row>
    <row r="18" spans="1:8" x14ac:dyDescent="0.25">
      <c r="A18" s="22" t="s">
        <v>46</v>
      </c>
      <c r="B18" s="22" t="s">
        <v>72</v>
      </c>
      <c r="C18" s="10">
        <f>0.000001*453.6</f>
        <v>4.5360000000000002E-4</v>
      </c>
      <c r="D18" s="88">
        <v>1</v>
      </c>
      <c r="E18" s="36">
        <f t="shared" si="2"/>
        <v>4.5360000000000002E-4</v>
      </c>
      <c r="F18" s="37">
        <v>0.01</v>
      </c>
      <c r="G18" s="22" t="s">
        <v>73</v>
      </c>
      <c r="H18" s="33">
        <v>42783</v>
      </c>
    </row>
    <row r="19" spans="1:8" x14ac:dyDescent="0.25">
      <c r="A19" s="22" t="s">
        <v>49</v>
      </c>
      <c r="B19" s="22" t="s">
        <v>24</v>
      </c>
      <c r="C19" s="10">
        <f>((Bag!F12*prices!F6)+(Bag!F13*prices!F7)+(Bag!F14*prices!F18))</f>
        <v>2.1207636612224863</v>
      </c>
      <c r="D19" s="88">
        <f>Table7[[#This Row],[Column6]]*2.205</f>
        <v>8.8227295623198554</v>
      </c>
      <c r="E19" s="36">
        <f t="shared" si="2"/>
        <v>0.2403750048374883</v>
      </c>
      <c r="F19" s="37">
        <f>C19/(D19/2.205)</f>
        <v>0.53002688566666167</v>
      </c>
      <c r="G19" s="22" t="s">
        <v>73</v>
      </c>
      <c r="H19" s="33">
        <v>42783</v>
      </c>
    </row>
    <row r="20" spans="1:8" x14ac:dyDescent="0.25">
      <c r="A20" s="22" t="s">
        <v>84</v>
      </c>
      <c r="B20" s="22" t="s">
        <v>68</v>
      </c>
      <c r="C20" s="32">
        <f>(2*C21+C22)</f>
        <v>136.65</v>
      </c>
      <c r="D20" s="88">
        <f>(2*D21+D22)</f>
        <v>150</v>
      </c>
      <c r="E20" s="36">
        <f>C20/D20</f>
        <v>0.91100000000000003</v>
      </c>
      <c r="F20" s="37">
        <f>C20/(D20/2.205)</f>
        <v>2.0087550000000003</v>
      </c>
      <c r="G20" s="22" t="s">
        <v>73</v>
      </c>
      <c r="H20" s="33">
        <v>42783</v>
      </c>
    </row>
    <row r="21" spans="1:8" x14ac:dyDescent="0.25">
      <c r="A21" s="8" t="s">
        <v>88</v>
      </c>
      <c r="B21" s="8" t="s">
        <v>68</v>
      </c>
      <c r="C21" s="43">
        <v>55.84</v>
      </c>
      <c r="D21" s="88">
        <v>50</v>
      </c>
      <c r="E21" s="34">
        <f t="shared" ref="E21:E29" si="3">C21/D21</f>
        <v>1.1168</v>
      </c>
      <c r="F21" s="35">
        <f t="shared" ref="F21:F29" si="4">C21/(D21/2.205)</f>
        <v>2.4625440000000003</v>
      </c>
      <c r="G21" s="8" t="s">
        <v>65</v>
      </c>
      <c r="H21" s="31">
        <v>42760</v>
      </c>
    </row>
    <row r="22" spans="1:8" x14ac:dyDescent="0.25">
      <c r="A22" s="30" t="s">
        <v>89</v>
      </c>
      <c r="B22" s="8" t="s">
        <v>68</v>
      </c>
      <c r="C22" s="43">
        <v>24.97</v>
      </c>
      <c r="D22" s="88">
        <v>50</v>
      </c>
      <c r="E22" s="34">
        <f t="shared" si="3"/>
        <v>0.49939999999999996</v>
      </c>
      <c r="F22" s="35">
        <f t="shared" si="4"/>
        <v>1.1011770000000001</v>
      </c>
      <c r="G22" s="8" t="s">
        <v>65</v>
      </c>
      <c r="H22" s="31">
        <v>42481</v>
      </c>
    </row>
    <row r="23" spans="1:8" x14ac:dyDescent="0.25">
      <c r="A23" s="30" t="s">
        <v>94</v>
      </c>
      <c r="B23" s="8" t="s">
        <v>64</v>
      </c>
      <c r="C23" s="86">
        <v>3.5</v>
      </c>
      <c r="D23" s="88">
        <v>1</v>
      </c>
      <c r="E23" s="34">
        <f t="shared" si="3"/>
        <v>3.5</v>
      </c>
      <c r="F23" s="35">
        <f t="shared" si="4"/>
        <v>7.7175000000000002</v>
      </c>
      <c r="G23" s="8" t="s">
        <v>95</v>
      </c>
      <c r="H23" s="31">
        <v>42767</v>
      </c>
    </row>
    <row r="24" spans="1:8" x14ac:dyDescent="0.25">
      <c r="A24" s="8" t="s">
        <v>96</v>
      </c>
      <c r="B24" s="8" t="s">
        <v>66</v>
      </c>
      <c r="C24" s="43">
        <v>3.5129999999999999</v>
      </c>
      <c r="D24" s="88">
        <f>240*16/453.6</f>
        <v>8.4656084656084651</v>
      </c>
      <c r="E24" s="34">
        <f t="shared" si="3"/>
        <v>0.414973125</v>
      </c>
      <c r="F24" s="35">
        <f t="shared" si="4"/>
        <v>0.91501574062500013</v>
      </c>
      <c r="G24" s="8" t="s">
        <v>97</v>
      </c>
      <c r="H24" s="31">
        <v>42740</v>
      </c>
    </row>
    <row r="25" spans="1:8" x14ac:dyDescent="0.25">
      <c r="A25" s="27" t="s">
        <v>109</v>
      </c>
      <c r="B25" s="8" t="s">
        <v>64</v>
      </c>
      <c r="C25" s="43">
        <v>32.700000000000003</v>
      </c>
      <c r="D25" s="88">
        <v>50</v>
      </c>
      <c r="E25" s="34">
        <f t="shared" si="3"/>
        <v>0.65400000000000003</v>
      </c>
      <c r="F25" s="35">
        <f t="shared" si="4"/>
        <v>1.4420700000000002</v>
      </c>
      <c r="G25" s="8" t="s">
        <v>65</v>
      </c>
      <c r="H25" s="31">
        <v>42767</v>
      </c>
    </row>
    <row r="26" spans="1:8" x14ac:dyDescent="0.25">
      <c r="A26" s="8" t="s">
        <v>98</v>
      </c>
      <c r="B26" s="8" t="s">
        <v>64</v>
      </c>
      <c r="C26" s="43">
        <v>60.75</v>
      </c>
      <c r="D26" s="88">
        <v>50</v>
      </c>
      <c r="E26" s="34">
        <f t="shared" si="3"/>
        <v>1.2150000000000001</v>
      </c>
      <c r="F26" s="35">
        <f t="shared" si="4"/>
        <v>2.6790750000000001</v>
      </c>
      <c r="G26" s="8" t="s">
        <v>65</v>
      </c>
      <c r="H26" s="31">
        <v>42760</v>
      </c>
    </row>
    <row r="27" spans="1:8" x14ac:dyDescent="0.25">
      <c r="A27" s="8" t="s">
        <v>99</v>
      </c>
      <c r="B27" s="8" t="s">
        <v>24</v>
      </c>
      <c r="C27" s="43">
        <v>16.850000000000001</v>
      </c>
      <c r="D27" s="88">
        <v>50</v>
      </c>
      <c r="E27" s="34">
        <f t="shared" si="3"/>
        <v>0.33700000000000002</v>
      </c>
      <c r="F27" s="35">
        <f t="shared" si="4"/>
        <v>0.74308500000000011</v>
      </c>
      <c r="G27" s="8" t="s">
        <v>65</v>
      </c>
      <c r="H27" s="31">
        <v>42481</v>
      </c>
    </row>
    <row r="28" spans="1:8" x14ac:dyDescent="0.25">
      <c r="A28" s="8" t="s">
        <v>100</v>
      </c>
      <c r="B28" s="8" t="s">
        <v>64</v>
      </c>
      <c r="C28" s="43">
        <v>36.83</v>
      </c>
      <c r="D28" s="88">
        <v>50</v>
      </c>
      <c r="E28" s="34">
        <f t="shared" si="3"/>
        <v>0.73659999999999992</v>
      </c>
      <c r="F28" s="35">
        <f t="shared" si="4"/>
        <v>1.6242030000000001</v>
      </c>
      <c r="G28" s="8" t="s">
        <v>65</v>
      </c>
      <c r="H28" s="31">
        <v>42741</v>
      </c>
    </row>
    <row r="29" spans="1:8" x14ac:dyDescent="0.25">
      <c r="A29" s="89" t="s">
        <v>101</v>
      </c>
      <c r="B29" s="81" t="s">
        <v>66</v>
      </c>
      <c r="C29" s="82">
        <v>122.78</v>
      </c>
      <c r="D29" s="82">
        <v>50</v>
      </c>
      <c r="E29" s="83">
        <f t="shared" si="3"/>
        <v>2.4556</v>
      </c>
      <c r="F29" s="84">
        <f t="shared" si="4"/>
        <v>5.4145980000000007</v>
      </c>
      <c r="G29" s="81" t="s">
        <v>65</v>
      </c>
      <c r="H29" s="85">
        <v>41347</v>
      </c>
    </row>
    <row r="32" spans="1:8" x14ac:dyDescent="0.25">
      <c r="H32" s="97"/>
    </row>
  </sheetData>
  <mergeCells count="1">
    <mergeCell ref="O1:O2"/>
  </mergeCells>
  <dataValidations count="2">
    <dataValidation type="list" allowBlank="1" showInputMessage="1" showErrorMessage="1" sqref="B1" xr:uid="{00000000-0002-0000-0400-000000000000}">
      <formula1>"Categories"</formula1>
    </dataValidation>
    <dataValidation type="list" allowBlank="1" showInputMessage="1" showErrorMessage="1" sqref="G2:G11" xr:uid="{00000000-0002-0000-0400-000001000000}">
      <formula1>Vendors</formula1>
    </dataValidation>
  </dataValidations>
  <pageMargins left="0.7" right="0.7" top="0.75" bottom="0.75" header="0.3" footer="0.3"/>
  <pageSetup orientation="portrait" horizontalDpi="4294967293" verticalDpi="4294967293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0C52-675A-4C90-83D5-66F5953B7F0E}">
  <dimension ref="A1:I15"/>
  <sheetViews>
    <sheetView tabSelected="1" zoomScale="110" zoomScaleNormal="110" workbookViewId="0">
      <selection activeCell="D3" sqref="D3"/>
    </sheetView>
  </sheetViews>
  <sheetFormatPr defaultRowHeight="15" x14ac:dyDescent="0.25"/>
  <cols>
    <col min="2" max="2" width="15.85546875" bestFit="1" customWidth="1"/>
    <col min="3" max="3" width="15.85546875" style="1" customWidth="1"/>
    <col min="4" max="4" width="9.140625" style="103"/>
    <col min="8" max="8" width="11.5703125" bestFit="1" customWidth="1"/>
  </cols>
  <sheetData>
    <row r="1" spans="1:9" ht="28.5" x14ac:dyDescent="0.45">
      <c r="C1" s="109" t="s">
        <v>60</v>
      </c>
    </row>
    <row r="3" spans="1:9" x14ac:dyDescent="0.25">
      <c r="B3" t="s">
        <v>127</v>
      </c>
      <c r="C3" s="1">
        <v>50</v>
      </c>
    </row>
    <row r="6" spans="1:9" x14ac:dyDescent="0.25">
      <c r="B6" t="s">
        <v>0</v>
      </c>
      <c r="C6" s="1" t="s">
        <v>126</v>
      </c>
      <c r="D6" s="103" t="s">
        <v>123</v>
      </c>
    </row>
    <row r="7" spans="1:9" x14ac:dyDescent="0.25">
      <c r="A7" s="98"/>
      <c r="B7" t="s">
        <v>115</v>
      </c>
      <c r="C7" s="105">
        <v>1</v>
      </c>
      <c r="D7" s="104">
        <f>C$3*C$15*C7/SUM(C$7:C$11)</f>
        <v>12.961481312149962</v>
      </c>
      <c r="F7" s="107"/>
      <c r="I7" s="108"/>
    </row>
    <row r="8" spans="1:9" x14ac:dyDescent="0.25">
      <c r="B8" t="s">
        <v>46</v>
      </c>
      <c r="C8" s="105">
        <v>0.7</v>
      </c>
      <c r="D8" s="104">
        <f t="shared" ref="D8:D11" si="0">C$3*C$15*C8/SUM(C$7:C$11)</f>
        <v>9.0730369185049717</v>
      </c>
      <c r="F8" s="107"/>
      <c r="I8" s="108"/>
    </row>
    <row r="9" spans="1:9" x14ac:dyDescent="0.25">
      <c r="B9" t="s">
        <v>124</v>
      </c>
      <c r="C9" s="106">
        <v>0.02</v>
      </c>
      <c r="D9" s="104">
        <f t="shared" si="0"/>
        <v>0.25922962624299922</v>
      </c>
      <c r="F9" s="107"/>
      <c r="I9" s="108"/>
    </row>
    <row r="10" spans="1:9" x14ac:dyDescent="0.25">
      <c r="B10" t="s">
        <v>74</v>
      </c>
      <c r="C10" s="106">
        <v>5.0000000000000001E-4</v>
      </c>
      <c r="D10" s="104">
        <f t="shared" si="0"/>
        <v>6.4807406560749804E-3</v>
      </c>
      <c r="F10" s="107"/>
      <c r="I10" s="108"/>
    </row>
    <row r="11" spans="1:9" x14ac:dyDescent="0.25">
      <c r="B11" t="s">
        <v>125</v>
      </c>
      <c r="C11" s="106">
        <v>2.93E-2</v>
      </c>
      <c r="D11" s="104">
        <f t="shared" si="0"/>
        <v>0.37977140244599389</v>
      </c>
      <c r="F11" s="107"/>
    </row>
    <row r="12" spans="1:9" x14ac:dyDescent="0.25">
      <c r="B12" t="s">
        <v>56</v>
      </c>
      <c r="C12" s="106">
        <f>SUM(C7:C11)</f>
        <v>1.7498</v>
      </c>
      <c r="D12" s="104">
        <f>SUM(D7:D11)</f>
        <v>22.68</v>
      </c>
      <c r="F12" s="107"/>
    </row>
    <row r="14" spans="1:9" x14ac:dyDescent="0.25">
      <c r="B14" t="s">
        <v>108</v>
      </c>
      <c r="C14" s="1">
        <v>28.35</v>
      </c>
    </row>
    <row r="15" spans="1:9" x14ac:dyDescent="0.25">
      <c r="B15" t="s">
        <v>128</v>
      </c>
      <c r="C15" s="1">
        <f>0.001*16*C14</f>
        <v>0.45360000000000006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8A8-FF7E-4252-A1CC-64A22CD2B53E}">
  <dimension ref="A1:A6"/>
  <sheetViews>
    <sheetView zoomScale="110" zoomScaleNormal="110" workbookViewId="0">
      <selection activeCell="A6" sqref="A6"/>
    </sheetView>
  </sheetViews>
  <sheetFormatPr defaultRowHeight="15" x14ac:dyDescent="0.25"/>
  <cols>
    <col min="1" max="1" width="14.140625" style="99" bestFit="1" customWidth="1"/>
  </cols>
  <sheetData>
    <row r="1" spans="1:1" x14ac:dyDescent="0.25">
      <c r="A1" s="99" t="s">
        <v>116</v>
      </c>
    </row>
    <row r="2" spans="1:1" x14ac:dyDescent="0.25">
      <c r="A2" s="99" t="s">
        <v>118</v>
      </c>
    </row>
    <row r="3" spans="1:1" x14ac:dyDescent="0.25">
      <c r="A3" s="99" t="s">
        <v>117</v>
      </c>
    </row>
    <row r="4" spans="1:1" x14ac:dyDescent="0.25">
      <c r="A4" s="99" t="s">
        <v>119</v>
      </c>
    </row>
    <row r="5" spans="1:1" x14ac:dyDescent="0.25">
      <c r="A5" s="99" t="s">
        <v>120</v>
      </c>
    </row>
    <row r="6" spans="1:1" x14ac:dyDescent="0.25">
      <c r="A6" s="99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D24" sqref="D24"/>
    </sheetView>
  </sheetViews>
  <sheetFormatPr defaultRowHeight="15" x14ac:dyDescent="0.25"/>
  <cols>
    <col min="1" max="1" width="17.140625" customWidth="1"/>
    <col min="2" max="2" width="23" customWidth="1"/>
    <col min="3" max="3" width="9.5703125" customWidth="1"/>
    <col min="4" max="4" width="7.28515625" customWidth="1"/>
    <col min="5" max="5" width="20.140625" bestFit="1" customWidth="1"/>
    <col min="6" max="6" width="6.140625" customWidth="1"/>
    <col min="7" max="7" width="18.140625" customWidth="1"/>
    <col min="8" max="8" width="9.28515625" customWidth="1"/>
    <col min="10" max="10" width="9.5703125" customWidth="1"/>
  </cols>
  <sheetData>
    <row r="1" spans="1:11" x14ac:dyDescent="0.25">
      <c r="A1" t="s">
        <v>15</v>
      </c>
      <c r="B1" t="s">
        <v>28</v>
      </c>
      <c r="C1" s="1" t="s">
        <v>33</v>
      </c>
      <c r="E1" t="s">
        <v>16</v>
      </c>
      <c r="G1" t="s">
        <v>42</v>
      </c>
      <c r="H1" t="s">
        <v>75</v>
      </c>
      <c r="J1" t="s">
        <v>77</v>
      </c>
      <c r="K1">
        <f>Bag!D17/Bag!F19</f>
        <v>9.4986208015576834E-2</v>
      </c>
    </row>
    <row r="2" spans="1:11" x14ac:dyDescent="0.25">
      <c r="A2" t="s">
        <v>7</v>
      </c>
      <c r="B2" t="str">
        <f>prices!A7</f>
        <v>Sifted Wheat</v>
      </c>
      <c r="C2" s="2">
        <f>VLOOKUP(SourceTable[[#This Row],[Item]],PriceList[#All],6,FALSE)</f>
        <v>1.3363636363636364</v>
      </c>
      <c r="E2" t="s">
        <v>13</v>
      </c>
      <c r="G2" t="str">
        <f>Bag!B4</f>
        <v>Baguettes</v>
      </c>
      <c r="H2">
        <v>453.6</v>
      </c>
      <c r="J2" t="s">
        <v>108</v>
      </c>
      <c r="K2">
        <v>28.349499999999999</v>
      </c>
    </row>
    <row r="3" spans="1:11" x14ac:dyDescent="0.25">
      <c r="A3" t="s">
        <v>6</v>
      </c>
      <c r="B3" t="str">
        <f>prices!A8</f>
        <v>Whole WE Flour</v>
      </c>
      <c r="C3" s="2">
        <f>VLOOKUP(SourceTable[[#This Row],[Item]],PriceList[#All],6,FALSE)</f>
        <v>1.2027272727272729</v>
      </c>
      <c r="E3" t="s">
        <v>14</v>
      </c>
      <c r="G3" t="str">
        <f>Bag!B5</f>
        <v>Demi</v>
      </c>
      <c r="H3">
        <f>4*28.35</f>
        <v>113.4</v>
      </c>
    </row>
    <row r="4" spans="1:11" x14ac:dyDescent="0.25">
      <c r="A4" t="s">
        <v>22</v>
      </c>
      <c r="B4" t="str">
        <f>prices!A6</f>
        <v xml:space="preserve">KA Sir Galahad </v>
      </c>
      <c r="C4" s="2">
        <f>VLOOKUP(SourceTable[[#This Row],[Item]],PriceList[#All],6,FALSE)</f>
        <v>0.61784099999999997</v>
      </c>
      <c r="E4" t="s">
        <v>17</v>
      </c>
      <c r="G4" t="str">
        <f>Bag!B6</f>
        <v>Pizza Rounds</v>
      </c>
      <c r="H4" s="6">
        <f>6*28.35</f>
        <v>170.10000000000002</v>
      </c>
    </row>
    <row r="5" spans="1:11" x14ac:dyDescent="0.25">
      <c r="A5" t="s">
        <v>8</v>
      </c>
      <c r="B5" t="s">
        <v>35</v>
      </c>
      <c r="C5" s="2">
        <f>VLOOKUP(SourceTable[[#This Row],[Item]],PriceList[#All],6,FALSE)</f>
        <v>1.2027272727272729</v>
      </c>
      <c r="E5" t="s">
        <v>18</v>
      </c>
      <c r="G5" t="str">
        <f>Bag!B7</f>
        <v>Roll Press</v>
      </c>
      <c r="H5" s="6">
        <f>72*28.35</f>
        <v>2041.2</v>
      </c>
    </row>
    <row r="6" spans="1:11" x14ac:dyDescent="0.25">
      <c r="A6" t="s">
        <v>9</v>
      </c>
      <c r="B6" t="s">
        <v>35</v>
      </c>
      <c r="C6" s="2">
        <f>VLOOKUP(SourceTable[[#This Row],[Item]],PriceList[#All],6,FALSE)</f>
        <v>1.2027272727272729</v>
      </c>
      <c r="E6" t="s">
        <v>19</v>
      </c>
      <c r="G6" t="str">
        <f>CO!D1</f>
        <v>Country Hearth</v>
      </c>
      <c r="H6" s="6">
        <v>581.20000000000005</v>
      </c>
    </row>
    <row r="7" spans="1:11" x14ac:dyDescent="0.25">
      <c r="A7" t="s">
        <v>40</v>
      </c>
      <c r="B7" t="str">
        <f>prices!A5</f>
        <v>Kamut Flour</v>
      </c>
      <c r="C7" s="2">
        <f>VLOOKUP(SourceTable[[#This Row],[Item]],PriceList[#All],6,FALSE)</f>
        <v>2.2027950000000001</v>
      </c>
      <c r="E7" t="s">
        <v>20</v>
      </c>
      <c r="G7" t="str">
        <f>Brioche!B2</f>
        <v>Burger Bun Presses</v>
      </c>
      <c r="H7" s="91">
        <v>2972</v>
      </c>
    </row>
    <row r="8" spans="1:11" x14ac:dyDescent="0.25">
      <c r="A8" t="s">
        <v>10</v>
      </c>
      <c r="B8" t="str">
        <f>prices!A4</f>
        <v>Groats, steel cut oats</v>
      </c>
      <c r="C8" s="2">
        <f>VLOOKUP(SourceTable[[#This Row],[Item]],PriceList[#All],6,FALSE)</f>
        <v>0.89919900000000008</v>
      </c>
      <c r="E8" t="s">
        <v>21</v>
      </c>
      <c r="G8" t="str">
        <f>Brioche!B3</f>
        <v>Tavern Bun Presses</v>
      </c>
      <c r="H8" s="91">
        <v>1924.4</v>
      </c>
    </row>
    <row r="9" spans="1:11" x14ac:dyDescent="0.25">
      <c r="A9" t="s">
        <v>11</v>
      </c>
      <c r="B9" t="s">
        <v>12</v>
      </c>
      <c r="C9" s="2">
        <f>VLOOKUP(SourceTable[[#This Row],[Item]],PriceList[#All],6,FALSE)</f>
        <v>0.56580300000000006</v>
      </c>
      <c r="E9" t="s">
        <v>26</v>
      </c>
      <c r="G9" t="str">
        <f>Brioche!B4</f>
        <v>Slider Bun Presses</v>
      </c>
      <c r="H9" s="91">
        <v>1471.6</v>
      </c>
    </row>
    <row r="10" spans="1:11" x14ac:dyDescent="0.25">
      <c r="E10" t="s">
        <v>36</v>
      </c>
      <c r="G10" t="str">
        <f>Brioche!B5</f>
        <v>Brioche Loaves</v>
      </c>
      <c r="H10" s="90">
        <v>628</v>
      </c>
    </row>
    <row r="11" spans="1:11" x14ac:dyDescent="0.25">
      <c r="G11" t="str">
        <f>Kamut!B4</f>
        <v>Kamut Pan loaves</v>
      </c>
      <c r="H11" s="6">
        <f>41*K2</f>
        <v>1162.3295000000001</v>
      </c>
    </row>
  </sheetData>
  <pageMargins left="0.7" right="0.7" top="0.75" bottom="0.75" header="0.3" footer="0.3"/>
  <pageSetup orientation="portrait" horizontalDpi="4294967293" verticalDpi="4294967293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ExBag</vt:lpstr>
      <vt:lpstr>Bag</vt:lpstr>
      <vt:lpstr>Kamut</vt:lpstr>
      <vt:lpstr>CO</vt:lpstr>
      <vt:lpstr>Brioche</vt:lpstr>
      <vt:lpstr>prices</vt:lpstr>
      <vt:lpstr>Sheet1</vt:lpstr>
      <vt:lpstr>improvements</vt:lpstr>
      <vt:lpstr>control</vt:lpstr>
      <vt:lpstr>Bag!Print_Area</vt:lpstr>
      <vt:lpstr>Brioche!Print_Area</vt:lpstr>
      <vt:lpstr>CO!Print_Area</vt:lpstr>
      <vt:lpstr>ExBag!Print_Area</vt:lpstr>
      <vt:lpstr>Kamut!Print_Area</vt:lpstr>
      <vt:lpstr>Brioche!Vendors</vt:lpstr>
      <vt:lpstr>CO!Vendors</vt:lpstr>
      <vt:lpstr>ExBag!Vendors</vt:lpstr>
      <vt:lpstr>Kamut!Vendors</vt:lpstr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Lohrentz</dc:creator>
  <cp:lastModifiedBy>David Lohrentz</cp:lastModifiedBy>
  <cp:lastPrinted>2017-03-31T15:16:52Z</cp:lastPrinted>
  <dcterms:created xsi:type="dcterms:W3CDTF">2017-02-15T02:09:50Z</dcterms:created>
  <dcterms:modified xsi:type="dcterms:W3CDTF">2017-11-21T21:47:15Z</dcterms:modified>
</cp:coreProperties>
</file>