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lubkem\Documents\COURSEWORK\ECE 551 Distribution\Lectures\Lec 8 - Voltage Regulation\"/>
    </mc:Choice>
  </mc:AlternateContent>
  <bookViews>
    <workbookView xWindow="0" yWindow="0" windowWidth="24240" windowHeight="13140"/>
  </bookViews>
  <sheets>
    <sheet name="Base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18" i="1" l="1"/>
  <c r="F25" i="1" l="1"/>
  <c r="F24" i="1"/>
  <c r="F23" i="1"/>
  <c r="F22" i="1"/>
  <c r="F20" i="1"/>
  <c r="F19" i="1"/>
  <c r="G25" i="1" l="1"/>
  <c r="G24" i="1"/>
  <c r="H24" i="1" s="1"/>
  <c r="G23" i="1"/>
  <c r="H23" i="1" s="1"/>
  <c r="G22" i="1"/>
  <c r="H22" i="1" s="1"/>
  <c r="G20" i="1"/>
  <c r="H20" i="1" s="1"/>
  <c r="C25" i="1"/>
  <c r="D25" i="1" s="1"/>
  <c r="C24" i="1"/>
  <c r="D24" i="1" s="1"/>
  <c r="C23" i="1"/>
  <c r="E23" i="1" s="1"/>
  <c r="C22" i="1"/>
  <c r="E22" i="1" s="1"/>
  <c r="C20" i="1"/>
  <c r="D20" i="1" s="1"/>
  <c r="C19" i="1"/>
  <c r="E19" i="1" s="1"/>
  <c r="J25" i="1" l="1"/>
  <c r="H25" i="1"/>
  <c r="K25" i="1" s="1"/>
  <c r="G19" i="1"/>
  <c r="F26" i="1"/>
  <c r="D22" i="1"/>
  <c r="J24" i="1"/>
  <c r="D23" i="1"/>
  <c r="E20" i="1"/>
  <c r="E25" i="1"/>
  <c r="E24" i="1"/>
  <c r="D19" i="1"/>
  <c r="O25" i="1" l="1"/>
  <c r="P25" i="1" s="1"/>
  <c r="K24" i="1"/>
  <c r="K23" i="1" s="1"/>
  <c r="K22" i="1" s="1"/>
  <c r="H19" i="1"/>
  <c r="L25" i="1"/>
  <c r="M25" i="1" s="1"/>
  <c r="N25" i="1" s="1"/>
  <c r="J23" i="1"/>
  <c r="L24" i="1" l="1"/>
  <c r="M24" i="1" s="1"/>
  <c r="N24" i="1" s="1"/>
  <c r="O23" i="1"/>
  <c r="P23" i="1" s="1"/>
  <c r="O24" i="1"/>
  <c r="P24" i="1" s="1"/>
  <c r="K20" i="1"/>
  <c r="L23" i="1"/>
  <c r="M23" i="1" s="1"/>
  <c r="N23" i="1" s="1"/>
  <c r="J22" i="1"/>
  <c r="O22" i="1" s="1"/>
  <c r="P22" i="1" s="1"/>
  <c r="Q22" i="1" s="1"/>
  <c r="J20" i="1" l="1"/>
  <c r="O20" i="1" s="1"/>
  <c r="P20" i="1" s="1"/>
  <c r="L22" i="1"/>
  <c r="M22" i="1" s="1"/>
  <c r="N22" i="1" s="1"/>
  <c r="L20" i="1" l="1"/>
  <c r="M20" i="1" s="1"/>
  <c r="N20" i="1" s="1"/>
  <c r="J19" i="1"/>
  <c r="K19" i="1"/>
  <c r="O19" i="1" l="1"/>
  <c r="L19" i="1"/>
  <c r="M19" i="1" s="1"/>
  <c r="N19" i="1" s="1"/>
  <c r="N26" i="1" s="1"/>
  <c r="P19" i="1" l="1"/>
  <c r="Q19" i="1" s="1"/>
  <c r="Q20" i="1" s="1"/>
  <c r="Q23" i="1" s="1"/>
  <c r="Q24" i="1" s="1"/>
  <c r="Q25" i="1" s="1"/>
</calcChain>
</file>

<file path=xl/sharedStrings.xml><?xml version="1.0" encoding="utf-8"?>
<sst xmlns="http://schemas.openxmlformats.org/spreadsheetml/2006/main" count="37" uniqueCount="34">
  <si>
    <t>Bus</t>
  </si>
  <si>
    <t>R (Ohm/mi)</t>
  </si>
  <si>
    <t>X (Ohm/mi)</t>
  </si>
  <si>
    <t>Length</t>
  </si>
  <si>
    <t>R</t>
  </si>
  <si>
    <t>X</t>
  </si>
  <si>
    <t>kVA</t>
  </si>
  <si>
    <t>kW</t>
  </si>
  <si>
    <t>kVAR</t>
  </si>
  <si>
    <t>Load</t>
  </si>
  <si>
    <t>Qcap</t>
  </si>
  <si>
    <t>Iline (A)</t>
  </si>
  <si>
    <t>Net kW Losses</t>
  </si>
  <si>
    <t>Section Ploss (kW)</t>
  </si>
  <si>
    <t>Section Voltage Drop (V)</t>
  </si>
  <si>
    <t>Power Factor Correction</t>
  </si>
  <si>
    <t>Impedance</t>
  </si>
  <si>
    <t>Location</t>
  </si>
  <si>
    <t>End of Feeder Voltage</t>
  </si>
  <si>
    <t>Nominal Voltage (V)</t>
  </si>
  <si>
    <t>Total Length (mi)</t>
  </si>
  <si>
    <t>Substation Voltage (p.u.)</t>
  </si>
  <si>
    <t>Voltage Profile for Sample Feeder</t>
  </si>
  <si>
    <t>Bus Voltage (120V base)</t>
  </si>
  <si>
    <t>Voltage Drop (120V base)</t>
  </si>
  <si>
    <t>Note</t>
  </si>
  <si>
    <t>Parameter</t>
  </si>
  <si>
    <t>Bus Load</t>
  </si>
  <si>
    <t>Voltage</t>
  </si>
  <si>
    <t>Load kVA</t>
  </si>
  <si>
    <t>Load PF (lagging)</t>
  </si>
  <si>
    <t>Section Load</t>
  </si>
  <si>
    <t>Line Regulator (p.u.)</t>
  </si>
  <si>
    <t>#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</si>
</sst>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wrapText="1"/>
    </xf>
    <xf numFmtId="1" fontId="0" fillId="3" borderId="0" xfId="0" applyNumberFormat="1" applyFill="1"/>
    <xf numFmtId="0" fontId="0" fillId="3" borderId="0" xfId="0" applyFill="1"/>
    <xf numFmtId="164" fontId="0" fillId="0" borderId="0" xfId="0" applyNumberFormat="1" applyFill="1" applyBorder="1"/>
    <xf numFmtId="0" fontId="0" fillId="0" borderId="1" xfId="0" applyBorder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0" fillId="4" borderId="1" xfId="0" applyNumberFormat="1" applyFill="1" applyBorder="1"/>
    <xf numFmtId="164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1" xfId="0" applyNumberFormat="1" applyBorder="1"/>
    <xf numFmtId="0" fontId="1" fillId="0" borderId="2" xfId="0" applyFont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4" borderId="8" xfId="0" applyNumberFormat="1" applyFill="1" applyBorder="1"/>
    <xf numFmtId="164" fontId="0" fillId="0" borderId="8" xfId="0" applyNumberFormat="1" applyBorder="1"/>
    <xf numFmtId="0" fontId="0" fillId="2" borderId="8" xfId="0" applyFill="1" applyBorder="1"/>
    <xf numFmtId="164" fontId="0" fillId="0" borderId="8" xfId="0" applyNumberFormat="1" applyFill="1" applyBorder="1"/>
    <xf numFmtId="1" fontId="0" fillId="0" borderId="8" xfId="0" applyNumberFormat="1" applyBorder="1"/>
    <xf numFmtId="165" fontId="0" fillId="0" borderId="8" xfId="0" applyNumberFormat="1" applyBorder="1"/>
    <xf numFmtId="2" fontId="0" fillId="0" borderId="0" xfId="0" applyNumberFormat="1" applyFill="1" applyBorder="1"/>
    <xf numFmtId="9" fontId="0" fillId="0" borderId="0" xfId="1" applyFont="1" applyBorder="1"/>
    <xf numFmtId="164" fontId="0" fillId="0" borderId="13" xfId="0" applyNumberFormat="1" applyFill="1" applyBorder="1"/>
    <xf numFmtId="164" fontId="0" fillId="0" borderId="6" xfId="0" applyNumberFormat="1" applyBorder="1"/>
    <xf numFmtId="164" fontId="0" fillId="3" borderId="9" xfId="0" applyNumberFormat="1" applyFill="1" applyBorder="1"/>
    <xf numFmtId="0" fontId="0" fillId="0" borderId="1" xfId="0" applyFill="1" applyBorder="1"/>
    <xf numFmtId="0" fontId="1" fillId="0" borderId="0" xfId="0" applyFont="1"/>
    <xf numFmtId="0" fontId="1" fillId="0" borderId="10" xfId="0" applyFont="1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164" fontId="1" fillId="0" borderId="6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Case'!$B$18:$B$25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'Base Case'!$Q$18:$Q$25</c:f>
              <c:numCache>
                <c:formatCode>0.0</c:formatCode>
                <c:ptCount val="8"/>
                <c:pt idx="0">
                  <c:v>124.08</c:v>
                </c:pt>
                <c:pt idx="1">
                  <c:v>121.4781685114426</c:v>
                </c:pt>
                <c:pt idx="2">
                  <c:v>119.30997560431145</c:v>
                </c:pt>
                <c:pt idx="3">
                  <c:v>124.80000000000001</c:v>
                </c:pt>
                <c:pt idx="4">
                  <c:v>123.06544567429508</c:v>
                </c:pt>
                <c:pt idx="5">
                  <c:v>121.76452993001638</c:v>
                </c:pt>
                <c:pt idx="6">
                  <c:v>120.89725276716392</c:v>
                </c:pt>
                <c:pt idx="7">
                  <c:v>120.46361418573768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3-494E-813E-B422B6629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13656"/>
        <c:axId val="322616792"/>
      </c:scatterChart>
      <c:valAx>
        <c:axId val="32261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16792"/>
        <c:crosses val="autoZero"/>
        <c:crossBetween val="midCat"/>
      </c:valAx>
      <c:valAx>
        <c:axId val="322616792"/>
        <c:scaling>
          <c:orientation val="minMax"/>
          <c:max val="13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1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</xdr:row>
          <xdr:rowOff>114300</xdr:rowOff>
        </xdr:from>
        <xdr:to>
          <xdr:col>17</xdr:col>
          <xdr:colOff>14288</xdr:colOff>
          <xdr:row>9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1360170</xdr:colOff>
      <xdr:row>27</xdr:row>
      <xdr:rowOff>41910</xdr:rowOff>
    </xdr:from>
    <xdr:to>
      <xdr:col>10</xdr:col>
      <xdr:colOff>392430</xdr:colOff>
      <xdr:row>41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S40"/>
  <sheetViews>
    <sheetView tabSelected="1" topLeftCell="A22" zoomScale="60" zoomScaleNormal="60" workbookViewId="0">
      <selection activeCell="A4" sqref="A4:S27"/>
    </sheetView>
  </sheetViews>
  <sheetFormatPr defaultRowHeight="14.25" x14ac:dyDescent="0.45"/>
  <cols>
    <col min="1" max="1" width="20.46484375" customWidth="1"/>
    <col min="6" max="6" width="0" hidden="1" customWidth="1"/>
    <col min="7" max="7" width="8" customWidth="1"/>
    <col min="8" max="8" width="7.33203125" customWidth="1"/>
    <col min="9" max="9" width="9.796875" hidden="1" customWidth="1"/>
    <col min="10" max="10" width="8.1328125" customWidth="1"/>
    <col min="11" max="11" width="7.796875" customWidth="1"/>
    <col min="12" max="12" width="7.86328125" customWidth="1"/>
    <col min="15" max="15" width="9.6640625" hidden="1" customWidth="1"/>
    <col min="16" max="16" width="8.86328125" hidden="1" customWidth="1"/>
    <col min="17" max="17" width="11.33203125" customWidth="1"/>
    <col min="19" max="19" width="10" customWidth="1"/>
  </cols>
  <sheetData>
    <row r="4" spans="1:17" x14ac:dyDescent="0.45">
      <c r="A4" s="39" t="s">
        <v>22</v>
      </c>
    </row>
    <row r="6" spans="1:17" x14ac:dyDescent="0.45">
      <c r="A6" s="6" t="s">
        <v>26</v>
      </c>
      <c r="B6" s="6"/>
      <c r="C6" s="6" t="s">
        <v>25</v>
      </c>
    </row>
    <row r="7" spans="1:17" x14ac:dyDescent="0.45">
      <c r="A7" s="6" t="s">
        <v>19</v>
      </c>
      <c r="B7" s="6">
        <v>12470</v>
      </c>
      <c r="C7" s="6"/>
    </row>
    <row r="8" spans="1:17" x14ac:dyDescent="0.45">
      <c r="A8" s="6" t="s">
        <v>1</v>
      </c>
      <c r="B8" s="6">
        <v>0.59199999999999997</v>
      </c>
      <c r="C8" s="6"/>
    </row>
    <row r="9" spans="1:17" x14ac:dyDescent="0.45">
      <c r="A9" s="6" t="s">
        <v>2</v>
      </c>
      <c r="B9" s="6">
        <v>0.76100000000000001</v>
      </c>
      <c r="C9" s="6">
        <v>336</v>
      </c>
    </row>
    <row r="10" spans="1:17" x14ac:dyDescent="0.45">
      <c r="A10" s="6" t="s">
        <v>20</v>
      </c>
      <c r="B10" s="6">
        <v>6</v>
      </c>
      <c r="C10" s="6"/>
    </row>
    <row r="11" spans="1:17" x14ac:dyDescent="0.45">
      <c r="A11" s="38" t="s">
        <v>29</v>
      </c>
      <c r="B11" s="15">
        <v>4000</v>
      </c>
      <c r="C11" s="6"/>
    </row>
    <row r="12" spans="1:17" x14ac:dyDescent="0.45">
      <c r="A12" s="6" t="s">
        <v>30</v>
      </c>
      <c r="B12" s="6">
        <v>0.92</v>
      </c>
      <c r="C12" s="6"/>
    </row>
    <row r="13" spans="1:17" x14ac:dyDescent="0.45">
      <c r="A13" s="6" t="s">
        <v>21</v>
      </c>
      <c r="B13" s="6">
        <v>1.034</v>
      </c>
      <c r="C13" s="6"/>
    </row>
    <row r="14" spans="1:17" x14ac:dyDescent="0.45">
      <c r="A14" s="38" t="s">
        <v>32</v>
      </c>
      <c r="B14" s="38">
        <v>1.04</v>
      </c>
      <c r="C14" s="6" t="s">
        <v>33</v>
      </c>
    </row>
    <row r="15" spans="1:17" ht="14.65" thickBot="1" x14ac:dyDescent="0.5"/>
    <row r="16" spans="1:17" ht="42.75" x14ac:dyDescent="0.45">
      <c r="B16" s="18" t="s">
        <v>17</v>
      </c>
      <c r="C16" s="40" t="s">
        <v>16</v>
      </c>
      <c r="D16" s="41"/>
      <c r="E16" s="42"/>
      <c r="F16" s="19" t="s">
        <v>9</v>
      </c>
      <c r="G16" s="40" t="s">
        <v>27</v>
      </c>
      <c r="H16" s="43"/>
      <c r="I16" s="20" t="s">
        <v>15</v>
      </c>
      <c r="J16" s="40" t="s">
        <v>31</v>
      </c>
      <c r="K16" s="44"/>
      <c r="L16" s="44"/>
      <c r="M16" s="44"/>
      <c r="N16" s="44"/>
      <c r="O16" s="44"/>
      <c r="P16" s="43"/>
      <c r="Q16" s="21" t="s">
        <v>28</v>
      </c>
    </row>
    <row r="17" spans="2:19" s="2" customFormat="1" ht="45.6" customHeight="1" x14ac:dyDescent="0.45">
      <c r="B17" s="22" t="s">
        <v>0</v>
      </c>
      <c r="C17" s="8" t="s">
        <v>3</v>
      </c>
      <c r="D17" s="8" t="s">
        <v>4</v>
      </c>
      <c r="E17" s="8" t="s">
        <v>5</v>
      </c>
      <c r="F17" s="9" t="s">
        <v>6</v>
      </c>
      <c r="G17" s="8" t="s">
        <v>7</v>
      </c>
      <c r="H17" s="8" t="s">
        <v>8</v>
      </c>
      <c r="I17" s="10" t="s">
        <v>10</v>
      </c>
      <c r="J17" s="8" t="s">
        <v>7</v>
      </c>
      <c r="K17" s="11" t="s">
        <v>8</v>
      </c>
      <c r="L17" s="8" t="s">
        <v>6</v>
      </c>
      <c r="M17" s="8" t="s">
        <v>11</v>
      </c>
      <c r="N17" s="8" t="s">
        <v>13</v>
      </c>
      <c r="O17" s="8" t="s">
        <v>14</v>
      </c>
      <c r="P17" s="8" t="s">
        <v>24</v>
      </c>
      <c r="Q17" s="23" t="s">
        <v>23</v>
      </c>
    </row>
    <row r="18" spans="2:19" s="2" customFormat="1" ht="14.45" customHeight="1" x14ac:dyDescent="0.45">
      <c r="B18" s="22">
        <v>0</v>
      </c>
      <c r="C18" s="8"/>
      <c r="D18" s="8"/>
      <c r="E18" s="8"/>
      <c r="F18" s="9"/>
      <c r="G18" s="8"/>
      <c r="H18" s="8"/>
      <c r="I18" s="10"/>
      <c r="J18" s="8"/>
      <c r="K18" s="11"/>
      <c r="L18" s="8"/>
      <c r="M18" s="8"/>
      <c r="N18" s="8"/>
      <c r="O18" s="8"/>
      <c r="P18" s="8"/>
      <c r="Q18" s="45">
        <f>120*B13</f>
        <v>124.08</v>
      </c>
    </row>
    <row r="19" spans="2:19" x14ac:dyDescent="0.45">
      <c r="B19" s="24">
        <v>1</v>
      </c>
      <c r="C19" s="6">
        <f t="shared" ref="C19:C25" si="0">$B$10/6</f>
        <v>1</v>
      </c>
      <c r="D19" s="6">
        <f t="shared" ref="D19:D25" si="1">$B$8*C19</f>
        <v>0.59199999999999997</v>
      </c>
      <c r="E19" s="6">
        <f t="shared" ref="E19:E25" si="2">$B$9*C19</f>
        <v>0.76100000000000001</v>
      </c>
      <c r="F19" s="12">
        <f>$B$11/6</f>
        <v>666.66666666666663</v>
      </c>
      <c r="G19" s="13">
        <f t="shared" ref="G19:G25" si="3">F19*$B$12</f>
        <v>613.33333333333337</v>
      </c>
      <c r="H19" s="13">
        <f>SQRT(F19^2-G19^2)</f>
        <v>261.27890589687212</v>
      </c>
      <c r="I19" s="14">
        <v>0</v>
      </c>
      <c r="J19" s="13">
        <f t="shared" ref="J19:J23" si="4">G19+J20</f>
        <v>3680.0000000000005</v>
      </c>
      <c r="K19" s="15">
        <f t="shared" ref="K19:K23" si="5">K20+H19-I19</f>
        <v>1567.6734353812328</v>
      </c>
      <c r="L19" s="13">
        <f t="shared" ref="L19:L25" si="6">SQRT(J19^2+K19^2)</f>
        <v>4000</v>
      </c>
      <c r="M19" s="13">
        <f>1000*L19/(SQRT(3)*$B$7)</f>
        <v>185.19655787959127</v>
      </c>
      <c r="N19" s="16">
        <f t="shared" ref="N19:N25" si="7">3*M19^2*D19/1000</f>
        <v>60.912830729597061</v>
      </c>
      <c r="O19" s="16">
        <f>(1000/3)*(D19*(J19)+E19*(K19))/($B$7/SQRT(3))</f>
        <v>156.1003027958254</v>
      </c>
      <c r="P19" s="17">
        <f>120*(O19/($B$7/SQRT(3)))</f>
        <v>2.6018314885573917</v>
      </c>
      <c r="Q19" s="36">
        <f>(Q18-P19)</f>
        <v>121.4781685114426</v>
      </c>
    </row>
    <row r="20" spans="2:19" x14ac:dyDescent="0.45">
      <c r="B20" s="24">
        <v>2</v>
      </c>
      <c r="C20" s="6">
        <f t="shared" si="0"/>
        <v>1</v>
      </c>
      <c r="D20" s="6">
        <f t="shared" si="1"/>
        <v>0.59199999999999997</v>
      </c>
      <c r="E20" s="6">
        <f t="shared" si="2"/>
        <v>0.76100000000000001</v>
      </c>
      <c r="F20" s="12">
        <f t="shared" ref="F20:F25" si="8">$B$11/6</f>
        <v>666.66666666666663</v>
      </c>
      <c r="G20" s="13">
        <f t="shared" si="3"/>
        <v>613.33333333333337</v>
      </c>
      <c r="H20" s="13">
        <f t="shared" ref="H20:H25" si="9">SQRT(F20^2-G20^2)</f>
        <v>261.27890589687212</v>
      </c>
      <c r="I20" s="14">
        <v>0</v>
      </c>
      <c r="J20" s="13">
        <f>G20+J22</f>
        <v>3066.666666666667</v>
      </c>
      <c r="K20" s="15">
        <f>K22+H20-I20</f>
        <v>1306.3945294843606</v>
      </c>
      <c r="L20" s="13">
        <f t="shared" si="6"/>
        <v>3333.333333333333</v>
      </c>
      <c r="M20" s="13">
        <f t="shared" ref="M20:M25" si="10">1000*L20/(SQRT(3)*$B$7)</f>
        <v>154.33046489965938</v>
      </c>
      <c r="N20" s="16">
        <f t="shared" si="7"/>
        <v>42.300576895553512</v>
      </c>
      <c r="O20" s="16">
        <f t="shared" ref="O20:O25" si="11">(1000/3)*(D20*(J20)+E20*(K20))/($B$7/SQRT(3))</f>
        <v>130.08358566318782</v>
      </c>
      <c r="P20" s="17">
        <f t="shared" ref="P20:P25" si="12">120*(O20/($B$7/SQRT(3)))</f>
        <v>2.1681929071311599</v>
      </c>
      <c r="Q20" s="36">
        <f>Q19-P20</f>
        <v>119.30997560431145</v>
      </c>
    </row>
    <row r="21" spans="2:19" x14ac:dyDescent="0.45">
      <c r="B21" s="24">
        <v>2</v>
      </c>
      <c r="C21" s="6"/>
      <c r="D21" s="6"/>
      <c r="E21" s="6"/>
      <c r="F21" s="12"/>
      <c r="G21" s="13"/>
      <c r="H21" s="13"/>
      <c r="I21" s="14"/>
      <c r="J21" s="13"/>
      <c r="K21" s="15"/>
      <c r="L21" s="13"/>
      <c r="M21" s="13"/>
      <c r="N21" s="16"/>
      <c r="O21" s="16"/>
      <c r="P21" s="17"/>
      <c r="Q21" s="36">
        <f>120*$B$14</f>
        <v>124.80000000000001</v>
      </c>
    </row>
    <row r="22" spans="2:19" x14ac:dyDescent="0.45">
      <c r="B22" s="24">
        <v>3</v>
      </c>
      <c r="C22" s="6">
        <f t="shared" si="0"/>
        <v>1</v>
      </c>
      <c r="D22" s="6">
        <f t="shared" si="1"/>
        <v>0.59199999999999997</v>
      </c>
      <c r="E22" s="6">
        <f t="shared" si="2"/>
        <v>0.76100000000000001</v>
      </c>
      <c r="F22" s="12">
        <f t="shared" si="8"/>
        <v>666.66666666666663</v>
      </c>
      <c r="G22" s="13">
        <f t="shared" si="3"/>
        <v>613.33333333333337</v>
      </c>
      <c r="H22" s="13">
        <f t="shared" si="9"/>
        <v>261.27890589687212</v>
      </c>
      <c r="I22" s="14">
        <v>0</v>
      </c>
      <c r="J22" s="13">
        <f t="shared" si="4"/>
        <v>2453.3333333333335</v>
      </c>
      <c r="K22" s="15">
        <f t="shared" si="5"/>
        <v>1045.1156235874885</v>
      </c>
      <c r="L22" s="13">
        <f t="shared" si="6"/>
        <v>2666.6666666666665</v>
      </c>
      <c r="M22" s="13">
        <f t="shared" si="10"/>
        <v>123.4643719197275</v>
      </c>
      <c r="N22" s="16">
        <f t="shared" si="7"/>
        <v>27.072369213154243</v>
      </c>
      <c r="O22" s="16">
        <f t="shared" si="11"/>
        <v>104.06686853055027</v>
      </c>
      <c r="P22" s="17">
        <f t="shared" si="12"/>
        <v>1.7345543257049278</v>
      </c>
      <c r="Q22" s="36">
        <f>IF($B$14=0,Q20-P22,120*$B$14-P22)</f>
        <v>123.06544567429508</v>
      </c>
    </row>
    <row r="23" spans="2:19" x14ac:dyDescent="0.45">
      <c r="B23" s="24">
        <v>4</v>
      </c>
      <c r="C23" s="6">
        <f t="shared" si="0"/>
        <v>1</v>
      </c>
      <c r="D23" s="6">
        <f t="shared" si="1"/>
        <v>0.59199999999999997</v>
      </c>
      <c r="E23" s="6">
        <f t="shared" si="2"/>
        <v>0.76100000000000001</v>
      </c>
      <c r="F23" s="12">
        <f t="shared" si="8"/>
        <v>666.66666666666663</v>
      </c>
      <c r="G23" s="13">
        <f t="shared" si="3"/>
        <v>613.33333333333337</v>
      </c>
      <c r="H23" s="13">
        <f t="shared" si="9"/>
        <v>261.27890589687212</v>
      </c>
      <c r="I23" s="14">
        <v>0</v>
      </c>
      <c r="J23" s="13">
        <f t="shared" si="4"/>
        <v>1840</v>
      </c>
      <c r="K23" s="15">
        <f t="shared" si="5"/>
        <v>783.8367176906163</v>
      </c>
      <c r="L23" s="13">
        <f t="shared" si="6"/>
        <v>1999.9999999999998</v>
      </c>
      <c r="M23" s="13">
        <f t="shared" si="10"/>
        <v>92.59827893979562</v>
      </c>
      <c r="N23" s="16">
        <f t="shared" si="7"/>
        <v>15.228207682399262</v>
      </c>
      <c r="O23" s="16">
        <f t="shared" si="11"/>
        <v>78.050151397912686</v>
      </c>
      <c r="P23" s="17">
        <f t="shared" si="12"/>
        <v>1.3009157442786956</v>
      </c>
      <c r="Q23" s="36">
        <f t="shared" ref="Q23:Q25" si="13">Q22-P23</f>
        <v>121.76452993001638</v>
      </c>
    </row>
    <row r="24" spans="2:19" x14ac:dyDescent="0.45">
      <c r="B24" s="24">
        <v>5</v>
      </c>
      <c r="C24" s="6">
        <f t="shared" si="0"/>
        <v>1</v>
      </c>
      <c r="D24" s="6">
        <f t="shared" si="1"/>
        <v>0.59199999999999997</v>
      </c>
      <c r="E24" s="6">
        <f t="shared" si="2"/>
        <v>0.76100000000000001</v>
      </c>
      <c r="F24" s="12">
        <f t="shared" si="8"/>
        <v>666.66666666666663</v>
      </c>
      <c r="G24" s="13">
        <f t="shared" si="3"/>
        <v>613.33333333333337</v>
      </c>
      <c r="H24" s="13">
        <f t="shared" si="9"/>
        <v>261.27890589687212</v>
      </c>
      <c r="I24" s="14">
        <v>0</v>
      </c>
      <c r="J24" s="13">
        <f>G24+J25</f>
        <v>1226.6666666666667</v>
      </c>
      <c r="K24" s="15">
        <f>K25+H24-I24</f>
        <v>522.55781179374424</v>
      </c>
      <c r="L24" s="13">
        <f t="shared" si="6"/>
        <v>1333.3333333333333</v>
      </c>
      <c r="M24" s="13">
        <f t="shared" si="10"/>
        <v>61.732185959863749</v>
      </c>
      <c r="N24" s="16">
        <f t="shared" si="7"/>
        <v>6.7680923032885607</v>
      </c>
      <c r="O24" s="16">
        <f t="shared" si="11"/>
        <v>52.033434265275133</v>
      </c>
      <c r="P24" s="17">
        <f t="shared" si="12"/>
        <v>0.86727716285246392</v>
      </c>
      <c r="Q24" s="36">
        <f t="shared" si="13"/>
        <v>120.89725276716392</v>
      </c>
      <c r="R24" s="4" t="s">
        <v>18</v>
      </c>
      <c r="S24" s="4"/>
    </row>
    <row r="25" spans="2:19" ht="14.65" thickBot="1" x14ac:dyDescent="0.5">
      <c r="B25" s="25">
        <v>6</v>
      </c>
      <c r="C25" s="26">
        <f t="shared" si="0"/>
        <v>1</v>
      </c>
      <c r="D25" s="26">
        <f t="shared" si="1"/>
        <v>0.59199999999999997</v>
      </c>
      <c r="E25" s="26">
        <f t="shared" si="2"/>
        <v>0.76100000000000001</v>
      </c>
      <c r="F25" s="27">
        <f t="shared" si="8"/>
        <v>666.66666666666663</v>
      </c>
      <c r="G25" s="28">
        <f t="shared" si="3"/>
        <v>613.33333333333337</v>
      </c>
      <c r="H25" s="28">
        <f t="shared" si="9"/>
        <v>261.27890589687212</v>
      </c>
      <c r="I25" s="29">
        <v>0</v>
      </c>
      <c r="J25" s="28">
        <f>G25</f>
        <v>613.33333333333337</v>
      </c>
      <c r="K25" s="30">
        <f>H25-I25</f>
        <v>261.27890589687212</v>
      </c>
      <c r="L25" s="28">
        <f t="shared" si="6"/>
        <v>666.66666666666663</v>
      </c>
      <c r="M25" s="28">
        <f t="shared" si="10"/>
        <v>30.866092979931874</v>
      </c>
      <c r="N25" s="31">
        <f t="shared" si="7"/>
        <v>1.6920230758221402</v>
      </c>
      <c r="O25" s="31">
        <f t="shared" si="11"/>
        <v>26.016717132637567</v>
      </c>
      <c r="P25" s="32">
        <f t="shared" si="12"/>
        <v>0.43363858142623196</v>
      </c>
      <c r="Q25" s="37">
        <f t="shared" si="13"/>
        <v>120.46361418573768</v>
      </c>
    </row>
    <row r="26" spans="2:19" x14ac:dyDescent="0.45">
      <c r="F26" s="1">
        <f>SUM(F19:F25)</f>
        <v>3999.9999999999995</v>
      </c>
      <c r="G26" s="1"/>
      <c r="H26" s="34"/>
      <c r="J26" s="35"/>
      <c r="N26" s="3">
        <f>SUM(N19:N25)</f>
        <v>153.9740998998148</v>
      </c>
      <c r="O26" s="4" t="s">
        <v>12</v>
      </c>
      <c r="P26" s="4"/>
    </row>
    <row r="27" spans="2:19" x14ac:dyDescent="0.45">
      <c r="H27" s="5"/>
      <c r="L27" s="33"/>
      <c r="M27" s="7"/>
    </row>
    <row r="29" spans="2:19" x14ac:dyDescent="0.45">
      <c r="C29" s="1"/>
    </row>
    <row r="30" spans="2:19" x14ac:dyDescent="0.45">
      <c r="C30" s="1"/>
    </row>
    <row r="31" spans="2:19" x14ac:dyDescent="0.45">
      <c r="C31" s="1"/>
    </row>
    <row r="32" spans="2:19" x14ac:dyDescent="0.45">
      <c r="C32" s="1"/>
    </row>
    <row r="33" spans="3:3" x14ac:dyDescent="0.45">
      <c r="C33" s="1"/>
    </row>
    <row r="34" spans="3:3" x14ac:dyDescent="0.45">
      <c r="C34" s="1"/>
    </row>
    <row r="35" spans="3:3" x14ac:dyDescent="0.45">
      <c r="C35" s="1"/>
    </row>
    <row r="36" spans="3:3" x14ac:dyDescent="0.45">
      <c r="C36" s="1"/>
    </row>
    <row r="37" spans="3:3" x14ac:dyDescent="0.45">
      <c r="C37" s="1"/>
    </row>
    <row r="38" spans="3:3" x14ac:dyDescent="0.45">
      <c r="C38" s="1"/>
    </row>
    <row r="39" spans="3:3" x14ac:dyDescent="0.45">
      <c r="C39" s="1"/>
    </row>
    <row r="40" spans="3:3" x14ac:dyDescent="0.45">
      <c r="C40" s="1"/>
    </row>
  </sheetData>
  <mergeCells count="3">
    <mergeCell ref="C16:E16"/>
    <mergeCell ref="G16:H16"/>
    <mergeCell ref="J16:P1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3</xdr:col>
                <xdr:colOff>180975</xdr:colOff>
                <xdr:row>3</xdr:row>
                <xdr:rowOff>114300</xdr:rowOff>
              </from>
              <to>
                <xdr:col>17</xdr:col>
                <xdr:colOff>14288</xdr:colOff>
                <xdr:row>9</xdr:row>
                <xdr:rowOff>104775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Case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Lubkeman</dc:creator>
  <cp:lastModifiedBy>David Lee Lubkeman</cp:lastModifiedBy>
  <dcterms:created xsi:type="dcterms:W3CDTF">2016-02-14T19:20:43Z</dcterms:created>
  <dcterms:modified xsi:type="dcterms:W3CDTF">2021-02-13T20:03:37Z</dcterms:modified>
</cp:coreProperties>
</file>