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lubkem\Documents\COURSEWORK\ECE 551 Distribution\Lectures\Lec 11 &amp; 12 - Capacitor Applications\"/>
    </mc:Choice>
  </mc:AlternateContent>
  <bookViews>
    <workbookView xWindow="0" yWindow="0" windowWidth="21012" windowHeight="9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B29" i="1" l="1"/>
  <c r="B31" i="1"/>
  <c r="B33" i="1"/>
  <c r="B35" i="1"/>
  <c r="B37" i="1"/>
  <c r="C38" i="1"/>
  <c r="Q17" i="1" l="1"/>
  <c r="G23" i="1"/>
  <c r="G22" i="1"/>
  <c r="H22" i="1" s="1"/>
  <c r="G21" i="1"/>
  <c r="H21" i="1" s="1"/>
  <c r="G20" i="1"/>
  <c r="H20" i="1" s="1"/>
  <c r="G19" i="1"/>
  <c r="H19" i="1" s="1"/>
  <c r="C23" i="1"/>
  <c r="D23" i="1" s="1"/>
  <c r="C22" i="1"/>
  <c r="D22" i="1" s="1"/>
  <c r="C21" i="1"/>
  <c r="E21" i="1" s="1"/>
  <c r="C20" i="1"/>
  <c r="E20" i="1" s="1"/>
  <c r="C19" i="1"/>
  <c r="D19" i="1" s="1"/>
  <c r="C18" i="1"/>
  <c r="E18" i="1" s="1"/>
  <c r="J23" i="1" l="1"/>
  <c r="H23" i="1"/>
  <c r="K23" i="1" s="1"/>
  <c r="C36" i="1" s="1"/>
  <c r="G18" i="1"/>
  <c r="F24" i="1"/>
  <c r="D20" i="1"/>
  <c r="J22" i="1"/>
  <c r="D21" i="1"/>
  <c r="E19" i="1"/>
  <c r="E23" i="1"/>
  <c r="E22" i="1"/>
  <c r="D18" i="1"/>
  <c r="C37" i="1" l="1"/>
  <c r="O23" i="1"/>
  <c r="P23" i="1" s="1"/>
  <c r="K22" i="1"/>
  <c r="K21" i="1" s="1"/>
  <c r="K20" i="1" s="1"/>
  <c r="G24" i="1"/>
  <c r="J24" i="1" s="1"/>
  <c r="H18" i="1"/>
  <c r="L23" i="1"/>
  <c r="M23" i="1" s="1"/>
  <c r="N23" i="1" s="1"/>
  <c r="J21" i="1"/>
  <c r="C35" i="1" l="1"/>
  <c r="L22" i="1"/>
  <c r="M22" i="1" s="1"/>
  <c r="N22" i="1" s="1"/>
  <c r="O21" i="1"/>
  <c r="C32" i="1"/>
  <c r="C33" i="1"/>
  <c r="O22" i="1"/>
  <c r="P22" i="1" s="1"/>
  <c r="C34" i="1"/>
  <c r="K19" i="1"/>
  <c r="C31" i="1"/>
  <c r="C30" i="1"/>
  <c r="P21" i="1"/>
  <c r="L21" i="1"/>
  <c r="M21" i="1" s="1"/>
  <c r="N21" i="1" s="1"/>
  <c r="J20" i="1"/>
  <c r="O20" i="1" s="1"/>
  <c r="C29" i="1" l="1"/>
  <c r="C28" i="1"/>
  <c r="P20" i="1"/>
  <c r="J19" i="1"/>
  <c r="O19" i="1" s="1"/>
  <c r="L20" i="1"/>
  <c r="M20" i="1" s="1"/>
  <c r="N20" i="1" s="1"/>
  <c r="P19" i="1" l="1"/>
  <c r="L19" i="1"/>
  <c r="M19" i="1" s="1"/>
  <c r="N19" i="1" s="1"/>
  <c r="J18" i="1"/>
  <c r="H24" i="1"/>
  <c r="K18" i="1"/>
  <c r="O18" i="1" l="1"/>
  <c r="P18" i="1" s="1"/>
  <c r="Q18" i="1" s="1"/>
  <c r="Q19" i="1" s="1"/>
  <c r="Q20" i="1" s="1"/>
  <c r="Q21" i="1" s="1"/>
  <c r="Q22" i="1" s="1"/>
  <c r="Q23" i="1" s="1"/>
  <c r="T23" i="1" s="1"/>
  <c r="L18" i="1"/>
  <c r="M18" i="1" s="1"/>
  <c r="N18" i="1" s="1"/>
  <c r="N24" i="1" s="1"/>
  <c r="C27" i="1"/>
  <c r="L25" i="1" l="1"/>
</calcChain>
</file>

<file path=xl/sharedStrings.xml><?xml version="1.0" encoding="utf-8"?>
<sst xmlns="http://schemas.openxmlformats.org/spreadsheetml/2006/main" count="35" uniqueCount="30">
  <si>
    <t>Bus</t>
  </si>
  <si>
    <t>R (Ohm/mi)</t>
  </si>
  <si>
    <t>X (Ohm/mi)</t>
  </si>
  <si>
    <t>Feeder kVA</t>
  </si>
  <si>
    <t>Length</t>
  </si>
  <si>
    <t>R</t>
  </si>
  <si>
    <t>X</t>
  </si>
  <si>
    <t>kVA</t>
  </si>
  <si>
    <t>kW</t>
  </si>
  <si>
    <t>kVAR</t>
  </si>
  <si>
    <t>Load</t>
  </si>
  <si>
    <t>Qcap</t>
  </si>
  <si>
    <t>Iline (A)</t>
  </si>
  <si>
    <t>Voltage Drop (p.u.)</t>
  </si>
  <si>
    <t>Bus Voltage (p.u.)</t>
  </si>
  <si>
    <t>Bus Location</t>
  </si>
  <si>
    <t>Net kW Losses</t>
  </si>
  <si>
    <t>Capacitor Placement based on Spot Load Model</t>
  </si>
  <si>
    <t>Section Ploss (kW)</t>
  </si>
  <si>
    <t>Section Voltage Drop (V)</t>
  </si>
  <si>
    <t>Power Factor Correction</t>
  </si>
  <si>
    <t>Impedance</t>
  </si>
  <si>
    <t>Location</t>
  </si>
  <si>
    <t>End of Feeder Voltage</t>
  </si>
  <si>
    <t>Nominal Voltage (V)</t>
  </si>
  <si>
    <t>Total Length (mi)</t>
  </si>
  <si>
    <t>Feeder PF (lagging)</t>
  </si>
  <si>
    <t>Substation Voltage (p.u.)</t>
  </si>
  <si>
    <t>Station PF</t>
  </si>
  <si>
    <t>Section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</si>
</sst>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2" borderId="0" xfId="0" applyFont="1" applyFill="1" applyBorder="1" applyAlignment="1">
      <alignment horizontal="center" wrapText="1"/>
    </xf>
    <xf numFmtId="164" fontId="0" fillId="2" borderId="0" xfId="0" applyNumberFormat="1" applyFill="1" applyBorder="1"/>
    <xf numFmtId="1" fontId="0" fillId="0" borderId="0" xfId="0" applyNumberFormat="1" applyBorder="1"/>
    <xf numFmtId="165" fontId="0" fillId="0" borderId="5" xfId="0" applyNumberFormat="1" applyBorder="1"/>
    <xf numFmtId="164" fontId="0" fillId="2" borderId="7" xfId="0" applyNumberFormat="1" applyFill="1" applyBorder="1"/>
    <xf numFmtId="1" fontId="0" fillId="0" borderId="7" xfId="0" applyNumberFormat="1" applyBorder="1"/>
    <xf numFmtId="165" fontId="0" fillId="0" borderId="8" xfId="0" applyNumberFormat="1" applyBorder="1"/>
    <xf numFmtId="0" fontId="1" fillId="3" borderId="10" xfId="0" applyFont="1" applyFill="1" applyBorder="1" applyAlignment="1">
      <alignment horizontal="center" wrapText="1"/>
    </xf>
    <xf numFmtId="0" fontId="0" fillId="3" borderId="10" xfId="0" applyFill="1" applyBorder="1"/>
    <xf numFmtId="0" fontId="0" fillId="3" borderId="11" xfId="0" applyFill="1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3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wrapText="1"/>
    </xf>
    <xf numFmtId="165" fontId="0" fillId="0" borderId="10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4" borderId="0" xfId="0" applyNumberFormat="1" applyFill="1"/>
    <xf numFmtId="0" fontId="0" fillId="4" borderId="0" xfId="0" applyFill="1"/>
    <xf numFmtId="165" fontId="0" fillId="4" borderId="11" xfId="0" applyNumberFormat="1" applyFill="1" applyBorder="1"/>
    <xf numFmtId="164" fontId="0" fillId="0" borderId="0" xfId="0" applyNumberFormat="1" applyFill="1" applyBorder="1"/>
    <xf numFmtId="164" fontId="0" fillId="0" borderId="4" xfId="0" applyNumberFormat="1" applyFill="1" applyBorder="1"/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wrapText="1"/>
    </xf>
    <xf numFmtId="164" fontId="0" fillId="5" borderId="4" xfId="0" applyNumberFormat="1" applyFill="1" applyBorder="1"/>
    <xf numFmtId="0" fontId="0" fillId="6" borderId="0" xfId="0" applyFill="1"/>
    <xf numFmtId="164" fontId="0" fillId="6" borderId="0" xfId="0" applyNumberFormat="1" applyFill="1"/>
    <xf numFmtId="2" fontId="0" fillId="4" borderId="0" xfId="0" applyNumberFormat="1" applyFill="1" applyBorder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Sheet1!$Q$17:$Q$23</c:f>
              <c:numCache>
                <c:formatCode>0.000</c:formatCode>
                <c:ptCount val="7"/>
                <c:pt idx="0" formatCode="General">
                  <c:v>1.05</c:v>
                </c:pt>
                <c:pt idx="1">
                  <c:v>1.0186217835758362</c:v>
                </c:pt>
                <c:pt idx="2">
                  <c:v>0.99247326988903306</c:v>
                </c:pt>
                <c:pt idx="3">
                  <c:v>0.97155445893959058</c:v>
                </c:pt>
                <c:pt idx="4">
                  <c:v>0.95586535072750867</c:v>
                </c:pt>
                <c:pt idx="5">
                  <c:v>0.94540594525278743</c:v>
                </c:pt>
                <c:pt idx="6">
                  <c:v>0.94017624251542675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3-494E-813E-B422B662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13656"/>
        <c:axId val="322616792"/>
      </c:scatterChart>
      <c:valAx>
        <c:axId val="3226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16792"/>
        <c:crosses val="autoZero"/>
        <c:crossBetween val="midCat"/>
      </c:valAx>
      <c:valAx>
        <c:axId val="32261679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1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kVAR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1.0000001000000001</c:v>
                </c:pt>
                <c:pt idx="3">
                  <c:v>2</c:v>
                </c:pt>
                <c:pt idx="4">
                  <c:v>2.0000000999999998</c:v>
                </c:pt>
                <c:pt idx="5">
                  <c:v>3</c:v>
                </c:pt>
                <c:pt idx="6">
                  <c:v>3.0000000999999998</c:v>
                </c:pt>
                <c:pt idx="7">
                  <c:v>4</c:v>
                </c:pt>
                <c:pt idx="8">
                  <c:v>4.0000001000000003</c:v>
                </c:pt>
                <c:pt idx="9">
                  <c:v>5</c:v>
                </c:pt>
                <c:pt idx="10">
                  <c:v>5.0000001000000003</c:v>
                </c:pt>
                <c:pt idx="11">
                  <c:v>6</c:v>
                </c:pt>
                <c:pt idx="12">
                  <c:v>6</c:v>
                </c:pt>
              </c:numCache>
            </c:numRef>
          </c:xVal>
          <c:yVal>
            <c:numRef>
              <c:f>Sheet1!$C$27:$C$39</c:f>
              <c:numCache>
                <c:formatCode>0.0</c:formatCode>
                <c:ptCount val="13"/>
                <c:pt idx="0">
                  <c:v>3606.7890858768001</c:v>
                </c:pt>
                <c:pt idx="1">
                  <c:v>3005.6575715640001</c:v>
                </c:pt>
                <c:pt idx="2">
                  <c:v>3005.6575715640001</c:v>
                </c:pt>
                <c:pt idx="3">
                  <c:v>2404.5260572512002</c:v>
                </c:pt>
                <c:pt idx="4">
                  <c:v>2404.5260572512002</c:v>
                </c:pt>
                <c:pt idx="5">
                  <c:v>1803.3945429384003</c:v>
                </c:pt>
                <c:pt idx="6">
                  <c:v>1803.3945429384003</c:v>
                </c:pt>
                <c:pt idx="7">
                  <c:v>1202.2630286256001</c:v>
                </c:pt>
                <c:pt idx="8">
                  <c:v>1202.2630286256001</c:v>
                </c:pt>
                <c:pt idx="9">
                  <c:v>601.13151431280005</c:v>
                </c:pt>
                <c:pt idx="10">
                  <c:v>601.13151431280005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F-4B74-9C98-C5608CD3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69008"/>
        <c:axId val="324170968"/>
      </c:scatterChart>
      <c:valAx>
        <c:axId val="3241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968"/>
        <c:crosses val="autoZero"/>
        <c:crossBetween val="midCat"/>
      </c:valAx>
      <c:valAx>
        <c:axId val="3241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5</xdr:row>
          <xdr:rowOff>175260</xdr:rowOff>
        </xdr:from>
        <xdr:to>
          <xdr:col>14</xdr:col>
          <xdr:colOff>327660</xdr:colOff>
          <xdr:row>10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293370</xdr:colOff>
      <xdr:row>25</xdr:row>
      <xdr:rowOff>11430</xdr:rowOff>
    </xdr:from>
    <xdr:to>
      <xdr:col>17</xdr:col>
      <xdr:colOff>430530</xdr:colOff>
      <xdr:row>39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1329690</xdr:colOff>
      <xdr:row>25</xdr:row>
      <xdr:rowOff>41910</xdr:rowOff>
    </xdr:from>
    <xdr:to>
      <xdr:col>9</xdr:col>
      <xdr:colOff>247650</xdr:colOff>
      <xdr:row>40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39"/>
  <sheetViews>
    <sheetView tabSelected="1" workbookViewId="0">
      <selection activeCell="I12" sqref="I12"/>
    </sheetView>
  </sheetViews>
  <sheetFormatPr defaultRowHeight="14.4" x14ac:dyDescent="0.3"/>
  <cols>
    <col min="1" max="1" width="20.44140625" customWidth="1"/>
    <col min="7" max="7" width="8" customWidth="1"/>
    <col min="8" max="8" width="7.33203125" customWidth="1"/>
    <col min="9" max="9" width="9.77734375" customWidth="1"/>
    <col min="10" max="10" width="8.109375" customWidth="1"/>
    <col min="11" max="11" width="7.77734375" customWidth="1"/>
    <col min="12" max="12" width="7.88671875" customWidth="1"/>
    <col min="15" max="15" width="9.6640625" customWidth="1"/>
    <col min="20" max="20" width="7.77734375" customWidth="1"/>
  </cols>
  <sheetData>
    <row r="4" spans="1:17" x14ac:dyDescent="0.3">
      <c r="A4" t="s">
        <v>17</v>
      </c>
    </row>
    <row r="7" spans="1:17" x14ac:dyDescent="0.3">
      <c r="A7" t="s">
        <v>24</v>
      </c>
      <c r="B7">
        <v>12470</v>
      </c>
    </row>
    <row r="8" spans="1:17" x14ac:dyDescent="0.3">
      <c r="A8" t="s">
        <v>1</v>
      </c>
      <c r="B8">
        <v>0.59199999999999997</v>
      </c>
      <c r="C8">
        <v>336</v>
      </c>
    </row>
    <row r="9" spans="1:17" x14ac:dyDescent="0.3">
      <c r="A9" t="s">
        <v>2</v>
      </c>
      <c r="B9">
        <v>0.76100000000000001</v>
      </c>
    </row>
    <row r="10" spans="1:17" x14ac:dyDescent="0.3">
      <c r="A10" t="s">
        <v>25</v>
      </c>
      <c r="B10">
        <v>6</v>
      </c>
    </row>
    <row r="11" spans="1:17" x14ac:dyDescent="0.3">
      <c r="A11" s="46" t="s">
        <v>3</v>
      </c>
      <c r="B11" s="47">
        <v>5100</v>
      </c>
    </row>
    <row r="12" spans="1:17" x14ac:dyDescent="0.3">
      <c r="A12" t="s">
        <v>26</v>
      </c>
      <c r="B12">
        <v>0.70699999999999996</v>
      </c>
    </row>
    <row r="13" spans="1:17" x14ac:dyDescent="0.3">
      <c r="A13" t="s">
        <v>27</v>
      </c>
      <c r="B13">
        <v>1.05</v>
      </c>
    </row>
    <row r="14" spans="1:17" ht="15" thickBot="1" x14ac:dyDescent="0.35"/>
    <row r="15" spans="1:17" ht="43.2" x14ac:dyDescent="0.3">
      <c r="B15" s="23" t="s">
        <v>22</v>
      </c>
      <c r="C15" s="23" t="s">
        <v>21</v>
      </c>
      <c r="D15" s="3"/>
      <c r="E15" s="4"/>
      <c r="F15" s="43" t="s">
        <v>10</v>
      </c>
      <c r="G15" s="24"/>
      <c r="H15" s="25"/>
      <c r="I15" s="26" t="s">
        <v>20</v>
      </c>
      <c r="J15" s="23" t="s">
        <v>29</v>
      </c>
      <c r="K15" s="24"/>
      <c r="L15" s="24"/>
      <c r="M15" s="24"/>
      <c r="N15" s="24"/>
      <c r="O15" s="24"/>
      <c r="P15" s="25"/>
      <c r="Q15" s="27" t="s">
        <v>0</v>
      </c>
    </row>
    <row r="16" spans="1:17" s="2" customFormat="1" ht="45.6" customHeight="1" x14ac:dyDescent="0.3">
      <c r="B16" s="28" t="s">
        <v>0</v>
      </c>
      <c r="C16" s="5" t="s">
        <v>4</v>
      </c>
      <c r="D16" s="6" t="s">
        <v>5</v>
      </c>
      <c r="E16" s="7" t="s">
        <v>6</v>
      </c>
      <c r="F16" s="44" t="s">
        <v>7</v>
      </c>
      <c r="G16" s="6" t="s">
        <v>8</v>
      </c>
      <c r="H16" s="7" t="s">
        <v>9</v>
      </c>
      <c r="I16" s="20" t="s">
        <v>11</v>
      </c>
      <c r="J16" s="5" t="s">
        <v>8</v>
      </c>
      <c r="K16" s="13" t="s">
        <v>9</v>
      </c>
      <c r="L16" s="6" t="s">
        <v>7</v>
      </c>
      <c r="M16" s="6" t="s">
        <v>12</v>
      </c>
      <c r="N16" s="6" t="s">
        <v>18</v>
      </c>
      <c r="O16" s="6" t="s">
        <v>19</v>
      </c>
      <c r="P16" s="7" t="s">
        <v>13</v>
      </c>
      <c r="Q16" s="28" t="s">
        <v>14</v>
      </c>
    </row>
    <row r="17" spans="2:20" s="2" customFormat="1" ht="14.4" customHeight="1" x14ac:dyDescent="0.3">
      <c r="B17" s="28">
        <v>0</v>
      </c>
      <c r="C17" s="5"/>
      <c r="D17" s="6"/>
      <c r="E17" s="7"/>
      <c r="F17" s="44"/>
      <c r="G17" s="6"/>
      <c r="H17" s="7"/>
      <c r="I17" s="20"/>
      <c r="J17" s="5"/>
      <c r="K17" s="13"/>
      <c r="L17" s="6"/>
      <c r="M17" s="6"/>
      <c r="N17" s="6"/>
      <c r="O17" s="6"/>
      <c r="P17" s="7"/>
      <c r="Q17" s="28">
        <f>B13</f>
        <v>1.05</v>
      </c>
    </row>
    <row r="18" spans="2:20" x14ac:dyDescent="0.3">
      <c r="B18" s="36">
        <v>1</v>
      </c>
      <c r="C18" s="30">
        <f t="shared" ref="C18:C23" si="0">$B$10/6</f>
        <v>1</v>
      </c>
      <c r="D18" s="31">
        <f t="shared" ref="D18:D23" si="1">$B$8*C18</f>
        <v>0.59199999999999997</v>
      </c>
      <c r="E18" s="32">
        <f t="shared" ref="E18:E23" si="2">$B$9*C18</f>
        <v>0.76100000000000001</v>
      </c>
      <c r="F18" s="45">
        <f>$B$11/6</f>
        <v>850</v>
      </c>
      <c r="G18" s="9">
        <f t="shared" ref="G18:G23" si="3">F18*$B$12</f>
        <v>600.94999999999993</v>
      </c>
      <c r="H18" s="10">
        <f>SQRT(F18^2-G18^2)</f>
        <v>601.13151431280005</v>
      </c>
      <c r="I18" s="21">
        <v>0</v>
      </c>
      <c r="J18" s="8">
        <f t="shared" ref="J18:J21" si="4">G18+J19</f>
        <v>3605.6999999999994</v>
      </c>
      <c r="K18" s="14">
        <f t="shared" ref="K18:K21" si="5">K19+H18-I18</f>
        <v>3606.7890858768001</v>
      </c>
      <c r="L18" s="9">
        <f t="shared" ref="L18:L23" si="6">SQRT(J18^2+K18^2)</f>
        <v>5100</v>
      </c>
      <c r="M18" s="9">
        <f>1000*L18/(SQRT(3)*$B$7)</f>
        <v>236.12561129647887</v>
      </c>
      <c r="N18" s="15">
        <f t="shared" ref="N18:N23" si="7">3*M18^2*D18/1000</f>
        <v>99.021420454801216</v>
      </c>
      <c r="O18" s="15">
        <f>(1000/3)*(D18*(J18)+E18*(K18))/($B$7/SQRT(3))</f>
        <v>225.90928458879046</v>
      </c>
      <c r="P18" s="16">
        <f>O18/($B$7/SQRT(3))</f>
        <v>3.1378216424163739E-2</v>
      </c>
      <c r="Q18" s="29">
        <f>B13-P18</f>
        <v>1.0186217835758362</v>
      </c>
    </row>
    <row r="19" spans="2:20" x14ac:dyDescent="0.3">
      <c r="B19" s="36">
        <v>2</v>
      </c>
      <c r="C19" s="30">
        <f t="shared" si="0"/>
        <v>1</v>
      </c>
      <c r="D19" s="31">
        <f t="shared" si="1"/>
        <v>0.59199999999999997</v>
      </c>
      <c r="E19" s="32">
        <f t="shared" si="2"/>
        <v>0.76100000000000001</v>
      </c>
      <c r="F19" s="45">
        <f t="shared" ref="F19:F23" si="8">$B$11/6</f>
        <v>850</v>
      </c>
      <c r="G19" s="9">
        <f t="shared" si="3"/>
        <v>600.94999999999993</v>
      </c>
      <c r="H19" s="10">
        <f t="shared" ref="H19:H23" si="9">SQRT(F19^2-G19^2)</f>
        <v>601.13151431280005</v>
      </c>
      <c r="I19" s="21">
        <v>0</v>
      </c>
      <c r="J19" s="8">
        <f t="shared" si="4"/>
        <v>3004.7499999999995</v>
      </c>
      <c r="K19" s="14">
        <f t="shared" si="5"/>
        <v>3005.6575715640001</v>
      </c>
      <c r="L19" s="9">
        <f t="shared" si="6"/>
        <v>4250</v>
      </c>
      <c r="M19" s="9">
        <f t="shared" ref="M19:M23" si="10">1000*L19/(SQRT(3)*$B$7)</f>
        <v>196.77134274706572</v>
      </c>
      <c r="N19" s="15">
        <f t="shared" si="7"/>
        <v>68.764875315834189</v>
      </c>
      <c r="O19" s="15">
        <f t="shared" ref="O19:O23" si="11">(1000/3)*(D19*(J19)+E19*(K19))/($B$7/SQRT(3))</f>
        <v>188.25773715732541</v>
      </c>
      <c r="P19" s="16">
        <f t="shared" ref="P19:P23" si="12">O19/($B$7/SQRT(3))</f>
        <v>2.6148513686803116E-2</v>
      </c>
      <c r="Q19" s="29">
        <f>Q18-P19</f>
        <v>0.99247326988903306</v>
      </c>
    </row>
    <row r="20" spans="2:20" x14ac:dyDescent="0.3">
      <c r="B20" s="36">
        <v>3</v>
      </c>
      <c r="C20" s="30">
        <f t="shared" si="0"/>
        <v>1</v>
      </c>
      <c r="D20" s="31">
        <f t="shared" si="1"/>
        <v>0.59199999999999997</v>
      </c>
      <c r="E20" s="32">
        <f t="shared" si="2"/>
        <v>0.76100000000000001</v>
      </c>
      <c r="F20" s="45">
        <f t="shared" si="8"/>
        <v>850</v>
      </c>
      <c r="G20" s="9">
        <f t="shared" si="3"/>
        <v>600.94999999999993</v>
      </c>
      <c r="H20" s="10">
        <f t="shared" si="9"/>
        <v>601.13151431280005</v>
      </c>
      <c r="I20" s="21">
        <v>0</v>
      </c>
      <c r="J20" s="8">
        <f t="shared" si="4"/>
        <v>2403.7999999999997</v>
      </c>
      <c r="K20" s="14">
        <f t="shared" si="5"/>
        <v>2404.5260572512002</v>
      </c>
      <c r="L20" s="9">
        <f t="shared" si="6"/>
        <v>3400</v>
      </c>
      <c r="M20" s="9">
        <f t="shared" si="10"/>
        <v>157.41707419765257</v>
      </c>
      <c r="N20" s="15">
        <f t="shared" si="7"/>
        <v>44.009520202133871</v>
      </c>
      <c r="O20" s="15">
        <f t="shared" si="11"/>
        <v>150.6061897258603</v>
      </c>
      <c r="P20" s="16">
        <f t="shared" si="12"/>
        <v>2.0918810949442489E-2</v>
      </c>
      <c r="Q20" s="29">
        <f t="shared" ref="Q20:Q23" si="13">Q19-P20</f>
        <v>0.97155445893959058</v>
      </c>
    </row>
    <row r="21" spans="2:20" x14ac:dyDescent="0.3">
      <c r="B21" s="36">
        <v>4</v>
      </c>
      <c r="C21" s="30">
        <f t="shared" si="0"/>
        <v>1</v>
      </c>
      <c r="D21" s="31">
        <f t="shared" si="1"/>
        <v>0.59199999999999997</v>
      </c>
      <c r="E21" s="32">
        <f t="shared" si="2"/>
        <v>0.76100000000000001</v>
      </c>
      <c r="F21" s="45">
        <f t="shared" si="8"/>
        <v>850</v>
      </c>
      <c r="G21" s="9">
        <f t="shared" si="3"/>
        <v>600.94999999999993</v>
      </c>
      <c r="H21" s="10">
        <f t="shared" si="9"/>
        <v>601.13151431280005</v>
      </c>
      <c r="I21" s="21">
        <v>0</v>
      </c>
      <c r="J21" s="8">
        <f t="shared" si="4"/>
        <v>1802.85</v>
      </c>
      <c r="K21" s="14">
        <f t="shared" si="5"/>
        <v>1803.3945429384003</v>
      </c>
      <c r="L21" s="9">
        <f t="shared" si="6"/>
        <v>2550.0000000000005</v>
      </c>
      <c r="M21" s="9">
        <f t="shared" si="10"/>
        <v>118.06280564823945</v>
      </c>
      <c r="N21" s="15">
        <f t="shared" si="7"/>
        <v>24.755355113700311</v>
      </c>
      <c r="O21" s="15">
        <f t="shared" si="11"/>
        <v>112.95464229439527</v>
      </c>
      <c r="P21" s="16">
        <f t="shared" si="12"/>
        <v>1.5689108212081873E-2</v>
      </c>
      <c r="Q21" s="29">
        <f t="shared" si="13"/>
        <v>0.95586535072750867</v>
      </c>
    </row>
    <row r="22" spans="2:20" x14ac:dyDescent="0.3">
      <c r="B22" s="36">
        <v>5</v>
      </c>
      <c r="C22" s="30">
        <f t="shared" si="0"/>
        <v>1</v>
      </c>
      <c r="D22" s="31">
        <f t="shared" si="1"/>
        <v>0.59199999999999997</v>
      </c>
      <c r="E22" s="32">
        <f t="shared" si="2"/>
        <v>0.76100000000000001</v>
      </c>
      <c r="F22" s="45">
        <f t="shared" si="8"/>
        <v>850</v>
      </c>
      <c r="G22" s="9">
        <f t="shared" si="3"/>
        <v>600.94999999999993</v>
      </c>
      <c r="H22" s="10">
        <f t="shared" si="9"/>
        <v>601.13151431280005</v>
      </c>
      <c r="I22" s="21">
        <v>0</v>
      </c>
      <c r="J22" s="8">
        <f>G22+J23</f>
        <v>1201.8999999999999</v>
      </c>
      <c r="K22" s="14">
        <f>K23+H22-I22</f>
        <v>1202.2630286256001</v>
      </c>
      <c r="L22" s="9">
        <f t="shared" si="6"/>
        <v>1700</v>
      </c>
      <c r="M22" s="9">
        <f t="shared" si="10"/>
        <v>78.708537098826284</v>
      </c>
      <c r="N22" s="15">
        <f t="shared" si="7"/>
        <v>11.002380050533468</v>
      </c>
      <c r="O22" s="15">
        <f t="shared" si="11"/>
        <v>75.303094862930152</v>
      </c>
      <c r="P22" s="16">
        <f t="shared" si="12"/>
        <v>1.0459405474721245E-2</v>
      </c>
      <c r="Q22" s="29">
        <f t="shared" si="13"/>
        <v>0.94540594525278743</v>
      </c>
    </row>
    <row r="23" spans="2:20" ht="15" thickBot="1" x14ac:dyDescent="0.35">
      <c r="B23" s="37">
        <v>6</v>
      </c>
      <c r="C23" s="33">
        <f t="shared" si="0"/>
        <v>1</v>
      </c>
      <c r="D23" s="34">
        <f t="shared" si="1"/>
        <v>0.59199999999999997</v>
      </c>
      <c r="E23" s="35">
        <f t="shared" si="2"/>
        <v>0.76100000000000001</v>
      </c>
      <c r="F23" s="45">
        <f t="shared" si="8"/>
        <v>850</v>
      </c>
      <c r="G23" s="12">
        <f t="shared" si="3"/>
        <v>600.94999999999993</v>
      </c>
      <c r="H23" s="10">
        <f t="shared" si="9"/>
        <v>601.13151431280005</v>
      </c>
      <c r="I23" s="22">
        <v>0</v>
      </c>
      <c r="J23" s="11">
        <f>G23</f>
        <v>600.94999999999993</v>
      </c>
      <c r="K23" s="17">
        <f>H23-I23</f>
        <v>601.13151431280005</v>
      </c>
      <c r="L23" s="12">
        <f t="shared" si="6"/>
        <v>850</v>
      </c>
      <c r="M23" s="12">
        <f t="shared" si="10"/>
        <v>39.354268549413142</v>
      </c>
      <c r="N23" s="18">
        <f t="shared" si="7"/>
        <v>2.7505950126333669</v>
      </c>
      <c r="O23" s="15">
        <f t="shared" si="11"/>
        <v>37.651547431465076</v>
      </c>
      <c r="P23" s="19">
        <f t="shared" si="12"/>
        <v>5.2297027373606223E-3</v>
      </c>
      <c r="Q23" s="40">
        <f t="shared" si="13"/>
        <v>0.94017624251542675</v>
      </c>
      <c r="R23" s="39" t="s">
        <v>23</v>
      </c>
      <c r="S23" s="39"/>
      <c r="T23" s="49">
        <f>Q23*120</f>
        <v>112.8211491018512</v>
      </c>
    </row>
    <row r="24" spans="2:20" x14ac:dyDescent="0.3">
      <c r="F24" s="1">
        <f>SUM(F18:F23)</f>
        <v>5100</v>
      </c>
      <c r="G24" s="1">
        <f>SUM(G18:G23)</f>
        <v>3605.6999999999994</v>
      </c>
      <c r="H24" s="1">
        <f>SUM(H18:H23)</f>
        <v>3606.7890858768001</v>
      </c>
      <c r="J24" s="42">
        <f>G24</f>
        <v>3605.6999999999994</v>
      </c>
      <c r="N24" s="38">
        <f>SUM(N18:N23)</f>
        <v>250.30414614963644</v>
      </c>
      <c r="O24" s="39" t="s">
        <v>16</v>
      </c>
      <c r="P24" s="39"/>
    </row>
    <row r="25" spans="2:20" x14ac:dyDescent="0.3">
      <c r="H25" s="41"/>
      <c r="L25" s="48">
        <f>J18/L18</f>
        <v>0.70699999999999985</v>
      </c>
      <c r="M25" s="39" t="s">
        <v>28</v>
      </c>
    </row>
    <row r="26" spans="2:20" x14ac:dyDescent="0.3">
      <c r="B26" t="s">
        <v>15</v>
      </c>
      <c r="C26" t="s">
        <v>9</v>
      </c>
    </row>
    <row r="27" spans="2:20" x14ac:dyDescent="0.3">
      <c r="B27">
        <v>0</v>
      </c>
      <c r="C27" s="1">
        <f>K18</f>
        <v>3606.7890858768001</v>
      </c>
    </row>
    <row r="28" spans="2:20" x14ac:dyDescent="0.3">
      <c r="B28">
        <v>1</v>
      </c>
      <c r="C28" s="1">
        <f>K19-I18</f>
        <v>3005.6575715640001</v>
      </c>
    </row>
    <row r="29" spans="2:20" x14ac:dyDescent="0.3">
      <c r="B29">
        <f>B28+0.0000001</f>
        <v>1.0000001000000001</v>
      </c>
      <c r="C29" s="1">
        <f>K19</f>
        <v>3005.6575715640001</v>
      </c>
    </row>
    <row r="30" spans="2:20" x14ac:dyDescent="0.3">
      <c r="B30">
        <v>2</v>
      </c>
      <c r="C30" s="1">
        <f>K20-I19</f>
        <v>2404.5260572512002</v>
      </c>
    </row>
    <row r="31" spans="2:20" x14ac:dyDescent="0.3">
      <c r="B31">
        <f>B30+0.0000001</f>
        <v>2.0000000999999998</v>
      </c>
      <c r="C31" s="1">
        <f>K20</f>
        <v>2404.5260572512002</v>
      </c>
    </row>
    <row r="32" spans="2:20" x14ac:dyDescent="0.3">
      <c r="B32">
        <v>3</v>
      </c>
      <c r="C32" s="1">
        <f>K21-I20</f>
        <v>1803.3945429384003</v>
      </c>
    </row>
    <row r="33" spans="2:3" x14ac:dyDescent="0.3">
      <c r="B33">
        <f>B32+0.0000001</f>
        <v>3.0000000999999998</v>
      </c>
      <c r="C33" s="1">
        <f>K21</f>
        <v>1803.3945429384003</v>
      </c>
    </row>
    <row r="34" spans="2:3" x14ac:dyDescent="0.3">
      <c r="B34">
        <v>4</v>
      </c>
      <c r="C34" s="1">
        <f>K22-I21</f>
        <v>1202.2630286256001</v>
      </c>
    </row>
    <row r="35" spans="2:3" x14ac:dyDescent="0.3">
      <c r="B35">
        <f>B34+0.0000001</f>
        <v>4.0000001000000003</v>
      </c>
      <c r="C35" s="1">
        <f>K22</f>
        <v>1202.2630286256001</v>
      </c>
    </row>
    <row r="36" spans="2:3" x14ac:dyDescent="0.3">
      <c r="B36">
        <v>5</v>
      </c>
      <c r="C36" s="1">
        <f>K23-I22</f>
        <v>601.13151431280005</v>
      </c>
    </row>
    <row r="37" spans="2:3" x14ac:dyDescent="0.3">
      <c r="B37">
        <f>B36+0.0000001</f>
        <v>5.0000001000000003</v>
      </c>
      <c r="C37" s="1">
        <f>K23</f>
        <v>601.13151431280005</v>
      </c>
    </row>
    <row r="38" spans="2:3" x14ac:dyDescent="0.3">
      <c r="B38">
        <v>6</v>
      </c>
      <c r="C38" s="1">
        <f>0-I23</f>
        <v>0</v>
      </c>
    </row>
    <row r="39" spans="2:3" x14ac:dyDescent="0.3">
      <c r="B39">
        <v>6</v>
      </c>
      <c r="C39"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3</xdr:col>
                <xdr:colOff>182880</xdr:colOff>
                <xdr:row>5</xdr:row>
                <xdr:rowOff>175260</xdr:rowOff>
              </from>
              <to>
                <xdr:col>14</xdr:col>
                <xdr:colOff>327660</xdr:colOff>
                <xdr:row>10</xdr:row>
                <xdr:rowOff>15240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Lubkeman</dc:creator>
  <cp:lastModifiedBy>David Lee Lubkeman</cp:lastModifiedBy>
  <dcterms:created xsi:type="dcterms:W3CDTF">2016-02-14T19:20:43Z</dcterms:created>
  <dcterms:modified xsi:type="dcterms:W3CDTF">2019-02-16T15:18:14Z</dcterms:modified>
</cp:coreProperties>
</file>