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Elver Ramirez\OneDrive\COSTEOS\1.  TOURS\"/>
    </mc:Choice>
  </mc:AlternateContent>
  <xr:revisionPtr revIDLastSave="798" documentId="11_6E74FADF987F55FEA687F999EE05AA8FBC0F01C5" xr6:coauthVersionLast="45" xr6:coauthVersionMax="45" xr10:uidLastSave="{51136BA4-A0BF-405A-BBC7-A7F91A9D8A3E}"/>
  <bookViews>
    <workbookView xWindow="-120" yWindow="-120" windowWidth="20730" windowHeight="11160" activeTab="1" xr2:uid="{00000000-000D-0000-FFFF-FFFF00000000}"/>
  </bookViews>
  <sheets>
    <sheet name="MEDELLIN" sheetId="1" r:id="rId1"/>
    <sheet name="BOGOTA" sheetId="2" r:id="rId2"/>
    <sheet name="CARTAGENA" sheetId="3" r:id="rId3"/>
    <sheet name="SANTA MARTA" sheetId="7" r:id="rId4"/>
    <sheet name="SAN ANDRES" sheetId="8" r:id="rId5"/>
    <sheet name="EJE CAFETERO" sheetId="4" r:id="rId6"/>
    <sheet name="BUCARAMANGA" sheetId="5" r:id="rId7"/>
    <sheet name="TATACOA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3" l="1"/>
  <c r="M31" i="8" l="1"/>
  <c r="M32" i="8" s="1"/>
  <c r="I31" i="8"/>
  <c r="I32" i="8" s="1"/>
  <c r="E31" i="8"/>
  <c r="E32" i="8" s="1"/>
  <c r="M30" i="8"/>
  <c r="L30" i="8"/>
  <c r="L31" i="8" s="1"/>
  <c r="L32" i="8" s="1"/>
  <c r="K30" i="8"/>
  <c r="K31" i="8" s="1"/>
  <c r="K32" i="8" s="1"/>
  <c r="J30" i="8"/>
  <c r="J31" i="8" s="1"/>
  <c r="J32" i="8" s="1"/>
  <c r="I30" i="8"/>
  <c r="H30" i="8"/>
  <c r="H31" i="8" s="1"/>
  <c r="H32" i="8" s="1"/>
  <c r="G30" i="8"/>
  <c r="G31" i="8" s="1"/>
  <c r="G32" i="8" s="1"/>
  <c r="F30" i="8"/>
  <c r="F31" i="8" s="1"/>
  <c r="F32" i="8" s="1"/>
  <c r="E30" i="8"/>
  <c r="AC29" i="8"/>
  <c r="AC30" i="8" s="1"/>
  <c r="AB29" i="8"/>
  <c r="AB30" i="8" s="1"/>
  <c r="AA29" i="8"/>
  <c r="AA30" i="8" s="1"/>
  <c r="Z29" i="8"/>
  <c r="Z30" i="8" s="1"/>
  <c r="Y29" i="8"/>
  <c r="Y30" i="8" s="1"/>
  <c r="X29" i="8"/>
  <c r="X30" i="8" s="1"/>
  <c r="W29" i="8"/>
  <c r="W30" i="8" s="1"/>
  <c r="V29" i="8"/>
  <c r="V30" i="8" s="1"/>
  <c r="U29" i="8"/>
  <c r="U30" i="8" s="1"/>
  <c r="T29" i="8"/>
  <c r="T30" i="8" s="1"/>
  <c r="S29" i="8"/>
  <c r="S30" i="8" s="1"/>
  <c r="R29" i="8"/>
  <c r="R30" i="8" s="1"/>
  <c r="Q29" i="8"/>
  <c r="Q30" i="8" s="1"/>
  <c r="P29" i="8"/>
  <c r="P30" i="8" s="1"/>
  <c r="O29" i="8"/>
  <c r="O30" i="8" s="1"/>
  <c r="N29" i="8"/>
  <c r="N30" i="8" s="1"/>
  <c r="AB24" i="8"/>
  <c r="X24" i="8"/>
  <c r="T24" i="8"/>
  <c r="P24" i="8"/>
  <c r="M24" i="8"/>
  <c r="M25" i="8" s="1"/>
  <c r="M26" i="8" s="1"/>
  <c r="L24" i="8"/>
  <c r="L25" i="8" s="1"/>
  <c r="L26" i="8" s="1"/>
  <c r="K24" i="8"/>
  <c r="K25" i="8" s="1"/>
  <c r="K26" i="8" s="1"/>
  <c r="J24" i="8"/>
  <c r="J25" i="8" s="1"/>
  <c r="J26" i="8" s="1"/>
  <c r="I24" i="8"/>
  <c r="I25" i="8" s="1"/>
  <c r="I26" i="8" s="1"/>
  <c r="H24" i="8"/>
  <c r="H25" i="8" s="1"/>
  <c r="H26" i="8" s="1"/>
  <c r="G24" i="8"/>
  <c r="G25" i="8" s="1"/>
  <c r="G26" i="8" s="1"/>
  <c r="F24" i="8"/>
  <c r="F25" i="8" s="1"/>
  <c r="F26" i="8" s="1"/>
  <c r="E24" i="8"/>
  <c r="E25" i="8" s="1"/>
  <c r="E26" i="8" s="1"/>
  <c r="AC23" i="8"/>
  <c r="AC24" i="8" s="1"/>
  <c r="AB23" i="8"/>
  <c r="AA23" i="8"/>
  <c r="AA24" i="8" s="1"/>
  <c r="Z23" i="8"/>
  <c r="Z24" i="8" s="1"/>
  <c r="Y23" i="8"/>
  <c r="Y24" i="8" s="1"/>
  <c r="X23" i="8"/>
  <c r="W23" i="8"/>
  <c r="W24" i="8" s="1"/>
  <c r="V23" i="8"/>
  <c r="V24" i="8" s="1"/>
  <c r="U23" i="8"/>
  <c r="U24" i="8" s="1"/>
  <c r="T23" i="8"/>
  <c r="S23" i="8"/>
  <c r="S24" i="8" s="1"/>
  <c r="R23" i="8"/>
  <c r="R24" i="8" s="1"/>
  <c r="Q23" i="8"/>
  <c r="Q24" i="8" s="1"/>
  <c r="P23" i="8"/>
  <c r="O23" i="8"/>
  <c r="O24" i="8" s="1"/>
  <c r="N23" i="8"/>
  <c r="N24" i="8" s="1"/>
  <c r="F19" i="8"/>
  <c r="F20" i="8" s="1"/>
  <c r="AA18" i="8"/>
  <c r="W18" i="8"/>
  <c r="S18" i="8"/>
  <c r="O18" i="8"/>
  <c r="M18" i="8"/>
  <c r="M19" i="8" s="1"/>
  <c r="M20" i="8" s="1"/>
  <c r="L18" i="8"/>
  <c r="L19" i="8" s="1"/>
  <c r="L20" i="8" s="1"/>
  <c r="K18" i="8"/>
  <c r="K19" i="8" s="1"/>
  <c r="K20" i="8" s="1"/>
  <c r="J18" i="8"/>
  <c r="J19" i="8" s="1"/>
  <c r="J20" i="8" s="1"/>
  <c r="I18" i="8"/>
  <c r="I19" i="8" s="1"/>
  <c r="I20" i="8" s="1"/>
  <c r="H18" i="8"/>
  <c r="H19" i="8" s="1"/>
  <c r="H20" i="8" s="1"/>
  <c r="G18" i="8"/>
  <c r="G19" i="8" s="1"/>
  <c r="G20" i="8" s="1"/>
  <c r="F18" i="8"/>
  <c r="E18" i="8"/>
  <c r="E19" i="8" s="1"/>
  <c r="E20" i="8" s="1"/>
  <c r="AC17" i="8"/>
  <c r="AC18" i="8" s="1"/>
  <c r="AB17" i="8"/>
  <c r="AB18" i="8" s="1"/>
  <c r="AA17" i="8"/>
  <c r="Z17" i="8"/>
  <c r="Z18" i="8" s="1"/>
  <c r="Y17" i="8"/>
  <c r="Y18" i="8" s="1"/>
  <c r="X17" i="8"/>
  <c r="X18" i="8" s="1"/>
  <c r="W17" i="8"/>
  <c r="V17" i="8"/>
  <c r="V18" i="8" s="1"/>
  <c r="U17" i="8"/>
  <c r="U18" i="8" s="1"/>
  <c r="T17" i="8"/>
  <c r="T18" i="8" s="1"/>
  <c r="S17" i="8"/>
  <c r="R17" i="8"/>
  <c r="R18" i="8" s="1"/>
  <c r="Q17" i="8"/>
  <c r="Q18" i="8" s="1"/>
  <c r="P17" i="8"/>
  <c r="P18" i="8" s="1"/>
  <c r="O17" i="8"/>
  <c r="N17" i="8"/>
  <c r="N18" i="8" s="1"/>
  <c r="J12" i="8"/>
  <c r="J13" i="8" s="1"/>
  <c r="J14" i="8" s="1"/>
  <c r="H12" i="8"/>
  <c r="H13" i="8" s="1"/>
  <c r="H14" i="8" s="1"/>
  <c r="M11" i="8"/>
  <c r="M12" i="8" s="1"/>
  <c r="M13" i="8" s="1"/>
  <c r="M14" i="8" s="1"/>
  <c r="L11" i="8"/>
  <c r="L12" i="8" s="1"/>
  <c r="L13" i="8" s="1"/>
  <c r="L14" i="8" s="1"/>
  <c r="K11" i="8"/>
  <c r="K12" i="8" s="1"/>
  <c r="K13" i="8" s="1"/>
  <c r="K14" i="8" s="1"/>
  <c r="J11" i="8"/>
  <c r="I11" i="8"/>
  <c r="I12" i="8" s="1"/>
  <c r="I13" i="8" s="1"/>
  <c r="I14" i="8" s="1"/>
  <c r="H11" i="8"/>
  <c r="G11" i="8"/>
  <c r="G12" i="8" s="1"/>
  <c r="G13" i="8" s="1"/>
  <c r="G14" i="8" s="1"/>
  <c r="F11" i="8"/>
  <c r="F12" i="8" s="1"/>
  <c r="F13" i="8" s="1"/>
  <c r="F14" i="8" s="1"/>
  <c r="E11" i="8"/>
  <c r="E12" i="8" s="1"/>
  <c r="E13" i="8" s="1"/>
  <c r="E14" i="8" s="1"/>
  <c r="AB10" i="8"/>
  <c r="AB11" i="8" s="1"/>
  <c r="AB12" i="8" s="1"/>
  <c r="T10" i="8"/>
  <c r="T11" i="8" s="1"/>
  <c r="T12" i="8" s="1"/>
  <c r="AC9" i="8"/>
  <c r="Z10" i="8" s="1"/>
  <c r="Z11" i="8" s="1"/>
  <c r="Z12" i="8" s="1"/>
  <c r="R9" i="8"/>
  <c r="R10" i="8" s="1"/>
  <c r="R11" i="8" s="1"/>
  <c r="R12" i="8" s="1"/>
  <c r="L5" i="8"/>
  <c r="L6" i="8" s="1"/>
  <c r="L7" i="8" s="1"/>
  <c r="M4" i="8"/>
  <c r="M5" i="8" s="1"/>
  <c r="M6" i="8" s="1"/>
  <c r="M7" i="8" s="1"/>
  <c r="L4" i="8"/>
  <c r="K4" i="8"/>
  <c r="K5" i="8" s="1"/>
  <c r="K6" i="8" s="1"/>
  <c r="K7" i="8" s="1"/>
  <c r="J4" i="8"/>
  <c r="J5" i="8" s="1"/>
  <c r="J6" i="8" s="1"/>
  <c r="J7" i="8" s="1"/>
  <c r="I4" i="8"/>
  <c r="I5" i="8" s="1"/>
  <c r="I6" i="8" s="1"/>
  <c r="I7" i="8" s="1"/>
  <c r="H4" i="8"/>
  <c r="H5" i="8" s="1"/>
  <c r="H6" i="8" s="1"/>
  <c r="H7" i="8" s="1"/>
  <c r="G4" i="8"/>
  <c r="G5" i="8" s="1"/>
  <c r="G6" i="8" s="1"/>
  <c r="G7" i="8" s="1"/>
  <c r="F4" i="8"/>
  <c r="F5" i="8" s="1"/>
  <c r="F6" i="8" s="1"/>
  <c r="F7" i="8" s="1"/>
  <c r="E4" i="8"/>
  <c r="E5" i="8" s="1"/>
  <c r="E6" i="8" s="1"/>
  <c r="E7" i="8" s="1"/>
  <c r="AB3" i="8"/>
  <c r="AB4" i="8" s="1"/>
  <c r="AB5" i="8" s="1"/>
  <c r="AA3" i="8"/>
  <c r="AA4" i="8" s="1"/>
  <c r="AA5" i="8" s="1"/>
  <c r="Z3" i="8"/>
  <c r="Z4" i="8" s="1"/>
  <c r="Z5" i="8" s="1"/>
  <c r="X3" i="8"/>
  <c r="X4" i="8" s="1"/>
  <c r="X5" i="8" s="1"/>
  <c r="V3" i="8"/>
  <c r="V4" i="8" s="1"/>
  <c r="V5" i="8" s="1"/>
  <c r="T3" i="8"/>
  <c r="T4" i="8" s="1"/>
  <c r="T5" i="8" s="1"/>
  <c r="S3" i="8"/>
  <c r="S4" i="8" s="1"/>
  <c r="S5" i="8" s="1"/>
  <c r="R3" i="8"/>
  <c r="R4" i="8" s="1"/>
  <c r="R5" i="8" s="1"/>
  <c r="N3" i="8"/>
  <c r="N4" i="8" s="1"/>
  <c r="N5" i="8" s="1"/>
  <c r="AC1" i="8"/>
  <c r="W3" i="8" s="1"/>
  <c r="W4" i="8" s="1"/>
  <c r="W5" i="8" s="1"/>
  <c r="R1" i="8"/>
  <c r="O3" i="8" s="1"/>
  <c r="O4" i="8" s="1"/>
  <c r="O5" i="8" s="1"/>
  <c r="P3" i="8" l="1"/>
  <c r="P4" i="8" s="1"/>
  <c r="P5" i="8" s="1"/>
  <c r="Q3" i="8"/>
  <c r="Q4" i="8" s="1"/>
  <c r="Q5" i="8" s="1"/>
  <c r="Y3" i="8"/>
  <c r="Y4" i="8" s="1"/>
  <c r="Y5" i="8" s="1"/>
  <c r="S10" i="8"/>
  <c r="S11" i="8" s="1"/>
  <c r="S12" i="8" s="1"/>
  <c r="AA10" i="8"/>
  <c r="AA11" i="8" s="1"/>
  <c r="AA12" i="8" s="1"/>
  <c r="U10" i="8"/>
  <c r="U11" i="8" s="1"/>
  <c r="U12" i="8" s="1"/>
  <c r="N10" i="8"/>
  <c r="N11" i="8" s="1"/>
  <c r="N12" i="8" s="1"/>
  <c r="V10" i="8"/>
  <c r="V11" i="8" s="1"/>
  <c r="V12" i="8" s="1"/>
  <c r="U3" i="8"/>
  <c r="U4" i="8" s="1"/>
  <c r="U5" i="8" s="1"/>
  <c r="AC3" i="8"/>
  <c r="AC4" i="8" s="1"/>
  <c r="AC5" i="8" s="1"/>
  <c r="O10" i="8"/>
  <c r="O11" i="8" s="1"/>
  <c r="O12" i="8" s="1"/>
  <c r="W10" i="8"/>
  <c r="W11" i="8" s="1"/>
  <c r="W12" i="8" s="1"/>
  <c r="AC10" i="8"/>
  <c r="AC11" i="8" s="1"/>
  <c r="AC12" i="8" s="1"/>
  <c r="Q10" i="8"/>
  <c r="Q11" i="8" s="1"/>
  <c r="Q12" i="8" s="1"/>
  <c r="Y10" i="8"/>
  <c r="Y11" i="8" s="1"/>
  <c r="Y12" i="8" s="1"/>
  <c r="P10" i="8"/>
  <c r="P11" i="8" s="1"/>
  <c r="P12" i="8" s="1"/>
  <c r="X10" i="8"/>
  <c r="X11" i="8" s="1"/>
  <c r="X12" i="8" s="1"/>
  <c r="E30" i="7" l="1"/>
  <c r="E31" i="7" s="1"/>
  <c r="E32" i="7" s="1"/>
  <c r="AC23" i="7"/>
  <c r="AC24" i="7" s="1"/>
  <c r="AB23" i="7"/>
  <c r="AB24" i="7" s="1"/>
  <c r="AA23" i="7"/>
  <c r="AA24" i="7" s="1"/>
  <c r="Z23" i="7"/>
  <c r="Z24" i="7" s="1"/>
  <c r="Y23" i="7"/>
  <c r="Y24" i="7" s="1"/>
  <c r="X23" i="7"/>
  <c r="X24" i="7" s="1"/>
  <c r="W23" i="7"/>
  <c r="W24" i="7" s="1"/>
  <c r="V23" i="7"/>
  <c r="V24" i="7" s="1"/>
  <c r="U23" i="7"/>
  <c r="U24" i="7" s="1"/>
  <c r="T23" i="7"/>
  <c r="T24" i="7" s="1"/>
  <c r="S23" i="7"/>
  <c r="S24" i="7" s="1"/>
  <c r="R23" i="7"/>
  <c r="R24" i="7" s="1"/>
  <c r="Q23" i="7"/>
  <c r="Q24" i="7" s="1"/>
  <c r="P23" i="7"/>
  <c r="P24" i="7" s="1"/>
  <c r="O23" i="7"/>
  <c r="O24" i="7" s="1"/>
  <c r="N23" i="7"/>
  <c r="N24" i="7" s="1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F18" i="7"/>
  <c r="F19" i="7" s="1"/>
  <c r="F20" i="7" s="1"/>
  <c r="E18" i="7"/>
  <c r="E19" i="7" s="1"/>
  <c r="E20" i="7" s="1"/>
  <c r="F30" i="7"/>
  <c r="F31" i="7" s="1"/>
  <c r="F32" i="7" s="1"/>
  <c r="F11" i="7"/>
  <c r="AC9" i="7"/>
  <c r="W10" i="7" s="1"/>
  <c r="W11" i="7" s="1"/>
  <c r="R9" i="7"/>
  <c r="R10" i="7" s="1"/>
  <c r="R11" i="7" s="1"/>
  <c r="K11" i="7"/>
  <c r="AC1" i="7"/>
  <c r="T3" i="7" s="1"/>
  <c r="T4" i="7" s="1"/>
  <c r="R1" i="7"/>
  <c r="N3" i="7" s="1"/>
  <c r="E4" i="7"/>
  <c r="E5" i="7" s="1"/>
  <c r="E6" i="7" s="1"/>
  <c r="E7" i="7" s="1"/>
  <c r="E24" i="7" s="1"/>
  <c r="E25" i="7" s="1"/>
  <c r="E26" i="7" s="1"/>
  <c r="G37" i="3"/>
  <c r="H37" i="3" s="1"/>
  <c r="I37" i="3" s="1"/>
  <c r="F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F38" i="3" s="1"/>
  <c r="F39" i="3" s="1"/>
  <c r="F40" i="3" s="1"/>
  <c r="E36" i="3"/>
  <c r="E38" i="3" s="1"/>
  <c r="E39" i="3" s="1"/>
  <c r="E40" i="3" s="1"/>
  <c r="F30" i="3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C29" i="3"/>
  <c r="AC31" i="3" s="1"/>
  <c r="AB29" i="3"/>
  <c r="AB31" i="3" s="1"/>
  <c r="AA29" i="3"/>
  <c r="AA31" i="3" s="1"/>
  <c r="Z29" i="3"/>
  <c r="Z31" i="3" s="1"/>
  <c r="Y29" i="3"/>
  <c r="Y31" i="3" s="1"/>
  <c r="X29" i="3"/>
  <c r="X31" i="3" s="1"/>
  <c r="W29" i="3"/>
  <c r="W31" i="3" s="1"/>
  <c r="V29" i="3"/>
  <c r="V31" i="3" s="1"/>
  <c r="U29" i="3"/>
  <c r="U31" i="3" s="1"/>
  <c r="T29" i="3"/>
  <c r="T31" i="3" s="1"/>
  <c r="S29" i="3"/>
  <c r="S31" i="3" s="1"/>
  <c r="R29" i="3"/>
  <c r="R31" i="3" s="1"/>
  <c r="Q29" i="3"/>
  <c r="Q31" i="3" s="1"/>
  <c r="P29" i="3"/>
  <c r="P31" i="3" s="1"/>
  <c r="O29" i="3"/>
  <c r="O31" i="3" s="1"/>
  <c r="N29" i="3"/>
  <c r="N31" i="3" s="1"/>
  <c r="M11" i="3"/>
  <c r="G11" i="3"/>
  <c r="M1" i="3"/>
  <c r="T10" i="7" l="1"/>
  <c r="T11" i="7" s="1"/>
  <c r="G18" i="7"/>
  <c r="G19" i="7" s="1"/>
  <c r="G20" i="7" s="1"/>
  <c r="N4" i="7"/>
  <c r="N5" i="7" s="1"/>
  <c r="J4" i="7"/>
  <c r="J5" i="7" s="1"/>
  <c r="J6" i="7" s="1"/>
  <c r="J7" i="7" s="1"/>
  <c r="J24" i="7" s="1"/>
  <c r="J25" i="7" s="1"/>
  <c r="J26" i="7" s="1"/>
  <c r="Q3" i="7"/>
  <c r="Q4" i="7" s="1"/>
  <c r="M4" i="7"/>
  <c r="M5" i="7" s="1"/>
  <c r="M6" i="7" s="1"/>
  <c r="M7" i="7" s="1"/>
  <c r="M24" i="7" s="1"/>
  <c r="M25" i="7" s="1"/>
  <c r="M26" i="7" s="1"/>
  <c r="Z3" i="7"/>
  <c r="Z4" i="7" s="1"/>
  <c r="Z5" i="7" s="1"/>
  <c r="P10" i="7"/>
  <c r="P11" i="7" s="1"/>
  <c r="AA3" i="7"/>
  <c r="AA4" i="7" s="1"/>
  <c r="AA5" i="7" s="1"/>
  <c r="Q10" i="7"/>
  <c r="Q11" i="7" s="1"/>
  <c r="F4" i="7"/>
  <c r="F5" i="7" s="1"/>
  <c r="F6" i="7" s="1"/>
  <c r="F7" i="7" s="1"/>
  <c r="F24" i="7" s="1"/>
  <c r="F25" i="7" s="1"/>
  <c r="F26" i="7" s="1"/>
  <c r="S3" i="7"/>
  <c r="S4" i="7" s="1"/>
  <c r="S5" i="7" s="1"/>
  <c r="AC10" i="7"/>
  <c r="AC11" i="7" s="1"/>
  <c r="H18" i="7"/>
  <c r="H19" i="7" s="1"/>
  <c r="H20" i="7" s="1"/>
  <c r="G4" i="7"/>
  <c r="G5" i="7" s="1"/>
  <c r="G6" i="7" s="1"/>
  <c r="G7" i="7" s="1"/>
  <c r="G24" i="7" s="1"/>
  <c r="G25" i="7" s="1"/>
  <c r="G26" i="7" s="1"/>
  <c r="V3" i="7"/>
  <c r="V4" i="7" s="1"/>
  <c r="V5" i="7" s="1"/>
  <c r="H4" i="7"/>
  <c r="H5" i="7" s="1"/>
  <c r="H6" i="7" s="1"/>
  <c r="H7" i="7" s="1"/>
  <c r="H24" i="7" s="1"/>
  <c r="H25" i="7" s="1"/>
  <c r="H26" i="7" s="1"/>
  <c r="X3" i="7"/>
  <c r="X4" i="7" s="1"/>
  <c r="X5" i="7" s="1"/>
  <c r="N10" i="7"/>
  <c r="N11" i="7" s="1"/>
  <c r="L4" i="7"/>
  <c r="L5" i="7" s="1"/>
  <c r="L6" i="7" s="1"/>
  <c r="L7" i="7" s="1"/>
  <c r="L24" i="7" s="1"/>
  <c r="L25" i="7" s="1"/>
  <c r="L26" i="7" s="1"/>
  <c r="I4" i="7"/>
  <c r="Y3" i="7"/>
  <c r="Y4" i="7" s="1"/>
  <c r="Y5" i="7" s="1"/>
  <c r="O10" i="7"/>
  <c r="O11" i="7" s="1"/>
  <c r="O3" i="7"/>
  <c r="O4" i="7" s="1"/>
  <c r="O5" i="7" s="1"/>
  <c r="AB3" i="7"/>
  <c r="AB4" i="7" s="1"/>
  <c r="AB5" i="7" s="1"/>
  <c r="F12" i="7"/>
  <c r="F13" i="7" s="1"/>
  <c r="F14" i="7" s="1"/>
  <c r="E11" i="7"/>
  <c r="E12" i="7" s="1"/>
  <c r="E13" i="7" s="1"/>
  <c r="E14" i="7" s="1"/>
  <c r="G11" i="7"/>
  <c r="I5" i="7"/>
  <c r="I6" i="7" s="1"/>
  <c r="I7" i="7" s="1"/>
  <c r="I24" i="7" s="1"/>
  <c r="I25" i="7" s="1"/>
  <c r="I26" i="7" s="1"/>
  <c r="I18" i="7"/>
  <c r="I19" i="7" s="1"/>
  <c r="I20" i="7" s="1"/>
  <c r="T5" i="7"/>
  <c r="Q5" i="7"/>
  <c r="P3" i="7"/>
  <c r="P4" i="7" s="1"/>
  <c r="P5" i="7" s="1"/>
  <c r="L11" i="7"/>
  <c r="U10" i="7"/>
  <c r="U11" i="7" s="1"/>
  <c r="M11" i="7"/>
  <c r="R3" i="7"/>
  <c r="R4" i="7" s="1"/>
  <c r="R5" i="7" s="1"/>
  <c r="AA10" i="7"/>
  <c r="AA11" i="7" s="1"/>
  <c r="S10" i="7"/>
  <c r="S11" i="7" s="1"/>
  <c r="V10" i="7"/>
  <c r="V11" i="7" s="1"/>
  <c r="X10" i="7"/>
  <c r="X11" i="7" s="1"/>
  <c r="K4" i="7"/>
  <c r="K5" i="7" s="1"/>
  <c r="K6" i="7" s="1"/>
  <c r="K7" i="7" s="1"/>
  <c r="K24" i="7" s="1"/>
  <c r="K25" i="7" s="1"/>
  <c r="K26" i="7" s="1"/>
  <c r="Y10" i="7"/>
  <c r="Y11" i="7" s="1"/>
  <c r="J11" i="7"/>
  <c r="H11" i="7"/>
  <c r="Z10" i="7"/>
  <c r="Z11" i="7" s="1"/>
  <c r="AC3" i="7"/>
  <c r="AC4" i="7" s="1"/>
  <c r="AC5" i="7" s="1"/>
  <c r="U3" i="7"/>
  <c r="U4" i="7" s="1"/>
  <c r="U5" i="7" s="1"/>
  <c r="W3" i="7"/>
  <c r="W4" i="7" s="1"/>
  <c r="W5" i="7" s="1"/>
  <c r="I11" i="7"/>
  <c r="AB10" i="7"/>
  <c r="AB11" i="7" s="1"/>
  <c r="G38" i="3"/>
  <c r="G39" i="3" s="1"/>
  <c r="G40" i="3" s="1"/>
  <c r="H38" i="3"/>
  <c r="H39" i="3" s="1"/>
  <c r="H40" i="3" s="1"/>
  <c r="J38" i="3"/>
  <c r="J39" i="3" s="1"/>
  <c r="J40" i="3" s="1"/>
  <c r="N38" i="3"/>
  <c r="J37" i="3"/>
  <c r="K37" i="3" s="1"/>
  <c r="L37" i="3" s="1"/>
  <c r="M37" i="3" s="1"/>
  <c r="N37" i="3" s="1"/>
  <c r="O37" i="3" s="1"/>
  <c r="I38" i="3"/>
  <c r="I39" i="3" s="1"/>
  <c r="I40" i="3" s="1"/>
  <c r="F45" i="2"/>
  <c r="G45" i="2"/>
  <c r="H45" i="2"/>
  <c r="I45" i="2"/>
  <c r="J45" i="2"/>
  <c r="J46" i="2" s="1"/>
  <c r="K45" i="2"/>
  <c r="L45" i="2"/>
  <c r="L46" i="2" s="1"/>
  <c r="M45" i="2"/>
  <c r="E45" i="2"/>
  <c r="I44" i="2"/>
  <c r="J44" i="2"/>
  <c r="K44" i="2"/>
  <c r="L44" i="2"/>
  <c r="M44" i="2"/>
  <c r="H44" i="2"/>
  <c r="H46" i="2" s="1"/>
  <c r="F44" i="2"/>
  <c r="G44" i="2"/>
  <c r="G46" i="2" s="1"/>
  <c r="E44" i="2"/>
  <c r="H48" i="2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G48" i="2"/>
  <c r="F48" i="2"/>
  <c r="F47" i="2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B46" i="2"/>
  <c r="AB49" i="2" s="1"/>
  <c r="X46" i="2"/>
  <c r="X49" i="2" s="1"/>
  <c r="T46" i="2"/>
  <c r="T49" i="2" s="1"/>
  <c r="P46" i="2"/>
  <c r="P49" i="2" s="1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C46" i="2" s="1"/>
  <c r="AC49" i="2" s="1"/>
  <c r="AB44" i="2"/>
  <c r="AA44" i="2"/>
  <c r="AA46" i="2" s="1"/>
  <c r="AA49" i="2" s="1"/>
  <c r="Z44" i="2"/>
  <c r="Z46" i="2" s="1"/>
  <c r="Z49" i="2" s="1"/>
  <c r="Y44" i="2"/>
  <c r="Y46" i="2" s="1"/>
  <c r="Y49" i="2" s="1"/>
  <c r="X44" i="2"/>
  <c r="W44" i="2"/>
  <c r="W46" i="2" s="1"/>
  <c r="W49" i="2" s="1"/>
  <c r="V44" i="2"/>
  <c r="V46" i="2" s="1"/>
  <c r="V49" i="2" s="1"/>
  <c r="U44" i="2"/>
  <c r="U46" i="2" s="1"/>
  <c r="U49" i="2" s="1"/>
  <c r="T44" i="2"/>
  <c r="S44" i="2"/>
  <c r="S46" i="2" s="1"/>
  <c r="S49" i="2" s="1"/>
  <c r="R44" i="2"/>
  <c r="R46" i="2" s="1"/>
  <c r="R49" i="2" s="1"/>
  <c r="Q44" i="2"/>
  <c r="Q46" i="2" s="1"/>
  <c r="Q49" i="2" s="1"/>
  <c r="P44" i="2"/>
  <c r="O44" i="2"/>
  <c r="O46" i="2" s="1"/>
  <c r="O49" i="2" s="1"/>
  <c r="N44" i="2"/>
  <c r="N46" i="2" s="1"/>
  <c r="N49" i="2" s="1"/>
  <c r="M46" i="2"/>
  <c r="K46" i="2"/>
  <c r="I46" i="2"/>
  <c r="L18" i="7" l="1"/>
  <c r="L19" i="7" s="1"/>
  <c r="L20" i="7" s="1"/>
  <c r="M18" i="7"/>
  <c r="M19" i="7" s="1"/>
  <c r="M20" i="7" s="1"/>
  <c r="K18" i="7"/>
  <c r="K19" i="7" s="1"/>
  <c r="K20" i="7" s="1"/>
  <c r="N18" i="7"/>
  <c r="G30" i="7"/>
  <c r="G31" i="7" s="1"/>
  <c r="G32" i="7" s="1"/>
  <c r="G12" i="7"/>
  <c r="G13" i="7" s="1"/>
  <c r="G14" i="7" s="1"/>
  <c r="J18" i="7"/>
  <c r="J19" i="7" s="1"/>
  <c r="J20" i="7" s="1"/>
  <c r="L38" i="3"/>
  <c r="L39" i="3" s="1"/>
  <c r="L40" i="3" s="1"/>
  <c r="K38" i="3"/>
  <c r="K39" i="3" s="1"/>
  <c r="K40" i="3" s="1"/>
  <c r="M38" i="3"/>
  <c r="M39" i="3" s="1"/>
  <c r="M40" i="3" s="1"/>
  <c r="O38" i="3"/>
  <c r="P37" i="3"/>
  <c r="I49" i="2"/>
  <c r="I50" i="2" s="1"/>
  <c r="I51" i="2" s="1"/>
  <c r="H49" i="2"/>
  <c r="H50" i="2" s="1"/>
  <c r="H51" i="2" s="1"/>
  <c r="L49" i="2"/>
  <c r="L50" i="2" s="1"/>
  <c r="L51" i="2" s="1"/>
  <c r="K49" i="2"/>
  <c r="K50" i="2" s="1"/>
  <c r="K51" i="2" s="1"/>
  <c r="M49" i="2"/>
  <c r="M50" i="2" s="1"/>
  <c r="M51" i="2" s="1"/>
  <c r="G49" i="2"/>
  <c r="G50" i="2" s="1"/>
  <c r="G51" i="2" s="1"/>
  <c r="J49" i="2"/>
  <c r="J50" i="2" s="1"/>
  <c r="J51" i="2" s="1"/>
  <c r="F46" i="2"/>
  <c r="F49" i="2" s="1"/>
  <c r="F50" i="2" s="1"/>
  <c r="F51" i="2" s="1"/>
  <c r="E46" i="2"/>
  <c r="E49" i="2" s="1"/>
  <c r="E50" i="2" s="1"/>
  <c r="E51" i="2" s="1"/>
  <c r="O18" i="7" l="1"/>
  <c r="H30" i="7"/>
  <c r="H31" i="7" s="1"/>
  <c r="H32" i="7" s="1"/>
  <c r="H12" i="7"/>
  <c r="H13" i="7" s="1"/>
  <c r="H14" i="7" s="1"/>
  <c r="Q37" i="3"/>
  <c r="P38" i="3"/>
  <c r="M34" i="2"/>
  <c r="L34" i="2"/>
  <c r="K34" i="2"/>
  <c r="K36" i="2" s="1"/>
  <c r="J34" i="2"/>
  <c r="I34" i="2"/>
  <c r="H34" i="2"/>
  <c r="G34" i="2"/>
  <c r="F34" i="2"/>
  <c r="E34" i="2"/>
  <c r="M35" i="2"/>
  <c r="L35" i="2"/>
  <c r="K35" i="2"/>
  <c r="J35" i="2"/>
  <c r="I35" i="2"/>
  <c r="H35" i="2"/>
  <c r="G35" i="2"/>
  <c r="F35" i="2"/>
  <c r="E35" i="2"/>
  <c r="F38" i="2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F37" i="2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Z36" i="2"/>
  <c r="V36" i="2"/>
  <c r="R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C36" i="2" s="1"/>
  <c r="AB34" i="2"/>
  <c r="AB36" i="2" s="1"/>
  <c r="AA34" i="2"/>
  <c r="AA36" i="2" s="1"/>
  <c r="Z34" i="2"/>
  <c r="Y34" i="2"/>
  <c r="Y36" i="2" s="1"/>
  <c r="X34" i="2"/>
  <c r="X36" i="2" s="1"/>
  <c r="W34" i="2"/>
  <c r="W36" i="2" s="1"/>
  <c r="V34" i="2"/>
  <c r="U34" i="2"/>
  <c r="U36" i="2" s="1"/>
  <c r="T34" i="2"/>
  <c r="T36" i="2" s="1"/>
  <c r="S34" i="2"/>
  <c r="S36" i="2" s="1"/>
  <c r="R34" i="2"/>
  <c r="Q34" i="2"/>
  <c r="Q36" i="2" s="1"/>
  <c r="P34" i="2"/>
  <c r="P36" i="2" s="1"/>
  <c r="O34" i="2"/>
  <c r="O36" i="2" s="1"/>
  <c r="N34" i="2"/>
  <c r="L36" i="2"/>
  <c r="M24" i="2"/>
  <c r="L24" i="2"/>
  <c r="K24" i="2"/>
  <c r="M3" i="2"/>
  <c r="L3" i="2"/>
  <c r="K3" i="2"/>
  <c r="M13" i="2"/>
  <c r="L13" i="2"/>
  <c r="K13" i="2"/>
  <c r="I30" i="7" l="1"/>
  <c r="I31" i="7" s="1"/>
  <c r="I32" i="7" s="1"/>
  <c r="I12" i="7"/>
  <c r="I13" i="7" s="1"/>
  <c r="I14" i="7" s="1"/>
  <c r="P18" i="7"/>
  <c r="Q38" i="3"/>
  <c r="R37" i="3"/>
  <c r="P39" i="2"/>
  <c r="N39" i="2"/>
  <c r="O39" i="2"/>
  <c r="S39" i="2"/>
  <c r="W39" i="2"/>
  <c r="AA39" i="2"/>
  <c r="R39" i="2"/>
  <c r="L39" i="2"/>
  <c r="L40" i="2" s="1"/>
  <c r="L41" i="2" s="1"/>
  <c r="K39" i="2"/>
  <c r="K40" i="2" s="1"/>
  <c r="K41" i="2" s="1"/>
  <c r="T39" i="2"/>
  <c r="X39" i="2"/>
  <c r="AB39" i="2"/>
  <c r="Q39" i="2"/>
  <c r="U39" i="2"/>
  <c r="Y39" i="2"/>
  <c r="AC39" i="2"/>
  <c r="Z39" i="2"/>
  <c r="J36" i="2"/>
  <c r="J39" i="2" s="1"/>
  <c r="J40" i="2" s="1"/>
  <c r="J41" i="2" s="1"/>
  <c r="F36" i="2"/>
  <c r="F39" i="2" s="1"/>
  <c r="F40" i="2" s="1"/>
  <c r="F41" i="2" s="1"/>
  <c r="M36" i="2"/>
  <c r="M39" i="2" s="1"/>
  <c r="M40" i="2" s="1"/>
  <c r="M41" i="2" s="1"/>
  <c r="I36" i="2"/>
  <c r="I39" i="2" s="1"/>
  <c r="I40" i="2" s="1"/>
  <c r="I41" i="2" s="1"/>
  <c r="H36" i="2"/>
  <c r="H39" i="2" s="1"/>
  <c r="H40" i="2" s="1"/>
  <c r="H41" i="2" s="1"/>
  <c r="G36" i="2"/>
  <c r="G39" i="2" s="1"/>
  <c r="G40" i="2" s="1"/>
  <c r="G41" i="2" s="1"/>
  <c r="E36" i="2"/>
  <c r="E39" i="2" s="1"/>
  <c r="E40" i="2" s="1"/>
  <c r="E41" i="2" s="1"/>
  <c r="V39" i="2"/>
  <c r="B3" i="2"/>
  <c r="I54" i="1"/>
  <c r="J54" i="1"/>
  <c r="K54" i="1"/>
  <c r="L54" i="1"/>
  <c r="M54" i="1"/>
  <c r="H54" i="1"/>
  <c r="F54" i="1"/>
  <c r="G54" i="1"/>
  <c r="E54" i="1"/>
  <c r="F55" i="1"/>
  <c r="G55" i="1" s="1"/>
  <c r="H55" i="1" s="1"/>
  <c r="N54" i="1"/>
  <c r="O54" i="1"/>
  <c r="M47" i="1"/>
  <c r="L47" i="1"/>
  <c r="K47" i="1"/>
  <c r="I39" i="1"/>
  <c r="J39" i="1"/>
  <c r="K39" i="1"/>
  <c r="L39" i="1"/>
  <c r="M39" i="1"/>
  <c r="H39" i="1"/>
  <c r="I30" i="1"/>
  <c r="J30" i="1"/>
  <c r="K30" i="1"/>
  <c r="L30" i="1"/>
  <c r="M30" i="1"/>
  <c r="H30" i="1"/>
  <c r="I13" i="1"/>
  <c r="J13" i="1"/>
  <c r="K13" i="1"/>
  <c r="L13" i="1"/>
  <c r="M13" i="1"/>
  <c r="H13" i="1"/>
  <c r="I4" i="1"/>
  <c r="J4" i="1"/>
  <c r="K4" i="1"/>
  <c r="L4" i="1"/>
  <c r="M4" i="1"/>
  <c r="H4" i="1"/>
  <c r="Q18" i="7" l="1"/>
  <c r="J30" i="7"/>
  <c r="J31" i="7" s="1"/>
  <c r="J32" i="7" s="1"/>
  <c r="J12" i="7"/>
  <c r="J13" i="7" s="1"/>
  <c r="J14" i="7" s="1"/>
  <c r="S37" i="3"/>
  <c r="R38" i="3"/>
  <c r="I55" i="1"/>
  <c r="J55" i="1" s="1"/>
  <c r="M38" i="1"/>
  <c r="M40" i="1" s="1"/>
  <c r="L38" i="1"/>
  <c r="L40" i="1" s="1"/>
  <c r="K38" i="1"/>
  <c r="K40" i="1" s="1"/>
  <c r="M29" i="1"/>
  <c r="L29" i="1"/>
  <c r="K29" i="1"/>
  <c r="K30" i="7" l="1"/>
  <c r="K31" i="7" s="1"/>
  <c r="K32" i="7" s="1"/>
  <c r="K12" i="7"/>
  <c r="K13" i="7" s="1"/>
  <c r="K14" i="7" s="1"/>
  <c r="R18" i="7"/>
  <c r="T37" i="3"/>
  <c r="S38" i="3"/>
  <c r="K55" i="1"/>
  <c r="G19" i="6"/>
  <c r="H19" i="6" s="1"/>
  <c r="G15" i="6"/>
  <c r="G14" i="6"/>
  <c r="H14" i="6" s="1"/>
  <c r="H13" i="6"/>
  <c r="E13" i="6"/>
  <c r="G13" i="6" s="1"/>
  <c r="G12" i="6"/>
  <c r="H12" i="6" s="1"/>
  <c r="G11" i="6"/>
  <c r="H11" i="6" s="1"/>
  <c r="G10" i="6"/>
  <c r="H10" i="6" s="1"/>
  <c r="E10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Q4" i="6"/>
  <c r="Q6" i="6" s="1"/>
  <c r="K4" i="6"/>
  <c r="K6" i="6" s="1"/>
  <c r="I4" i="6"/>
  <c r="I6" i="6" s="1"/>
  <c r="AC2" i="6"/>
  <c r="AB4" i="6" s="1"/>
  <c r="X2" i="6"/>
  <c r="R2" i="6"/>
  <c r="R4" i="6" s="1"/>
  <c r="N2" i="6"/>
  <c r="M4" i="6" s="1"/>
  <c r="M6" i="6" s="1"/>
  <c r="K2" i="6"/>
  <c r="J4" i="6" s="1"/>
  <c r="G2" i="6"/>
  <c r="AC21" i="4"/>
  <c r="AB21" i="4"/>
  <c r="AA21" i="4"/>
  <c r="Z21" i="4"/>
  <c r="Z22" i="4" s="1"/>
  <c r="Y21" i="4"/>
  <c r="X21" i="4"/>
  <c r="W21" i="4"/>
  <c r="V21" i="4"/>
  <c r="V22" i="4" s="1"/>
  <c r="U21" i="4"/>
  <c r="T21" i="4"/>
  <c r="S21" i="4"/>
  <c r="R21" i="4"/>
  <c r="Q21" i="4"/>
  <c r="P21" i="4"/>
  <c r="O21" i="4"/>
  <c r="N21" i="4"/>
  <c r="M21" i="4"/>
  <c r="L21" i="4"/>
  <c r="K21" i="4"/>
  <c r="J21" i="4"/>
  <c r="J22" i="4" s="1"/>
  <c r="I21" i="4"/>
  <c r="H21" i="4"/>
  <c r="G21" i="4"/>
  <c r="F21" i="4"/>
  <c r="F22" i="4" s="1"/>
  <c r="E21" i="4"/>
  <c r="AC20" i="4"/>
  <c r="AB20" i="4"/>
  <c r="AB22" i="4" s="1"/>
  <c r="AA20" i="4"/>
  <c r="AA22" i="4" s="1"/>
  <c r="Z20" i="4"/>
  <c r="Y20" i="4"/>
  <c r="X20" i="4"/>
  <c r="X22" i="4" s="1"/>
  <c r="W20" i="4"/>
  <c r="W22" i="4" s="1"/>
  <c r="V20" i="4"/>
  <c r="U20" i="4"/>
  <c r="T20" i="4"/>
  <c r="T22" i="4" s="1"/>
  <c r="S20" i="4"/>
  <c r="S22" i="4" s="1"/>
  <c r="R20" i="4"/>
  <c r="R22" i="4" s="1"/>
  <c r="Q20" i="4"/>
  <c r="P20" i="4"/>
  <c r="P22" i="4" s="1"/>
  <c r="O20" i="4"/>
  <c r="O22" i="4" s="1"/>
  <c r="N20" i="4"/>
  <c r="N22" i="4" s="1"/>
  <c r="M20" i="4"/>
  <c r="L20" i="4"/>
  <c r="L22" i="4" s="1"/>
  <c r="K20" i="4"/>
  <c r="K22" i="4" s="1"/>
  <c r="J20" i="4"/>
  <c r="I20" i="4"/>
  <c r="H20" i="4"/>
  <c r="H22" i="4" s="1"/>
  <c r="G20" i="4"/>
  <c r="G22" i="4" s="1"/>
  <c r="F20" i="4"/>
  <c r="E20" i="4"/>
  <c r="G16" i="4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F16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C13" i="4"/>
  <c r="R13" i="4"/>
  <c r="M13" i="4"/>
  <c r="J13" i="4"/>
  <c r="G13" i="4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J11" i="4" s="1"/>
  <c r="I8" i="4"/>
  <c r="H8" i="4"/>
  <c r="G8" i="4"/>
  <c r="F8" i="4"/>
  <c r="E8" i="4"/>
  <c r="E5" i="4"/>
  <c r="I4" i="4"/>
  <c r="J4" i="4" s="1"/>
  <c r="K4" i="4" s="1"/>
  <c r="L4" i="4" s="1"/>
  <c r="M4" i="4" s="1"/>
  <c r="N4" i="4" s="1"/>
  <c r="G4" i="4"/>
  <c r="H4" i="4" s="1"/>
  <c r="F4" i="4"/>
  <c r="O3" i="4"/>
  <c r="F3" i="4"/>
  <c r="G3" i="4" s="1"/>
  <c r="G5" i="4" s="1"/>
  <c r="F23" i="3"/>
  <c r="G23" i="3" s="1"/>
  <c r="H23" i="3" s="1"/>
  <c r="H24" i="3" s="1"/>
  <c r="H25" i="3" s="1"/>
  <c r="H26" i="3" s="1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F24" i="3" s="1"/>
  <c r="F25" i="3" s="1"/>
  <c r="F26" i="3" s="1"/>
  <c r="E22" i="3"/>
  <c r="E24" i="3" s="1"/>
  <c r="E25" i="3" s="1"/>
  <c r="E26" i="3" s="1"/>
  <c r="F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F15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C12" i="3"/>
  <c r="AC14" i="3" s="1"/>
  <c r="U12" i="3"/>
  <c r="U14" i="3" s="1"/>
  <c r="M12" i="3"/>
  <c r="K12" i="3"/>
  <c r="K14" i="3" s="1"/>
  <c r="AC11" i="3"/>
  <c r="AB12" i="3" s="1"/>
  <c r="R11" i="3"/>
  <c r="O12" i="3" s="1"/>
  <c r="O14" i="3" s="1"/>
  <c r="L12" i="3"/>
  <c r="F12" i="3"/>
  <c r="G6" i="3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F6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C3" i="3"/>
  <c r="AC5" i="3" s="1"/>
  <c r="U3" i="3"/>
  <c r="U5" i="3" s="1"/>
  <c r="M3" i="3"/>
  <c r="K3" i="3"/>
  <c r="AC1" i="3"/>
  <c r="AB3" i="3" s="1"/>
  <c r="R1" i="3"/>
  <c r="O3" i="3" s="1"/>
  <c r="O5" i="3" s="1"/>
  <c r="O7" i="3" s="1"/>
  <c r="L3" i="3"/>
  <c r="F3" i="3"/>
  <c r="F28" i="2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F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J24" i="2"/>
  <c r="I24" i="2"/>
  <c r="H24" i="2"/>
  <c r="G24" i="2"/>
  <c r="F24" i="2"/>
  <c r="E24" i="2"/>
  <c r="AC25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J13" i="2"/>
  <c r="I13" i="2"/>
  <c r="H13" i="2"/>
  <c r="G13" i="2"/>
  <c r="F13" i="2"/>
  <c r="E13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J3" i="2"/>
  <c r="I3" i="2"/>
  <c r="H3" i="2"/>
  <c r="G3" i="2"/>
  <c r="F3" i="2"/>
  <c r="E3" i="2"/>
  <c r="F1" i="2"/>
  <c r="AB4" i="2" s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F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J47" i="1"/>
  <c r="I47" i="1"/>
  <c r="H47" i="1"/>
  <c r="G47" i="1"/>
  <c r="F47" i="1"/>
  <c r="E47" i="1"/>
  <c r="E49" i="1" s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C21" i="1"/>
  <c r="AC22" i="1" s="1"/>
  <c r="AB21" i="1"/>
  <c r="R21" i="1"/>
  <c r="R22" i="1" s="1"/>
  <c r="F22" i="1"/>
  <c r="F41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G39" i="1"/>
  <c r="F39" i="1"/>
  <c r="E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J38" i="1"/>
  <c r="J40" i="1" s="1"/>
  <c r="I38" i="1"/>
  <c r="I40" i="1" s="1"/>
  <c r="H38" i="1"/>
  <c r="H40" i="1" s="1"/>
  <c r="G38" i="1"/>
  <c r="F38" i="1"/>
  <c r="E38" i="1"/>
  <c r="F32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G30" i="1"/>
  <c r="F30" i="1"/>
  <c r="E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L31" i="1"/>
  <c r="J29" i="1"/>
  <c r="I29" i="1"/>
  <c r="H29" i="1"/>
  <c r="G29" i="1"/>
  <c r="F29" i="1"/>
  <c r="E29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G13" i="1"/>
  <c r="F13" i="1"/>
  <c r="E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G4" i="1"/>
  <c r="F4" i="1"/>
  <c r="E4" i="1"/>
  <c r="AC4" i="1" s="1"/>
  <c r="AC1" i="1"/>
  <c r="AC3" i="1" s="1"/>
  <c r="AB1" i="1"/>
  <c r="AB3" i="1" s="1"/>
  <c r="R1" i="1"/>
  <c r="R3" i="1" s="1"/>
  <c r="L3" i="1"/>
  <c r="F3" i="1"/>
  <c r="F5" i="3" l="1"/>
  <c r="K5" i="3"/>
  <c r="K7" i="3" s="1"/>
  <c r="K8" i="3" s="1"/>
  <c r="K9" i="3" s="1"/>
  <c r="S18" i="7"/>
  <c r="L30" i="7"/>
  <c r="L31" i="7" s="1"/>
  <c r="L32" i="7" s="1"/>
  <c r="L12" i="7"/>
  <c r="L13" i="7" s="1"/>
  <c r="L14" i="7" s="1"/>
  <c r="U37" i="3"/>
  <c r="T38" i="3"/>
  <c r="M14" i="3"/>
  <c r="F14" i="3"/>
  <c r="F17" i="3"/>
  <c r="F18" i="3" s="1"/>
  <c r="F19" i="3" s="1"/>
  <c r="M5" i="3"/>
  <c r="N25" i="2"/>
  <c r="N26" i="2" s="1"/>
  <c r="N29" i="2" s="1"/>
  <c r="AC4" i="2"/>
  <c r="AC5" i="2" s="1"/>
  <c r="AC7" i="2" s="1"/>
  <c r="E4" i="2"/>
  <c r="F25" i="2"/>
  <c r="F26" i="2" s="1"/>
  <c r="F29" i="2" s="1"/>
  <c r="F30" i="2" s="1"/>
  <c r="F31" i="2" s="1"/>
  <c r="V25" i="2"/>
  <c r="V26" i="2" s="1"/>
  <c r="V29" i="2" s="1"/>
  <c r="U4" i="2"/>
  <c r="U5" i="2" s="1"/>
  <c r="U7" i="2" s="1"/>
  <c r="T25" i="2"/>
  <c r="M4" i="2"/>
  <c r="M5" i="2" s="1"/>
  <c r="M7" i="2" s="1"/>
  <c r="M8" i="2" s="1"/>
  <c r="M9" i="2" s="1"/>
  <c r="L25" i="2"/>
  <c r="L26" i="2" s="1"/>
  <c r="L29" i="2" s="1"/>
  <c r="L30" i="2" s="1"/>
  <c r="L31" i="2" s="1"/>
  <c r="AB25" i="2"/>
  <c r="AB26" i="2" s="1"/>
  <c r="AB29" i="2" s="1"/>
  <c r="G40" i="1"/>
  <c r="L55" i="1"/>
  <c r="E50" i="1"/>
  <c r="E51" i="1" s="1"/>
  <c r="F49" i="1"/>
  <c r="F50" i="1" s="1"/>
  <c r="I14" i="1"/>
  <c r="M14" i="1"/>
  <c r="Q14" i="1"/>
  <c r="U14" i="1"/>
  <c r="Y14" i="1"/>
  <c r="N31" i="1"/>
  <c r="R31" i="1"/>
  <c r="V31" i="1"/>
  <c r="Z31" i="1"/>
  <c r="P40" i="1"/>
  <c r="T40" i="1"/>
  <c r="X40" i="1"/>
  <c r="AB40" i="1"/>
  <c r="K14" i="1"/>
  <c r="O14" i="1"/>
  <c r="S14" i="1"/>
  <c r="W14" i="1"/>
  <c r="P31" i="1"/>
  <c r="G48" i="1"/>
  <c r="G49" i="1" s="1"/>
  <c r="G50" i="1" s="1"/>
  <c r="F51" i="1"/>
  <c r="G32" i="1"/>
  <c r="O40" i="1"/>
  <c r="S40" i="1"/>
  <c r="W40" i="1"/>
  <c r="AA40" i="1"/>
  <c r="G41" i="1"/>
  <c r="G42" i="1" s="1"/>
  <c r="G43" i="1" s="1"/>
  <c r="H31" i="1"/>
  <c r="AC24" i="1"/>
  <c r="AC25" i="1" s="1"/>
  <c r="R14" i="1"/>
  <c r="V14" i="1"/>
  <c r="Z14" i="1"/>
  <c r="F31" i="1"/>
  <c r="F33" i="1" s="1"/>
  <c r="J31" i="1"/>
  <c r="Q3" i="1"/>
  <c r="H14" i="1"/>
  <c r="L14" i="1"/>
  <c r="P14" i="1"/>
  <c r="T14" i="1"/>
  <c r="X14" i="1"/>
  <c r="AB14" i="1"/>
  <c r="G14" i="1"/>
  <c r="F40" i="1"/>
  <c r="F42" i="1" s="1"/>
  <c r="N40" i="1"/>
  <c r="R40" i="1"/>
  <c r="V40" i="1"/>
  <c r="Z40" i="1"/>
  <c r="T31" i="1"/>
  <c r="X31" i="1"/>
  <c r="AB31" i="1"/>
  <c r="Q22" i="1"/>
  <c r="Q24" i="1" s="1"/>
  <c r="Q25" i="1" s="1"/>
  <c r="AA14" i="1"/>
  <c r="E14" i="1"/>
  <c r="AC14" i="1"/>
  <c r="F5" i="1"/>
  <c r="F7" i="1" s="1"/>
  <c r="F8" i="1" s="1"/>
  <c r="F9" i="1" s="1"/>
  <c r="V4" i="1"/>
  <c r="X4" i="1"/>
  <c r="N4" i="1"/>
  <c r="P4" i="1"/>
  <c r="E3" i="1"/>
  <c r="E5" i="1" s="1"/>
  <c r="E7" i="1" s="1"/>
  <c r="E8" i="1" s="1"/>
  <c r="E9" i="1" s="1"/>
  <c r="E22" i="1"/>
  <c r="E24" i="1" s="1"/>
  <c r="G4" i="2"/>
  <c r="G5" i="2" s="1"/>
  <c r="G7" i="2" s="1"/>
  <c r="G8" i="2" s="1"/>
  <c r="G9" i="2" s="1"/>
  <c r="O4" i="2"/>
  <c r="O5" i="2" s="1"/>
  <c r="O7" i="2" s="1"/>
  <c r="W4" i="2"/>
  <c r="W5" i="2" s="1"/>
  <c r="W7" i="2" s="1"/>
  <c r="AB5" i="3"/>
  <c r="W3" i="3"/>
  <c r="W5" i="3" s="1"/>
  <c r="W7" i="3" s="1"/>
  <c r="AB14" i="3"/>
  <c r="W12" i="3"/>
  <c r="W14" i="3" s="1"/>
  <c r="H11" i="4"/>
  <c r="Y4" i="6"/>
  <c r="Y6" i="6" s="1"/>
  <c r="AB5" i="2"/>
  <c r="AB7" i="2" s="1"/>
  <c r="I4" i="2"/>
  <c r="I5" i="2" s="1"/>
  <c r="I7" i="2" s="1"/>
  <c r="I8" i="2" s="1"/>
  <c r="I9" i="2" s="1"/>
  <c r="Q4" i="2"/>
  <c r="Y4" i="2"/>
  <c r="H25" i="2"/>
  <c r="H26" i="2" s="1"/>
  <c r="H29" i="2" s="1"/>
  <c r="H30" i="2" s="1"/>
  <c r="H31" i="2" s="1"/>
  <c r="P25" i="2"/>
  <c r="P26" i="2" s="1"/>
  <c r="P29" i="2" s="1"/>
  <c r="X25" i="2"/>
  <c r="X26" i="2" s="1"/>
  <c r="X29" i="2" s="1"/>
  <c r="F7" i="3"/>
  <c r="F8" i="3" s="1"/>
  <c r="F9" i="3" s="1"/>
  <c r="G3" i="3"/>
  <c r="G5" i="3" s="1"/>
  <c r="G7" i="3" s="1"/>
  <c r="G8" i="3" s="1"/>
  <c r="G9" i="3" s="1"/>
  <c r="Y3" i="3"/>
  <c r="Y5" i="3" s="1"/>
  <c r="G12" i="3"/>
  <c r="G14" i="3" s="1"/>
  <c r="Y12" i="3"/>
  <c r="Y14" i="3" s="1"/>
  <c r="G16" i="3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C17" i="3" s="1"/>
  <c r="G24" i="3"/>
  <c r="G25" i="3" s="1"/>
  <c r="G26" i="3" s="1"/>
  <c r="E22" i="4"/>
  <c r="I22" i="4"/>
  <c r="M22" i="4"/>
  <c r="Q22" i="4"/>
  <c r="U22" i="4"/>
  <c r="Y22" i="4"/>
  <c r="AC22" i="4"/>
  <c r="AA4" i="6"/>
  <c r="AA6" i="6" s="1"/>
  <c r="H16" i="6"/>
  <c r="H17" i="6" s="1"/>
  <c r="G3" i="1"/>
  <c r="G5" i="1" s="1"/>
  <c r="G7" i="1" s="1"/>
  <c r="G8" i="1" s="1"/>
  <c r="G9" i="1" s="1"/>
  <c r="R4" i="1"/>
  <c r="R5" i="1" s="1"/>
  <c r="R7" i="1" s="1"/>
  <c r="Z4" i="1"/>
  <c r="G22" i="1"/>
  <c r="G24" i="1" s="1"/>
  <c r="O3" i="1"/>
  <c r="L5" i="1"/>
  <c r="L7" i="1" s="1"/>
  <c r="L8" i="1" s="1"/>
  <c r="L9" i="1" s="1"/>
  <c r="T4" i="1"/>
  <c r="AB4" i="1"/>
  <c r="AB5" i="1" s="1"/>
  <c r="AB7" i="1" s="1"/>
  <c r="F14" i="1"/>
  <c r="J14" i="1"/>
  <c r="N14" i="1"/>
  <c r="E40" i="1"/>
  <c r="E42" i="1" s="1"/>
  <c r="Q40" i="1"/>
  <c r="U40" i="1"/>
  <c r="Y40" i="1"/>
  <c r="AC40" i="1"/>
  <c r="O22" i="1"/>
  <c r="O24" i="1" s="1"/>
  <c r="O25" i="1" s="1"/>
  <c r="K4" i="2"/>
  <c r="K5" i="2" s="1"/>
  <c r="K7" i="2" s="1"/>
  <c r="K8" i="2" s="1"/>
  <c r="K9" i="2" s="1"/>
  <c r="S4" i="2"/>
  <c r="S5" i="2" s="1"/>
  <c r="S7" i="2" s="1"/>
  <c r="AA4" i="2"/>
  <c r="AA5" i="2" s="1"/>
  <c r="AA7" i="2" s="1"/>
  <c r="AC26" i="2"/>
  <c r="AC29" i="2" s="1"/>
  <c r="T26" i="2"/>
  <c r="T29" i="2" s="1"/>
  <c r="J25" i="2"/>
  <c r="J26" i="2" s="1"/>
  <c r="J29" i="2" s="1"/>
  <c r="J30" i="2" s="1"/>
  <c r="J31" i="2" s="1"/>
  <c r="R25" i="2"/>
  <c r="R26" i="2" s="1"/>
  <c r="R29" i="2" s="1"/>
  <c r="Z25" i="2"/>
  <c r="Z26" i="2" s="1"/>
  <c r="Z29" i="2" s="1"/>
  <c r="L5" i="3"/>
  <c r="L7" i="3" s="1"/>
  <c r="L8" i="3" s="1"/>
  <c r="L9" i="3" s="1"/>
  <c r="I3" i="3"/>
  <c r="I5" i="3" s="1"/>
  <c r="I7" i="3" s="1"/>
  <c r="I8" i="3" s="1"/>
  <c r="I9" i="3" s="1"/>
  <c r="S3" i="3"/>
  <c r="S5" i="3" s="1"/>
  <c r="S7" i="3" s="1"/>
  <c r="AA3" i="3"/>
  <c r="AA5" i="3" s="1"/>
  <c r="AA7" i="3" s="1"/>
  <c r="L14" i="3"/>
  <c r="I12" i="3"/>
  <c r="I14" i="3" s="1"/>
  <c r="I17" i="3" s="1"/>
  <c r="I18" i="3" s="1"/>
  <c r="I19" i="3" s="1"/>
  <c r="S12" i="3"/>
  <c r="S14" i="3" s="1"/>
  <c r="AA12" i="3"/>
  <c r="AA14" i="3" s="1"/>
  <c r="F11" i="4"/>
  <c r="N11" i="4"/>
  <c r="O4" i="6"/>
  <c r="O6" i="6" s="1"/>
  <c r="AC4" i="6"/>
  <c r="AC6" i="6" s="1"/>
  <c r="AC5" i="1"/>
  <c r="AC7" i="1" s="1"/>
  <c r="I3" i="1"/>
  <c r="K3" i="1"/>
  <c r="M3" i="1"/>
  <c r="S3" i="1"/>
  <c r="U3" i="1"/>
  <c r="W3" i="1"/>
  <c r="Y3" i="1"/>
  <c r="AA3" i="1"/>
  <c r="L22" i="1"/>
  <c r="L24" i="1" s="1"/>
  <c r="J22" i="1"/>
  <c r="J24" i="1" s="1"/>
  <c r="H22" i="1"/>
  <c r="H24" i="1" s="1"/>
  <c r="AB22" i="1"/>
  <c r="AB24" i="1" s="1"/>
  <c r="AB25" i="1" s="1"/>
  <c r="Z22" i="1"/>
  <c r="Z24" i="1" s="1"/>
  <c r="Z25" i="1" s="1"/>
  <c r="X22" i="1"/>
  <c r="X24" i="1" s="1"/>
  <c r="X25" i="1" s="1"/>
  <c r="V22" i="1"/>
  <c r="V24" i="1" s="1"/>
  <c r="V25" i="1" s="1"/>
  <c r="T22" i="1"/>
  <c r="T24" i="1" s="1"/>
  <c r="T25" i="1" s="1"/>
  <c r="I22" i="1"/>
  <c r="I24" i="1" s="1"/>
  <c r="M22" i="1"/>
  <c r="M24" i="1" s="1"/>
  <c r="U22" i="1"/>
  <c r="U24" i="1" s="1"/>
  <c r="U25" i="1" s="1"/>
  <c r="Y22" i="1"/>
  <c r="Y24" i="1" s="1"/>
  <c r="Y25" i="1" s="1"/>
  <c r="AC14" i="2"/>
  <c r="AC15" i="2" s="1"/>
  <c r="AC19" i="2" s="1"/>
  <c r="AA14" i="2"/>
  <c r="AA15" i="2" s="1"/>
  <c r="AA19" i="2" s="1"/>
  <c r="Y14" i="2"/>
  <c r="Y15" i="2" s="1"/>
  <c r="Y19" i="2" s="1"/>
  <c r="W14" i="2"/>
  <c r="W15" i="2" s="1"/>
  <c r="W19" i="2" s="1"/>
  <c r="U14" i="2"/>
  <c r="U15" i="2" s="1"/>
  <c r="U19" i="2" s="1"/>
  <c r="S14" i="2"/>
  <c r="S15" i="2" s="1"/>
  <c r="S19" i="2" s="1"/>
  <c r="Q14" i="2"/>
  <c r="Q15" i="2" s="1"/>
  <c r="Q19" i="2" s="1"/>
  <c r="O14" i="2"/>
  <c r="O15" i="2" s="1"/>
  <c r="O19" i="2" s="1"/>
  <c r="M14" i="2"/>
  <c r="M15" i="2" s="1"/>
  <c r="M19" i="2" s="1"/>
  <c r="M20" i="2" s="1"/>
  <c r="M21" i="2" s="1"/>
  <c r="K14" i="2"/>
  <c r="K15" i="2" s="1"/>
  <c r="K19" i="2" s="1"/>
  <c r="K20" i="2" s="1"/>
  <c r="K21" i="2" s="1"/>
  <c r="I14" i="2"/>
  <c r="I15" i="2" s="1"/>
  <c r="I19" i="2" s="1"/>
  <c r="I20" i="2" s="1"/>
  <c r="I21" i="2" s="1"/>
  <c r="G14" i="2"/>
  <c r="G15" i="2" s="1"/>
  <c r="G19" i="2" s="1"/>
  <c r="G20" i="2" s="1"/>
  <c r="G21" i="2" s="1"/>
  <c r="E14" i="2"/>
  <c r="E15" i="2" s="1"/>
  <c r="E19" i="2" s="1"/>
  <c r="E20" i="2" s="1"/>
  <c r="E21" i="2" s="1"/>
  <c r="Z14" i="2"/>
  <c r="Z15" i="2" s="1"/>
  <c r="Z19" i="2" s="1"/>
  <c r="V14" i="2"/>
  <c r="V15" i="2" s="1"/>
  <c r="V19" i="2" s="1"/>
  <c r="R14" i="2"/>
  <c r="N14" i="2"/>
  <c r="N15" i="2" s="1"/>
  <c r="N19" i="2" s="1"/>
  <c r="J14" i="2"/>
  <c r="J15" i="2" s="1"/>
  <c r="J19" i="2" s="1"/>
  <c r="J20" i="2" s="1"/>
  <c r="J21" i="2" s="1"/>
  <c r="F14" i="2"/>
  <c r="F15" i="2" s="1"/>
  <c r="F19" i="2" s="1"/>
  <c r="F20" i="2" s="1"/>
  <c r="F21" i="2" s="1"/>
  <c r="L14" i="2"/>
  <c r="L15" i="2" s="1"/>
  <c r="L19" i="2" s="1"/>
  <c r="L20" i="2" s="1"/>
  <c r="L21" i="2" s="1"/>
  <c r="T14" i="2"/>
  <c r="AB14" i="2"/>
  <c r="AB15" i="2" s="1"/>
  <c r="AB19" i="2" s="1"/>
  <c r="U7" i="3"/>
  <c r="Y7" i="3"/>
  <c r="AC7" i="3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N5" i="4"/>
  <c r="R11" i="4"/>
  <c r="S10" i="4"/>
  <c r="T10" i="4" s="1"/>
  <c r="U10" i="4" s="1"/>
  <c r="V10" i="4" s="1"/>
  <c r="W10" i="4" s="1"/>
  <c r="X10" i="4" s="1"/>
  <c r="Y10" i="4" s="1"/>
  <c r="Z10" i="4" s="1"/>
  <c r="H3" i="1"/>
  <c r="J3" i="1"/>
  <c r="N3" i="1"/>
  <c r="P3" i="1"/>
  <c r="T3" i="1"/>
  <c r="V3" i="1"/>
  <c r="X3" i="1"/>
  <c r="Z3" i="1"/>
  <c r="O4" i="1"/>
  <c r="Q4" i="1"/>
  <c r="S4" i="1"/>
  <c r="U4" i="1"/>
  <c r="W4" i="1"/>
  <c r="Y4" i="1"/>
  <c r="AA4" i="1"/>
  <c r="E31" i="1"/>
  <c r="E33" i="1" s="1"/>
  <c r="G31" i="1"/>
  <c r="I31" i="1"/>
  <c r="K31" i="1"/>
  <c r="M31" i="1"/>
  <c r="O31" i="1"/>
  <c r="Q31" i="1"/>
  <c r="S31" i="1"/>
  <c r="U31" i="1"/>
  <c r="W31" i="1"/>
  <c r="Y31" i="1"/>
  <c r="AA31" i="1"/>
  <c r="AC31" i="1"/>
  <c r="F24" i="1"/>
  <c r="R24" i="1"/>
  <c r="R25" i="1" s="1"/>
  <c r="K22" i="1"/>
  <c r="K24" i="1" s="1"/>
  <c r="S22" i="1"/>
  <c r="S24" i="1" s="1"/>
  <c r="S25" i="1" s="1"/>
  <c r="W22" i="1"/>
  <c r="W24" i="1" s="1"/>
  <c r="W25" i="1" s="1"/>
  <c r="AA22" i="1"/>
  <c r="AA24" i="1" s="1"/>
  <c r="AA25" i="1" s="1"/>
  <c r="E5" i="2"/>
  <c r="E7" i="2" s="1"/>
  <c r="E8" i="2" s="1"/>
  <c r="E9" i="2" s="1"/>
  <c r="Q5" i="2"/>
  <c r="Q7" i="2" s="1"/>
  <c r="Y5" i="2"/>
  <c r="Y7" i="2" s="1"/>
  <c r="H14" i="2"/>
  <c r="H15" i="2" s="1"/>
  <c r="H19" i="2" s="1"/>
  <c r="H20" i="2" s="1"/>
  <c r="H21" i="2" s="1"/>
  <c r="P14" i="2"/>
  <c r="P15" i="2" s="1"/>
  <c r="P19" i="2" s="1"/>
  <c r="X14" i="2"/>
  <c r="X15" i="2" s="1"/>
  <c r="X19" i="2" s="1"/>
  <c r="AB7" i="3"/>
  <c r="M7" i="3"/>
  <c r="M8" i="3" s="1"/>
  <c r="M9" i="3" s="1"/>
  <c r="N22" i="1"/>
  <c r="N24" i="1" s="1"/>
  <c r="N25" i="1" s="1"/>
  <c r="P22" i="1"/>
  <c r="P24" i="1" s="1"/>
  <c r="P25" i="1" s="1"/>
  <c r="F4" i="2"/>
  <c r="F5" i="2" s="1"/>
  <c r="F7" i="2" s="1"/>
  <c r="F8" i="2" s="1"/>
  <c r="F9" i="2" s="1"/>
  <c r="H4" i="2"/>
  <c r="H5" i="2" s="1"/>
  <c r="H7" i="2" s="1"/>
  <c r="H8" i="2" s="1"/>
  <c r="H9" i="2" s="1"/>
  <c r="J4" i="2"/>
  <c r="J5" i="2" s="1"/>
  <c r="J7" i="2" s="1"/>
  <c r="J8" i="2" s="1"/>
  <c r="J9" i="2" s="1"/>
  <c r="L4" i="2"/>
  <c r="L5" i="2" s="1"/>
  <c r="L7" i="2" s="1"/>
  <c r="L8" i="2" s="1"/>
  <c r="L9" i="2" s="1"/>
  <c r="N4" i="2"/>
  <c r="N5" i="2" s="1"/>
  <c r="N7" i="2" s="1"/>
  <c r="P4" i="2"/>
  <c r="P5" i="2" s="1"/>
  <c r="P7" i="2" s="1"/>
  <c r="R4" i="2"/>
  <c r="R5" i="2" s="1"/>
  <c r="R7" i="2" s="1"/>
  <c r="T4" i="2"/>
  <c r="T5" i="2" s="1"/>
  <c r="T7" i="2" s="1"/>
  <c r="V4" i="2"/>
  <c r="V5" i="2" s="1"/>
  <c r="V7" i="2" s="1"/>
  <c r="X4" i="2"/>
  <c r="X5" i="2" s="1"/>
  <c r="X7" i="2" s="1"/>
  <c r="Z4" i="2"/>
  <c r="Z5" i="2" s="1"/>
  <c r="Z7" i="2" s="1"/>
  <c r="R15" i="2"/>
  <c r="R19" i="2" s="1"/>
  <c r="T15" i="2"/>
  <c r="T19" i="2" s="1"/>
  <c r="R3" i="3"/>
  <c r="R5" i="3" s="1"/>
  <c r="R7" i="3" s="1"/>
  <c r="P3" i="3"/>
  <c r="P5" i="3" s="1"/>
  <c r="P7" i="3" s="1"/>
  <c r="N3" i="3"/>
  <c r="N5" i="3" s="1"/>
  <c r="N7" i="3" s="1"/>
  <c r="E3" i="3"/>
  <c r="E5" i="3" s="1"/>
  <c r="E7" i="3" s="1"/>
  <c r="E8" i="3" s="1"/>
  <c r="E9" i="3" s="1"/>
  <c r="Q3" i="3"/>
  <c r="Q5" i="3" s="1"/>
  <c r="Q7" i="3" s="1"/>
  <c r="M17" i="3"/>
  <c r="M18" i="3" s="1"/>
  <c r="M19" i="3" s="1"/>
  <c r="O5" i="4"/>
  <c r="P3" i="4"/>
  <c r="F5" i="4"/>
  <c r="G16" i="6"/>
  <c r="G17" i="6" s="1"/>
  <c r="G20" i="6" s="1"/>
  <c r="E25" i="2"/>
  <c r="E26" i="2" s="1"/>
  <c r="E29" i="2" s="1"/>
  <c r="E30" i="2" s="1"/>
  <c r="E31" i="2" s="1"/>
  <c r="G25" i="2"/>
  <c r="G26" i="2" s="1"/>
  <c r="G29" i="2" s="1"/>
  <c r="G30" i="2" s="1"/>
  <c r="G31" i="2" s="1"/>
  <c r="I25" i="2"/>
  <c r="I26" i="2" s="1"/>
  <c r="I29" i="2" s="1"/>
  <c r="I30" i="2" s="1"/>
  <c r="I31" i="2" s="1"/>
  <c r="K25" i="2"/>
  <c r="K26" i="2" s="1"/>
  <c r="K29" i="2" s="1"/>
  <c r="K30" i="2" s="1"/>
  <c r="K31" i="2" s="1"/>
  <c r="M25" i="2"/>
  <c r="M26" i="2" s="1"/>
  <c r="M29" i="2" s="1"/>
  <c r="M30" i="2" s="1"/>
  <c r="M31" i="2" s="1"/>
  <c r="O25" i="2"/>
  <c r="O26" i="2" s="1"/>
  <c r="O29" i="2" s="1"/>
  <c r="Q25" i="2"/>
  <c r="Q26" i="2" s="1"/>
  <c r="Q29" i="2" s="1"/>
  <c r="S25" i="2"/>
  <c r="S26" i="2" s="1"/>
  <c r="S29" i="2" s="1"/>
  <c r="U25" i="2"/>
  <c r="U26" i="2" s="1"/>
  <c r="U29" i="2" s="1"/>
  <c r="W25" i="2"/>
  <c r="W26" i="2" s="1"/>
  <c r="W29" i="2" s="1"/>
  <c r="Y25" i="2"/>
  <c r="Y26" i="2" s="1"/>
  <c r="Y29" i="2" s="1"/>
  <c r="AA25" i="2"/>
  <c r="AA26" i="2" s="1"/>
  <c r="AA29" i="2" s="1"/>
  <c r="H3" i="3"/>
  <c r="H5" i="3" s="1"/>
  <c r="H7" i="3" s="1"/>
  <c r="H8" i="3" s="1"/>
  <c r="H9" i="3" s="1"/>
  <c r="J3" i="3"/>
  <c r="J5" i="3" s="1"/>
  <c r="J7" i="3" s="1"/>
  <c r="J8" i="3" s="1"/>
  <c r="J9" i="3" s="1"/>
  <c r="T3" i="3"/>
  <c r="T5" i="3" s="1"/>
  <c r="T7" i="3" s="1"/>
  <c r="V3" i="3"/>
  <c r="V5" i="3" s="1"/>
  <c r="V7" i="3" s="1"/>
  <c r="X3" i="3"/>
  <c r="X5" i="3" s="1"/>
  <c r="X7" i="3" s="1"/>
  <c r="Z3" i="3"/>
  <c r="Z5" i="3" s="1"/>
  <c r="Z7" i="3" s="1"/>
  <c r="R12" i="3"/>
  <c r="R14" i="3" s="1"/>
  <c r="P12" i="3"/>
  <c r="P14" i="3" s="1"/>
  <c r="N12" i="3"/>
  <c r="N14" i="3" s="1"/>
  <c r="N17" i="3" s="1"/>
  <c r="E12" i="3"/>
  <c r="E14" i="3" s="1"/>
  <c r="E17" i="3" s="1"/>
  <c r="E18" i="3" s="1"/>
  <c r="E19" i="3" s="1"/>
  <c r="Q12" i="3"/>
  <c r="Q14" i="3" s="1"/>
  <c r="I23" i="3"/>
  <c r="J23" i="3" s="1"/>
  <c r="H3" i="4"/>
  <c r="L11" i="4"/>
  <c r="P11" i="4"/>
  <c r="X11" i="4"/>
  <c r="F4" i="6"/>
  <c r="F6" i="6" s="1"/>
  <c r="G4" i="6"/>
  <c r="G6" i="6" s="1"/>
  <c r="N4" i="6"/>
  <c r="N6" i="6" s="1"/>
  <c r="L4" i="6"/>
  <c r="L6" i="6" s="1"/>
  <c r="X4" i="6"/>
  <c r="X6" i="6" s="1"/>
  <c r="V4" i="6"/>
  <c r="V6" i="6" s="1"/>
  <c r="T4" i="6"/>
  <c r="T6" i="6" s="1"/>
  <c r="W4" i="6"/>
  <c r="W6" i="6" s="1"/>
  <c r="S4" i="6"/>
  <c r="S6" i="6" s="1"/>
  <c r="E4" i="6"/>
  <c r="E6" i="6" s="1"/>
  <c r="U4" i="6"/>
  <c r="U6" i="6" s="1"/>
  <c r="H18" i="6"/>
  <c r="H20" i="6" s="1"/>
  <c r="H21" i="6" s="1"/>
  <c r="H12" i="3"/>
  <c r="H14" i="3" s="1"/>
  <c r="H17" i="3" s="1"/>
  <c r="H18" i="3" s="1"/>
  <c r="H19" i="3" s="1"/>
  <c r="J12" i="3"/>
  <c r="J14" i="3" s="1"/>
  <c r="T12" i="3"/>
  <c r="T14" i="3" s="1"/>
  <c r="V12" i="3"/>
  <c r="V14" i="3" s="1"/>
  <c r="X12" i="3"/>
  <c r="X14" i="3" s="1"/>
  <c r="Z12" i="3"/>
  <c r="Z14" i="3" s="1"/>
  <c r="E11" i="4"/>
  <c r="G11" i="4"/>
  <c r="I11" i="4"/>
  <c r="K11" i="4"/>
  <c r="M11" i="4"/>
  <c r="O11" i="4"/>
  <c r="Q11" i="4"/>
  <c r="U11" i="4"/>
  <c r="Y11" i="4"/>
  <c r="J6" i="6"/>
  <c r="R6" i="6"/>
  <c r="AB6" i="6"/>
  <c r="H4" i="6"/>
  <c r="H6" i="6" s="1"/>
  <c r="P4" i="6"/>
  <c r="P6" i="6" s="1"/>
  <c r="Z4" i="6"/>
  <c r="Z6" i="6" s="1"/>
  <c r="K29" i="3" l="1"/>
  <c r="K31" i="3" s="1"/>
  <c r="K32" i="3" s="1"/>
  <c r="K33" i="3" s="1"/>
  <c r="I29" i="3"/>
  <c r="I31" i="3" s="1"/>
  <c r="I32" i="3" s="1"/>
  <c r="I33" i="3" s="1"/>
  <c r="L29" i="3"/>
  <c r="L31" i="3" s="1"/>
  <c r="L32" i="3" s="1"/>
  <c r="L33" i="3" s="1"/>
  <c r="G29" i="3"/>
  <c r="G31" i="3" s="1"/>
  <c r="G32" i="3" s="1"/>
  <c r="G33" i="3" s="1"/>
  <c r="F29" i="3"/>
  <c r="F31" i="3" s="1"/>
  <c r="F32" i="3" s="1"/>
  <c r="F33" i="3" s="1"/>
  <c r="J29" i="3"/>
  <c r="J31" i="3" s="1"/>
  <c r="J32" i="3" s="1"/>
  <c r="J33" i="3" s="1"/>
  <c r="H29" i="3"/>
  <c r="H31" i="3" s="1"/>
  <c r="H32" i="3" s="1"/>
  <c r="H33" i="3" s="1"/>
  <c r="M29" i="3"/>
  <c r="M31" i="3" s="1"/>
  <c r="M32" i="3" s="1"/>
  <c r="M33" i="3" s="1"/>
  <c r="E29" i="3"/>
  <c r="E31" i="3" s="1"/>
  <c r="E32" i="3" s="1"/>
  <c r="E33" i="3" s="1"/>
  <c r="M30" i="7"/>
  <c r="M31" i="7" s="1"/>
  <c r="M32" i="7" s="1"/>
  <c r="M12" i="7"/>
  <c r="M13" i="7" s="1"/>
  <c r="M14" i="7" s="1"/>
  <c r="T18" i="7"/>
  <c r="V37" i="3"/>
  <c r="U38" i="3"/>
  <c r="Q17" i="3"/>
  <c r="L17" i="3"/>
  <c r="L18" i="3" s="1"/>
  <c r="L19" i="3" s="1"/>
  <c r="AB17" i="3"/>
  <c r="Z17" i="3"/>
  <c r="V17" i="3"/>
  <c r="P17" i="3"/>
  <c r="AA17" i="3"/>
  <c r="Y17" i="3"/>
  <c r="R17" i="3"/>
  <c r="G17" i="3"/>
  <c r="G18" i="3" s="1"/>
  <c r="G19" i="3" s="1"/>
  <c r="X17" i="3"/>
  <c r="T17" i="3"/>
  <c r="W17" i="3"/>
  <c r="J17" i="3"/>
  <c r="J18" i="3" s="1"/>
  <c r="J19" i="3" s="1"/>
  <c r="S17" i="3"/>
  <c r="U17" i="3"/>
  <c r="G56" i="1"/>
  <c r="G57" i="1" s="1"/>
  <c r="G58" i="1" s="1"/>
  <c r="F56" i="1"/>
  <c r="F57" i="1" s="1"/>
  <c r="F58" i="1" s="1"/>
  <c r="E56" i="1"/>
  <c r="E57" i="1" s="1"/>
  <c r="E58" i="1" s="1"/>
  <c r="L56" i="1"/>
  <c r="L57" i="1" s="1"/>
  <c r="L58" i="1" s="1"/>
  <c r="M55" i="1"/>
  <c r="H25" i="1"/>
  <c r="H26" i="1" s="1"/>
  <c r="G25" i="1"/>
  <c r="G26" i="1" s="1"/>
  <c r="K25" i="1"/>
  <c r="K26" i="1" s="1"/>
  <c r="M25" i="1"/>
  <c r="M26" i="1" s="1"/>
  <c r="J25" i="1"/>
  <c r="J26" i="1" s="1"/>
  <c r="I25" i="1"/>
  <c r="I26" i="1" s="1"/>
  <c r="L25" i="1"/>
  <c r="L26" i="1" s="1"/>
  <c r="F25" i="1"/>
  <c r="F26" i="1" s="1"/>
  <c r="E25" i="1"/>
  <c r="E26" i="1" s="1"/>
  <c r="F43" i="1"/>
  <c r="F44" i="1" s="1"/>
  <c r="F34" i="1"/>
  <c r="F35" i="1" s="1"/>
  <c r="E43" i="1"/>
  <c r="E44" i="1" s="1"/>
  <c r="E34" i="1"/>
  <c r="E35" i="1" s="1"/>
  <c r="V5" i="1"/>
  <c r="V7" i="1" s="1"/>
  <c r="G17" i="1"/>
  <c r="G33" i="1"/>
  <c r="H48" i="1"/>
  <c r="H49" i="1" s="1"/>
  <c r="E17" i="1"/>
  <c r="E18" i="1" s="1"/>
  <c r="E19" i="1" s="1"/>
  <c r="G51" i="1"/>
  <c r="F17" i="1"/>
  <c r="H32" i="1"/>
  <c r="Q5" i="1"/>
  <c r="Q7" i="1" s="1"/>
  <c r="H5" i="1"/>
  <c r="H7" i="1" s="1"/>
  <c r="H8" i="1" s="1"/>
  <c r="H9" i="1" s="1"/>
  <c r="H41" i="1"/>
  <c r="G44" i="1"/>
  <c r="H17" i="1"/>
  <c r="H18" i="1" s="1"/>
  <c r="X5" i="1"/>
  <c r="X7" i="1" s="1"/>
  <c r="O5" i="1"/>
  <c r="O7" i="1" s="1"/>
  <c r="P5" i="1"/>
  <c r="P7" i="1" s="1"/>
  <c r="N5" i="1"/>
  <c r="N7" i="1" s="1"/>
  <c r="Z5" i="1"/>
  <c r="Z7" i="1" s="1"/>
  <c r="J5" i="1"/>
  <c r="J7" i="1" s="1"/>
  <c r="J8" i="1" s="1"/>
  <c r="J9" i="1" s="1"/>
  <c r="I24" i="3"/>
  <c r="I25" i="3" s="1"/>
  <c r="I26" i="3" s="1"/>
  <c r="T5" i="1"/>
  <c r="T7" i="1" s="1"/>
  <c r="K17" i="3"/>
  <c r="K18" i="3" s="1"/>
  <c r="K19" i="3" s="1"/>
  <c r="O17" i="3"/>
  <c r="I3" i="4"/>
  <c r="H5" i="4"/>
  <c r="P5" i="4"/>
  <c r="Q3" i="4"/>
  <c r="Z11" i="4"/>
  <c r="AA10" i="4"/>
  <c r="AA5" i="1"/>
  <c r="AA7" i="1" s="1"/>
  <c r="W5" i="1"/>
  <c r="W7" i="1" s="1"/>
  <c r="S5" i="1"/>
  <c r="S7" i="1" s="1"/>
  <c r="K5" i="1"/>
  <c r="K7" i="1" s="1"/>
  <c r="K8" i="1" s="1"/>
  <c r="K9" i="1" s="1"/>
  <c r="W11" i="4"/>
  <c r="S11" i="4"/>
  <c r="T11" i="4"/>
  <c r="J24" i="3"/>
  <c r="J25" i="3" s="1"/>
  <c r="J26" i="3" s="1"/>
  <c r="K23" i="3"/>
  <c r="V11" i="4"/>
  <c r="Y5" i="1"/>
  <c r="Y7" i="1" s="1"/>
  <c r="U5" i="1"/>
  <c r="U7" i="1" s="1"/>
  <c r="M5" i="1"/>
  <c r="M7" i="1" s="1"/>
  <c r="M8" i="1" s="1"/>
  <c r="M9" i="1" s="1"/>
  <c r="I5" i="1"/>
  <c r="I7" i="1" s="1"/>
  <c r="I8" i="1" s="1"/>
  <c r="I9" i="1" s="1"/>
  <c r="U18" i="7" l="1"/>
  <c r="N29" i="7"/>
  <c r="N30" i="7" s="1"/>
  <c r="N12" i="7"/>
  <c r="W37" i="3"/>
  <c r="V38" i="3"/>
  <c r="I56" i="1"/>
  <c r="I57" i="1" s="1"/>
  <c r="I58" i="1" s="1"/>
  <c r="J56" i="1"/>
  <c r="J57" i="1" s="1"/>
  <c r="J58" i="1" s="1"/>
  <c r="H56" i="1"/>
  <c r="H57" i="1" s="1"/>
  <c r="H58" i="1" s="1"/>
  <c r="K56" i="1"/>
  <c r="K57" i="1" s="1"/>
  <c r="K58" i="1" s="1"/>
  <c r="M56" i="1"/>
  <c r="M57" i="1" s="1"/>
  <c r="M58" i="1" s="1"/>
  <c r="H50" i="1"/>
  <c r="H51" i="1" s="1"/>
  <c r="G34" i="1"/>
  <c r="G35" i="1" s="1"/>
  <c r="G18" i="1"/>
  <c r="G19" i="1" s="1"/>
  <c r="F18" i="1"/>
  <c r="F19" i="1" s="1"/>
  <c r="I48" i="1"/>
  <c r="I49" i="1" s="1"/>
  <c r="I32" i="1"/>
  <c r="H33" i="1"/>
  <c r="I41" i="1"/>
  <c r="H42" i="1"/>
  <c r="I17" i="1"/>
  <c r="I18" i="1" s="1"/>
  <c r="H19" i="1"/>
  <c r="L23" i="3"/>
  <c r="K24" i="3"/>
  <c r="K25" i="3" s="1"/>
  <c r="K26" i="3" s="1"/>
  <c r="AB10" i="4"/>
  <c r="AA11" i="4"/>
  <c r="Q5" i="4"/>
  <c r="R3" i="4"/>
  <c r="I5" i="4"/>
  <c r="J3" i="4"/>
  <c r="O29" i="7" l="1"/>
  <c r="O30" i="7" s="1"/>
  <c r="O12" i="7"/>
  <c r="V18" i="7"/>
  <c r="X37" i="3"/>
  <c r="W38" i="3"/>
  <c r="I50" i="1"/>
  <c r="I51" i="1" s="1"/>
  <c r="H34" i="1"/>
  <c r="H35" i="1" s="1"/>
  <c r="H43" i="1"/>
  <c r="H44" i="1" s="1"/>
  <c r="J48" i="1"/>
  <c r="K48" i="1" s="1"/>
  <c r="L48" i="1" s="1"/>
  <c r="J32" i="1"/>
  <c r="I33" i="1"/>
  <c r="J41" i="1"/>
  <c r="I42" i="1"/>
  <c r="J17" i="1"/>
  <c r="J18" i="1" s="1"/>
  <c r="I19" i="1"/>
  <c r="K3" i="4"/>
  <c r="J5" i="4"/>
  <c r="R5" i="4"/>
  <c r="S3" i="4"/>
  <c r="AC10" i="4"/>
  <c r="AC11" i="4" s="1"/>
  <c r="AB11" i="4"/>
  <c r="L24" i="3"/>
  <c r="L25" i="3" s="1"/>
  <c r="L26" i="3" s="1"/>
  <c r="M23" i="3"/>
  <c r="W18" i="7" l="1"/>
  <c r="P29" i="7"/>
  <c r="P30" i="7" s="1"/>
  <c r="P12" i="7"/>
  <c r="Y37" i="3"/>
  <c r="X38" i="3"/>
  <c r="I34" i="1"/>
  <c r="I35" i="1" s="1"/>
  <c r="I43" i="1"/>
  <c r="I44" i="1" s="1"/>
  <c r="K49" i="1"/>
  <c r="K50" i="1" s="1"/>
  <c r="K51" i="1" s="1"/>
  <c r="J49" i="1"/>
  <c r="K41" i="1"/>
  <c r="J42" i="1"/>
  <c r="K32" i="1"/>
  <c r="J33" i="1"/>
  <c r="K17" i="1"/>
  <c r="K18" i="1" s="1"/>
  <c r="J19" i="1"/>
  <c r="N23" i="3"/>
  <c r="M24" i="3"/>
  <c r="M25" i="3" s="1"/>
  <c r="M26" i="3" s="1"/>
  <c r="M48" i="1"/>
  <c r="L49" i="1"/>
  <c r="L50" i="1" s="1"/>
  <c r="L51" i="1" s="1"/>
  <c r="S5" i="4"/>
  <c r="T3" i="4"/>
  <c r="K5" i="4"/>
  <c r="L3" i="4"/>
  <c r="X18" i="7" l="1"/>
  <c r="Q29" i="7"/>
  <c r="Q30" i="7" s="1"/>
  <c r="Q12" i="7"/>
  <c r="Z37" i="3"/>
  <c r="Y38" i="3"/>
  <c r="N55" i="1"/>
  <c r="J50" i="1"/>
  <c r="J51" i="1" s="1"/>
  <c r="J34" i="1"/>
  <c r="J35" i="1" s="1"/>
  <c r="J43" i="1"/>
  <c r="J44" i="1" s="1"/>
  <c r="L32" i="1"/>
  <c r="K33" i="1"/>
  <c r="L41" i="1"/>
  <c r="K42" i="1"/>
  <c r="L17" i="1"/>
  <c r="L18" i="1" s="1"/>
  <c r="K19" i="1"/>
  <c r="M3" i="4"/>
  <c r="M5" i="4" s="1"/>
  <c r="L5" i="4"/>
  <c r="T5" i="4"/>
  <c r="U3" i="4"/>
  <c r="M49" i="1"/>
  <c r="M50" i="1" s="1"/>
  <c r="M51" i="1" s="1"/>
  <c r="N48" i="1"/>
  <c r="N24" i="3"/>
  <c r="O23" i="3"/>
  <c r="R29" i="7" l="1"/>
  <c r="R30" i="7" s="1"/>
  <c r="R12" i="7"/>
  <c r="Y18" i="7"/>
  <c r="AA37" i="3"/>
  <c r="Z38" i="3"/>
  <c r="O55" i="1"/>
  <c r="O56" i="1" s="1"/>
  <c r="O57" i="1" s="1"/>
  <c r="N56" i="1"/>
  <c r="N57" i="1" s="1"/>
  <c r="K34" i="1"/>
  <c r="K35" i="1" s="1"/>
  <c r="K43" i="1"/>
  <c r="K44" i="1" s="1"/>
  <c r="M41" i="1"/>
  <c r="L42" i="1"/>
  <c r="M32" i="1"/>
  <c r="L33" i="1"/>
  <c r="M17" i="1"/>
  <c r="M18" i="1" s="1"/>
  <c r="L19" i="1"/>
  <c r="P23" i="3"/>
  <c r="O24" i="3"/>
  <c r="O48" i="1"/>
  <c r="N49" i="1"/>
  <c r="N50" i="1" s="1"/>
  <c r="V3" i="4"/>
  <c r="U5" i="4"/>
  <c r="Z18" i="7" l="1"/>
  <c r="S29" i="7"/>
  <c r="S30" i="7" s="1"/>
  <c r="S12" i="7"/>
  <c r="AB37" i="3"/>
  <c r="AA38" i="3"/>
  <c r="L34" i="1"/>
  <c r="L35" i="1" s="1"/>
  <c r="L43" i="1"/>
  <c r="L44" i="1" s="1"/>
  <c r="N32" i="1"/>
  <c r="M33" i="1"/>
  <c r="N41" i="1"/>
  <c r="M42" i="1"/>
  <c r="N17" i="1"/>
  <c r="M19" i="1"/>
  <c r="V5" i="4"/>
  <c r="W3" i="4"/>
  <c r="P55" i="1"/>
  <c r="O49" i="1"/>
  <c r="O50" i="1" s="1"/>
  <c r="P48" i="1"/>
  <c r="P24" i="3"/>
  <c r="Q23" i="3"/>
  <c r="T29" i="7" l="1"/>
  <c r="T30" i="7" s="1"/>
  <c r="T12" i="7"/>
  <c r="AA18" i="7"/>
  <c r="AC37" i="3"/>
  <c r="AC38" i="3" s="1"/>
  <c r="AB38" i="3"/>
  <c r="M34" i="1"/>
  <c r="M35" i="1" s="1"/>
  <c r="M43" i="1"/>
  <c r="M44" i="1" s="1"/>
  <c r="O41" i="1"/>
  <c r="N42" i="1"/>
  <c r="N43" i="1" s="1"/>
  <c r="O32" i="1"/>
  <c r="N33" i="1"/>
  <c r="N34" i="1" s="1"/>
  <c r="O17" i="1"/>
  <c r="N18" i="1"/>
  <c r="R23" i="3"/>
  <c r="Q24" i="3"/>
  <c r="Q48" i="1"/>
  <c r="P49" i="1"/>
  <c r="P50" i="1" s="1"/>
  <c r="Q55" i="1"/>
  <c r="P56" i="1"/>
  <c r="P57" i="1" s="1"/>
  <c r="W5" i="4"/>
  <c r="X3" i="4"/>
  <c r="U29" i="7" l="1"/>
  <c r="U30" i="7" s="1"/>
  <c r="U12" i="7"/>
  <c r="AC18" i="7"/>
  <c r="AB18" i="7"/>
  <c r="P32" i="1"/>
  <c r="O33" i="1"/>
  <c r="O34" i="1" s="1"/>
  <c r="P41" i="1"/>
  <c r="O42" i="1"/>
  <c r="O43" i="1" s="1"/>
  <c r="P17" i="1"/>
  <c r="O18" i="1"/>
  <c r="X5" i="4"/>
  <c r="Y3" i="4"/>
  <c r="Q56" i="1"/>
  <c r="Q57" i="1" s="1"/>
  <c r="R55" i="1"/>
  <c r="Q49" i="1"/>
  <c r="Q50" i="1" s="1"/>
  <c r="R48" i="1"/>
  <c r="R24" i="3"/>
  <c r="S23" i="3"/>
  <c r="V29" i="7" l="1"/>
  <c r="V30" i="7" s="1"/>
  <c r="V12" i="7"/>
  <c r="Q41" i="1"/>
  <c r="P42" i="1"/>
  <c r="P43" i="1" s="1"/>
  <c r="Q32" i="1"/>
  <c r="P33" i="1"/>
  <c r="P34" i="1" s="1"/>
  <c r="Q17" i="1"/>
  <c r="P18" i="1"/>
  <c r="T23" i="3"/>
  <c r="S24" i="3"/>
  <c r="S48" i="1"/>
  <c r="R49" i="1"/>
  <c r="R50" i="1" s="1"/>
  <c r="S55" i="1"/>
  <c r="R56" i="1"/>
  <c r="R57" i="1" s="1"/>
  <c r="Z3" i="4"/>
  <c r="Y5" i="4"/>
  <c r="W29" i="7" l="1"/>
  <c r="W30" i="7" s="1"/>
  <c r="W12" i="7"/>
  <c r="R41" i="1"/>
  <c r="Q42" i="1"/>
  <c r="Q43" i="1" s="1"/>
  <c r="R32" i="1"/>
  <c r="Q33" i="1"/>
  <c r="Q34" i="1" s="1"/>
  <c r="R17" i="1"/>
  <c r="Q18" i="1"/>
  <c r="Z5" i="4"/>
  <c r="AA3" i="4"/>
  <c r="S56" i="1"/>
  <c r="S57" i="1" s="1"/>
  <c r="T55" i="1"/>
  <c r="S49" i="1"/>
  <c r="S50" i="1" s="1"/>
  <c r="T48" i="1"/>
  <c r="T24" i="3"/>
  <c r="U23" i="3"/>
  <c r="X29" i="7" l="1"/>
  <c r="X30" i="7" s="1"/>
  <c r="X12" i="7"/>
  <c r="S32" i="1"/>
  <c r="R33" i="1"/>
  <c r="R34" i="1" s="1"/>
  <c r="S41" i="1"/>
  <c r="R42" i="1"/>
  <c r="R43" i="1" s="1"/>
  <c r="S17" i="1"/>
  <c r="R18" i="1"/>
  <c r="V23" i="3"/>
  <c r="U24" i="3"/>
  <c r="U48" i="1"/>
  <c r="T49" i="1"/>
  <c r="T50" i="1" s="1"/>
  <c r="U55" i="1"/>
  <c r="T56" i="1"/>
  <c r="T57" i="1" s="1"/>
  <c r="AA5" i="4"/>
  <c r="AB3" i="4"/>
  <c r="Y29" i="7" l="1"/>
  <c r="Y30" i="7" s="1"/>
  <c r="Y12" i="7"/>
  <c r="T41" i="1"/>
  <c r="S42" i="1"/>
  <c r="S43" i="1" s="1"/>
  <c r="T32" i="1"/>
  <c r="S33" i="1"/>
  <c r="S34" i="1" s="1"/>
  <c r="T17" i="1"/>
  <c r="S18" i="1"/>
  <c r="AB5" i="4"/>
  <c r="AC3" i="4"/>
  <c r="AC5" i="4" s="1"/>
  <c r="U56" i="1"/>
  <c r="U57" i="1" s="1"/>
  <c r="V55" i="1"/>
  <c r="U49" i="1"/>
  <c r="U50" i="1" s="1"/>
  <c r="V48" i="1"/>
  <c r="V24" i="3"/>
  <c r="W23" i="3"/>
  <c r="Z29" i="7" l="1"/>
  <c r="Z30" i="7" s="1"/>
  <c r="Z12" i="7"/>
  <c r="U32" i="1"/>
  <c r="T33" i="1"/>
  <c r="T34" i="1" s="1"/>
  <c r="U41" i="1"/>
  <c r="T42" i="1"/>
  <c r="T43" i="1" s="1"/>
  <c r="U17" i="1"/>
  <c r="T18" i="1"/>
  <c r="X23" i="3"/>
  <c r="W24" i="3"/>
  <c r="W48" i="1"/>
  <c r="V49" i="1"/>
  <c r="V50" i="1" s="1"/>
  <c r="W55" i="1"/>
  <c r="V56" i="1"/>
  <c r="V57" i="1" s="1"/>
  <c r="AA29" i="7" l="1"/>
  <c r="AA30" i="7" s="1"/>
  <c r="AA12" i="7"/>
  <c r="V41" i="1"/>
  <c r="U42" i="1"/>
  <c r="U43" i="1" s="1"/>
  <c r="V32" i="1"/>
  <c r="U33" i="1"/>
  <c r="U34" i="1" s="1"/>
  <c r="V17" i="1"/>
  <c r="U18" i="1"/>
  <c r="W56" i="1"/>
  <c r="W57" i="1" s="1"/>
  <c r="X55" i="1"/>
  <c r="W49" i="1"/>
  <c r="W50" i="1" s="1"/>
  <c r="X48" i="1"/>
  <c r="X24" i="3"/>
  <c r="Y23" i="3"/>
  <c r="AB29" i="7" l="1"/>
  <c r="AB30" i="7" s="1"/>
  <c r="AB12" i="7"/>
  <c r="W32" i="1"/>
  <c r="V33" i="1"/>
  <c r="V34" i="1" s="1"/>
  <c r="W41" i="1"/>
  <c r="V42" i="1"/>
  <c r="V43" i="1" s="1"/>
  <c r="W17" i="1"/>
  <c r="V18" i="1"/>
  <c r="Z23" i="3"/>
  <c r="Y24" i="3"/>
  <c r="Y48" i="1"/>
  <c r="X49" i="1"/>
  <c r="X50" i="1" s="1"/>
  <c r="Y55" i="1"/>
  <c r="X56" i="1"/>
  <c r="X57" i="1" s="1"/>
  <c r="AC29" i="7" l="1"/>
  <c r="AC30" i="7" s="1"/>
  <c r="AC12" i="7"/>
  <c r="X41" i="1"/>
  <c r="W42" i="1"/>
  <c r="W43" i="1" s="1"/>
  <c r="X32" i="1"/>
  <c r="W33" i="1"/>
  <c r="W34" i="1" s="1"/>
  <c r="X17" i="1"/>
  <c r="W18" i="1"/>
  <c r="Y56" i="1"/>
  <c r="Y57" i="1" s="1"/>
  <c r="Z55" i="1"/>
  <c r="Y49" i="1"/>
  <c r="Y50" i="1" s="1"/>
  <c r="Z48" i="1"/>
  <c r="Z24" i="3"/>
  <c r="AA23" i="3"/>
  <c r="Y32" i="1" l="1"/>
  <c r="X33" i="1"/>
  <c r="X34" i="1" s="1"/>
  <c r="Y41" i="1"/>
  <c r="X42" i="1"/>
  <c r="X43" i="1" s="1"/>
  <c r="Y17" i="1"/>
  <c r="X18" i="1"/>
  <c r="AB23" i="3"/>
  <c r="AA24" i="3"/>
  <c r="AA48" i="1"/>
  <c r="Z49" i="1"/>
  <c r="Z50" i="1" s="1"/>
  <c r="AA55" i="1"/>
  <c r="Z56" i="1"/>
  <c r="Z57" i="1" s="1"/>
  <c r="Z41" i="1" l="1"/>
  <c r="Y42" i="1"/>
  <c r="Y43" i="1" s="1"/>
  <c r="Z32" i="1"/>
  <c r="Y33" i="1"/>
  <c r="Y34" i="1" s="1"/>
  <c r="Z17" i="1"/>
  <c r="Y18" i="1"/>
  <c r="AA56" i="1"/>
  <c r="AA57" i="1" s="1"/>
  <c r="AB55" i="1"/>
  <c r="AA49" i="1"/>
  <c r="AA50" i="1" s="1"/>
  <c r="AB48" i="1"/>
  <c r="AB24" i="3"/>
  <c r="AC23" i="3"/>
  <c r="AC24" i="3" s="1"/>
  <c r="AA32" i="1" l="1"/>
  <c r="Z33" i="1"/>
  <c r="Z34" i="1" s="1"/>
  <c r="AA41" i="1"/>
  <c r="Z42" i="1"/>
  <c r="Z43" i="1" s="1"/>
  <c r="AA17" i="1"/>
  <c r="Z18" i="1"/>
  <c r="AC48" i="1"/>
  <c r="AB49" i="1"/>
  <c r="AB50" i="1" s="1"/>
  <c r="AC55" i="1"/>
  <c r="AB56" i="1"/>
  <c r="AB57" i="1" s="1"/>
  <c r="AC56" i="1" l="1"/>
  <c r="AC57" i="1" s="1"/>
  <c r="AC49" i="1"/>
  <c r="AC50" i="1" s="1"/>
  <c r="AB41" i="1"/>
  <c r="AA42" i="1"/>
  <c r="AA43" i="1" s="1"/>
  <c r="AB32" i="1"/>
  <c r="AA33" i="1"/>
  <c r="AA34" i="1" s="1"/>
  <c r="AB17" i="1"/>
  <c r="AA18" i="1"/>
  <c r="AC32" i="1" l="1"/>
  <c r="AB33" i="1"/>
  <c r="AB34" i="1" s="1"/>
  <c r="AC41" i="1"/>
  <c r="AB42" i="1"/>
  <c r="AB43" i="1" s="1"/>
  <c r="AB18" i="1"/>
  <c r="AC17" i="1" l="1"/>
  <c r="AC18" i="1" s="1"/>
  <c r="AC42" i="1"/>
  <c r="AC43" i="1" s="1"/>
  <c r="AC33" i="1"/>
  <c r="AC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  <comment ref="C13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  <comment ref="C23" authorId="0" shapeId="0" xr:uid="{00000000-0006-0000-0000-000005000000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  <comment ref="C30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  <comment ref="C39" authorId="0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  <comment ref="C48" authorId="0" shapeId="0" xr:uid="{00000000-0006-0000-0000-000006000000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  <comment ref="C55" authorId="0" shapeId="0" xr:uid="{B8227062-069C-40D4-969E-1330E97F5C2C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  <comment ref="C14" authorId="0" shapeId="0" xr:uid="{00000000-0006-0000-0100-000002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  <comment ref="C25" authorId="0" shapeId="0" xr:uid="{00000000-0006-0000-0100-000003000000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  <comment ref="C35" authorId="0" shapeId="0" xr:uid="{5D75A632-D1EB-4CDC-B93E-FFE505ABEF25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  <comment ref="C45" authorId="0" shapeId="0" xr:uid="{9BB7C862-FA02-4097-977E-9C4EB551DFD3}">
      <text>
        <r>
          <rPr>
            <sz val="11"/>
            <color rgb="FF000000"/>
            <rFont val="Calibri"/>
            <family val="2"/>
          </rPr>
          <t xml:space="preserve">Le réve 1:
Tour 6 horas en Ingles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  <comment ref="C15" authorId="0" shapeId="0" xr:uid="{00000000-0006-0000-0200-000002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500-000001000000}">
      <text>
        <r>
          <rPr>
            <sz val="11"/>
            <color rgb="FF000000"/>
            <rFont val="Calibri"/>
            <family val="2"/>
          </rPr>
          <t>Hasta 4 pax se puede manejar con Hotel villa del sol, ellos ofrecen la posibilidad de transporte mas guianza, ver carpeta de Hotel villa del sol-Tarifas
	-Director Comercial</t>
        </r>
      </text>
    </comment>
    <comment ref="C5" authorId="0" shapeId="0" xr:uid="{00000000-0006-0000-0500-000002000000}">
      <text>
        <r>
          <rPr>
            <sz val="11"/>
            <color rgb="FF000000"/>
            <rFont val="Calibri"/>
            <family val="2"/>
          </rPr>
          <t xml:space="preserve">Le réve 1:
valor hora en español 25,000
Valor hora en ingles 30,000
Tour de 10 horas
</t>
        </r>
      </text>
    </comment>
    <comment ref="I15" authorId="0" shapeId="0" xr:uid="{00000000-0006-0000-0500-000003000000}">
      <text>
        <r>
          <rPr>
            <sz val="11"/>
            <color rgb="FF000000"/>
            <rFont val="Calibri"/>
            <family val="2"/>
          </rPr>
          <t>Hasta 4 personas se puede manejar con Villa del sol, ver tarifas en la carpeta de Hotel Villa del sol
	-Director Comercial</t>
        </r>
      </text>
    </comment>
  </commentList>
</comments>
</file>

<file path=xl/sharedStrings.xml><?xml version="1.0" encoding="utf-8"?>
<sst xmlns="http://schemas.openxmlformats.org/spreadsheetml/2006/main" count="886" uniqueCount="194">
  <si>
    <t>CIUDAD</t>
  </si>
  <si>
    <t>OPERADORES</t>
  </si>
  <si>
    <t>DESCRIPCION</t>
  </si>
  <si>
    <t>SERVICIO</t>
  </si>
  <si>
    <t>HASTA 3 PAX</t>
  </si>
  <si>
    <t>HASTA 9 PAX</t>
  </si>
  <si>
    <t>Hasta 14 pax</t>
  </si>
  <si>
    <t>Hasta 24 pax</t>
  </si>
  <si>
    <t>MEDELLIN</t>
  </si>
  <si>
    <t>1</t>
  </si>
  <si>
    <t>CITY TOUR 4 HORAS</t>
  </si>
  <si>
    <t>Colombia Experience Travel/Transportes ejecutivos globales</t>
  </si>
  <si>
    <t>Traslados city</t>
  </si>
  <si>
    <t>Transporte</t>
  </si>
  <si>
    <t>Eduardo Imbachi/Asoguian</t>
  </si>
  <si>
    <t>Guianza city</t>
  </si>
  <si>
    <t>Guianza</t>
  </si>
  <si>
    <t>TRANSPORTE + GUIANZA</t>
  </si>
  <si>
    <t>Metro y Metro Cable</t>
  </si>
  <si>
    <t>Entrada</t>
  </si>
  <si>
    <t>Tour</t>
  </si>
  <si>
    <t>VALOR NETO</t>
  </si>
  <si>
    <t>VALOR BRUTO</t>
  </si>
  <si>
    <t>PVP</t>
  </si>
  <si>
    <t>CITY TOUR 10 HORAS (**)</t>
  </si>
  <si>
    <t>Colombia Experience Travel/Transportes ejecutivos Globales</t>
  </si>
  <si>
    <t>Restaurante Hacienda Origen</t>
  </si>
  <si>
    <t>Almuerzo</t>
  </si>
  <si>
    <t>Alimentacion</t>
  </si>
  <si>
    <t>Total</t>
  </si>
  <si>
    <t>TOUR GRAFITERO (*****)</t>
  </si>
  <si>
    <t>Cet/Transportes globales  ejecutivos</t>
  </si>
  <si>
    <t>Traslado Comuna 13</t>
  </si>
  <si>
    <t>Ruta 13</t>
  </si>
  <si>
    <t>Guianza city tour</t>
  </si>
  <si>
    <t>HASTA 19 PAX</t>
  </si>
  <si>
    <t>HASTA 25 PAX</t>
  </si>
  <si>
    <t>TOUR GUATAPE (***)</t>
  </si>
  <si>
    <t>Cet/Transportes Globales Ejecutivos</t>
  </si>
  <si>
    <t>Traslado Med- Gua</t>
  </si>
  <si>
    <t>Restaurante Al carbon Parrilla Bar</t>
  </si>
  <si>
    <t>Alimentación</t>
  </si>
  <si>
    <t>TOUR SANTAFE DE ANTIOQUIA (****)</t>
  </si>
  <si>
    <t>Cet/Transportes ejecutivos Globales</t>
  </si>
  <si>
    <t>Traslado Med- Sfe</t>
  </si>
  <si>
    <t xml:space="preserve">Restaurante </t>
  </si>
  <si>
    <t>HASTA 12 PAX</t>
  </si>
  <si>
    <t>TOUR NAPOLES SALVAJE PASADIA (******)</t>
  </si>
  <si>
    <t>Transportes ejecutivos Globales</t>
  </si>
  <si>
    <t>Traslado Med-Hacienda</t>
  </si>
  <si>
    <t>Pasaporte Salvaje Opcion E</t>
  </si>
  <si>
    <t>Pasaporte</t>
  </si>
  <si>
    <t>TRANSPORTE</t>
  </si>
  <si>
    <r>
      <t xml:space="preserve">solo modificar los valores en </t>
    </r>
    <r>
      <rPr>
        <sz val="11"/>
        <color rgb="FF0000FF"/>
        <rFont val="Calibri"/>
        <family val="2"/>
      </rPr>
      <t>azul</t>
    </r>
    <r>
      <rPr>
        <sz val="11"/>
        <color rgb="FF000000"/>
        <rFont val="Calibri"/>
        <family val="2"/>
      </rPr>
      <t xml:space="preserve"> y de acuerdo a las capacidades de cada Vehiculo</t>
    </r>
  </si>
  <si>
    <t>GUIANZA</t>
  </si>
  <si>
    <r>
      <t xml:space="preserve">Solo modificar los valores en </t>
    </r>
    <r>
      <rPr>
        <sz val="11"/>
        <color rgb="FF980000"/>
        <rFont val="Calibri"/>
        <family val="2"/>
      </rPr>
      <t>Marron</t>
    </r>
    <r>
      <rPr>
        <sz val="11"/>
        <color rgb="FF000000"/>
        <rFont val="Calibri"/>
        <family val="2"/>
      </rPr>
      <t xml:space="preserve"> y de acuerdo al numero de personas</t>
    </r>
  </si>
  <si>
    <t>TOUR</t>
  </si>
  <si>
    <t>Solo modificar el valor inicial del tour, pasaporte o entrada si cambia el valor por negociacion para grupos</t>
  </si>
  <si>
    <t>ALIMENTACION</t>
  </si>
  <si>
    <t>Solo modificar el valor inicial de la alimentacion si cambia el precio por negociacion para grupos</t>
  </si>
  <si>
    <t>HASTA 15 PAX</t>
  </si>
  <si>
    <t>BOGOTA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</si>
  <si>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</si>
  <si>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</si>
  <si>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</si>
  <si>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</si>
  <si>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</si>
  <si>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</si>
  <si>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</si>
  <si>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</si>
  <si>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</si>
  <si>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</si>
  <si>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</si>
  <si>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</si>
  <si>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</si>
  <si>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</si>
  <si>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</si>
  <si>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</si>
  <si>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</si>
  <si>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</si>
  <si>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</si>
  <si>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</si>
  <si>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</si>
  <si>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</si>
  <si>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</si>
  <si>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</si>
  <si>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CITY TOUR 4 HORAS (*)</t>
  </si>
  <si>
    <t>Martha Acevedo</t>
  </si>
  <si>
    <t>Museo del Oro</t>
  </si>
  <si>
    <t>HASTA 6 PAX</t>
  </si>
  <si>
    <t>CITY TOUR 8 HORAS (**)</t>
  </si>
  <si>
    <t>Panoptico</t>
  </si>
  <si>
    <t>Cerro de Monserrate</t>
  </si>
  <si>
    <t>TOUR ZIPAQUIRA 6 HORAS (***)</t>
  </si>
  <si>
    <t>Global Cars</t>
  </si>
  <si>
    <t>Traslado Bog- Zip</t>
  </si>
  <si>
    <t>Catedral de Sal</t>
  </si>
  <si>
    <t>Funzipa</t>
  </si>
  <si>
    <t>TOUR PARQUE JAIME DUQUE</t>
  </si>
  <si>
    <t>Traslado Bog- Tocancipa</t>
  </si>
  <si>
    <t>Parque Jaime Duque</t>
  </si>
  <si>
    <t>Restaurante</t>
  </si>
  <si>
    <t xml:space="preserve">TOUR GUATAVITA </t>
  </si>
  <si>
    <t>Parques nacionales</t>
  </si>
  <si>
    <t>HASTA 14 PAX</t>
  </si>
  <si>
    <t>CARTAGENA</t>
  </si>
  <si>
    <t>WALKING TOUR (*)</t>
  </si>
  <si>
    <t>Azula L&amp;G</t>
  </si>
  <si>
    <t>Hotel centro historico Hotel</t>
  </si>
  <si>
    <t>Maria del Socorro</t>
  </si>
  <si>
    <t>Guianza Walking</t>
  </si>
  <si>
    <t>Restaurante la Cocina Cartagenera</t>
  </si>
  <si>
    <t>Cena</t>
  </si>
  <si>
    <t>CITY TOUR Y CHIVA (**)</t>
  </si>
  <si>
    <t>Transglobal Ejecutivos</t>
  </si>
  <si>
    <t>Transporte city tour</t>
  </si>
  <si>
    <t>Azula</t>
  </si>
  <si>
    <t>Chiva rumbera</t>
  </si>
  <si>
    <t>Escuela Taller Ctg de Indias</t>
  </si>
  <si>
    <t>Entrada San Felipe</t>
  </si>
  <si>
    <t>FULL DAY ISLA DEL ENCANTO (***)</t>
  </si>
  <si>
    <t>Transportes Ejecutivos</t>
  </si>
  <si>
    <t>Transporte Muelle Hotel</t>
  </si>
  <si>
    <t>Isla del Encanto</t>
  </si>
  <si>
    <t>Tour Islas del Rosario</t>
  </si>
  <si>
    <t>NOCHE DE PIRATAS SILVER</t>
  </si>
  <si>
    <t>Travel Vip Tour</t>
  </si>
  <si>
    <t>Tour Noche de Piratas Plan Silver</t>
  </si>
  <si>
    <t>NOCHE DE PIRATAS GOLD</t>
  </si>
  <si>
    <t>Tour Noche de Piratas Plan Gold</t>
  </si>
  <si>
    <t>SANTA MARTA</t>
  </si>
  <si>
    <t>Baquianos Tours</t>
  </si>
  <si>
    <t>Transporte y guianza</t>
  </si>
  <si>
    <t>CITY TOUR</t>
  </si>
  <si>
    <t>TOUR MINCA</t>
  </si>
  <si>
    <t>TOUR CABO SAN JUAN PNN TAYRONA</t>
  </si>
  <si>
    <t>TOUR PLAYA BLANCA Y ACUARIO </t>
  </si>
  <si>
    <t>TOUR VUELTA A LA ISLA TERRESTRE</t>
  </si>
  <si>
    <t>Portofino</t>
  </si>
  <si>
    <t>TOUR VUELTA A LA ISLA EN LANCHA </t>
  </si>
  <si>
    <t xml:space="preserve">TOUR MANTARRAYAS </t>
  </si>
  <si>
    <t xml:space="preserve">TOUR JHONNY CAY, ACUARIO Y MANTARRAYAS  </t>
  </si>
  <si>
    <t>Despegar</t>
  </si>
  <si>
    <t>EJE CAFETERO</t>
  </si>
  <si>
    <t>TOUR DEL CAFÉ (*)</t>
  </si>
  <si>
    <t>Combia Inspiracion</t>
  </si>
  <si>
    <t>Combia inspiracion</t>
  </si>
  <si>
    <t>Finca Combia</t>
  </si>
  <si>
    <t>TOUR VALLE DEL COCORA (**)</t>
  </si>
  <si>
    <t>Invierta en el Quindio</t>
  </si>
  <si>
    <t>traslado hotel a Salento</t>
  </si>
  <si>
    <t>Claudia Casas</t>
  </si>
  <si>
    <t>Transportes salento</t>
  </si>
  <si>
    <t>Traslado en Jeep a Cocora</t>
  </si>
  <si>
    <t>TERMALES SAN VICENTE (***)</t>
  </si>
  <si>
    <t>Termales san Vicente</t>
  </si>
  <si>
    <t>Termales de san Vicente</t>
  </si>
  <si>
    <t>Pasadia Oxigeno</t>
  </si>
  <si>
    <t>TERMALES DE SANTA ROSA DE CABAL (****)</t>
  </si>
  <si>
    <t>traslado hotel atermales</t>
  </si>
  <si>
    <t>HASTA 8 PAX</t>
  </si>
  <si>
    <t>HASTA 20 PAX</t>
  </si>
  <si>
    <t>NEIVA</t>
  </si>
  <si>
    <t>TATACOA PASADIA (*)</t>
  </si>
  <si>
    <t>Villa del Sol//Yimmy Tours</t>
  </si>
  <si>
    <t>Traslados Neiva-Vvieja-Neiva</t>
  </si>
  <si>
    <t>Isabel Cristina/Villa del Sol</t>
  </si>
  <si>
    <t>Guianza en el desierto</t>
  </si>
  <si>
    <t>VALOR PAX/20</t>
  </si>
  <si>
    <t>N/S</t>
  </si>
  <si>
    <t>NETO COP</t>
  </si>
  <si>
    <t>NETO USD</t>
  </si>
  <si>
    <t>Neiva</t>
  </si>
  <si>
    <t>Yimmy Tours</t>
  </si>
  <si>
    <t>Traslados Neiva Desierto</t>
  </si>
  <si>
    <t>Museo Paleontologico de Villavieja</t>
  </si>
  <si>
    <t>Entrada al museo y al sendero del cusco</t>
  </si>
  <si>
    <t>Isabel Cristina</t>
  </si>
  <si>
    <t>Tour Rio Magdalena</t>
  </si>
  <si>
    <t>Guianza Local</t>
  </si>
  <si>
    <t>Guia</t>
  </si>
  <si>
    <t>Restaurante el Rincon del cabrito</t>
  </si>
  <si>
    <t>Almuerzo tipico</t>
  </si>
  <si>
    <t>April</t>
  </si>
  <si>
    <t>Tarjeta de asistencia medica</t>
  </si>
  <si>
    <t>Asis medica</t>
  </si>
  <si>
    <t>VALOR NETO TOTAL</t>
  </si>
  <si>
    <t>PORCENTAJE DE VENTA</t>
  </si>
  <si>
    <t>CXM</t>
  </si>
  <si>
    <t>MAS IVA HOTEL/ FEE BANCARIO</t>
  </si>
  <si>
    <t>AVIANCA</t>
  </si>
  <si>
    <t>TIQUETE CON IMPUESTOS NETO + TA</t>
  </si>
  <si>
    <t>TOTAL PAQUETE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</si>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</sst>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"/>
    <numFmt numFmtId="165" formatCode="&quot;$&quot;\ #,##0_);[Red]\(&quot;$&quot;\ #,##0\)"/>
    <numFmt numFmtId="166" formatCode="_-* #,##0\ _€_-;\-* #,##0\ _€_-;_-* &quot;-&quot;??\ _€_-;_-@"/>
  </numFmts>
  <fonts count="21" x14ac:knownFonts="1">
    <font>
      <sz val="11"/>
      <color rgb="FF000000"/>
      <name val="Calibri"/>
    </font>
    <font>
      <sz val="11"/>
      <color rgb="FF980000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Verdana"/>
      <family val="2"/>
    </font>
    <font>
      <u/>
      <sz val="9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9900FF"/>
      <name val="Calibri"/>
      <family val="2"/>
    </font>
    <font>
      <sz val="11"/>
      <color rgb="FFFF9900"/>
      <name val="Calibri"/>
      <family val="2"/>
    </font>
    <font>
      <sz val="10"/>
      <color rgb="FF980000"/>
      <name val="Verdana"/>
      <family val="2"/>
    </font>
    <font>
      <sz val="11"/>
      <color rgb="FF000000"/>
      <name val="Calibri"/>
      <family val="2"/>
    </font>
    <font>
      <sz val="10"/>
      <color rgb="FFFF9900"/>
      <name val="Verdana"/>
      <family val="2"/>
    </font>
    <font>
      <sz val="11"/>
      <color rgb="FFFF00FF"/>
      <name val="Calibri"/>
      <family val="2"/>
    </font>
    <font>
      <sz val="10"/>
      <color rgb="FFFF00FF"/>
      <name val="Verdana"/>
      <family val="2"/>
    </font>
    <font>
      <sz val="10"/>
      <color rgb="FF0000FF"/>
      <name val="Verdana"/>
      <family val="2"/>
    </font>
    <font>
      <sz val="11"/>
      <color rgb="FFFF0000"/>
      <name val="Calibri"/>
      <family val="2"/>
    </font>
    <font>
      <u/>
      <sz val="11"/>
      <color theme="10"/>
      <name val="Calibri"/>
    </font>
    <font>
      <b/>
      <sz val="11"/>
      <color theme="5" tint="-0.249977111117893"/>
      <name val="Calibri"/>
      <family val="2"/>
    </font>
    <font>
      <b/>
      <sz val="11"/>
      <color theme="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4472C4"/>
        <bgColor rgb="FF4472C4"/>
      </patternFill>
    </fill>
    <fill>
      <patternFill patternType="solid">
        <fgColor rgb="FFDEEAF6"/>
        <bgColor rgb="FFDEEAF6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 tint="0.39997558519241921"/>
        <bgColor rgb="FFC27BA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0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7E6E6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09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49" fontId="0" fillId="8" borderId="1" xfId="0" applyNumberFormat="1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164" fontId="0" fillId="9" borderId="1" xfId="0" applyNumberFormat="1" applyFont="1" applyFill="1" applyBorder="1" applyAlignment="1">
      <alignment horizontal="right" wrapText="1"/>
    </xf>
    <xf numFmtId="0" fontId="3" fillId="9" borderId="0" xfId="0" applyFont="1" applyFill="1"/>
    <xf numFmtId="0" fontId="8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1" xfId="0" applyFont="1" applyBorder="1" applyAlignment="1">
      <alignment wrapText="1"/>
    </xf>
    <xf numFmtId="0" fontId="10" fillId="8" borderId="1" xfId="0" applyFont="1" applyFill="1" applyBorder="1" applyAlignment="1">
      <alignment wrapText="1"/>
    </xf>
    <xf numFmtId="164" fontId="9" fillId="8" borderId="1" xfId="0" applyNumberFormat="1" applyFont="1" applyFill="1" applyBorder="1" applyAlignment="1">
      <alignment horizontal="right" wrapText="1"/>
    </xf>
    <xf numFmtId="0" fontId="3" fillId="0" borderId="1" xfId="0" applyFont="1" applyBorder="1"/>
    <xf numFmtId="0" fontId="2" fillId="5" borderId="4" xfId="0" applyFont="1" applyFill="1" applyBorder="1" applyAlignment="1">
      <alignment horizontal="center" wrapText="1"/>
    </xf>
    <xf numFmtId="164" fontId="0" fillId="8" borderId="1" xfId="0" applyNumberFormat="1" applyFont="1" applyFill="1" applyBorder="1" applyAlignment="1">
      <alignment horizontal="right" wrapText="1"/>
    </xf>
    <xf numFmtId="0" fontId="11" fillId="8" borderId="1" xfId="0" applyFont="1" applyFill="1" applyBorder="1" applyAlignment="1">
      <alignment wrapText="1"/>
    </xf>
    <xf numFmtId="0" fontId="3" fillId="6" borderId="0" xfId="0" applyFont="1" applyFill="1"/>
    <xf numFmtId="0" fontId="4" fillId="11" borderId="8" xfId="0" applyFont="1" applyFill="1" applyBorder="1" applyAlignment="1">
      <alignment wrapText="1"/>
    </xf>
    <xf numFmtId="0" fontId="5" fillId="12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164" fontId="0" fillId="0" borderId="1" xfId="0" applyNumberFormat="1" applyFont="1" applyBorder="1" applyAlignment="1">
      <alignment horizontal="right" wrapText="1"/>
    </xf>
    <xf numFmtId="0" fontId="0" fillId="12" borderId="1" xfId="0" applyFont="1" applyFill="1" applyBorder="1" applyAlignment="1">
      <alignment wrapText="1"/>
    </xf>
    <xf numFmtId="0" fontId="10" fillId="12" borderId="1" xfId="0" applyFont="1" applyFill="1" applyBorder="1" applyAlignment="1">
      <alignment wrapText="1"/>
    </xf>
    <xf numFmtId="164" fontId="13" fillId="13" borderId="1" xfId="0" applyNumberFormat="1" applyFont="1" applyFill="1" applyBorder="1" applyAlignment="1">
      <alignment horizontal="right" wrapText="1"/>
    </xf>
    <xf numFmtId="164" fontId="5" fillId="13" borderId="1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3" fontId="5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" fontId="0" fillId="0" borderId="0" xfId="0" applyNumberFormat="1" applyFont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164" fontId="12" fillId="13" borderId="1" xfId="0" applyNumberFormat="1" applyFont="1" applyFill="1" applyBorder="1"/>
    <xf numFmtId="0" fontId="14" fillId="12" borderId="1" xfId="0" applyFont="1" applyFill="1" applyBorder="1" applyAlignment="1">
      <alignment wrapText="1"/>
    </xf>
    <xf numFmtId="164" fontId="14" fillId="13" borderId="1" xfId="0" applyNumberFormat="1" applyFont="1" applyFill="1" applyBorder="1" applyAlignment="1">
      <alignment horizontal="right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horizontal="right" vertical="center" wrapText="1"/>
    </xf>
    <xf numFmtId="3" fontId="0" fillId="0" borderId="0" xfId="0" applyNumberFormat="1" applyFont="1" applyAlignment="1">
      <alignment horizontal="right" wrapText="1"/>
    </xf>
    <xf numFmtId="0" fontId="0" fillId="12" borderId="11" xfId="0" applyFont="1" applyFill="1" applyBorder="1" applyAlignment="1">
      <alignment wrapText="1"/>
    </xf>
    <xf numFmtId="0" fontId="5" fillId="12" borderId="12" xfId="0" applyFont="1" applyFill="1" applyBorder="1" applyAlignment="1">
      <alignment wrapText="1"/>
    </xf>
    <xf numFmtId="0" fontId="2" fillId="12" borderId="12" xfId="0" applyFont="1" applyFill="1" applyBorder="1" applyAlignment="1">
      <alignment wrapText="1"/>
    </xf>
    <xf numFmtId="0" fontId="0" fillId="12" borderId="13" xfId="0" applyFont="1" applyFill="1" applyBorder="1" applyAlignment="1">
      <alignment wrapText="1"/>
    </xf>
    <xf numFmtId="0" fontId="5" fillId="12" borderId="14" xfId="0" applyFont="1" applyFill="1" applyBorder="1" applyAlignment="1">
      <alignment vertical="center" wrapText="1"/>
    </xf>
    <xf numFmtId="0" fontId="14" fillId="12" borderId="14" xfId="0" applyFont="1" applyFill="1" applyBorder="1" applyAlignment="1">
      <alignment wrapText="1"/>
    </xf>
    <xf numFmtId="164" fontId="14" fillId="13" borderId="15" xfId="0" applyNumberFormat="1" applyFont="1" applyFill="1" applyBorder="1" applyAlignment="1">
      <alignment horizontal="right" vertical="center" wrapText="1"/>
    </xf>
    <xf numFmtId="164" fontId="0" fillId="13" borderId="15" xfId="0" applyNumberFormat="1" applyFont="1" applyFill="1" applyBorder="1" applyAlignment="1">
      <alignment horizontal="right" vertical="center" wrapText="1"/>
    </xf>
    <xf numFmtId="0" fontId="0" fillId="10" borderId="12" xfId="0" applyFont="1" applyFill="1" applyBorder="1" applyAlignment="1">
      <alignment wrapText="1"/>
    </xf>
    <xf numFmtId="0" fontId="0" fillId="10" borderId="17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0" fillId="14" borderId="1" xfId="0" applyFont="1" applyFill="1" applyBorder="1" applyAlignment="1">
      <alignment wrapText="1"/>
    </xf>
    <xf numFmtId="0" fontId="14" fillId="8" borderId="1" xfId="0" applyFont="1" applyFill="1" applyBorder="1" applyAlignment="1">
      <alignment wrapText="1"/>
    </xf>
    <xf numFmtId="164" fontId="0" fillId="10" borderId="1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4" fillId="15" borderId="18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14" fillId="16" borderId="23" xfId="0" applyFont="1" applyFill="1" applyBorder="1" applyAlignment="1">
      <alignment wrapText="1"/>
    </xf>
    <xf numFmtId="3" fontId="15" fillId="13" borderId="1" xfId="0" applyNumberFormat="1" applyFont="1" applyFill="1" applyBorder="1" applyAlignment="1">
      <alignment horizontal="right" wrapText="1"/>
    </xf>
    <xf numFmtId="164" fontId="3" fillId="8" borderId="1" xfId="0" applyNumberFormat="1" applyFont="1" applyFill="1" applyBorder="1" applyAlignment="1"/>
    <xf numFmtId="164" fontId="0" fillId="14" borderId="1" xfId="0" applyNumberFormat="1" applyFont="1" applyFill="1" applyBorder="1" applyAlignment="1">
      <alignment horizontal="right" wrapText="1"/>
    </xf>
    <xf numFmtId="0" fontId="3" fillId="14" borderId="0" xfId="0" applyFont="1" applyFill="1"/>
    <xf numFmtId="164" fontId="14" fillId="8" borderId="1" xfId="0" applyNumberFormat="1" applyFont="1" applyFill="1" applyBorder="1" applyAlignment="1">
      <alignment horizontal="right" wrapText="1"/>
    </xf>
    <xf numFmtId="0" fontId="13" fillId="8" borderId="1" xfId="0" applyFont="1" applyFill="1" applyBorder="1" applyAlignment="1">
      <alignment wrapText="1"/>
    </xf>
    <xf numFmtId="164" fontId="10" fillId="8" borderId="1" xfId="0" applyNumberFormat="1" applyFont="1" applyFill="1" applyBorder="1" applyAlignment="1">
      <alignment horizontal="right" wrapText="1"/>
    </xf>
    <xf numFmtId="3" fontId="5" fillId="13" borderId="1" xfId="0" applyNumberFormat="1" applyFont="1" applyFill="1" applyBorder="1" applyAlignment="1">
      <alignment horizontal="right" wrapText="1"/>
    </xf>
    <xf numFmtId="165" fontId="0" fillId="0" borderId="1" xfId="0" applyNumberFormat="1" applyFont="1" applyBorder="1" applyAlignment="1">
      <alignment horizontal="right" wrapText="1"/>
    </xf>
    <xf numFmtId="0" fontId="0" fillId="16" borderId="24" xfId="0" applyFont="1" applyFill="1" applyBorder="1" applyAlignment="1">
      <alignment wrapText="1"/>
    </xf>
    <xf numFmtId="0" fontId="5" fillId="16" borderId="24" xfId="0" applyFont="1" applyFill="1" applyBorder="1" applyAlignment="1">
      <alignment vertical="top" wrapText="1"/>
    </xf>
    <xf numFmtId="0" fontId="10" fillId="16" borderId="17" xfId="0" applyFont="1" applyFill="1" applyBorder="1" applyAlignment="1">
      <alignment wrapText="1"/>
    </xf>
    <xf numFmtId="3" fontId="13" fillId="13" borderId="1" xfId="0" applyNumberFormat="1" applyFont="1" applyFill="1" applyBorder="1" applyAlignment="1">
      <alignment horizontal="right" wrapText="1"/>
    </xf>
    <xf numFmtId="165" fontId="10" fillId="8" borderId="1" xfId="0" applyNumberFormat="1" applyFont="1" applyFill="1" applyBorder="1" applyAlignment="1">
      <alignment horizontal="right" wrapText="1"/>
    </xf>
    <xf numFmtId="0" fontId="0" fillId="9" borderId="25" xfId="0" applyFont="1" applyFill="1" applyBorder="1" applyAlignment="1">
      <alignment wrapText="1"/>
    </xf>
    <xf numFmtId="165" fontId="0" fillId="8" borderId="1" xfId="0" applyNumberFormat="1" applyFont="1" applyFill="1" applyBorder="1" applyAlignment="1">
      <alignment horizontal="right" wrapText="1"/>
    </xf>
    <xf numFmtId="3" fontId="0" fillId="10" borderId="1" xfId="0" applyNumberFormat="1" applyFont="1" applyFill="1" applyBorder="1" applyAlignment="1">
      <alignment horizontal="right" wrapText="1"/>
    </xf>
    <xf numFmtId="165" fontId="0" fillId="10" borderId="1" xfId="0" applyNumberFormat="1" applyFont="1" applyFill="1" applyBorder="1" applyAlignment="1">
      <alignment horizontal="right" wrapText="1"/>
    </xf>
    <xf numFmtId="0" fontId="0" fillId="0" borderId="26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0" borderId="7" xfId="0" applyFont="1" applyBorder="1" applyAlignment="1"/>
    <xf numFmtId="166" fontId="0" fillId="0" borderId="27" xfId="0" applyNumberFormat="1" applyFont="1" applyBorder="1" applyAlignment="1"/>
    <xf numFmtId="0" fontId="0" fillId="0" borderId="27" xfId="0" applyFont="1" applyBorder="1" applyAlignment="1"/>
    <xf numFmtId="0" fontId="0" fillId="17" borderId="27" xfId="0" applyFont="1" applyFill="1" applyBorder="1" applyAlignment="1"/>
    <xf numFmtId="0" fontId="0" fillId="18" borderId="27" xfId="0" applyFont="1" applyFill="1" applyBorder="1" applyAlignment="1"/>
    <xf numFmtId="0" fontId="0" fillId="19" borderId="27" xfId="0" applyFont="1" applyFill="1" applyBorder="1" applyAlignment="1"/>
    <xf numFmtId="49" fontId="0" fillId="0" borderId="27" xfId="0" applyNumberFormat="1" applyFont="1" applyBorder="1" applyAlignment="1">
      <alignment horizontal="right" wrapText="1"/>
    </xf>
    <xf numFmtId="166" fontId="0" fillId="0" borderId="27" xfId="0" applyNumberFormat="1" applyFont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/>
    <xf numFmtId="0" fontId="0" fillId="0" borderId="29" xfId="0" applyFont="1" applyBorder="1" applyAlignment="1">
      <alignment wrapText="1"/>
    </xf>
    <xf numFmtId="0" fontId="15" fillId="8" borderId="1" xfId="0" applyFont="1" applyFill="1" applyBorder="1" applyAlignment="1">
      <alignment wrapText="1"/>
    </xf>
    <xf numFmtId="165" fontId="14" fillId="8" borderId="1" xfId="0" applyNumberFormat="1" applyFont="1" applyFill="1" applyBorder="1" applyAlignment="1">
      <alignment horizontal="right" wrapText="1"/>
    </xf>
    <xf numFmtId="165" fontId="0" fillId="0" borderId="0" xfId="0" applyNumberFormat="1" applyFont="1"/>
    <xf numFmtId="0" fontId="0" fillId="3" borderId="27" xfId="0" applyFont="1" applyFill="1" applyBorder="1" applyAlignment="1">
      <alignment horizontal="right"/>
    </xf>
    <xf numFmtId="1" fontId="0" fillId="3" borderId="27" xfId="0" applyNumberFormat="1" applyFont="1" applyFill="1" applyBorder="1" applyAlignment="1">
      <alignment horizontal="right"/>
    </xf>
    <xf numFmtId="9" fontId="0" fillId="0" borderId="27" xfId="0" applyNumberFormat="1" applyFont="1" applyBorder="1" applyAlignment="1">
      <alignment horizontal="right"/>
    </xf>
    <xf numFmtId="1" fontId="0" fillId="0" borderId="27" xfId="0" applyNumberFormat="1" applyFont="1" applyBorder="1" applyAlignment="1">
      <alignment horizontal="right"/>
    </xf>
    <xf numFmtId="0" fontId="0" fillId="3" borderId="28" xfId="0" applyFont="1" applyFill="1" applyBorder="1" applyAlignment="1"/>
    <xf numFmtId="1" fontId="0" fillId="18" borderId="27" xfId="0" applyNumberFormat="1" applyFont="1" applyFill="1" applyBorder="1" applyAlignment="1">
      <alignment horizontal="right"/>
    </xf>
    <xf numFmtId="3" fontId="0" fillId="0" borderId="15" xfId="0" applyNumberFormat="1" applyFont="1" applyBorder="1" applyAlignment="1">
      <alignment horizontal="right" wrapText="1"/>
    </xf>
    <xf numFmtId="3" fontId="0" fillId="0" borderId="14" xfId="0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5" fillId="16" borderId="22" xfId="0" applyFont="1" applyFill="1" applyBorder="1" applyAlignment="1">
      <alignment wrapText="1"/>
    </xf>
    <xf numFmtId="0" fontId="2" fillId="16" borderId="22" xfId="0" applyFont="1" applyFill="1" applyBorder="1" applyAlignment="1">
      <alignment wrapText="1"/>
    </xf>
    <xf numFmtId="164" fontId="2" fillId="13" borderId="1" xfId="0" applyNumberFormat="1" applyFont="1" applyFill="1" applyBorder="1" applyAlignment="1">
      <alignment horizontal="right" wrapText="1"/>
    </xf>
    <xf numFmtId="0" fontId="0" fillId="16" borderId="31" xfId="0" applyFont="1" applyFill="1" applyBorder="1" applyAlignment="1">
      <alignment wrapText="1"/>
    </xf>
    <xf numFmtId="0" fontId="5" fillId="16" borderId="22" xfId="0" applyFont="1" applyFill="1" applyBorder="1" applyAlignment="1">
      <alignment vertical="top" wrapText="1"/>
    </xf>
    <xf numFmtId="0" fontId="1" fillId="16" borderId="23" xfId="0" applyFont="1" applyFill="1" applyBorder="1" applyAlignment="1">
      <alignment wrapText="1"/>
    </xf>
    <xf numFmtId="164" fontId="12" fillId="8" borderId="1" xfId="0" applyNumberFormat="1" applyFont="1" applyFill="1" applyBorder="1" applyAlignment="1"/>
    <xf numFmtId="0" fontId="0" fillId="16" borderId="33" xfId="0" applyFont="1" applyFill="1" applyBorder="1" applyAlignment="1">
      <alignment wrapText="1"/>
    </xf>
    <xf numFmtId="0" fontId="5" fillId="16" borderId="24" xfId="0" applyFont="1" applyFill="1" applyBorder="1" applyAlignment="1">
      <alignment wrapText="1"/>
    </xf>
    <xf numFmtId="0" fontId="2" fillId="16" borderId="17" xfId="0" applyFont="1" applyFill="1" applyBorder="1" applyAlignment="1">
      <alignment wrapText="1"/>
    </xf>
    <xf numFmtId="3" fontId="16" fillId="13" borderId="1" xfId="0" applyNumberFormat="1" applyFont="1" applyFill="1" applyBorder="1" applyAlignment="1">
      <alignment horizontal="right" wrapText="1"/>
    </xf>
    <xf numFmtId="3" fontId="0" fillId="10" borderId="14" xfId="0" applyNumberFormat="1" applyFont="1" applyFill="1" applyBorder="1" applyAlignment="1">
      <alignment horizontal="right" wrapText="1"/>
    </xf>
    <xf numFmtId="0" fontId="0" fillId="0" borderId="35" xfId="0" applyFont="1" applyBorder="1" applyAlignment="1">
      <alignment wrapText="1"/>
    </xf>
    <xf numFmtId="3" fontId="0" fillId="0" borderId="36" xfId="0" applyNumberFormat="1" applyFont="1" applyBorder="1" applyAlignment="1">
      <alignment horizontal="right" wrapText="1"/>
    </xf>
    <xf numFmtId="3" fontId="0" fillId="0" borderId="12" xfId="0" applyNumberFormat="1" applyFont="1" applyBorder="1" applyAlignment="1">
      <alignment horizontal="right" wrapText="1"/>
    </xf>
    <xf numFmtId="0" fontId="0" fillId="2" borderId="5" xfId="0" applyFont="1" applyFill="1" applyBorder="1" applyAlignment="1">
      <alignment wrapText="1"/>
    </xf>
    <xf numFmtId="0" fontId="5" fillId="16" borderId="22" xfId="0" applyFont="1" applyFill="1" applyBorder="1" applyAlignment="1">
      <alignment vertical="center" wrapText="1"/>
    </xf>
    <xf numFmtId="0" fontId="2" fillId="16" borderId="23" xfId="0" applyFont="1" applyFill="1" applyBorder="1" applyAlignment="1">
      <alignment wrapText="1"/>
    </xf>
    <xf numFmtId="164" fontId="0" fillId="13" borderId="1" xfId="0" applyNumberFormat="1" applyFont="1" applyFill="1" applyBorder="1" applyAlignment="1">
      <alignment horizontal="right" wrapText="1"/>
    </xf>
    <xf numFmtId="0" fontId="1" fillId="16" borderId="17" xfId="0" applyFont="1" applyFill="1" applyBorder="1" applyAlignment="1">
      <alignment wrapText="1"/>
    </xf>
    <xf numFmtId="0" fontId="0" fillId="10" borderId="11" xfId="0" applyFont="1" applyFill="1" applyBorder="1" applyAlignment="1">
      <alignment wrapText="1"/>
    </xf>
    <xf numFmtId="0" fontId="3" fillId="0" borderId="4" xfId="0" applyFont="1" applyBorder="1" applyAlignment="1"/>
    <xf numFmtId="164" fontId="0" fillId="8" borderId="7" xfId="0" applyNumberFormat="1" applyFont="1" applyFill="1" applyBorder="1" applyAlignment="1">
      <alignment horizontal="right" wrapText="1"/>
    </xf>
    <xf numFmtId="0" fontId="2" fillId="4" borderId="38" xfId="0" applyFont="1" applyFill="1" applyBorder="1" applyAlignment="1">
      <alignment horizontal="center" wrapText="1"/>
    </xf>
    <xf numFmtId="0" fontId="12" fillId="10" borderId="1" xfId="0" applyFont="1" applyFill="1" applyBorder="1" applyAlignment="1">
      <alignment wrapText="1"/>
    </xf>
    <xf numFmtId="164" fontId="0" fillId="10" borderId="3" xfId="0" applyNumberFormat="1" applyFont="1" applyFill="1" applyBorder="1" applyAlignment="1">
      <alignment horizontal="right" wrapText="1"/>
    </xf>
    <xf numFmtId="164" fontId="0" fillId="10" borderId="0" xfId="0" applyNumberFormat="1" applyFont="1" applyFill="1" applyBorder="1" applyAlignment="1">
      <alignment horizontal="right" wrapText="1"/>
    </xf>
    <xf numFmtId="164" fontId="0" fillId="10" borderId="4" xfId="0" applyNumberFormat="1" applyFont="1" applyFill="1" applyBorder="1" applyAlignment="1">
      <alignment horizontal="right" wrapText="1"/>
    </xf>
    <xf numFmtId="164" fontId="0" fillId="10" borderId="5" xfId="0" applyNumberFormat="1" applyFont="1" applyFill="1" applyBorder="1" applyAlignment="1">
      <alignment horizontal="right" wrapText="1"/>
    </xf>
    <xf numFmtId="164" fontId="0" fillId="10" borderId="38" xfId="0" applyNumberFormat="1" applyFont="1" applyFill="1" applyBorder="1" applyAlignment="1">
      <alignment horizontal="right" wrapText="1"/>
    </xf>
    <xf numFmtId="0" fontId="12" fillId="0" borderId="1" xfId="0" applyFont="1" applyBorder="1" applyAlignment="1">
      <alignment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horizontal="center" wrapText="1"/>
    </xf>
    <xf numFmtId="164" fontId="17" fillId="0" borderId="2" xfId="0" applyNumberFormat="1" applyFont="1" applyBorder="1" applyAlignment="1">
      <alignment horizontal="center" wrapText="1"/>
    </xf>
    <xf numFmtId="164" fontId="17" fillId="0" borderId="3" xfId="0" applyNumberFormat="1" applyFont="1" applyBorder="1" applyAlignment="1">
      <alignment horizontal="center" wrapText="1"/>
    </xf>
    <xf numFmtId="164" fontId="17" fillId="0" borderId="4" xfId="0" applyNumberFormat="1" applyFont="1" applyBorder="1" applyAlignment="1">
      <alignment horizontal="center" wrapText="1"/>
    </xf>
    <xf numFmtId="164" fontId="17" fillId="0" borderId="0" xfId="0" applyNumberFormat="1" applyFont="1" applyBorder="1" applyAlignment="1">
      <alignment horizontal="center" wrapText="1"/>
    </xf>
    <xf numFmtId="0" fontId="0" fillId="20" borderId="1" xfId="0" applyFont="1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7" fillId="9" borderId="3" xfId="0" applyFont="1" applyFill="1" applyBorder="1" applyAlignment="1">
      <alignment wrapText="1"/>
    </xf>
    <xf numFmtId="0" fontId="8" fillId="8" borderId="3" xfId="0" applyFont="1" applyFill="1" applyBorder="1" applyAlignment="1">
      <alignment wrapText="1"/>
    </xf>
    <xf numFmtId="0" fontId="12" fillId="10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10" borderId="3" xfId="0" applyFont="1" applyFill="1" applyBorder="1" applyAlignment="1">
      <alignment wrapText="1"/>
    </xf>
    <xf numFmtId="0" fontId="0" fillId="20" borderId="5" xfId="0" applyFont="1" applyFill="1" applyBorder="1" applyAlignment="1">
      <alignment wrapText="1"/>
    </xf>
    <xf numFmtId="0" fontId="4" fillId="8" borderId="38" xfId="0" applyFont="1" applyFill="1" applyBorder="1" applyAlignment="1">
      <alignment vertical="center" wrapText="1"/>
    </xf>
    <xf numFmtId="0" fontId="3" fillId="0" borderId="3" xfId="0" applyFont="1" applyBorder="1" applyAlignment="1"/>
    <xf numFmtId="0" fontId="19" fillId="21" borderId="0" xfId="0" applyFont="1" applyFill="1" applyAlignment="1"/>
    <xf numFmtId="0" fontId="19" fillId="4" borderId="2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18" fillId="8" borderId="1" xfId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49" fontId="0" fillId="8" borderId="7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wrapText="1"/>
    </xf>
    <xf numFmtId="0" fontId="4" fillId="23" borderId="38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wrapText="1"/>
    </xf>
    <xf numFmtId="0" fontId="4" fillId="23" borderId="0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wrapText="1"/>
    </xf>
    <xf numFmtId="0" fontId="3" fillId="24" borderId="7" xfId="0" applyFont="1" applyFill="1" applyBorder="1" applyAlignment="1"/>
    <xf numFmtId="0" fontId="4" fillId="25" borderId="38" xfId="0" applyFont="1" applyFill="1" applyBorder="1" applyAlignment="1">
      <alignment vertical="center" wrapText="1"/>
    </xf>
    <xf numFmtId="0" fontId="3" fillId="24" borderId="38" xfId="0" applyFont="1" applyFill="1" applyBorder="1" applyAlignment="1"/>
    <xf numFmtId="0" fontId="3" fillId="24" borderId="16" xfId="0" applyFont="1" applyFill="1" applyBorder="1" applyAlignment="1"/>
    <xf numFmtId="0" fontId="3" fillId="12" borderId="1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2" fillId="12" borderId="11" xfId="0" applyFont="1" applyFill="1" applyBorder="1" applyAlignment="1">
      <alignment wrapText="1"/>
    </xf>
    <xf numFmtId="0" fontId="0" fillId="10" borderId="50" xfId="0" applyFont="1" applyFill="1" applyBorder="1" applyAlignment="1">
      <alignment wrapText="1"/>
    </xf>
    <xf numFmtId="0" fontId="0" fillId="0" borderId="27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3" fillId="12" borderId="38" xfId="0" applyFont="1" applyFill="1" applyBorder="1" applyAlignment="1">
      <alignment wrapText="1"/>
    </xf>
    <xf numFmtId="0" fontId="5" fillId="12" borderId="38" xfId="0" applyFont="1" applyFill="1" applyBorder="1" applyAlignment="1">
      <alignment wrapText="1"/>
    </xf>
    <xf numFmtId="0" fontId="0" fillId="10" borderId="38" xfId="0" applyFont="1" applyFill="1" applyBorder="1" applyAlignment="1">
      <alignment wrapText="1"/>
    </xf>
    <xf numFmtId="0" fontId="12" fillId="10" borderId="38" xfId="0" applyFont="1" applyFill="1" applyBorder="1" applyAlignment="1">
      <alignment wrapText="1"/>
    </xf>
    <xf numFmtId="0" fontId="4" fillId="23" borderId="41" xfId="0" applyFont="1" applyFill="1" applyBorder="1" applyAlignment="1">
      <alignment vertical="center" wrapText="1"/>
    </xf>
    <xf numFmtId="0" fontId="12" fillId="12" borderId="3" xfId="0" applyFont="1" applyFill="1" applyBorder="1" applyAlignment="1">
      <alignment wrapText="1"/>
    </xf>
    <xf numFmtId="0" fontId="0" fillId="3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wrapText="1"/>
    </xf>
    <xf numFmtId="0" fontId="0" fillId="6" borderId="4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wrapText="1"/>
    </xf>
    <xf numFmtId="0" fontId="20" fillId="11" borderId="8" xfId="0" applyFont="1" applyFill="1" applyBorder="1" applyAlignment="1">
      <alignment wrapText="1"/>
    </xf>
    <xf numFmtId="0" fontId="2" fillId="7" borderId="1" xfId="0" applyFont="1" applyFill="1" applyBorder="1" applyAlignment="1"/>
    <xf numFmtId="0" fontId="3" fillId="8" borderId="3" xfId="0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/>
    <xf numFmtId="0" fontId="3" fillId="14" borderId="1" xfId="0" applyFont="1" applyFill="1" applyBorder="1" applyAlignment="1">
      <alignment wrapText="1"/>
    </xf>
    <xf numFmtId="0" fontId="1" fillId="6" borderId="0" xfId="0" applyFont="1" applyFill="1" applyAlignment="1"/>
    <xf numFmtId="0" fontId="1" fillId="7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7" borderId="1" xfId="0" applyFont="1" applyFill="1" applyBorder="1" applyAlignment="1">
      <alignment horizontal="center"/>
    </xf>
    <xf numFmtId="0" fontId="3" fillId="0" borderId="0" xfId="0" applyFont="1"/>
    <xf numFmtId="0" fontId="8" fillId="16" borderId="22" xfId="0" applyFont="1" applyFill="1" applyBorder="1" applyAlignment="1">
      <alignment wrapText="1"/>
    </xf>
    <xf numFmtId="0" fontId="3" fillId="16" borderId="31" xfId="0" applyFont="1" applyFill="1" applyBorder="1" applyAlignment="1">
      <alignment wrapText="1"/>
    </xf>
    <xf numFmtId="0" fontId="8" fillId="16" borderId="31" xfId="0" applyFont="1" applyFill="1" applyBorder="1" applyAlignment="1">
      <alignment wrapText="1"/>
    </xf>
    <xf numFmtId="0" fontId="2" fillId="7" borderId="3" xfId="0" applyFont="1" applyFill="1" applyBorder="1" applyAlignment="1">
      <alignment horizontal="center"/>
    </xf>
    <xf numFmtId="0" fontId="3" fillId="0" borderId="28" xfId="0" applyFont="1" applyBorder="1" applyAlignment="1"/>
    <xf numFmtId="0" fontId="3" fillId="0" borderId="7" xfId="0" applyFont="1" applyBorder="1" applyAlignment="1"/>
    <xf numFmtId="166" fontId="3" fillId="0" borderId="27" xfId="0" applyNumberFormat="1" applyFont="1" applyBorder="1" applyAlignment="1"/>
    <xf numFmtId="0" fontId="3" fillId="0" borderId="27" xfId="0" applyFont="1" applyBorder="1" applyAlignment="1"/>
    <xf numFmtId="1" fontId="3" fillId="0" borderId="27" xfId="0" applyNumberFormat="1" applyFont="1" applyBorder="1" applyAlignment="1">
      <alignment horizontal="right"/>
    </xf>
    <xf numFmtId="0" fontId="3" fillId="3" borderId="27" xfId="0" applyFont="1" applyFill="1" applyBorder="1" applyAlignment="1"/>
    <xf numFmtId="166" fontId="3" fillId="3" borderId="27" xfId="0" applyNumberFormat="1" applyFont="1" applyFill="1" applyBorder="1" applyAlignment="1"/>
    <xf numFmtId="9" fontId="3" fillId="0" borderId="27" xfId="0" applyNumberFormat="1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1" fontId="3" fillId="3" borderId="27" xfId="0" applyNumberFormat="1" applyFont="1" applyFill="1" applyBorder="1" applyAlignment="1">
      <alignment horizontal="right"/>
    </xf>
    <xf numFmtId="1" fontId="3" fillId="19" borderId="27" xfId="0" applyNumberFormat="1" applyFont="1" applyFill="1" applyBorder="1" applyAlignment="1">
      <alignment horizontal="right"/>
    </xf>
    <xf numFmtId="0" fontId="4" fillId="8" borderId="39" xfId="0" applyFont="1" applyFill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wrapText="1"/>
    </xf>
    <xf numFmtId="0" fontId="3" fillId="0" borderId="3" xfId="0" applyFont="1" applyBorder="1" applyAlignment="1"/>
    <xf numFmtId="0" fontId="12" fillId="4" borderId="38" xfId="0" applyFont="1" applyFill="1" applyBorder="1" applyAlignment="1">
      <alignment horizontal="center" wrapText="1"/>
    </xf>
    <xf numFmtId="0" fontId="0" fillId="4" borderId="38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0" borderId="4" xfId="0" applyFont="1" applyBorder="1" applyAlignment="1"/>
    <xf numFmtId="0" fontId="0" fillId="6" borderId="2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 wrapText="1"/>
    </xf>
    <xf numFmtId="0" fontId="0" fillId="6" borderId="4" xfId="0" applyFont="1" applyFill="1" applyBorder="1" applyAlignment="1">
      <alignment horizontal="center" wrapText="1"/>
    </xf>
    <xf numFmtId="0" fontId="0" fillId="22" borderId="2" xfId="0" applyFont="1" applyFill="1" applyBorder="1" applyAlignment="1">
      <alignment horizontal="center" wrapText="1"/>
    </xf>
    <xf numFmtId="0" fontId="0" fillId="22" borderId="4" xfId="0" applyFont="1" applyFill="1" applyBorder="1" applyAlignment="1">
      <alignment horizontal="center" wrapText="1"/>
    </xf>
    <xf numFmtId="0" fontId="0" fillId="22" borderId="3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12" fillId="4" borderId="42" xfId="0" applyFont="1" applyFill="1" applyBorder="1" applyAlignment="1">
      <alignment horizontal="center" wrapText="1"/>
    </xf>
    <xf numFmtId="0" fontId="0" fillId="4" borderId="44" xfId="0" applyFont="1" applyFill="1" applyBorder="1" applyAlignment="1">
      <alignment horizontal="center" wrapText="1"/>
    </xf>
    <xf numFmtId="0" fontId="0" fillId="4" borderId="45" xfId="0" applyFont="1" applyFill="1" applyBorder="1" applyAlignment="1">
      <alignment horizontal="center" wrapText="1"/>
    </xf>
    <xf numFmtId="0" fontId="0" fillId="4" borderId="46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/>
    <xf numFmtId="0" fontId="3" fillId="0" borderId="7" xfId="0" applyFont="1" applyBorder="1" applyAlignment="1"/>
    <xf numFmtId="0" fontId="12" fillId="4" borderId="43" xfId="0" applyFont="1" applyFill="1" applyBorder="1" applyAlignment="1">
      <alignment horizontal="center" wrapText="1"/>
    </xf>
    <xf numFmtId="0" fontId="0" fillId="4" borderId="28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0" fillId="4" borderId="43" xfId="0" applyFont="1" applyFill="1" applyBorder="1" applyAlignment="1">
      <alignment horizontal="center" wrapText="1"/>
    </xf>
    <xf numFmtId="0" fontId="0" fillId="4" borderId="27" xfId="0" applyFont="1" applyFill="1" applyBorder="1" applyAlignment="1">
      <alignment horizont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12" borderId="38" xfId="0" applyFont="1" applyFill="1" applyBorder="1" applyAlignment="1">
      <alignment horizontal="center" vertical="center" wrapText="1"/>
    </xf>
    <xf numFmtId="0" fontId="4" fillId="12" borderId="48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4" fillId="12" borderId="49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40" xfId="0" applyFont="1" applyFill="1" applyBorder="1" applyAlignment="1">
      <alignment horizontal="center" vertical="center" wrapText="1"/>
    </xf>
    <xf numFmtId="0" fontId="4" fillId="12" borderId="41" xfId="0" applyFont="1" applyFill="1" applyBorder="1" applyAlignment="1">
      <alignment horizontal="center" vertical="center" wrapText="1"/>
    </xf>
    <xf numFmtId="0" fontId="4" fillId="16" borderId="30" xfId="0" applyFont="1" applyFill="1" applyBorder="1" applyAlignment="1">
      <alignment horizontal="center" vertical="center" wrapText="1"/>
    </xf>
    <xf numFmtId="0" fontId="3" fillId="0" borderId="32" xfId="0" applyFont="1" applyBorder="1" applyAlignment="1"/>
    <xf numFmtId="0" fontId="3" fillId="0" borderId="34" xfId="0" applyFont="1" applyBorder="1" applyAlignment="1"/>
    <xf numFmtId="0" fontId="4" fillId="16" borderId="21" xfId="0" applyFont="1" applyFill="1" applyBorder="1" applyAlignment="1">
      <alignment horizontal="center" vertical="center" wrapText="1"/>
    </xf>
    <xf numFmtId="0" fontId="3" fillId="0" borderId="16" xfId="0" applyFont="1" applyBorder="1" applyAlignment="1"/>
    <xf numFmtId="0" fontId="3" fillId="0" borderId="37" xfId="0" applyFont="1" applyBorder="1" applyAlignment="1"/>
    <xf numFmtId="0" fontId="0" fillId="5" borderId="2" xfId="0" applyFont="1" applyFill="1" applyBorder="1" applyAlignment="1">
      <alignment horizontal="center" wrapText="1"/>
    </xf>
    <xf numFmtId="0" fontId="0" fillId="0" borderId="28" xfId="0" applyFont="1" applyBorder="1" applyAlignment="1"/>
    <xf numFmtId="0" fontId="3" fillId="0" borderId="27" xfId="0" applyFont="1" applyBorder="1" applyAlignment="1"/>
    <xf numFmtId="0" fontId="0" fillId="7" borderId="2" xfId="0" applyFont="1" applyFill="1" applyBorder="1" applyAlignment="1">
      <alignment horizontal="center" wrapText="1"/>
    </xf>
    <xf numFmtId="0" fontId="17" fillId="10" borderId="3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nrepcultural.org/servicios/boleteria-museo-del-oro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drive.google.com/drive/folders/1rIjoTqMksSBepGXvX2TFaPzjjpgY3SQT?usp=sharing" TargetMode="External"/><Relationship Id="rId1" Type="http://schemas.openxmlformats.org/officeDocument/2006/relationships/hyperlink" Target="http://www.banrepcultural.org/servicios/boleteria-museo-del-oro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drive.google.com/drive/folders/0B38uOBBhaLujOWNwa0NfeTJHUXc?usp=sharing" TargetMode="External"/><Relationship Id="rId4" Type="http://schemas.openxmlformats.org/officeDocument/2006/relationships/hyperlink" Target="https://drive.google.com/drive/folders/1w_ByOEEWyzzPtWDYh53P8-n6Qr0C7YWI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0B38uOBBhaLujNWF6X05TYkNlUmR2UmhoT3ctaFpmM0NXNXhR/view?usp=sharing" TargetMode="External"/><Relationship Id="rId1" Type="http://schemas.openxmlformats.org/officeDocument/2006/relationships/hyperlink" Target="https://drive.google.com/file/d/0B38uOBBhaLujNWF6X05TYkNlUmR2UmhoT3ctaFpmM0NXNXhR/view?usp=sharing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0B38uOBBhaLujMlVycDBSNVdlRXZJT0EwOUttaktOZFlUVHg4/view?usp=sharing" TargetMode="External"/><Relationship Id="rId1" Type="http://schemas.openxmlformats.org/officeDocument/2006/relationships/hyperlink" Target="https://drive.google.com/file/d/0B38uOBBhaLujZW1uNzltQkhWWnhnb0FnenNyTlJsdGRwNjVz/view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R1024"/>
  <sheetViews>
    <sheetView topLeftCell="A46" workbookViewId="0">
      <selection activeCell="B57" sqref="B57"/>
    </sheetView>
  </sheetViews>
  <sheetFormatPr baseColWidth="10" defaultColWidth="14.42578125" defaultRowHeight="15" customHeight="1" x14ac:dyDescent="0.25"/>
  <cols>
    <col min="1" max="1" width="14.28515625" customWidth="1"/>
    <col min="2" max="2" width="14.85546875" customWidth="1"/>
    <col min="3" max="3" width="12.5703125" customWidth="1"/>
    <col min="4" max="4" width="13.5703125" customWidth="1"/>
    <col min="5" max="5" width="11.85546875" bestFit="1" customWidth="1"/>
    <col min="6" max="7" width="10" customWidth="1"/>
    <col min="8" max="9" width="10.7109375" customWidth="1"/>
    <col min="10" max="10" width="10" customWidth="1"/>
    <col min="11" max="11" width="10.5703125" customWidth="1"/>
    <col min="12" max="18" width="10.7109375" customWidth="1"/>
    <col min="19" max="19" width="11.7109375" customWidth="1"/>
    <col min="20" max="23" width="10" customWidth="1"/>
    <col min="24" max="44" width="10.7109375" customWidth="1"/>
  </cols>
  <sheetData>
    <row r="1" spans="1:44" ht="30" x14ac:dyDescent="0.25">
      <c r="A1" s="176" t="s">
        <v>0</v>
      </c>
      <c r="B1" s="168" t="s">
        <v>1</v>
      </c>
      <c r="C1" s="168" t="s">
        <v>2</v>
      </c>
      <c r="D1" s="168" t="s">
        <v>3</v>
      </c>
      <c r="E1" s="211" t="s">
        <v>4</v>
      </c>
      <c r="F1" s="2">
        <v>100000</v>
      </c>
      <c r="G1" s="3">
        <v>150000</v>
      </c>
      <c r="H1" s="179">
        <v>160000</v>
      </c>
      <c r="I1" s="262" t="s">
        <v>5</v>
      </c>
      <c r="J1" s="263"/>
      <c r="K1" s="263"/>
      <c r="L1" s="264"/>
      <c r="M1" s="4">
        <v>160000</v>
      </c>
      <c r="N1" s="260" t="s">
        <v>6</v>
      </c>
      <c r="O1" s="258"/>
      <c r="P1" s="258"/>
      <c r="Q1" s="258"/>
      <c r="R1" s="5">
        <f>69000*4</f>
        <v>276000</v>
      </c>
      <c r="S1" s="261" t="s">
        <v>7</v>
      </c>
      <c r="T1" s="258"/>
      <c r="U1" s="258"/>
      <c r="V1" s="258"/>
      <c r="W1" s="258"/>
      <c r="X1" s="258"/>
      <c r="Y1" s="258"/>
      <c r="Z1" s="258"/>
      <c r="AA1" s="254"/>
      <c r="AB1" s="6">
        <f>150000*4</f>
        <v>600000</v>
      </c>
      <c r="AC1" s="221">
        <f>200000*4</f>
        <v>800000</v>
      </c>
    </row>
    <row r="2" spans="1:44" x14ac:dyDescent="0.25">
      <c r="A2" s="177" t="s">
        <v>8</v>
      </c>
      <c r="B2" s="222"/>
      <c r="C2" s="101"/>
      <c r="D2" s="102"/>
      <c r="E2" s="7" t="s">
        <v>9</v>
      </c>
      <c r="F2" s="8">
        <v>2</v>
      </c>
      <c r="G2" s="8">
        <v>3</v>
      </c>
      <c r="H2" s="8">
        <v>4</v>
      </c>
      <c r="I2" s="8">
        <v>5</v>
      </c>
      <c r="J2" s="8">
        <v>6</v>
      </c>
      <c r="K2" s="8">
        <v>7</v>
      </c>
      <c r="L2" s="8">
        <v>8</v>
      </c>
      <c r="M2" s="8">
        <v>9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>
        <v>19</v>
      </c>
      <c r="X2" s="8">
        <v>20</v>
      </c>
      <c r="Y2" s="8">
        <v>21</v>
      </c>
      <c r="Z2" s="8">
        <v>22</v>
      </c>
      <c r="AA2" s="8">
        <v>23</v>
      </c>
      <c r="AB2" s="8">
        <v>24</v>
      </c>
      <c r="AC2" s="8">
        <v>25</v>
      </c>
    </row>
    <row r="3" spans="1:44" ht="26.25" customHeight="1" x14ac:dyDescent="0.25">
      <c r="A3" s="252" t="s">
        <v>10</v>
      </c>
      <c r="B3" s="169" t="s">
        <v>11</v>
      </c>
      <c r="C3" s="101" t="s">
        <v>12</v>
      </c>
      <c r="D3" s="9" t="s">
        <v>13</v>
      </c>
      <c r="E3" s="29">
        <f t="shared" ref="E3:G3" si="0">$G$1/E2</f>
        <v>150000</v>
      </c>
      <c r="F3" s="29">
        <f t="shared" si="0"/>
        <v>75000</v>
      </c>
      <c r="G3" s="29">
        <f t="shared" si="0"/>
        <v>50000</v>
      </c>
      <c r="H3" s="29">
        <f t="shared" ref="H3:M3" si="1">$M$1/H2</f>
        <v>40000</v>
      </c>
      <c r="I3" s="29">
        <f t="shared" si="1"/>
        <v>32000</v>
      </c>
      <c r="J3" s="29">
        <f t="shared" si="1"/>
        <v>26666.666666666668</v>
      </c>
      <c r="K3" s="29">
        <f t="shared" si="1"/>
        <v>22857.142857142859</v>
      </c>
      <c r="L3" s="29">
        <f t="shared" si="1"/>
        <v>20000</v>
      </c>
      <c r="M3" s="29">
        <f t="shared" si="1"/>
        <v>17777.777777777777</v>
      </c>
      <c r="N3" s="29">
        <f t="shared" ref="N3:R3" si="2">$R$1/N2</f>
        <v>27600</v>
      </c>
      <c r="O3" s="29">
        <f t="shared" si="2"/>
        <v>25090.909090909092</v>
      </c>
      <c r="P3" s="29">
        <f t="shared" si="2"/>
        <v>23000</v>
      </c>
      <c r="Q3" s="29">
        <f t="shared" si="2"/>
        <v>21230.76923076923</v>
      </c>
      <c r="R3" s="29">
        <f t="shared" si="2"/>
        <v>19714.285714285714</v>
      </c>
      <c r="S3" s="29">
        <f t="shared" ref="S3:AB3" si="3">$AB$1/S2</f>
        <v>40000</v>
      </c>
      <c r="T3" s="29">
        <f t="shared" si="3"/>
        <v>37500</v>
      </c>
      <c r="U3" s="29">
        <f t="shared" si="3"/>
        <v>35294.117647058825</v>
      </c>
      <c r="V3" s="29">
        <f t="shared" si="3"/>
        <v>33333.333333333336</v>
      </c>
      <c r="W3" s="29">
        <f t="shared" si="3"/>
        <v>31578.947368421053</v>
      </c>
      <c r="X3" s="29">
        <f t="shared" si="3"/>
        <v>30000</v>
      </c>
      <c r="Y3" s="29">
        <f t="shared" si="3"/>
        <v>28571.428571428572</v>
      </c>
      <c r="Z3" s="29">
        <f t="shared" si="3"/>
        <v>27272.727272727272</v>
      </c>
      <c r="AA3" s="29">
        <f t="shared" si="3"/>
        <v>26086.956521739132</v>
      </c>
      <c r="AB3" s="29">
        <f t="shared" si="3"/>
        <v>25000</v>
      </c>
      <c r="AC3" s="82">
        <f>$AC$1/AC2</f>
        <v>32000</v>
      </c>
    </row>
    <row r="4" spans="1:44" ht="45" x14ac:dyDescent="0.25">
      <c r="A4" s="252"/>
      <c r="B4" s="170" t="s">
        <v>14</v>
      </c>
      <c r="C4" s="101" t="s">
        <v>15</v>
      </c>
      <c r="D4" s="10" t="s">
        <v>16</v>
      </c>
      <c r="E4" s="29">
        <f t="shared" ref="E4:G4" si="4">$F$1/E2</f>
        <v>100000</v>
      </c>
      <c r="F4" s="29">
        <f t="shared" si="4"/>
        <v>50000</v>
      </c>
      <c r="G4" s="29">
        <f t="shared" si="4"/>
        <v>33333.333333333336</v>
      </c>
      <c r="H4" s="29">
        <f>$H$1/H2</f>
        <v>40000</v>
      </c>
      <c r="I4" s="29">
        <f t="shared" ref="I4:M4" si="5">$H$1/I2</f>
        <v>32000</v>
      </c>
      <c r="J4" s="29">
        <f t="shared" si="5"/>
        <v>26666.666666666668</v>
      </c>
      <c r="K4" s="29">
        <f t="shared" si="5"/>
        <v>22857.142857142859</v>
      </c>
      <c r="L4" s="29">
        <f t="shared" si="5"/>
        <v>20000</v>
      </c>
      <c r="M4" s="29">
        <f t="shared" si="5"/>
        <v>17777.777777777777</v>
      </c>
      <c r="N4" s="29">
        <f t="shared" ref="N4:AC4" si="6">$E$4/N2</f>
        <v>10000</v>
      </c>
      <c r="O4" s="29">
        <f t="shared" si="6"/>
        <v>9090.9090909090901</v>
      </c>
      <c r="P4" s="29">
        <f t="shared" si="6"/>
        <v>8333.3333333333339</v>
      </c>
      <c r="Q4" s="29">
        <f t="shared" si="6"/>
        <v>7692.3076923076924</v>
      </c>
      <c r="R4" s="29">
        <f t="shared" si="6"/>
        <v>7142.8571428571431</v>
      </c>
      <c r="S4" s="29">
        <f t="shared" si="6"/>
        <v>6666.666666666667</v>
      </c>
      <c r="T4" s="29">
        <f t="shared" si="6"/>
        <v>6250</v>
      </c>
      <c r="U4" s="29">
        <f t="shared" si="6"/>
        <v>5882.3529411764703</v>
      </c>
      <c r="V4" s="29">
        <f t="shared" si="6"/>
        <v>5555.5555555555557</v>
      </c>
      <c r="W4" s="29">
        <f t="shared" si="6"/>
        <v>5263.1578947368425</v>
      </c>
      <c r="X4" s="29">
        <f t="shared" si="6"/>
        <v>5000</v>
      </c>
      <c r="Y4" s="29">
        <f t="shared" si="6"/>
        <v>4761.9047619047615</v>
      </c>
      <c r="Z4" s="29">
        <f t="shared" si="6"/>
        <v>4545.454545454545</v>
      </c>
      <c r="AA4" s="29">
        <f t="shared" si="6"/>
        <v>4347.826086956522</v>
      </c>
      <c r="AB4" s="29">
        <f t="shared" si="6"/>
        <v>4166.666666666667</v>
      </c>
      <c r="AC4" s="29">
        <f t="shared" si="6"/>
        <v>4000</v>
      </c>
    </row>
    <row r="5" spans="1:44" ht="30" x14ac:dyDescent="0.25">
      <c r="A5" s="252"/>
      <c r="B5" s="171" t="s">
        <v>17</v>
      </c>
      <c r="C5" s="12"/>
      <c r="D5" s="13"/>
      <c r="E5" s="14">
        <f t="shared" ref="E5:AC5" si="7">SUM(E3:E4)</f>
        <v>250000</v>
      </c>
      <c r="F5" s="14">
        <f t="shared" si="7"/>
        <v>125000</v>
      </c>
      <c r="G5" s="14">
        <f t="shared" si="7"/>
        <v>83333.333333333343</v>
      </c>
      <c r="H5" s="14">
        <f t="shared" si="7"/>
        <v>80000</v>
      </c>
      <c r="I5" s="14">
        <f t="shared" si="7"/>
        <v>64000</v>
      </c>
      <c r="J5" s="14">
        <f t="shared" si="7"/>
        <v>53333.333333333336</v>
      </c>
      <c r="K5" s="14">
        <f t="shared" si="7"/>
        <v>45714.285714285717</v>
      </c>
      <c r="L5" s="14">
        <f t="shared" si="7"/>
        <v>40000</v>
      </c>
      <c r="M5" s="14">
        <f t="shared" si="7"/>
        <v>35555.555555555555</v>
      </c>
      <c r="N5" s="14">
        <f t="shared" si="7"/>
        <v>37600</v>
      </c>
      <c r="O5" s="14">
        <f t="shared" si="7"/>
        <v>34181.818181818184</v>
      </c>
      <c r="P5" s="14">
        <f t="shared" si="7"/>
        <v>31333.333333333336</v>
      </c>
      <c r="Q5" s="14">
        <f t="shared" si="7"/>
        <v>28923.076923076922</v>
      </c>
      <c r="R5" s="14">
        <f t="shared" si="7"/>
        <v>26857.142857142855</v>
      </c>
      <c r="S5" s="14">
        <f t="shared" si="7"/>
        <v>46666.666666666664</v>
      </c>
      <c r="T5" s="14">
        <f t="shared" si="7"/>
        <v>43750</v>
      </c>
      <c r="U5" s="14">
        <f t="shared" si="7"/>
        <v>41176.470588235294</v>
      </c>
      <c r="V5" s="14">
        <f t="shared" si="7"/>
        <v>38888.888888888891</v>
      </c>
      <c r="W5" s="14">
        <f t="shared" si="7"/>
        <v>36842.105263157893</v>
      </c>
      <c r="X5" s="14">
        <f t="shared" si="7"/>
        <v>35000</v>
      </c>
      <c r="Y5" s="14">
        <f t="shared" si="7"/>
        <v>33333.333333333336</v>
      </c>
      <c r="Z5" s="14">
        <f t="shared" si="7"/>
        <v>31818.181818181816</v>
      </c>
      <c r="AA5" s="14">
        <f t="shared" si="7"/>
        <v>30434.782608695656</v>
      </c>
      <c r="AB5" s="14">
        <f t="shared" si="7"/>
        <v>29166.666666666668</v>
      </c>
      <c r="AC5" s="14">
        <f t="shared" si="7"/>
        <v>36000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ht="30" x14ac:dyDescent="0.25">
      <c r="A6" s="252"/>
      <c r="B6" s="172" t="s">
        <v>18</v>
      </c>
      <c r="C6" s="101" t="s">
        <v>19</v>
      </c>
      <c r="D6" s="17" t="s">
        <v>20</v>
      </c>
      <c r="E6" s="26">
        <v>5500</v>
      </c>
      <c r="F6" s="29">
        <f t="shared" ref="F6:AC6" si="8">E6</f>
        <v>5500</v>
      </c>
      <c r="G6" s="29">
        <f t="shared" si="8"/>
        <v>5500</v>
      </c>
      <c r="H6" s="29">
        <f t="shared" si="8"/>
        <v>5500</v>
      </c>
      <c r="I6" s="29">
        <f t="shared" si="8"/>
        <v>5500</v>
      </c>
      <c r="J6" s="29">
        <f t="shared" si="8"/>
        <v>5500</v>
      </c>
      <c r="K6" s="29">
        <f t="shared" si="8"/>
        <v>5500</v>
      </c>
      <c r="L6" s="29">
        <f t="shared" si="8"/>
        <v>5500</v>
      </c>
      <c r="M6" s="29">
        <f t="shared" si="8"/>
        <v>5500</v>
      </c>
      <c r="N6" s="29">
        <f t="shared" si="8"/>
        <v>5500</v>
      </c>
      <c r="O6" s="29">
        <f t="shared" si="8"/>
        <v>5500</v>
      </c>
      <c r="P6" s="29">
        <f t="shared" si="8"/>
        <v>5500</v>
      </c>
      <c r="Q6" s="29">
        <f t="shared" si="8"/>
        <v>5500</v>
      </c>
      <c r="R6" s="29">
        <f t="shared" si="8"/>
        <v>5500</v>
      </c>
      <c r="S6" s="29">
        <f t="shared" si="8"/>
        <v>5500</v>
      </c>
      <c r="T6" s="29">
        <f t="shared" si="8"/>
        <v>5500</v>
      </c>
      <c r="U6" s="29">
        <f t="shared" si="8"/>
        <v>5500</v>
      </c>
      <c r="V6" s="29">
        <f t="shared" si="8"/>
        <v>5500</v>
      </c>
      <c r="W6" s="29">
        <f t="shared" si="8"/>
        <v>5500</v>
      </c>
      <c r="X6" s="29">
        <f t="shared" si="8"/>
        <v>5500</v>
      </c>
      <c r="Y6" s="29">
        <f t="shared" si="8"/>
        <v>5500</v>
      </c>
      <c r="Z6" s="29">
        <f t="shared" si="8"/>
        <v>5500</v>
      </c>
      <c r="AA6" s="29">
        <f t="shared" si="8"/>
        <v>5500</v>
      </c>
      <c r="AB6" s="29">
        <f t="shared" si="8"/>
        <v>5500</v>
      </c>
      <c r="AC6" s="29">
        <f t="shared" si="8"/>
        <v>5500</v>
      </c>
    </row>
    <row r="7" spans="1:44" x14ac:dyDescent="0.25">
      <c r="A7" s="252"/>
      <c r="B7" s="308">
        <v>0.75</v>
      </c>
      <c r="C7" s="18"/>
      <c r="D7" s="152" t="s">
        <v>21</v>
      </c>
      <c r="E7" s="73">
        <f t="shared" ref="E7:AC7" si="9">SUM(E5:E6)</f>
        <v>255500</v>
      </c>
      <c r="F7" s="73">
        <f t="shared" si="9"/>
        <v>130500</v>
      </c>
      <c r="G7" s="73">
        <f t="shared" si="9"/>
        <v>88833.333333333343</v>
      </c>
      <c r="H7" s="73">
        <f t="shared" si="9"/>
        <v>85500</v>
      </c>
      <c r="I7" s="73">
        <f t="shared" si="9"/>
        <v>69500</v>
      </c>
      <c r="J7" s="73">
        <f t="shared" si="9"/>
        <v>58833.333333333336</v>
      </c>
      <c r="K7" s="156">
        <f t="shared" si="9"/>
        <v>51214.285714285717</v>
      </c>
      <c r="L7" s="156">
        <f t="shared" si="9"/>
        <v>45500</v>
      </c>
      <c r="M7" s="156">
        <f t="shared" si="9"/>
        <v>41055.555555555555</v>
      </c>
      <c r="N7" s="73">
        <f t="shared" si="9"/>
        <v>43100</v>
      </c>
      <c r="O7" s="73">
        <f t="shared" si="9"/>
        <v>39681.818181818184</v>
      </c>
      <c r="P7" s="73">
        <f t="shared" si="9"/>
        <v>36833.333333333336</v>
      </c>
      <c r="Q7" s="73">
        <f t="shared" si="9"/>
        <v>34423.076923076922</v>
      </c>
      <c r="R7" s="73">
        <f t="shared" si="9"/>
        <v>32357.142857142855</v>
      </c>
      <c r="S7" s="73">
        <f t="shared" si="9"/>
        <v>52166.666666666664</v>
      </c>
      <c r="T7" s="73">
        <f t="shared" si="9"/>
        <v>49250</v>
      </c>
      <c r="U7" s="73">
        <f t="shared" si="9"/>
        <v>46676.470588235294</v>
      </c>
      <c r="V7" s="73">
        <f t="shared" si="9"/>
        <v>44388.888888888891</v>
      </c>
      <c r="W7" s="73">
        <f t="shared" si="9"/>
        <v>42342.105263157893</v>
      </c>
      <c r="X7" s="73">
        <f t="shared" si="9"/>
        <v>40500</v>
      </c>
      <c r="Y7" s="73">
        <f t="shared" si="9"/>
        <v>38833.333333333336</v>
      </c>
      <c r="Z7" s="73">
        <f t="shared" si="9"/>
        <v>37318.181818181816</v>
      </c>
      <c r="AA7" s="73">
        <f t="shared" si="9"/>
        <v>35934.782608695656</v>
      </c>
      <c r="AB7" s="73">
        <f t="shared" si="9"/>
        <v>34666.666666666672</v>
      </c>
      <c r="AC7" s="73">
        <f t="shared" si="9"/>
        <v>41500</v>
      </c>
    </row>
    <row r="8" spans="1:44" x14ac:dyDescent="0.25">
      <c r="A8" s="252"/>
      <c r="B8" s="173"/>
      <c r="C8" s="18"/>
      <c r="D8" s="152" t="s">
        <v>22</v>
      </c>
      <c r="E8" s="73">
        <f>E7/B7</f>
        <v>340666.66666666669</v>
      </c>
      <c r="F8" s="73">
        <f>F7/B7</f>
        <v>174000</v>
      </c>
      <c r="G8" s="153">
        <f>G7/B7</f>
        <v>118444.44444444445</v>
      </c>
      <c r="H8" s="73">
        <f>H7/B7</f>
        <v>114000</v>
      </c>
      <c r="I8" s="73">
        <f>I7/B7</f>
        <v>92666.666666666672</v>
      </c>
      <c r="J8" s="155">
        <f>J7/B7</f>
        <v>78444.444444444453</v>
      </c>
      <c r="K8" s="157">
        <f>K7/B7</f>
        <v>68285.71428571429</v>
      </c>
      <c r="L8" s="157">
        <f>L7/B7</f>
        <v>60666.666666666664</v>
      </c>
      <c r="M8" s="157">
        <f>M7/B7</f>
        <v>54740.740740740737</v>
      </c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</row>
    <row r="9" spans="1:44" x14ac:dyDescent="0.25">
      <c r="A9" s="252"/>
      <c r="B9" s="174"/>
      <c r="C9" s="19"/>
      <c r="D9" s="162" t="s">
        <v>23</v>
      </c>
      <c r="E9" s="163">
        <f>_xlfn.CEILING.MATH(E8,1000)</f>
        <v>341000</v>
      </c>
      <c r="F9" s="163">
        <f>_xlfn.CEILING.MATH(F8,1000)</f>
        <v>174000</v>
      </c>
      <c r="G9" s="163">
        <f t="shared" ref="G9:M9" si="10">_xlfn.CEILING.MATH(G8,1000)</f>
        <v>119000</v>
      </c>
      <c r="H9" s="163">
        <f t="shared" si="10"/>
        <v>114000</v>
      </c>
      <c r="I9" s="163">
        <f t="shared" si="10"/>
        <v>93000</v>
      </c>
      <c r="J9" s="163">
        <f t="shared" si="10"/>
        <v>79000</v>
      </c>
      <c r="K9" s="163">
        <f t="shared" si="10"/>
        <v>69000</v>
      </c>
      <c r="L9" s="163">
        <f t="shared" si="10"/>
        <v>61000</v>
      </c>
      <c r="M9" s="163">
        <f t="shared" si="10"/>
        <v>55000</v>
      </c>
      <c r="N9" s="20"/>
      <c r="O9" s="20"/>
      <c r="P9" s="20"/>
      <c r="Q9" s="20"/>
      <c r="R9" s="20"/>
      <c r="S9" s="20"/>
      <c r="T9" s="20"/>
      <c r="U9" s="20"/>
      <c r="V9" s="20"/>
      <c r="W9" s="21"/>
      <c r="X9" s="22"/>
      <c r="Y9" s="22"/>
      <c r="Z9" s="22"/>
      <c r="AA9" s="22"/>
      <c r="AB9" s="22"/>
      <c r="AC9" s="23"/>
    </row>
    <row r="10" spans="1:44" x14ac:dyDescent="0.25">
      <c r="A10" s="21"/>
      <c r="B10" s="19"/>
      <c r="C10" s="19"/>
      <c r="D10" s="158"/>
      <c r="E10" s="159"/>
      <c r="F10" s="160"/>
      <c r="G10" s="160"/>
      <c r="H10" s="159"/>
      <c r="I10" s="161"/>
      <c r="J10" s="161"/>
      <c r="K10" s="161"/>
      <c r="L10" s="160"/>
      <c r="M10" s="16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2"/>
      <c r="Y10" s="22"/>
      <c r="Z10" s="22"/>
      <c r="AA10" s="22"/>
      <c r="AB10" s="22"/>
      <c r="AC10" s="23"/>
    </row>
    <row r="11" spans="1:44" ht="30" x14ac:dyDescent="0.25">
      <c r="A11" s="176" t="s">
        <v>0</v>
      </c>
      <c r="B11" s="168" t="s">
        <v>1</v>
      </c>
      <c r="C11" s="168" t="s">
        <v>2</v>
      </c>
      <c r="D11" s="168" t="s">
        <v>3</v>
      </c>
      <c r="E11" s="211" t="s">
        <v>4</v>
      </c>
      <c r="F11" s="2">
        <v>150000</v>
      </c>
      <c r="G11" s="3">
        <v>350000</v>
      </c>
      <c r="H11" s="179">
        <v>200000</v>
      </c>
      <c r="I11" s="265" t="s">
        <v>5</v>
      </c>
      <c r="J11" s="266"/>
      <c r="K11" s="266"/>
      <c r="L11" s="267"/>
      <c r="M11" s="4">
        <v>450000</v>
      </c>
      <c r="N11" s="260" t="s">
        <v>6</v>
      </c>
      <c r="O11" s="258"/>
      <c r="P11" s="258"/>
      <c r="Q11" s="258"/>
      <c r="R11" s="5">
        <v>650000</v>
      </c>
      <c r="S11" s="261" t="s">
        <v>7</v>
      </c>
      <c r="T11" s="258"/>
      <c r="U11" s="258"/>
      <c r="V11" s="258"/>
      <c r="W11" s="258"/>
      <c r="X11" s="258"/>
      <c r="Y11" s="258"/>
      <c r="Z11" s="258"/>
      <c r="AA11" s="254"/>
      <c r="AB11" s="6">
        <v>1250000</v>
      </c>
      <c r="AC11" s="221">
        <v>1800000</v>
      </c>
    </row>
    <row r="12" spans="1:44" ht="26.25" customHeight="1" x14ac:dyDescent="0.25">
      <c r="A12" s="249" t="s">
        <v>24</v>
      </c>
      <c r="B12" s="169" t="s">
        <v>25</v>
      </c>
      <c r="C12" s="101" t="s">
        <v>12</v>
      </c>
      <c r="D12" s="9" t="s">
        <v>13</v>
      </c>
      <c r="E12" s="29">
        <f t="shared" ref="E12:G12" si="11">$G$11/E2</f>
        <v>350000</v>
      </c>
      <c r="F12" s="29">
        <f t="shared" si="11"/>
        <v>175000</v>
      </c>
      <c r="G12" s="29">
        <f t="shared" si="11"/>
        <v>116666.66666666667</v>
      </c>
      <c r="H12" s="29">
        <f t="shared" ref="H12:M12" si="12">$M$11/H2</f>
        <v>112500</v>
      </c>
      <c r="I12" s="29">
        <f t="shared" si="12"/>
        <v>90000</v>
      </c>
      <c r="J12" s="29">
        <f t="shared" si="12"/>
        <v>75000</v>
      </c>
      <c r="K12" s="29">
        <f t="shared" si="12"/>
        <v>64285.714285714283</v>
      </c>
      <c r="L12" s="29">
        <f t="shared" si="12"/>
        <v>56250</v>
      </c>
      <c r="M12" s="29">
        <f t="shared" si="12"/>
        <v>50000</v>
      </c>
      <c r="N12" s="29">
        <f t="shared" ref="N12:R12" si="13">$R$11/N2</f>
        <v>65000</v>
      </c>
      <c r="O12" s="29">
        <f t="shared" si="13"/>
        <v>59090.909090909088</v>
      </c>
      <c r="P12" s="29">
        <f t="shared" si="13"/>
        <v>54166.666666666664</v>
      </c>
      <c r="Q12" s="29">
        <f t="shared" si="13"/>
        <v>50000</v>
      </c>
      <c r="R12" s="29">
        <f t="shared" si="13"/>
        <v>46428.571428571428</v>
      </c>
      <c r="S12" s="29">
        <f t="shared" ref="S12:AB12" si="14">$AB$11/S2</f>
        <v>83333.333333333328</v>
      </c>
      <c r="T12" s="29">
        <f t="shared" si="14"/>
        <v>78125</v>
      </c>
      <c r="U12" s="29">
        <f t="shared" si="14"/>
        <v>73529.411764705888</v>
      </c>
      <c r="V12" s="29">
        <f t="shared" si="14"/>
        <v>69444.444444444438</v>
      </c>
      <c r="W12" s="29">
        <f t="shared" si="14"/>
        <v>65789.473684210519</v>
      </c>
      <c r="X12" s="29">
        <f t="shared" si="14"/>
        <v>62500</v>
      </c>
      <c r="Y12" s="29">
        <f t="shared" si="14"/>
        <v>59523.809523809527</v>
      </c>
      <c r="Z12" s="29">
        <f t="shared" si="14"/>
        <v>56818.181818181816</v>
      </c>
      <c r="AA12" s="29">
        <f t="shared" si="14"/>
        <v>54347.82608695652</v>
      </c>
      <c r="AB12" s="29">
        <f t="shared" si="14"/>
        <v>52083.333333333336</v>
      </c>
      <c r="AC12" s="82">
        <f>$AC$11/AC2</f>
        <v>72000</v>
      </c>
    </row>
    <row r="13" spans="1:44" ht="45" x14ac:dyDescent="0.25">
      <c r="A13" s="250"/>
      <c r="B13" s="170" t="s">
        <v>14</v>
      </c>
      <c r="C13" s="101" t="s">
        <v>15</v>
      </c>
      <c r="D13" s="10" t="s">
        <v>16</v>
      </c>
      <c r="E13" s="29">
        <f t="shared" ref="E13:AC13" si="15">$F$11/E2</f>
        <v>150000</v>
      </c>
      <c r="F13" s="29">
        <f t="shared" si="15"/>
        <v>75000</v>
      </c>
      <c r="G13" s="29">
        <f t="shared" si="15"/>
        <v>50000</v>
      </c>
      <c r="H13" s="29">
        <f>$H$11/H2</f>
        <v>50000</v>
      </c>
      <c r="I13" s="29">
        <f t="shared" ref="I13:M13" si="16">$H$11/I2</f>
        <v>40000</v>
      </c>
      <c r="J13" s="29">
        <f t="shared" si="16"/>
        <v>33333.333333333336</v>
      </c>
      <c r="K13" s="29">
        <f t="shared" si="16"/>
        <v>28571.428571428572</v>
      </c>
      <c r="L13" s="29">
        <f t="shared" si="16"/>
        <v>25000</v>
      </c>
      <c r="M13" s="29">
        <f t="shared" si="16"/>
        <v>22222.222222222223</v>
      </c>
      <c r="N13" s="29">
        <f t="shared" si="15"/>
        <v>15000</v>
      </c>
      <c r="O13" s="29">
        <f t="shared" si="15"/>
        <v>13636.363636363636</v>
      </c>
      <c r="P13" s="29">
        <f t="shared" si="15"/>
        <v>12500</v>
      </c>
      <c r="Q13" s="29">
        <f t="shared" si="15"/>
        <v>11538.461538461539</v>
      </c>
      <c r="R13" s="29">
        <f t="shared" si="15"/>
        <v>10714.285714285714</v>
      </c>
      <c r="S13" s="29">
        <f t="shared" si="15"/>
        <v>10000</v>
      </c>
      <c r="T13" s="29">
        <f t="shared" si="15"/>
        <v>9375</v>
      </c>
      <c r="U13" s="29">
        <f t="shared" si="15"/>
        <v>8823.5294117647063</v>
      </c>
      <c r="V13" s="29">
        <f t="shared" si="15"/>
        <v>8333.3333333333339</v>
      </c>
      <c r="W13" s="29">
        <f t="shared" si="15"/>
        <v>7894.7368421052633</v>
      </c>
      <c r="X13" s="29">
        <f t="shared" si="15"/>
        <v>7500</v>
      </c>
      <c r="Y13" s="29">
        <f t="shared" si="15"/>
        <v>7142.8571428571431</v>
      </c>
      <c r="Z13" s="29">
        <f t="shared" si="15"/>
        <v>6818.181818181818</v>
      </c>
      <c r="AA13" s="29">
        <f t="shared" si="15"/>
        <v>6521.739130434783</v>
      </c>
      <c r="AB13" s="29">
        <f t="shared" si="15"/>
        <v>6250</v>
      </c>
      <c r="AC13" s="29">
        <f t="shared" si="15"/>
        <v>6000</v>
      </c>
    </row>
    <row r="14" spans="1:44" ht="30" x14ac:dyDescent="0.25">
      <c r="A14" s="250"/>
      <c r="B14" s="171" t="s">
        <v>17</v>
      </c>
      <c r="C14" s="24"/>
      <c r="D14" s="19"/>
      <c r="E14" s="37">
        <f t="shared" ref="E14:AC14" si="17">SUM(E12:E13)</f>
        <v>500000</v>
      </c>
      <c r="F14" s="37">
        <f t="shared" si="17"/>
        <v>250000</v>
      </c>
      <c r="G14" s="37">
        <f t="shared" si="17"/>
        <v>166666.66666666669</v>
      </c>
      <c r="H14" s="37">
        <f t="shared" si="17"/>
        <v>162500</v>
      </c>
      <c r="I14" s="37">
        <f t="shared" si="17"/>
        <v>130000</v>
      </c>
      <c r="J14" s="37">
        <f t="shared" si="17"/>
        <v>108333.33333333334</v>
      </c>
      <c r="K14" s="37">
        <f t="shared" si="17"/>
        <v>92857.142857142855</v>
      </c>
      <c r="L14" s="37">
        <f t="shared" si="17"/>
        <v>81250</v>
      </c>
      <c r="M14" s="37">
        <f t="shared" si="17"/>
        <v>72222.222222222219</v>
      </c>
      <c r="N14" s="37">
        <f t="shared" si="17"/>
        <v>80000</v>
      </c>
      <c r="O14" s="37">
        <f t="shared" si="17"/>
        <v>72727.272727272721</v>
      </c>
      <c r="P14" s="37">
        <f t="shared" si="17"/>
        <v>66666.666666666657</v>
      </c>
      <c r="Q14" s="37">
        <f t="shared" si="17"/>
        <v>61538.461538461539</v>
      </c>
      <c r="R14" s="37">
        <f t="shared" si="17"/>
        <v>57142.857142857145</v>
      </c>
      <c r="S14" s="37">
        <f t="shared" si="17"/>
        <v>93333.333333333328</v>
      </c>
      <c r="T14" s="37">
        <f t="shared" si="17"/>
        <v>87500</v>
      </c>
      <c r="U14" s="37">
        <f t="shared" si="17"/>
        <v>82352.941176470602</v>
      </c>
      <c r="V14" s="37">
        <f t="shared" si="17"/>
        <v>77777.777777777766</v>
      </c>
      <c r="W14" s="37">
        <f t="shared" si="17"/>
        <v>73684.210526315786</v>
      </c>
      <c r="X14" s="37">
        <f t="shared" si="17"/>
        <v>70000</v>
      </c>
      <c r="Y14" s="37">
        <f t="shared" si="17"/>
        <v>66666.666666666672</v>
      </c>
      <c r="Z14" s="37">
        <f t="shared" si="17"/>
        <v>63636.363636363632</v>
      </c>
      <c r="AA14" s="37">
        <f t="shared" si="17"/>
        <v>60869.565217391304</v>
      </c>
      <c r="AB14" s="37">
        <f t="shared" si="17"/>
        <v>58333.333333333336</v>
      </c>
      <c r="AC14" s="37">
        <f t="shared" si="17"/>
        <v>78000</v>
      </c>
    </row>
    <row r="15" spans="1:44" ht="45" x14ac:dyDescent="0.25">
      <c r="A15" s="250"/>
      <c r="B15" s="172" t="s">
        <v>26</v>
      </c>
      <c r="C15" s="101" t="s">
        <v>27</v>
      </c>
      <c r="D15" s="25" t="s">
        <v>28</v>
      </c>
      <c r="E15" s="87">
        <v>25000</v>
      </c>
      <c r="F15" s="29">
        <f t="shared" ref="F15:AC15" si="18">E15</f>
        <v>25000</v>
      </c>
      <c r="G15" s="29">
        <f t="shared" si="18"/>
        <v>25000</v>
      </c>
      <c r="H15" s="29">
        <f t="shared" si="18"/>
        <v>25000</v>
      </c>
      <c r="I15" s="29">
        <f t="shared" si="18"/>
        <v>25000</v>
      </c>
      <c r="J15" s="29">
        <f t="shared" si="18"/>
        <v>25000</v>
      </c>
      <c r="K15" s="29">
        <f t="shared" si="18"/>
        <v>25000</v>
      </c>
      <c r="L15" s="29">
        <f t="shared" si="18"/>
        <v>25000</v>
      </c>
      <c r="M15" s="29">
        <f t="shared" si="18"/>
        <v>25000</v>
      </c>
      <c r="N15" s="29">
        <f t="shared" si="18"/>
        <v>25000</v>
      </c>
      <c r="O15" s="29">
        <f t="shared" si="18"/>
        <v>25000</v>
      </c>
      <c r="P15" s="29">
        <f t="shared" si="18"/>
        <v>25000</v>
      </c>
      <c r="Q15" s="29">
        <f t="shared" si="18"/>
        <v>25000</v>
      </c>
      <c r="R15" s="29">
        <f t="shared" si="18"/>
        <v>25000</v>
      </c>
      <c r="S15" s="29">
        <f t="shared" si="18"/>
        <v>25000</v>
      </c>
      <c r="T15" s="29">
        <f t="shared" si="18"/>
        <v>25000</v>
      </c>
      <c r="U15" s="29">
        <f t="shared" si="18"/>
        <v>25000</v>
      </c>
      <c r="V15" s="29">
        <f t="shared" si="18"/>
        <v>25000</v>
      </c>
      <c r="W15" s="29">
        <f t="shared" si="18"/>
        <v>25000</v>
      </c>
      <c r="X15" s="29">
        <f t="shared" si="18"/>
        <v>25000</v>
      </c>
      <c r="Y15" s="29">
        <f t="shared" si="18"/>
        <v>25000</v>
      </c>
      <c r="Z15" s="29">
        <f t="shared" si="18"/>
        <v>25000</v>
      </c>
      <c r="AA15" s="29">
        <f t="shared" si="18"/>
        <v>25000</v>
      </c>
      <c r="AB15" s="29">
        <f t="shared" si="18"/>
        <v>25000</v>
      </c>
      <c r="AC15" s="29">
        <f t="shared" si="18"/>
        <v>25000</v>
      </c>
    </row>
    <row r="16" spans="1:44" ht="30" x14ac:dyDescent="0.25">
      <c r="A16" s="250"/>
      <c r="B16" s="172" t="s">
        <v>18</v>
      </c>
      <c r="C16" s="101" t="s">
        <v>19</v>
      </c>
      <c r="D16" s="17" t="s">
        <v>20</v>
      </c>
      <c r="E16" s="26">
        <v>5500</v>
      </c>
      <c r="F16" s="29">
        <f t="shared" ref="F16:AC16" si="19">E16</f>
        <v>5500</v>
      </c>
      <c r="G16" s="29">
        <f t="shared" si="19"/>
        <v>5500</v>
      </c>
      <c r="H16" s="29">
        <f t="shared" si="19"/>
        <v>5500</v>
      </c>
      <c r="I16" s="29">
        <f t="shared" si="19"/>
        <v>5500</v>
      </c>
      <c r="J16" s="29">
        <f t="shared" si="19"/>
        <v>5500</v>
      </c>
      <c r="K16" s="29">
        <f t="shared" si="19"/>
        <v>5500</v>
      </c>
      <c r="L16" s="29">
        <f t="shared" si="19"/>
        <v>5500</v>
      </c>
      <c r="M16" s="29">
        <f t="shared" si="19"/>
        <v>5500</v>
      </c>
      <c r="N16" s="29">
        <f t="shared" si="19"/>
        <v>5500</v>
      </c>
      <c r="O16" s="29">
        <f t="shared" si="19"/>
        <v>5500</v>
      </c>
      <c r="P16" s="29">
        <f t="shared" si="19"/>
        <v>5500</v>
      </c>
      <c r="Q16" s="29">
        <f t="shared" si="19"/>
        <v>5500</v>
      </c>
      <c r="R16" s="29">
        <f t="shared" si="19"/>
        <v>5500</v>
      </c>
      <c r="S16" s="29">
        <f t="shared" si="19"/>
        <v>5500</v>
      </c>
      <c r="T16" s="29">
        <f t="shared" si="19"/>
        <v>5500</v>
      </c>
      <c r="U16" s="29">
        <f t="shared" si="19"/>
        <v>5500</v>
      </c>
      <c r="V16" s="29">
        <f t="shared" si="19"/>
        <v>5500</v>
      </c>
      <c r="W16" s="29">
        <f t="shared" si="19"/>
        <v>5500</v>
      </c>
      <c r="X16" s="29">
        <f t="shared" si="19"/>
        <v>5500</v>
      </c>
      <c r="Y16" s="29">
        <f t="shared" si="19"/>
        <v>5500</v>
      </c>
      <c r="Z16" s="29">
        <f t="shared" si="19"/>
        <v>5500</v>
      </c>
      <c r="AA16" s="29">
        <f t="shared" si="19"/>
        <v>5500</v>
      </c>
      <c r="AB16" s="29">
        <f t="shared" si="19"/>
        <v>5500</v>
      </c>
      <c r="AC16" s="29">
        <f t="shared" si="19"/>
        <v>5500</v>
      </c>
    </row>
    <row r="17" spans="1:29" x14ac:dyDescent="0.25">
      <c r="A17" s="250"/>
      <c r="B17" s="175" t="s">
        <v>29</v>
      </c>
      <c r="C17" s="18"/>
      <c r="D17" s="152" t="s">
        <v>21</v>
      </c>
      <c r="E17" s="73">
        <f t="shared" ref="E17:AC17" si="20">SUM(E14:E16)</f>
        <v>530500</v>
      </c>
      <c r="F17" s="73">
        <f t="shared" si="20"/>
        <v>280500</v>
      </c>
      <c r="G17" s="73">
        <f t="shared" si="20"/>
        <v>197166.66666666669</v>
      </c>
      <c r="H17" s="73">
        <f t="shared" si="20"/>
        <v>193000</v>
      </c>
      <c r="I17" s="73">
        <f t="shared" si="20"/>
        <v>160500</v>
      </c>
      <c r="J17" s="73">
        <f t="shared" si="20"/>
        <v>138833.33333333334</v>
      </c>
      <c r="K17" s="73">
        <f t="shared" si="20"/>
        <v>123357.14285714286</v>
      </c>
      <c r="L17" s="73">
        <f t="shared" si="20"/>
        <v>111750</v>
      </c>
      <c r="M17" s="73">
        <f t="shared" si="20"/>
        <v>102722.22222222222</v>
      </c>
      <c r="N17" s="73">
        <f t="shared" si="20"/>
        <v>110500</v>
      </c>
      <c r="O17" s="73">
        <f t="shared" si="20"/>
        <v>103227.27272727272</v>
      </c>
      <c r="P17" s="73">
        <f t="shared" si="20"/>
        <v>97166.666666666657</v>
      </c>
      <c r="Q17" s="73">
        <f t="shared" si="20"/>
        <v>92038.461538461532</v>
      </c>
      <c r="R17" s="73">
        <f t="shared" si="20"/>
        <v>87642.857142857145</v>
      </c>
      <c r="S17" s="73">
        <f t="shared" si="20"/>
        <v>123833.33333333333</v>
      </c>
      <c r="T17" s="73">
        <f t="shared" si="20"/>
        <v>118000</v>
      </c>
      <c r="U17" s="73">
        <f t="shared" si="20"/>
        <v>112852.9411764706</v>
      </c>
      <c r="V17" s="73">
        <f t="shared" si="20"/>
        <v>108277.77777777777</v>
      </c>
      <c r="W17" s="73">
        <f t="shared" si="20"/>
        <v>104184.21052631579</v>
      </c>
      <c r="X17" s="73">
        <f t="shared" si="20"/>
        <v>100500</v>
      </c>
      <c r="Y17" s="73">
        <f t="shared" si="20"/>
        <v>97166.666666666672</v>
      </c>
      <c r="Z17" s="73">
        <f t="shared" si="20"/>
        <v>94136.363636363632</v>
      </c>
      <c r="AA17" s="73">
        <f t="shared" si="20"/>
        <v>91369.565217391297</v>
      </c>
      <c r="AB17" s="73">
        <f t="shared" si="20"/>
        <v>88833.333333333343</v>
      </c>
      <c r="AC17" s="73">
        <f t="shared" si="20"/>
        <v>108500</v>
      </c>
    </row>
    <row r="18" spans="1:29" x14ac:dyDescent="0.25">
      <c r="A18" s="250"/>
      <c r="B18" s="308">
        <v>0.75</v>
      </c>
      <c r="C18" s="18"/>
      <c r="D18" t="s">
        <v>22</v>
      </c>
      <c r="E18" s="73">
        <f>E17/B18</f>
        <v>707333.33333333337</v>
      </c>
      <c r="F18" s="73">
        <f>F17/B18</f>
        <v>374000</v>
      </c>
      <c r="G18" s="73">
        <f>G17/B18</f>
        <v>262888.88888888893</v>
      </c>
      <c r="H18" s="73">
        <f>H17/B18</f>
        <v>257333.33333333334</v>
      </c>
      <c r="I18" s="73">
        <f>I17/B18</f>
        <v>214000</v>
      </c>
      <c r="J18" s="73">
        <f>J17/B18</f>
        <v>185111.11111111112</v>
      </c>
      <c r="K18" s="73">
        <f>K17/B18</f>
        <v>164476.19047619047</v>
      </c>
      <c r="L18" s="73">
        <f>L17/B18</f>
        <v>149000</v>
      </c>
      <c r="M18" s="73">
        <f>M17/B18</f>
        <v>136962.96296296295</v>
      </c>
      <c r="N18" s="73">
        <f t="shared" ref="N18:AC18" si="21">SUM(N17:N17)</f>
        <v>110500</v>
      </c>
      <c r="O18" s="73">
        <f t="shared" si="21"/>
        <v>103227.27272727272</v>
      </c>
      <c r="P18" s="73">
        <f t="shared" si="21"/>
        <v>97166.666666666657</v>
      </c>
      <c r="Q18" s="73">
        <f t="shared" si="21"/>
        <v>92038.461538461532</v>
      </c>
      <c r="R18" s="73">
        <f t="shared" si="21"/>
        <v>87642.857142857145</v>
      </c>
      <c r="S18" s="73">
        <f t="shared" si="21"/>
        <v>123833.33333333333</v>
      </c>
      <c r="T18" s="73">
        <f t="shared" si="21"/>
        <v>118000</v>
      </c>
      <c r="U18" s="73">
        <f t="shared" si="21"/>
        <v>112852.9411764706</v>
      </c>
      <c r="V18" s="73">
        <f t="shared" si="21"/>
        <v>108277.77777777777</v>
      </c>
      <c r="W18" s="73">
        <f t="shared" si="21"/>
        <v>104184.21052631579</v>
      </c>
      <c r="X18" s="73">
        <f t="shared" si="21"/>
        <v>100500</v>
      </c>
      <c r="Y18" s="73">
        <f t="shared" si="21"/>
        <v>97166.666666666672</v>
      </c>
      <c r="Z18" s="73">
        <f t="shared" si="21"/>
        <v>94136.363636363632</v>
      </c>
      <c r="AA18" s="73">
        <f t="shared" si="21"/>
        <v>91369.565217391297</v>
      </c>
      <c r="AB18" s="73">
        <f t="shared" si="21"/>
        <v>88833.333333333343</v>
      </c>
      <c r="AC18" s="73">
        <f t="shared" si="21"/>
        <v>108500</v>
      </c>
    </row>
    <row r="19" spans="1:29" x14ac:dyDescent="0.25">
      <c r="A19" s="251"/>
      <c r="B19" s="174"/>
      <c r="C19" s="19"/>
      <c r="D19" s="162" t="s">
        <v>23</v>
      </c>
      <c r="E19" s="163">
        <f>_xlfn.CEILING.MATH(E18,1000)</f>
        <v>708000</v>
      </c>
      <c r="F19" s="163">
        <f t="shared" ref="F19:M19" si="22">_xlfn.CEILING.MATH(F18,1000)</f>
        <v>374000</v>
      </c>
      <c r="G19" s="163">
        <f t="shared" si="22"/>
        <v>263000</v>
      </c>
      <c r="H19" s="163">
        <f t="shared" si="22"/>
        <v>258000</v>
      </c>
      <c r="I19" s="163">
        <f t="shared" si="22"/>
        <v>214000</v>
      </c>
      <c r="J19" s="163">
        <f t="shared" si="22"/>
        <v>186000</v>
      </c>
      <c r="K19" s="163">
        <f t="shared" si="22"/>
        <v>165000</v>
      </c>
      <c r="L19" s="163">
        <f t="shared" si="22"/>
        <v>149000</v>
      </c>
      <c r="M19" s="163">
        <f t="shared" si="22"/>
        <v>137000</v>
      </c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2"/>
      <c r="Y19" s="22"/>
      <c r="Z19" s="22"/>
      <c r="AA19" s="22"/>
      <c r="AB19" s="22"/>
      <c r="AC19" s="23"/>
    </row>
    <row r="20" spans="1:29" x14ac:dyDescent="0.25">
      <c r="A20" s="187"/>
      <c r="B20" s="174"/>
      <c r="C20" s="19"/>
      <c r="D20" s="162"/>
      <c r="E20" s="164"/>
      <c r="F20" s="165"/>
      <c r="G20" s="165"/>
      <c r="H20" s="164"/>
      <c r="I20" s="166"/>
      <c r="J20" s="166"/>
      <c r="K20" s="166"/>
      <c r="L20" s="165"/>
      <c r="M20" s="165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2"/>
      <c r="Y20" s="22"/>
      <c r="Z20" s="22"/>
      <c r="AA20" s="22"/>
      <c r="AB20" s="22"/>
      <c r="AC20" s="23"/>
    </row>
    <row r="21" spans="1:29" ht="30" x14ac:dyDescent="0.25">
      <c r="A21" s="176" t="s">
        <v>0</v>
      </c>
      <c r="B21" s="168" t="s">
        <v>1</v>
      </c>
      <c r="C21" s="168" t="s">
        <v>2</v>
      </c>
      <c r="D21" s="168" t="s">
        <v>3</v>
      </c>
      <c r="E21" s="211" t="s">
        <v>4</v>
      </c>
      <c r="F21" s="2">
        <v>90000</v>
      </c>
      <c r="G21" s="3">
        <v>105000</v>
      </c>
      <c r="H21" s="265" t="s">
        <v>5</v>
      </c>
      <c r="I21" s="258"/>
      <c r="J21" s="258"/>
      <c r="K21" s="258"/>
      <c r="L21" s="254"/>
      <c r="M21" s="4">
        <v>150000</v>
      </c>
      <c r="N21" s="260" t="s">
        <v>6</v>
      </c>
      <c r="O21" s="258"/>
      <c r="P21" s="258"/>
      <c r="Q21" s="258"/>
      <c r="R21" s="5">
        <f>69000*4</f>
        <v>276000</v>
      </c>
      <c r="S21" s="261" t="s">
        <v>7</v>
      </c>
      <c r="T21" s="258"/>
      <c r="U21" s="258"/>
      <c r="V21" s="258"/>
      <c r="W21" s="258"/>
      <c r="X21" s="258"/>
      <c r="Y21" s="258"/>
      <c r="Z21" s="258"/>
      <c r="AA21" s="254"/>
      <c r="AB21" s="6">
        <f>150000*4</f>
        <v>600000</v>
      </c>
      <c r="AC21" s="221">
        <f>200000*4</f>
        <v>800000</v>
      </c>
    </row>
    <row r="22" spans="1:29" ht="15.75" customHeight="1" x14ac:dyDescent="0.25">
      <c r="A22" s="252" t="s">
        <v>30</v>
      </c>
      <c r="B22" s="169" t="s">
        <v>31</v>
      </c>
      <c r="C22" s="101" t="s">
        <v>32</v>
      </c>
      <c r="D22" s="9" t="s">
        <v>13</v>
      </c>
      <c r="E22" s="29">
        <f>$G$21/E2</f>
        <v>105000</v>
      </c>
      <c r="F22" s="29">
        <f>$G$21/F2</f>
        <v>52500</v>
      </c>
      <c r="G22" s="29">
        <f>$G$21/G2</f>
        <v>35000</v>
      </c>
      <c r="H22" s="29">
        <f t="shared" ref="H22:M22" si="23">$M$21/H2</f>
        <v>37500</v>
      </c>
      <c r="I22" s="29">
        <f t="shared" si="23"/>
        <v>30000</v>
      </c>
      <c r="J22" s="29">
        <f t="shared" si="23"/>
        <v>25000</v>
      </c>
      <c r="K22" s="29">
        <f t="shared" si="23"/>
        <v>21428.571428571428</v>
      </c>
      <c r="L22" s="29">
        <f t="shared" si="23"/>
        <v>18750</v>
      </c>
      <c r="M22" s="29">
        <f t="shared" si="23"/>
        <v>16666.666666666668</v>
      </c>
      <c r="N22" s="29">
        <f>$R$21/N2</f>
        <v>27600</v>
      </c>
      <c r="O22" s="29">
        <f>$R$21/O2</f>
        <v>25090.909090909092</v>
      </c>
      <c r="P22" s="29">
        <f>$R$21/P2</f>
        <v>23000</v>
      </c>
      <c r="Q22" s="29">
        <f>$R$21/Q2</f>
        <v>21230.76923076923</v>
      </c>
      <c r="R22" s="29">
        <f>$R$21/R2</f>
        <v>19714.285714285714</v>
      </c>
      <c r="S22" s="29">
        <f t="shared" ref="S22:AB22" si="24">$AB$21/S2</f>
        <v>40000</v>
      </c>
      <c r="T22" s="29">
        <f t="shared" si="24"/>
        <v>37500</v>
      </c>
      <c r="U22" s="29">
        <f t="shared" si="24"/>
        <v>35294.117647058825</v>
      </c>
      <c r="V22" s="29">
        <f t="shared" si="24"/>
        <v>33333.333333333336</v>
      </c>
      <c r="W22" s="29">
        <f t="shared" si="24"/>
        <v>31578.947368421053</v>
      </c>
      <c r="X22" s="29">
        <f t="shared" si="24"/>
        <v>30000</v>
      </c>
      <c r="Y22" s="29">
        <f t="shared" si="24"/>
        <v>28571.428571428572</v>
      </c>
      <c r="Z22" s="29">
        <f t="shared" si="24"/>
        <v>27272.727272727272</v>
      </c>
      <c r="AA22" s="29">
        <f t="shared" si="24"/>
        <v>26086.956521739132</v>
      </c>
      <c r="AB22" s="29">
        <f t="shared" si="24"/>
        <v>25000</v>
      </c>
      <c r="AC22" s="82">
        <f>$AC$21/AC2</f>
        <v>32000</v>
      </c>
    </row>
    <row r="23" spans="1:29" ht="15.75" customHeight="1" x14ac:dyDescent="0.25">
      <c r="A23" s="252"/>
      <c r="B23" s="170" t="s">
        <v>33</v>
      </c>
      <c r="C23" s="101" t="s">
        <v>34</v>
      </c>
      <c r="D23" s="30" t="s">
        <v>16</v>
      </c>
      <c r="E23" s="29">
        <f t="shared" ref="E23:AC23" si="25">$F$21/E2</f>
        <v>90000</v>
      </c>
      <c r="F23" s="29">
        <f t="shared" si="25"/>
        <v>45000</v>
      </c>
      <c r="G23" s="29">
        <f t="shared" si="25"/>
        <v>30000</v>
      </c>
      <c r="H23" s="29">
        <f t="shared" si="25"/>
        <v>22500</v>
      </c>
      <c r="I23" s="29">
        <f t="shared" si="25"/>
        <v>18000</v>
      </c>
      <c r="J23" s="29">
        <f t="shared" si="25"/>
        <v>15000</v>
      </c>
      <c r="K23" s="29">
        <f t="shared" si="25"/>
        <v>12857.142857142857</v>
      </c>
      <c r="L23" s="29">
        <f t="shared" si="25"/>
        <v>11250</v>
      </c>
      <c r="M23" s="29">
        <f t="shared" si="25"/>
        <v>10000</v>
      </c>
      <c r="N23" s="29">
        <f t="shared" si="25"/>
        <v>9000</v>
      </c>
      <c r="O23" s="29">
        <f t="shared" si="25"/>
        <v>8181.818181818182</v>
      </c>
      <c r="P23" s="29">
        <f t="shared" si="25"/>
        <v>7500</v>
      </c>
      <c r="Q23" s="29">
        <f t="shared" si="25"/>
        <v>6923.0769230769229</v>
      </c>
      <c r="R23" s="29">
        <f t="shared" si="25"/>
        <v>6428.5714285714284</v>
      </c>
      <c r="S23" s="29">
        <f t="shared" si="25"/>
        <v>6000</v>
      </c>
      <c r="T23" s="29">
        <f t="shared" si="25"/>
        <v>5625</v>
      </c>
      <c r="U23" s="29">
        <f t="shared" si="25"/>
        <v>5294.1176470588234</v>
      </c>
      <c r="V23" s="29">
        <f t="shared" si="25"/>
        <v>5000</v>
      </c>
      <c r="W23" s="29">
        <f t="shared" si="25"/>
        <v>4736.8421052631575</v>
      </c>
      <c r="X23" s="29">
        <f t="shared" si="25"/>
        <v>4500</v>
      </c>
      <c r="Y23" s="29">
        <f t="shared" si="25"/>
        <v>4285.7142857142853</v>
      </c>
      <c r="Z23" s="29">
        <f t="shared" si="25"/>
        <v>4090.909090909091</v>
      </c>
      <c r="AA23" s="29">
        <f t="shared" si="25"/>
        <v>3913.0434782608695</v>
      </c>
      <c r="AB23" s="29">
        <f t="shared" si="25"/>
        <v>3750</v>
      </c>
      <c r="AC23" s="29">
        <f t="shared" si="25"/>
        <v>3600</v>
      </c>
    </row>
    <row r="24" spans="1:29" ht="15.75" customHeight="1" x14ac:dyDescent="0.25">
      <c r="A24" s="252"/>
      <c r="B24" s="175" t="s">
        <v>29</v>
      </c>
      <c r="C24" s="18"/>
      <c r="D24" s="152" t="s">
        <v>21</v>
      </c>
      <c r="E24" s="98">
        <f t="shared" ref="E24:AC24" si="26">SUM(E22:E23)</f>
        <v>195000</v>
      </c>
      <c r="F24" s="98">
        <f t="shared" si="26"/>
        <v>97500</v>
      </c>
      <c r="G24" s="98">
        <f t="shared" si="26"/>
        <v>65000</v>
      </c>
      <c r="H24" s="98">
        <f t="shared" si="26"/>
        <v>60000</v>
      </c>
      <c r="I24" s="98">
        <f t="shared" si="26"/>
        <v>48000</v>
      </c>
      <c r="J24" s="98">
        <f t="shared" si="26"/>
        <v>40000</v>
      </c>
      <c r="K24" s="98">
        <f t="shared" si="26"/>
        <v>34285.714285714283</v>
      </c>
      <c r="L24" s="98">
        <f t="shared" si="26"/>
        <v>30000</v>
      </c>
      <c r="M24" s="98">
        <f t="shared" si="26"/>
        <v>26666.666666666668</v>
      </c>
      <c r="N24" s="98">
        <f t="shared" si="26"/>
        <v>36600</v>
      </c>
      <c r="O24" s="98">
        <f t="shared" si="26"/>
        <v>33272.727272727272</v>
      </c>
      <c r="P24" s="98">
        <f t="shared" si="26"/>
        <v>30500</v>
      </c>
      <c r="Q24" s="98">
        <f t="shared" si="26"/>
        <v>28153.846153846152</v>
      </c>
      <c r="R24" s="98">
        <f t="shared" si="26"/>
        <v>26142.857142857141</v>
      </c>
      <c r="S24" s="98">
        <f t="shared" si="26"/>
        <v>46000</v>
      </c>
      <c r="T24" s="98">
        <f t="shared" si="26"/>
        <v>43125</v>
      </c>
      <c r="U24" s="98">
        <f t="shared" si="26"/>
        <v>40588.23529411765</v>
      </c>
      <c r="V24" s="98">
        <f t="shared" si="26"/>
        <v>38333.333333333336</v>
      </c>
      <c r="W24" s="98">
        <f t="shared" si="26"/>
        <v>36315.789473684214</v>
      </c>
      <c r="X24" s="98">
        <f t="shared" si="26"/>
        <v>34500</v>
      </c>
      <c r="Y24" s="98">
        <f t="shared" si="26"/>
        <v>32857.142857142855</v>
      </c>
      <c r="Z24" s="98">
        <f t="shared" si="26"/>
        <v>31363.636363636364</v>
      </c>
      <c r="AA24" s="98">
        <f t="shared" si="26"/>
        <v>30000</v>
      </c>
      <c r="AB24" s="98">
        <f t="shared" si="26"/>
        <v>28750</v>
      </c>
      <c r="AC24" s="98">
        <f t="shared" si="26"/>
        <v>35600</v>
      </c>
    </row>
    <row r="25" spans="1:29" x14ac:dyDescent="0.25">
      <c r="A25" s="252"/>
      <c r="B25" s="308">
        <v>0.8</v>
      </c>
      <c r="C25" s="18"/>
      <c r="D25" s="152" t="s">
        <v>22</v>
      </c>
      <c r="E25" s="73">
        <f>E24/B25</f>
        <v>243750</v>
      </c>
      <c r="F25" s="73">
        <f>F24/B25</f>
        <v>121875</v>
      </c>
      <c r="G25" s="73">
        <f>G24/B25</f>
        <v>81250</v>
      </c>
      <c r="H25" s="73">
        <f>H24/B25</f>
        <v>75000</v>
      </c>
      <c r="I25" s="73">
        <f>I24/B25</f>
        <v>60000</v>
      </c>
      <c r="J25" s="73">
        <f>J24/B25</f>
        <v>50000</v>
      </c>
      <c r="K25" s="73">
        <f>K24/B25</f>
        <v>42857.142857142848</v>
      </c>
      <c r="L25" s="73">
        <f>L24/B25</f>
        <v>37500</v>
      </c>
      <c r="M25" s="73">
        <f>M24/B25</f>
        <v>33333.333333333336</v>
      </c>
      <c r="N25" s="73">
        <f t="shared" ref="N25:AC25" si="27">SUM(N23:N24)</f>
        <v>45600</v>
      </c>
      <c r="O25" s="73">
        <f t="shared" si="27"/>
        <v>41454.545454545456</v>
      </c>
      <c r="P25" s="73">
        <f t="shared" si="27"/>
        <v>38000</v>
      </c>
      <c r="Q25" s="73">
        <f t="shared" si="27"/>
        <v>35076.923076923078</v>
      </c>
      <c r="R25" s="73">
        <f t="shared" si="27"/>
        <v>32571.428571428569</v>
      </c>
      <c r="S25" s="73">
        <f t="shared" si="27"/>
        <v>52000</v>
      </c>
      <c r="T25" s="73">
        <f t="shared" si="27"/>
        <v>48750</v>
      </c>
      <c r="U25" s="73">
        <f t="shared" si="27"/>
        <v>45882.352941176476</v>
      </c>
      <c r="V25" s="73">
        <f t="shared" si="27"/>
        <v>43333.333333333336</v>
      </c>
      <c r="W25" s="73">
        <f t="shared" si="27"/>
        <v>41052.631578947374</v>
      </c>
      <c r="X25" s="73">
        <f t="shared" si="27"/>
        <v>39000</v>
      </c>
      <c r="Y25" s="73">
        <f t="shared" si="27"/>
        <v>37142.857142857138</v>
      </c>
      <c r="Z25" s="73">
        <f t="shared" si="27"/>
        <v>35454.545454545456</v>
      </c>
      <c r="AA25" s="73">
        <f t="shared" si="27"/>
        <v>33913.043478260872</v>
      </c>
      <c r="AB25" s="73">
        <f t="shared" si="27"/>
        <v>32500</v>
      </c>
      <c r="AC25" s="73">
        <f t="shared" si="27"/>
        <v>39200</v>
      </c>
    </row>
    <row r="26" spans="1:29" x14ac:dyDescent="0.25">
      <c r="A26" s="252"/>
      <c r="B26" s="174"/>
      <c r="C26" s="19"/>
      <c r="D26" s="162" t="s">
        <v>23</v>
      </c>
      <c r="E26" s="163">
        <f>_xlfn.CEILING.MATH(E25,1000)</f>
        <v>244000</v>
      </c>
      <c r="F26" s="163">
        <f t="shared" ref="F26:M26" si="28">_xlfn.CEILING.MATH(F25,1000)</f>
        <v>122000</v>
      </c>
      <c r="G26" s="163">
        <f t="shared" si="28"/>
        <v>82000</v>
      </c>
      <c r="H26" s="163">
        <f t="shared" si="28"/>
        <v>75000</v>
      </c>
      <c r="I26" s="163">
        <f t="shared" si="28"/>
        <v>60000</v>
      </c>
      <c r="J26" s="163">
        <f t="shared" si="28"/>
        <v>50000</v>
      </c>
      <c r="K26" s="163">
        <f t="shared" si="28"/>
        <v>43000</v>
      </c>
      <c r="L26" s="163">
        <f t="shared" si="28"/>
        <v>38000</v>
      </c>
      <c r="M26" s="163">
        <f t="shared" si="28"/>
        <v>34000</v>
      </c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2"/>
      <c r="Y26" s="22"/>
      <c r="Z26" s="22"/>
      <c r="AA26" s="22"/>
      <c r="AB26" s="22"/>
      <c r="AC26" s="23"/>
    </row>
    <row r="27" spans="1:29" x14ac:dyDescent="0.25">
      <c r="B27" s="19"/>
      <c r="C27" s="19"/>
      <c r="D27" s="19"/>
      <c r="E27" s="19"/>
      <c r="F27" s="19"/>
      <c r="G27" s="19"/>
      <c r="H27" s="19"/>
      <c r="I27" s="27"/>
      <c r="J27" s="27"/>
      <c r="K27" s="27"/>
    </row>
    <row r="28" spans="1:29" ht="30" x14ac:dyDescent="0.25">
      <c r="A28" s="176" t="s">
        <v>0</v>
      </c>
      <c r="B28" s="168" t="s">
        <v>1</v>
      </c>
      <c r="C28" s="168" t="s">
        <v>2</v>
      </c>
      <c r="D28" s="168" t="s">
        <v>3</v>
      </c>
      <c r="E28" s="211" t="s">
        <v>4</v>
      </c>
      <c r="F28" s="2">
        <v>150000</v>
      </c>
      <c r="G28" s="3">
        <v>375000</v>
      </c>
      <c r="H28" s="180">
        <v>200000</v>
      </c>
      <c r="I28" s="268" t="s">
        <v>5</v>
      </c>
      <c r="J28" s="269"/>
      <c r="K28" s="269"/>
      <c r="L28" s="270"/>
      <c r="M28" s="151">
        <v>500000</v>
      </c>
      <c r="N28" s="149"/>
      <c r="O28" s="149"/>
      <c r="P28" s="28">
        <v>550000</v>
      </c>
      <c r="Q28" s="259" t="s">
        <v>35</v>
      </c>
      <c r="R28" s="258"/>
      <c r="S28" s="258"/>
      <c r="T28" s="258"/>
      <c r="U28" s="258"/>
      <c r="V28" s="254"/>
      <c r="W28" s="6">
        <v>930000</v>
      </c>
      <c r="X28" s="257" t="s">
        <v>36</v>
      </c>
      <c r="Y28" s="258"/>
      <c r="Z28" s="258"/>
      <c r="AA28" s="258"/>
      <c r="AB28" s="254"/>
      <c r="AC28" s="221">
        <v>1235000</v>
      </c>
    </row>
    <row r="29" spans="1:29" ht="26.25" customHeight="1" x14ac:dyDescent="0.25">
      <c r="A29" s="252" t="s">
        <v>37</v>
      </c>
      <c r="B29" s="172" t="s">
        <v>38</v>
      </c>
      <c r="C29" s="101" t="s">
        <v>39</v>
      </c>
      <c r="D29" s="9" t="s">
        <v>13</v>
      </c>
      <c r="E29" s="29">
        <f>$G$28/E2</f>
        <v>375000</v>
      </c>
      <c r="F29" s="29">
        <f>$G$28/F2</f>
        <v>187500</v>
      </c>
      <c r="G29" s="29">
        <f>$G$28/G2</f>
        <v>125000</v>
      </c>
      <c r="H29" s="29">
        <f t="shared" ref="H29:M29" si="29">$M$28/H2</f>
        <v>125000</v>
      </c>
      <c r="I29" s="29">
        <f t="shared" si="29"/>
        <v>100000</v>
      </c>
      <c r="J29" s="29">
        <f t="shared" si="29"/>
        <v>83333.333333333328</v>
      </c>
      <c r="K29" s="29">
        <f t="shared" si="29"/>
        <v>71428.571428571435</v>
      </c>
      <c r="L29" s="29">
        <f t="shared" si="29"/>
        <v>62500</v>
      </c>
      <c r="M29" s="150">
        <f t="shared" si="29"/>
        <v>55555.555555555555</v>
      </c>
      <c r="N29" s="29">
        <f>$P$28/N2</f>
        <v>55000</v>
      </c>
      <c r="O29" s="29">
        <f>$P$28/O2</f>
        <v>50000</v>
      </c>
      <c r="P29" s="29">
        <f>$P$28/P2</f>
        <v>45833.333333333336</v>
      </c>
      <c r="Q29" s="29">
        <f t="shared" ref="Q29:W29" si="30">$W$28/Q2</f>
        <v>71538.461538461532</v>
      </c>
      <c r="R29" s="29">
        <f t="shared" si="30"/>
        <v>66428.571428571435</v>
      </c>
      <c r="S29" s="29">
        <f t="shared" si="30"/>
        <v>62000</v>
      </c>
      <c r="T29" s="29">
        <f t="shared" si="30"/>
        <v>58125</v>
      </c>
      <c r="U29" s="29">
        <f t="shared" si="30"/>
        <v>54705.882352941175</v>
      </c>
      <c r="V29" s="29">
        <f t="shared" si="30"/>
        <v>51666.666666666664</v>
      </c>
      <c r="W29" s="29">
        <f t="shared" si="30"/>
        <v>48947.368421052633</v>
      </c>
      <c r="X29" s="82">
        <f t="shared" ref="X29:AC29" si="31">$AC$28/X2</f>
        <v>61750</v>
      </c>
      <c r="Y29" s="82">
        <f t="shared" si="31"/>
        <v>58809.523809523809</v>
      </c>
      <c r="Z29" s="82">
        <f t="shared" si="31"/>
        <v>56136.36363636364</v>
      </c>
      <c r="AA29" s="82">
        <f t="shared" si="31"/>
        <v>53695.65217391304</v>
      </c>
      <c r="AB29" s="82">
        <f t="shared" si="31"/>
        <v>51458.333333333336</v>
      </c>
      <c r="AC29" s="82">
        <f t="shared" si="31"/>
        <v>49400</v>
      </c>
    </row>
    <row r="30" spans="1:29" ht="45" x14ac:dyDescent="0.25">
      <c r="A30" s="252"/>
      <c r="B30" s="170" t="s">
        <v>14</v>
      </c>
      <c r="C30" s="101" t="s">
        <v>34</v>
      </c>
      <c r="D30" s="30" t="s">
        <v>16</v>
      </c>
      <c r="E30" s="29">
        <f>$F$28/E2</f>
        <v>150000</v>
      </c>
      <c r="F30" s="29">
        <f>$F$28/F2</f>
        <v>75000</v>
      </c>
      <c r="G30" s="29">
        <f>$F$28/G2</f>
        <v>50000</v>
      </c>
      <c r="H30" s="29">
        <f>$H$28/H2</f>
        <v>50000</v>
      </c>
      <c r="I30" s="29">
        <f t="shared" ref="I30:M30" si="32">$H$28/I2</f>
        <v>40000</v>
      </c>
      <c r="J30" s="29">
        <f t="shared" si="32"/>
        <v>33333.333333333336</v>
      </c>
      <c r="K30" s="29">
        <f t="shared" si="32"/>
        <v>28571.428571428572</v>
      </c>
      <c r="L30" s="29">
        <f t="shared" si="32"/>
        <v>25000</v>
      </c>
      <c r="M30" s="29">
        <f t="shared" si="32"/>
        <v>22222.222222222223</v>
      </c>
      <c r="N30" s="29">
        <f t="shared" ref="N30:AC30" si="33">$F$28/N2</f>
        <v>15000</v>
      </c>
      <c r="O30" s="29">
        <f t="shared" si="33"/>
        <v>13636.363636363636</v>
      </c>
      <c r="P30" s="29">
        <f t="shared" si="33"/>
        <v>12500</v>
      </c>
      <c r="Q30" s="29">
        <f t="shared" si="33"/>
        <v>11538.461538461539</v>
      </c>
      <c r="R30" s="29">
        <f t="shared" si="33"/>
        <v>10714.285714285714</v>
      </c>
      <c r="S30" s="29">
        <f t="shared" si="33"/>
        <v>10000</v>
      </c>
      <c r="T30" s="29">
        <f t="shared" si="33"/>
        <v>9375</v>
      </c>
      <c r="U30" s="29">
        <f t="shared" si="33"/>
        <v>8823.5294117647063</v>
      </c>
      <c r="V30" s="29">
        <f t="shared" si="33"/>
        <v>8333.3333333333339</v>
      </c>
      <c r="W30" s="29">
        <f t="shared" si="33"/>
        <v>7894.7368421052633</v>
      </c>
      <c r="X30" s="29">
        <f t="shared" si="33"/>
        <v>7500</v>
      </c>
      <c r="Y30" s="29">
        <f t="shared" si="33"/>
        <v>7142.8571428571431</v>
      </c>
      <c r="Z30" s="29">
        <f t="shared" si="33"/>
        <v>6818.181818181818</v>
      </c>
      <c r="AA30" s="29">
        <f t="shared" si="33"/>
        <v>6521.739130434783</v>
      </c>
      <c r="AB30" s="29">
        <f t="shared" si="33"/>
        <v>6250</v>
      </c>
      <c r="AC30" s="29">
        <f t="shared" si="33"/>
        <v>6000</v>
      </c>
    </row>
    <row r="31" spans="1:29" ht="30" x14ac:dyDescent="0.25">
      <c r="A31" s="252"/>
      <c r="B31" s="171" t="s">
        <v>17</v>
      </c>
      <c r="C31" s="19"/>
      <c r="D31" s="19"/>
      <c r="E31" s="89">
        <f t="shared" ref="E31:AC31" si="34">SUM(E29:E30)</f>
        <v>525000</v>
      </c>
      <c r="F31" s="89">
        <f t="shared" si="34"/>
        <v>262500</v>
      </c>
      <c r="G31" s="89">
        <f t="shared" si="34"/>
        <v>175000</v>
      </c>
      <c r="H31" s="89">
        <f t="shared" si="34"/>
        <v>175000</v>
      </c>
      <c r="I31" s="89">
        <f t="shared" si="34"/>
        <v>140000</v>
      </c>
      <c r="J31" s="89">
        <f t="shared" si="34"/>
        <v>116666.66666666666</v>
      </c>
      <c r="K31" s="89">
        <f t="shared" si="34"/>
        <v>100000</v>
      </c>
      <c r="L31" s="89">
        <f t="shared" si="34"/>
        <v>87500</v>
      </c>
      <c r="M31" s="89">
        <f t="shared" si="34"/>
        <v>77777.777777777781</v>
      </c>
      <c r="N31" s="89">
        <f t="shared" si="34"/>
        <v>70000</v>
      </c>
      <c r="O31" s="89">
        <f t="shared" si="34"/>
        <v>63636.363636363632</v>
      </c>
      <c r="P31" s="89">
        <f t="shared" si="34"/>
        <v>58333.333333333336</v>
      </c>
      <c r="Q31" s="89">
        <f t="shared" si="34"/>
        <v>83076.923076923063</v>
      </c>
      <c r="R31" s="89">
        <f t="shared" si="34"/>
        <v>77142.857142857145</v>
      </c>
      <c r="S31" s="89">
        <f t="shared" si="34"/>
        <v>72000</v>
      </c>
      <c r="T31" s="89">
        <f t="shared" si="34"/>
        <v>67500</v>
      </c>
      <c r="U31" s="89">
        <f t="shared" si="34"/>
        <v>63529.411764705881</v>
      </c>
      <c r="V31" s="89">
        <f t="shared" si="34"/>
        <v>60000</v>
      </c>
      <c r="W31" s="89">
        <f t="shared" si="34"/>
        <v>56842.105263157893</v>
      </c>
      <c r="X31" s="89">
        <f t="shared" si="34"/>
        <v>69250</v>
      </c>
      <c r="Y31" s="89">
        <f t="shared" si="34"/>
        <v>65952.380952380947</v>
      </c>
      <c r="Z31" s="89">
        <f t="shared" si="34"/>
        <v>62954.545454545456</v>
      </c>
      <c r="AA31" s="89">
        <f t="shared" si="34"/>
        <v>60217.391304347824</v>
      </c>
      <c r="AB31" s="89">
        <f t="shared" si="34"/>
        <v>57708.333333333336</v>
      </c>
      <c r="AC31" s="89">
        <f t="shared" si="34"/>
        <v>55400</v>
      </c>
    </row>
    <row r="32" spans="1:29" ht="45" x14ac:dyDescent="0.25">
      <c r="A32" s="252"/>
      <c r="B32" s="170" t="s">
        <v>40</v>
      </c>
      <c r="C32" s="102" t="s">
        <v>27</v>
      </c>
      <c r="D32" s="25" t="s">
        <v>41</v>
      </c>
      <c r="E32" s="94">
        <v>25000</v>
      </c>
      <c r="F32" s="96">
        <f t="shared" ref="F32:AC32" si="35">E32</f>
        <v>25000</v>
      </c>
      <c r="G32" s="96">
        <f t="shared" si="35"/>
        <v>25000</v>
      </c>
      <c r="H32" s="96">
        <f t="shared" si="35"/>
        <v>25000</v>
      </c>
      <c r="I32" s="96">
        <f t="shared" si="35"/>
        <v>25000</v>
      </c>
      <c r="J32" s="96">
        <f t="shared" si="35"/>
        <v>25000</v>
      </c>
      <c r="K32" s="96">
        <f t="shared" si="35"/>
        <v>25000</v>
      </c>
      <c r="L32" s="96">
        <f t="shared" si="35"/>
        <v>25000</v>
      </c>
      <c r="M32" s="96">
        <f t="shared" si="35"/>
        <v>25000</v>
      </c>
      <c r="N32" s="96">
        <f t="shared" si="35"/>
        <v>25000</v>
      </c>
      <c r="O32" s="96">
        <f t="shared" si="35"/>
        <v>25000</v>
      </c>
      <c r="P32" s="96">
        <f t="shared" si="35"/>
        <v>25000</v>
      </c>
      <c r="Q32" s="96">
        <f t="shared" si="35"/>
        <v>25000</v>
      </c>
      <c r="R32" s="96">
        <f t="shared" si="35"/>
        <v>25000</v>
      </c>
      <c r="S32" s="96">
        <f t="shared" si="35"/>
        <v>25000</v>
      </c>
      <c r="T32" s="96">
        <f t="shared" si="35"/>
        <v>25000</v>
      </c>
      <c r="U32" s="96">
        <f t="shared" si="35"/>
        <v>25000</v>
      </c>
      <c r="V32" s="96">
        <f t="shared" si="35"/>
        <v>25000</v>
      </c>
      <c r="W32" s="96">
        <f t="shared" si="35"/>
        <v>25000</v>
      </c>
      <c r="X32" s="96">
        <f t="shared" si="35"/>
        <v>25000</v>
      </c>
      <c r="Y32" s="96">
        <f t="shared" si="35"/>
        <v>25000</v>
      </c>
      <c r="Z32" s="96">
        <f t="shared" si="35"/>
        <v>25000</v>
      </c>
      <c r="AA32" s="96">
        <f t="shared" si="35"/>
        <v>25000</v>
      </c>
      <c r="AB32" s="96">
        <f t="shared" si="35"/>
        <v>25000</v>
      </c>
      <c r="AC32" s="96">
        <f t="shared" si="35"/>
        <v>25000</v>
      </c>
    </row>
    <row r="33" spans="1:29" x14ac:dyDescent="0.25">
      <c r="A33" s="252"/>
      <c r="B33" s="175" t="s">
        <v>29</v>
      </c>
      <c r="C33" s="18"/>
      <c r="D33" s="152" t="s">
        <v>21</v>
      </c>
      <c r="E33" s="98">
        <f t="shared" ref="E33:AC33" si="36">SUM(E31:E32)</f>
        <v>550000</v>
      </c>
      <c r="F33" s="98">
        <f t="shared" si="36"/>
        <v>287500</v>
      </c>
      <c r="G33" s="98">
        <f t="shared" si="36"/>
        <v>200000</v>
      </c>
      <c r="H33" s="98">
        <f t="shared" si="36"/>
        <v>200000</v>
      </c>
      <c r="I33" s="98">
        <f t="shared" si="36"/>
        <v>165000</v>
      </c>
      <c r="J33" s="98">
        <f t="shared" si="36"/>
        <v>141666.66666666666</v>
      </c>
      <c r="K33" s="98">
        <f t="shared" si="36"/>
        <v>125000</v>
      </c>
      <c r="L33" s="98">
        <f t="shared" si="36"/>
        <v>112500</v>
      </c>
      <c r="M33" s="98">
        <f t="shared" si="36"/>
        <v>102777.77777777778</v>
      </c>
      <c r="N33" s="98">
        <f t="shared" si="36"/>
        <v>95000</v>
      </c>
      <c r="O33" s="98">
        <f t="shared" si="36"/>
        <v>88636.363636363632</v>
      </c>
      <c r="P33" s="98">
        <f t="shared" si="36"/>
        <v>83333.333333333343</v>
      </c>
      <c r="Q33" s="98">
        <f t="shared" si="36"/>
        <v>108076.92307692306</v>
      </c>
      <c r="R33" s="98">
        <f t="shared" si="36"/>
        <v>102142.85714285714</v>
      </c>
      <c r="S33" s="98">
        <f t="shared" si="36"/>
        <v>97000</v>
      </c>
      <c r="T33" s="98">
        <f t="shared" si="36"/>
        <v>92500</v>
      </c>
      <c r="U33" s="98">
        <f t="shared" si="36"/>
        <v>88529.411764705874</v>
      </c>
      <c r="V33" s="98">
        <f t="shared" si="36"/>
        <v>85000</v>
      </c>
      <c r="W33" s="98">
        <f t="shared" si="36"/>
        <v>81842.105263157893</v>
      </c>
      <c r="X33" s="98">
        <f t="shared" si="36"/>
        <v>94250</v>
      </c>
      <c r="Y33" s="98">
        <f t="shared" si="36"/>
        <v>90952.380952380947</v>
      </c>
      <c r="Z33" s="98">
        <f t="shared" si="36"/>
        <v>87954.545454545456</v>
      </c>
      <c r="AA33" s="98">
        <f t="shared" si="36"/>
        <v>85217.391304347824</v>
      </c>
      <c r="AB33" s="98">
        <f t="shared" si="36"/>
        <v>82708.333333333343</v>
      </c>
      <c r="AC33" s="98">
        <f t="shared" si="36"/>
        <v>80400</v>
      </c>
    </row>
    <row r="34" spans="1:29" x14ac:dyDescent="0.25">
      <c r="A34" s="252"/>
      <c r="B34" s="308">
        <v>0.75</v>
      </c>
      <c r="C34" s="18"/>
      <c r="D34" s="152" t="s">
        <v>22</v>
      </c>
      <c r="E34" s="73">
        <f>E33/B34</f>
        <v>733333.33333333337</v>
      </c>
      <c r="F34" s="73">
        <f>F33/B34</f>
        <v>383333.33333333331</v>
      </c>
      <c r="G34" s="73">
        <f>G33/B34</f>
        <v>266666.66666666669</v>
      </c>
      <c r="H34" s="73">
        <f>H33/B34</f>
        <v>266666.66666666669</v>
      </c>
      <c r="I34" s="73">
        <f>I33/B34</f>
        <v>220000</v>
      </c>
      <c r="J34" s="73">
        <f>J33/B34</f>
        <v>188888.88888888888</v>
      </c>
      <c r="K34" s="73">
        <f>K33/B34</f>
        <v>166666.66666666666</v>
      </c>
      <c r="L34" s="73">
        <f>L33/B34</f>
        <v>150000</v>
      </c>
      <c r="M34" s="73">
        <f>M33/B34</f>
        <v>137037.03703703705</v>
      </c>
      <c r="N34" s="73">
        <f t="shared" ref="N34:AC34" si="37">SUM(N32:N33)</f>
        <v>120000</v>
      </c>
      <c r="O34" s="73">
        <f t="shared" si="37"/>
        <v>113636.36363636363</v>
      </c>
      <c r="P34" s="73">
        <f t="shared" si="37"/>
        <v>108333.33333333334</v>
      </c>
      <c r="Q34" s="73">
        <f t="shared" si="37"/>
        <v>133076.92307692306</v>
      </c>
      <c r="R34" s="73">
        <f t="shared" si="37"/>
        <v>127142.85714285714</v>
      </c>
      <c r="S34" s="73">
        <f t="shared" si="37"/>
        <v>122000</v>
      </c>
      <c r="T34" s="73">
        <f t="shared" si="37"/>
        <v>117500</v>
      </c>
      <c r="U34" s="73">
        <f t="shared" si="37"/>
        <v>113529.41176470587</v>
      </c>
      <c r="V34" s="73">
        <f t="shared" si="37"/>
        <v>110000</v>
      </c>
      <c r="W34" s="73">
        <f t="shared" si="37"/>
        <v>106842.10526315789</v>
      </c>
      <c r="X34" s="73">
        <f t="shared" si="37"/>
        <v>119250</v>
      </c>
      <c r="Y34" s="73">
        <f t="shared" si="37"/>
        <v>115952.38095238095</v>
      </c>
      <c r="Z34" s="73">
        <f t="shared" si="37"/>
        <v>112954.54545454546</v>
      </c>
      <c r="AA34" s="73">
        <f t="shared" si="37"/>
        <v>110217.39130434782</v>
      </c>
      <c r="AB34" s="73">
        <f t="shared" si="37"/>
        <v>107708.33333333334</v>
      </c>
      <c r="AC34" s="73">
        <f t="shared" si="37"/>
        <v>105400</v>
      </c>
    </row>
    <row r="35" spans="1:29" x14ac:dyDescent="0.25">
      <c r="A35" s="252"/>
      <c r="B35" s="174"/>
      <c r="C35" s="19"/>
      <c r="D35" s="162" t="s">
        <v>23</v>
      </c>
      <c r="E35" s="163">
        <f>_xlfn.CEILING.MATH(E34,1000)</f>
        <v>734000</v>
      </c>
      <c r="F35" s="163">
        <f t="shared" ref="F35:M35" si="38">_xlfn.CEILING.MATH(F34,1000)</f>
        <v>384000</v>
      </c>
      <c r="G35" s="163">
        <f t="shared" si="38"/>
        <v>267000</v>
      </c>
      <c r="H35" s="163">
        <f t="shared" si="38"/>
        <v>267000</v>
      </c>
      <c r="I35" s="163">
        <f t="shared" si="38"/>
        <v>220000</v>
      </c>
      <c r="J35" s="163">
        <f t="shared" si="38"/>
        <v>189000</v>
      </c>
      <c r="K35" s="163">
        <f t="shared" si="38"/>
        <v>167000</v>
      </c>
      <c r="L35" s="163">
        <f t="shared" si="38"/>
        <v>150000</v>
      </c>
      <c r="M35" s="163">
        <f t="shared" si="38"/>
        <v>138000</v>
      </c>
      <c r="N35" s="20"/>
      <c r="O35" s="20"/>
      <c r="P35" s="20"/>
      <c r="Q35" s="20"/>
      <c r="R35" s="20"/>
      <c r="S35" s="20"/>
      <c r="T35" s="20"/>
      <c r="U35" s="20"/>
      <c r="V35" s="20"/>
      <c r="W35" s="21"/>
      <c r="X35" s="22"/>
      <c r="Y35" s="22"/>
      <c r="Z35" s="22"/>
      <c r="AA35" s="22"/>
      <c r="AB35" s="22"/>
      <c r="AC35" s="23"/>
    </row>
    <row r="36" spans="1:29" x14ac:dyDescent="0.25">
      <c r="A36" s="21"/>
      <c r="B36" s="19"/>
      <c r="C36" s="19"/>
      <c r="D36" s="162"/>
      <c r="E36" s="164"/>
      <c r="F36" s="165"/>
      <c r="G36" s="165"/>
      <c r="H36" s="164"/>
      <c r="I36" s="166"/>
      <c r="J36" s="166"/>
      <c r="K36" s="166"/>
      <c r="L36" s="166"/>
      <c r="M36" s="167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2"/>
      <c r="Y36" s="22"/>
      <c r="Z36" s="22"/>
      <c r="AA36" s="22"/>
      <c r="AB36" s="22"/>
      <c r="AC36" s="23"/>
    </row>
    <row r="37" spans="1:29" ht="30" x14ac:dyDescent="0.25">
      <c r="A37" s="176" t="s">
        <v>0</v>
      </c>
      <c r="B37" s="168" t="s">
        <v>1</v>
      </c>
      <c r="C37" s="168" t="s">
        <v>2</v>
      </c>
      <c r="D37" s="168" t="s">
        <v>3</v>
      </c>
      <c r="E37" s="211" t="s">
        <v>4</v>
      </c>
      <c r="F37" s="2">
        <v>150000</v>
      </c>
      <c r="G37" s="3">
        <v>350000</v>
      </c>
      <c r="H37" s="180">
        <v>200000</v>
      </c>
      <c r="I37" s="268" t="s">
        <v>5</v>
      </c>
      <c r="J37" s="269"/>
      <c r="K37" s="269"/>
      <c r="L37" s="270"/>
      <c r="M37" s="151">
        <v>450000</v>
      </c>
      <c r="N37" s="149"/>
      <c r="O37" s="149"/>
      <c r="P37" s="28">
        <v>540000</v>
      </c>
      <c r="Q37" s="259" t="s">
        <v>35</v>
      </c>
      <c r="R37" s="258"/>
      <c r="S37" s="258"/>
      <c r="T37" s="258"/>
      <c r="U37" s="258"/>
      <c r="V37" s="254"/>
      <c r="W37" s="6">
        <v>810000</v>
      </c>
      <c r="X37" s="257" t="s">
        <v>36</v>
      </c>
      <c r="Y37" s="258"/>
      <c r="Z37" s="258"/>
      <c r="AA37" s="258"/>
      <c r="AB37" s="254"/>
      <c r="AC37" s="221">
        <v>1070000</v>
      </c>
    </row>
    <row r="38" spans="1:29" ht="26.25" customHeight="1" x14ac:dyDescent="0.25">
      <c r="A38" s="252" t="s">
        <v>42</v>
      </c>
      <c r="B38" s="172" t="s">
        <v>43</v>
      </c>
      <c r="C38" s="101" t="s">
        <v>44</v>
      </c>
      <c r="D38" s="9" t="s">
        <v>13</v>
      </c>
      <c r="E38" s="29">
        <f>$G$37/E2</f>
        <v>350000</v>
      </c>
      <c r="F38" s="29">
        <f>$G$37/F2</f>
        <v>175000</v>
      </c>
      <c r="G38" s="29">
        <f>$G$37/G2</f>
        <v>116666.66666666667</v>
      </c>
      <c r="H38" s="29">
        <f t="shared" ref="H38:M38" si="39">$M$37/H2</f>
        <v>112500</v>
      </c>
      <c r="I38" s="29">
        <f t="shared" si="39"/>
        <v>90000</v>
      </c>
      <c r="J38" s="29">
        <f t="shared" si="39"/>
        <v>75000</v>
      </c>
      <c r="K38" s="29">
        <f t="shared" si="39"/>
        <v>64285.714285714283</v>
      </c>
      <c r="L38" s="29">
        <f t="shared" si="39"/>
        <v>56250</v>
      </c>
      <c r="M38" s="150">
        <f t="shared" si="39"/>
        <v>50000</v>
      </c>
      <c r="N38" s="29">
        <f>$P$37/N2</f>
        <v>54000</v>
      </c>
      <c r="O38" s="29">
        <f>$P$37/O2</f>
        <v>49090.909090909088</v>
      </c>
      <c r="P38" s="29">
        <f>$P$37/P2</f>
        <v>45000</v>
      </c>
      <c r="Q38" s="29">
        <f t="shared" ref="Q38:W38" si="40">$W$37/Q2</f>
        <v>62307.692307692305</v>
      </c>
      <c r="R38" s="29">
        <f t="shared" si="40"/>
        <v>57857.142857142855</v>
      </c>
      <c r="S38" s="29">
        <f t="shared" si="40"/>
        <v>54000</v>
      </c>
      <c r="T38" s="29">
        <f t="shared" si="40"/>
        <v>50625</v>
      </c>
      <c r="U38" s="29">
        <f t="shared" si="40"/>
        <v>47647.058823529413</v>
      </c>
      <c r="V38" s="29">
        <f t="shared" si="40"/>
        <v>45000</v>
      </c>
      <c r="W38" s="29">
        <f t="shared" si="40"/>
        <v>42631.57894736842</v>
      </c>
      <c r="X38" s="82">
        <f t="shared" ref="X38:AC38" si="41">$AC$37/X2</f>
        <v>53500</v>
      </c>
      <c r="Y38" s="82">
        <f t="shared" si="41"/>
        <v>50952.380952380954</v>
      </c>
      <c r="Z38" s="82">
        <f t="shared" si="41"/>
        <v>48636.36363636364</v>
      </c>
      <c r="AA38" s="82">
        <f t="shared" si="41"/>
        <v>46521.739130434784</v>
      </c>
      <c r="AB38" s="82">
        <f t="shared" si="41"/>
        <v>44583.333333333336</v>
      </c>
      <c r="AC38" s="82">
        <f t="shared" si="41"/>
        <v>42800</v>
      </c>
    </row>
    <row r="39" spans="1:29" ht="45" x14ac:dyDescent="0.25">
      <c r="A39" s="252"/>
      <c r="B39" s="170" t="s">
        <v>14</v>
      </c>
      <c r="C39" s="101" t="s">
        <v>34</v>
      </c>
      <c r="D39" s="30" t="s">
        <v>16</v>
      </c>
      <c r="E39" s="29">
        <f>$F$37/E2</f>
        <v>150000</v>
      </c>
      <c r="F39" s="29">
        <f>$F$37/F2</f>
        <v>75000</v>
      </c>
      <c r="G39" s="29">
        <f>$F$37/G2</f>
        <v>50000</v>
      </c>
      <c r="H39" s="29">
        <f>$H$37/H2</f>
        <v>50000</v>
      </c>
      <c r="I39" s="29">
        <f t="shared" ref="I39:M39" si="42">$H$37/I2</f>
        <v>40000</v>
      </c>
      <c r="J39" s="29">
        <f t="shared" si="42"/>
        <v>33333.333333333336</v>
      </c>
      <c r="K39" s="29">
        <f t="shared" si="42"/>
        <v>28571.428571428572</v>
      </c>
      <c r="L39" s="29">
        <f t="shared" si="42"/>
        <v>25000</v>
      </c>
      <c r="M39" s="29">
        <f t="shared" si="42"/>
        <v>22222.222222222223</v>
      </c>
      <c r="N39" s="29">
        <f t="shared" ref="N39:AC39" si="43">$F$37/N2</f>
        <v>15000</v>
      </c>
      <c r="O39" s="29">
        <f t="shared" si="43"/>
        <v>13636.363636363636</v>
      </c>
      <c r="P39" s="29">
        <f t="shared" si="43"/>
        <v>12500</v>
      </c>
      <c r="Q39" s="29">
        <f t="shared" si="43"/>
        <v>11538.461538461539</v>
      </c>
      <c r="R39" s="29">
        <f t="shared" si="43"/>
        <v>10714.285714285714</v>
      </c>
      <c r="S39" s="29">
        <f t="shared" si="43"/>
        <v>10000</v>
      </c>
      <c r="T39" s="29">
        <f t="shared" si="43"/>
        <v>9375</v>
      </c>
      <c r="U39" s="29">
        <f t="shared" si="43"/>
        <v>8823.5294117647063</v>
      </c>
      <c r="V39" s="29">
        <f t="shared" si="43"/>
        <v>8333.3333333333339</v>
      </c>
      <c r="W39" s="29">
        <f t="shared" si="43"/>
        <v>7894.7368421052633</v>
      </c>
      <c r="X39" s="29">
        <f t="shared" si="43"/>
        <v>7500</v>
      </c>
      <c r="Y39" s="29">
        <f t="shared" si="43"/>
        <v>7142.8571428571431</v>
      </c>
      <c r="Z39" s="29">
        <f t="shared" si="43"/>
        <v>6818.181818181818</v>
      </c>
      <c r="AA39" s="29">
        <f t="shared" si="43"/>
        <v>6521.739130434783</v>
      </c>
      <c r="AB39" s="29">
        <f t="shared" si="43"/>
        <v>6250</v>
      </c>
      <c r="AC39" s="29">
        <f t="shared" si="43"/>
        <v>6000</v>
      </c>
    </row>
    <row r="40" spans="1:29" ht="15.75" customHeight="1" x14ac:dyDescent="0.25">
      <c r="A40" s="252"/>
      <c r="B40" s="171" t="s">
        <v>17</v>
      </c>
      <c r="C40" s="19"/>
      <c r="D40" s="19"/>
      <c r="E40" s="89">
        <f t="shared" ref="E40:AC40" si="44">SUM(E38:E39)</f>
        <v>500000</v>
      </c>
      <c r="F40" s="89">
        <f t="shared" si="44"/>
        <v>250000</v>
      </c>
      <c r="G40" s="89">
        <f t="shared" si="44"/>
        <v>166666.66666666669</v>
      </c>
      <c r="H40" s="89">
        <f t="shared" si="44"/>
        <v>162500</v>
      </c>
      <c r="I40" s="89">
        <f t="shared" si="44"/>
        <v>130000</v>
      </c>
      <c r="J40" s="89">
        <f t="shared" si="44"/>
        <v>108333.33333333334</v>
      </c>
      <c r="K40" s="89">
        <f t="shared" si="44"/>
        <v>92857.142857142855</v>
      </c>
      <c r="L40" s="89">
        <f t="shared" si="44"/>
        <v>81250</v>
      </c>
      <c r="M40" s="89">
        <f t="shared" si="44"/>
        <v>72222.222222222219</v>
      </c>
      <c r="N40" s="89">
        <f t="shared" si="44"/>
        <v>69000</v>
      </c>
      <c r="O40" s="89">
        <f t="shared" si="44"/>
        <v>62727.272727272721</v>
      </c>
      <c r="P40" s="89">
        <f t="shared" si="44"/>
        <v>57500</v>
      </c>
      <c r="Q40" s="89">
        <f t="shared" si="44"/>
        <v>73846.153846153844</v>
      </c>
      <c r="R40" s="89">
        <f t="shared" si="44"/>
        <v>68571.428571428565</v>
      </c>
      <c r="S40" s="89">
        <f t="shared" si="44"/>
        <v>64000</v>
      </c>
      <c r="T40" s="89">
        <f t="shared" si="44"/>
        <v>60000</v>
      </c>
      <c r="U40" s="89">
        <f t="shared" si="44"/>
        <v>56470.588235294119</v>
      </c>
      <c r="V40" s="89">
        <f t="shared" si="44"/>
        <v>53333.333333333336</v>
      </c>
      <c r="W40" s="89">
        <f t="shared" si="44"/>
        <v>50526.31578947368</v>
      </c>
      <c r="X40" s="89">
        <f t="shared" si="44"/>
        <v>61000</v>
      </c>
      <c r="Y40" s="89">
        <f t="shared" si="44"/>
        <v>58095.238095238099</v>
      </c>
      <c r="Z40" s="89">
        <f t="shared" si="44"/>
        <v>55454.545454545456</v>
      </c>
      <c r="AA40" s="89">
        <f t="shared" si="44"/>
        <v>53043.478260869568</v>
      </c>
      <c r="AB40" s="89">
        <f t="shared" si="44"/>
        <v>50833.333333333336</v>
      </c>
      <c r="AC40" s="89">
        <f t="shared" si="44"/>
        <v>48800</v>
      </c>
    </row>
    <row r="41" spans="1:29" ht="15.75" customHeight="1" x14ac:dyDescent="0.25">
      <c r="A41" s="252"/>
      <c r="B41" s="170" t="s">
        <v>45</v>
      </c>
      <c r="C41" s="102" t="s">
        <v>27</v>
      </c>
      <c r="D41" s="25" t="s">
        <v>28</v>
      </c>
      <c r="E41" s="94">
        <v>25000</v>
      </c>
      <c r="F41" s="96">
        <f t="shared" ref="F41:AC41" si="45">E41</f>
        <v>25000</v>
      </c>
      <c r="G41" s="96">
        <f t="shared" si="45"/>
        <v>25000</v>
      </c>
      <c r="H41" s="96">
        <f t="shared" si="45"/>
        <v>25000</v>
      </c>
      <c r="I41" s="96">
        <f t="shared" si="45"/>
        <v>25000</v>
      </c>
      <c r="J41" s="96">
        <f t="shared" si="45"/>
        <v>25000</v>
      </c>
      <c r="K41" s="96">
        <f t="shared" si="45"/>
        <v>25000</v>
      </c>
      <c r="L41" s="96">
        <f t="shared" si="45"/>
        <v>25000</v>
      </c>
      <c r="M41" s="96">
        <f t="shared" si="45"/>
        <v>25000</v>
      </c>
      <c r="N41" s="96">
        <f t="shared" si="45"/>
        <v>25000</v>
      </c>
      <c r="O41" s="96">
        <f t="shared" si="45"/>
        <v>25000</v>
      </c>
      <c r="P41" s="96">
        <f t="shared" si="45"/>
        <v>25000</v>
      </c>
      <c r="Q41" s="96">
        <f t="shared" si="45"/>
        <v>25000</v>
      </c>
      <c r="R41" s="96">
        <f t="shared" si="45"/>
        <v>25000</v>
      </c>
      <c r="S41" s="96">
        <f t="shared" si="45"/>
        <v>25000</v>
      </c>
      <c r="T41" s="96">
        <f t="shared" si="45"/>
        <v>25000</v>
      </c>
      <c r="U41" s="96">
        <f t="shared" si="45"/>
        <v>25000</v>
      </c>
      <c r="V41" s="96">
        <f t="shared" si="45"/>
        <v>25000</v>
      </c>
      <c r="W41" s="96">
        <f t="shared" si="45"/>
        <v>25000</v>
      </c>
      <c r="X41" s="96">
        <f t="shared" si="45"/>
        <v>25000</v>
      </c>
      <c r="Y41" s="96">
        <f t="shared" si="45"/>
        <v>25000</v>
      </c>
      <c r="Z41" s="96">
        <f t="shared" si="45"/>
        <v>25000</v>
      </c>
      <c r="AA41" s="96">
        <f t="shared" si="45"/>
        <v>25000</v>
      </c>
      <c r="AB41" s="96">
        <f t="shared" si="45"/>
        <v>25000</v>
      </c>
      <c r="AC41" s="96">
        <f t="shared" si="45"/>
        <v>25000</v>
      </c>
    </row>
    <row r="42" spans="1:29" ht="15.75" customHeight="1" x14ac:dyDescent="0.25">
      <c r="A42" s="252"/>
      <c r="B42" s="175" t="s">
        <v>29</v>
      </c>
      <c r="C42" s="18"/>
      <c r="D42" s="152" t="s">
        <v>21</v>
      </c>
      <c r="E42" s="98">
        <f t="shared" ref="E42:AC42" si="46">SUM(E40:E41)</f>
        <v>525000</v>
      </c>
      <c r="F42" s="98">
        <f t="shared" si="46"/>
        <v>275000</v>
      </c>
      <c r="G42" s="98">
        <f t="shared" si="46"/>
        <v>191666.66666666669</v>
      </c>
      <c r="H42" s="98">
        <f t="shared" si="46"/>
        <v>187500</v>
      </c>
      <c r="I42" s="98">
        <f t="shared" si="46"/>
        <v>155000</v>
      </c>
      <c r="J42" s="98">
        <f t="shared" si="46"/>
        <v>133333.33333333334</v>
      </c>
      <c r="K42" s="98">
        <f t="shared" si="46"/>
        <v>117857.14285714286</v>
      </c>
      <c r="L42" s="98">
        <f t="shared" si="46"/>
        <v>106250</v>
      </c>
      <c r="M42" s="98">
        <f t="shared" si="46"/>
        <v>97222.222222222219</v>
      </c>
      <c r="N42" s="98">
        <f t="shared" si="46"/>
        <v>94000</v>
      </c>
      <c r="O42" s="98">
        <f t="shared" si="46"/>
        <v>87727.272727272721</v>
      </c>
      <c r="P42" s="98">
        <f t="shared" si="46"/>
        <v>82500</v>
      </c>
      <c r="Q42" s="98">
        <f t="shared" si="46"/>
        <v>98846.153846153844</v>
      </c>
      <c r="R42" s="98">
        <f t="shared" si="46"/>
        <v>93571.428571428565</v>
      </c>
      <c r="S42" s="98">
        <f t="shared" si="46"/>
        <v>89000</v>
      </c>
      <c r="T42" s="98">
        <f t="shared" si="46"/>
        <v>85000</v>
      </c>
      <c r="U42" s="98">
        <f t="shared" si="46"/>
        <v>81470.588235294126</v>
      </c>
      <c r="V42" s="98">
        <f t="shared" si="46"/>
        <v>78333.333333333343</v>
      </c>
      <c r="W42" s="98">
        <f t="shared" si="46"/>
        <v>75526.31578947368</v>
      </c>
      <c r="X42" s="98">
        <f t="shared" si="46"/>
        <v>86000</v>
      </c>
      <c r="Y42" s="98">
        <f t="shared" si="46"/>
        <v>83095.238095238106</v>
      </c>
      <c r="Z42" s="98">
        <f t="shared" si="46"/>
        <v>80454.545454545456</v>
      </c>
      <c r="AA42" s="98">
        <f t="shared" si="46"/>
        <v>78043.478260869568</v>
      </c>
      <c r="AB42" s="98">
        <f t="shared" si="46"/>
        <v>75833.333333333343</v>
      </c>
      <c r="AC42" s="98">
        <f t="shared" si="46"/>
        <v>73800</v>
      </c>
    </row>
    <row r="43" spans="1:29" x14ac:dyDescent="0.25">
      <c r="A43" s="252"/>
      <c r="B43" s="308">
        <v>0.75</v>
      </c>
      <c r="C43" s="18"/>
      <c r="D43" s="152" t="s">
        <v>22</v>
      </c>
      <c r="E43" s="73">
        <f>E42/B43</f>
        <v>700000</v>
      </c>
      <c r="F43" s="73">
        <f>F42/B43</f>
        <v>366666.66666666669</v>
      </c>
      <c r="G43" s="73">
        <f>G42/B43</f>
        <v>255555.55555555559</v>
      </c>
      <c r="H43" s="73">
        <f>H42/B43</f>
        <v>250000</v>
      </c>
      <c r="I43" s="73">
        <f>I42/B43</f>
        <v>206666.66666666666</v>
      </c>
      <c r="J43" s="73">
        <f>J42/B43</f>
        <v>177777.77777777778</v>
      </c>
      <c r="K43" s="73">
        <f>K42/B43</f>
        <v>157142.85714285713</v>
      </c>
      <c r="L43" s="73">
        <f>L42/B43</f>
        <v>141666.66666666666</v>
      </c>
      <c r="M43" s="73">
        <f>M42/B43</f>
        <v>129629.62962962962</v>
      </c>
      <c r="N43" s="73">
        <f t="shared" ref="N43:AC43" si="47">SUM(N41:N42)</f>
        <v>119000</v>
      </c>
      <c r="O43" s="73">
        <f t="shared" si="47"/>
        <v>112727.27272727272</v>
      </c>
      <c r="P43" s="73">
        <f t="shared" si="47"/>
        <v>107500</v>
      </c>
      <c r="Q43" s="73">
        <f t="shared" si="47"/>
        <v>123846.15384615384</v>
      </c>
      <c r="R43" s="73">
        <f t="shared" si="47"/>
        <v>118571.42857142857</v>
      </c>
      <c r="S43" s="73">
        <f t="shared" si="47"/>
        <v>114000</v>
      </c>
      <c r="T43" s="73">
        <f t="shared" si="47"/>
        <v>110000</v>
      </c>
      <c r="U43" s="73">
        <f t="shared" si="47"/>
        <v>106470.58823529413</v>
      </c>
      <c r="V43" s="73">
        <f t="shared" si="47"/>
        <v>103333.33333333334</v>
      </c>
      <c r="W43" s="73">
        <f t="shared" si="47"/>
        <v>100526.31578947368</v>
      </c>
      <c r="X43" s="73">
        <f t="shared" si="47"/>
        <v>111000</v>
      </c>
      <c r="Y43" s="73">
        <f t="shared" si="47"/>
        <v>108095.23809523811</v>
      </c>
      <c r="Z43" s="73">
        <f t="shared" si="47"/>
        <v>105454.54545454546</v>
      </c>
      <c r="AA43" s="73">
        <f t="shared" si="47"/>
        <v>103043.47826086957</v>
      </c>
      <c r="AB43" s="73">
        <f t="shared" si="47"/>
        <v>100833.33333333334</v>
      </c>
      <c r="AC43" s="73">
        <f t="shared" si="47"/>
        <v>98800</v>
      </c>
    </row>
    <row r="44" spans="1:29" x14ac:dyDescent="0.25">
      <c r="A44" s="252"/>
      <c r="B44" s="174"/>
      <c r="C44" s="19"/>
      <c r="D44" s="162" t="s">
        <v>23</v>
      </c>
      <c r="E44" s="163">
        <f>_xlfn.CEILING.MATH(E43,1000)</f>
        <v>700000</v>
      </c>
      <c r="F44" s="163">
        <f t="shared" ref="F44:M44" si="48">_xlfn.CEILING.MATH(F43,1000)</f>
        <v>367000</v>
      </c>
      <c r="G44" s="163">
        <f t="shared" si="48"/>
        <v>256000</v>
      </c>
      <c r="H44" s="163">
        <f t="shared" si="48"/>
        <v>250000</v>
      </c>
      <c r="I44" s="163">
        <f t="shared" si="48"/>
        <v>207000</v>
      </c>
      <c r="J44" s="163">
        <f t="shared" si="48"/>
        <v>178000</v>
      </c>
      <c r="K44" s="163">
        <f t="shared" si="48"/>
        <v>158000</v>
      </c>
      <c r="L44" s="163">
        <f t="shared" si="48"/>
        <v>142000</v>
      </c>
      <c r="M44" s="163">
        <f t="shared" si="48"/>
        <v>130000</v>
      </c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2"/>
      <c r="Y44" s="22"/>
      <c r="Z44" s="22"/>
      <c r="AA44" s="22"/>
      <c r="AB44" s="22"/>
      <c r="AC44" s="23"/>
    </row>
    <row r="45" spans="1:29" x14ac:dyDescent="0.25">
      <c r="A45" s="21"/>
      <c r="B45" s="19"/>
      <c r="C45" s="19"/>
      <c r="D45" s="162"/>
      <c r="E45" s="164"/>
      <c r="F45" s="165"/>
      <c r="G45" s="165"/>
      <c r="H45" s="164"/>
      <c r="I45" s="166"/>
      <c r="J45" s="166"/>
      <c r="K45" s="166"/>
      <c r="L45" s="165"/>
      <c r="M45" s="165"/>
      <c r="N45" s="20"/>
      <c r="O45" s="20"/>
      <c r="P45" s="20"/>
      <c r="Q45" s="20"/>
      <c r="R45" s="20"/>
      <c r="S45" s="20"/>
      <c r="T45" s="20"/>
      <c r="U45" s="20"/>
      <c r="V45" s="20"/>
      <c r="W45" s="21"/>
      <c r="X45" s="22"/>
      <c r="Y45" s="22"/>
      <c r="Z45" s="22"/>
      <c r="AA45" s="22"/>
      <c r="AB45" s="22"/>
      <c r="AC45" s="23"/>
    </row>
    <row r="46" spans="1:29" ht="30" x14ac:dyDescent="0.25">
      <c r="A46" s="176" t="s">
        <v>0</v>
      </c>
      <c r="B46" s="168" t="s">
        <v>1</v>
      </c>
      <c r="C46" s="168" t="s">
        <v>2</v>
      </c>
      <c r="D46" s="168" t="s">
        <v>3</v>
      </c>
      <c r="E46" s="253" t="s">
        <v>4</v>
      </c>
      <c r="F46" s="254"/>
      <c r="G46" s="182">
        <v>450000</v>
      </c>
      <c r="H46" s="255" t="s">
        <v>5</v>
      </c>
      <c r="I46" s="256"/>
      <c r="J46" s="256"/>
      <c r="K46" s="256"/>
      <c r="L46" s="256"/>
      <c r="M46" s="4">
        <v>600000</v>
      </c>
      <c r="N46" s="181" t="s">
        <v>46</v>
      </c>
      <c r="O46" s="149"/>
      <c r="P46" s="28">
        <v>880000</v>
      </c>
      <c r="Q46" s="259" t="s">
        <v>35</v>
      </c>
      <c r="R46" s="258"/>
      <c r="S46" s="258"/>
      <c r="T46" s="258"/>
      <c r="U46" s="258"/>
      <c r="V46" s="254"/>
      <c r="W46" s="6">
        <v>1570000</v>
      </c>
      <c r="X46" s="257" t="s">
        <v>36</v>
      </c>
      <c r="Y46" s="258"/>
      <c r="Z46" s="258"/>
      <c r="AA46" s="258"/>
      <c r="AB46" s="254"/>
      <c r="AC46" s="221">
        <v>1890000</v>
      </c>
    </row>
    <row r="47" spans="1:29" ht="15.75" customHeight="1" x14ac:dyDescent="0.25">
      <c r="A47" s="249" t="s">
        <v>47</v>
      </c>
      <c r="B47" s="172" t="s">
        <v>48</v>
      </c>
      <c r="C47" s="101" t="s">
        <v>49</v>
      </c>
      <c r="D47" s="9" t="s">
        <v>13</v>
      </c>
      <c r="E47" s="29">
        <f>$G$46/E2</f>
        <v>450000</v>
      </c>
      <c r="F47" s="29">
        <f>$G$46/F2</f>
        <v>225000</v>
      </c>
      <c r="G47" s="29">
        <f>$G$46/G2</f>
        <v>150000</v>
      </c>
      <c r="H47" s="150">
        <f t="shared" ref="H47:M47" si="49">$M$46/H2</f>
        <v>150000</v>
      </c>
      <c r="I47" s="150">
        <f t="shared" si="49"/>
        <v>120000</v>
      </c>
      <c r="J47" s="150">
        <f t="shared" si="49"/>
        <v>100000</v>
      </c>
      <c r="K47" s="150">
        <f t="shared" si="49"/>
        <v>85714.28571428571</v>
      </c>
      <c r="L47" s="150">
        <f t="shared" si="49"/>
        <v>75000</v>
      </c>
      <c r="M47" s="29">
        <f t="shared" si="49"/>
        <v>66666.666666666672</v>
      </c>
      <c r="N47" s="29">
        <f>$P$46/N2</f>
        <v>88000</v>
      </c>
      <c r="O47" s="29">
        <f>$P$46/O2</f>
        <v>80000</v>
      </c>
      <c r="P47" s="29">
        <f>$P$46/P2</f>
        <v>73333.333333333328</v>
      </c>
      <c r="Q47" s="29">
        <f t="shared" ref="Q47:W47" si="50">$W$46/Q2</f>
        <v>120769.23076923077</v>
      </c>
      <c r="R47" s="29">
        <f t="shared" si="50"/>
        <v>112142.85714285714</v>
      </c>
      <c r="S47" s="29">
        <f t="shared" si="50"/>
        <v>104666.66666666667</v>
      </c>
      <c r="T47" s="29">
        <f t="shared" si="50"/>
        <v>98125</v>
      </c>
      <c r="U47" s="29">
        <f t="shared" si="50"/>
        <v>92352.941176470587</v>
      </c>
      <c r="V47" s="29">
        <f t="shared" si="50"/>
        <v>87222.222222222219</v>
      </c>
      <c r="W47" s="29">
        <f t="shared" si="50"/>
        <v>82631.578947368427</v>
      </c>
      <c r="X47" s="82">
        <f t="shared" ref="X47:AC47" si="51">$AC$46/X2</f>
        <v>94500</v>
      </c>
      <c r="Y47" s="82">
        <f t="shared" si="51"/>
        <v>90000</v>
      </c>
      <c r="Z47" s="82">
        <f t="shared" si="51"/>
        <v>85909.090909090912</v>
      </c>
      <c r="AA47" s="82">
        <f t="shared" si="51"/>
        <v>82173.913043478256</v>
      </c>
      <c r="AB47" s="82">
        <f t="shared" si="51"/>
        <v>78750</v>
      </c>
      <c r="AC47" s="82">
        <f t="shared" si="51"/>
        <v>75600</v>
      </c>
    </row>
    <row r="48" spans="1:29" ht="15.75" customHeight="1" x14ac:dyDescent="0.25">
      <c r="A48" s="250"/>
      <c r="B48" s="170" t="s">
        <v>50</v>
      </c>
      <c r="C48" s="101" t="s">
        <v>19</v>
      </c>
      <c r="D48" s="114" t="s">
        <v>51</v>
      </c>
      <c r="E48" s="115">
        <v>45900</v>
      </c>
      <c r="F48" s="96">
        <f t="shared" ref="F48:AC48" si="52">E48</f>
        <v>45900</v>
      </c>
      <c r="G48" s="96">
        <f t="shared" si="52"/>
        <v>45900</v>
      </c>
      <c r="H48" s="96">
        <f t="shared" si="52"/>
        <v>45900</v>
      </c>
      <c r="I48" s="96">
        <f t="shared" si="52"/>
        <v>45900</v>
      </c>
      <c r="J48" s="96">
        <f t="shared" si="52"/>
        <v>45900</v>
      </c>
      <c r="K48" s="96">
        <f t="shared" si="52"/>
        <v>45900</v>
      </c>
      <c r="L48" s="96">
        <f t="shared" si="52"/>
        <v>45900</v>
      </c>
      <c r="M48" s="96">
        <f t="shared" si="52"/>
        <v>45900</v>
      </c>
      <c r="N48" s="96">
        <f t="shared" si="52"/>
        <v>45900</v>
      </c>
      <c r="O48" s="96">
        <f t="shared" si="52"/>
        <v>45900</v>
      </c>
      <c r="P48" s="96">
        <f t="shared" si="52"/>
        <v>45900</v>
      </c>
      <c r="Q48" s="96">
        <f t="shared" si="52"/>
        <v>45900</v>
      </c>
      <c r="R48" s="96">
        <f t="shared" si="52"/>
        <v>45900</v>
      </c>
      <c r="S48" s="96">
        <f t="shared" si="52"/>
        <v>45900</v>
      </c>
      <c r="T48" s="96">
        <f t="shared" si="52"/>
        <v>45900</v>
      </c>
      <c r="U48" s="96">
        <f t="shared" si="52"/>
        <v>45900</v>
      </c>
      <c r="V48" s="96">
        <f t="shared" si="52"/>
        <v>45900</v>
      </c>
      <c r="W48" s="96">
        <f t="shared" si="52"/>
        <v>45900</v>
      </c>
      <c r="X48" s="96">
        <f t="shared" si="52"/>
        <v>45900</v>
      </c>
      <c r="Y48" s="96">
        <f t="shared" si="52"/>
        <v>45900</v>
      </c>
      <c r="Z48" s="96">
        <f t="shared" si="52"/>
        <v>45900</v>
      </c>
      <c r="AA48" s="96">
        <f t="shared" si="52"/>
        <v>45900</v>
      </c>
      <c r="AB48" s="96">
        <f t="shared" si="52"/>
        <v>45900</v>
      </c>
      <c r="AC48" s="96">
        <f t="shared" si="52"/>
        <v>45900</v>
      </c>
    </row>
    <row r="49" spans="1:29" ht="15.75" customHeight="1" x14ac:dyDescent="0.25">
      <c r="A49" s="250"/>
      <c r="B49" s="175" t="s">
        <v>29</v>
      </c>
      <c r="C49" s="18"/>
      <c r="D49" s="18"/>
      <c r="E49" s="98">
        <f t="shared" ref="E49:AC49" si="53">SUM(E47:E48)</f>
        <v>495900</v>
      </c>
      <c r="F49" s="98">
        <f t="shared" si="53"/>
        <v>270900</v>
      </c>
      <c r="G49" s="98">
        <f t="shared" si="53"/>
        <v>195900</v>
      </c>
      <c r="H49" s="98">
        <f t="shared" si="53"/>
        <v>195900</v>
      </c>
      <c r="I49" s="98">
        <f t="shared" si="53"/>
        <v>165900</v>
      </c>
      <c r="J49" s="98">
        <f t="shared" si="53"/>
        <v>145900</v>
      </c>
      <c r="K49" s="98">
        <f t="shared" si="53"/>
        <v>131614.28571428571</v>
      </c>
      <c r="L49" s="98">
        <f t="shared" si="53"/>
        <v>120900</v>
      </c>
      <c r="M49" s="98">
        <f t="shared" si="53"/>
        <v>112566.66666666667</v>
      </c>
      <c r="N49" s="98">
        <f t="shared" si="53"/>
        <v>133900</v>
      </c>
      <c r="O49" s="98">
        <f t="shared" si="53"/>
        <v>125900</v>
      </c>
      <c r="P49" s="98">
        <f t="shared" si="53"/>
        <v>119233.33333333333</v>
      </c>
      <c r="Q49" s="98">
        <f t="shared" si="53"/>
        <v>166669.23076923075</v>
      </c>
      <c r="R49" s="98">
        <f t="shared" si="53"/>
        <v>158042.85714285716</v>
      </c>
      <c r="S49" s="98">
        <f t="shared" si="53"/>
        <v>150566.66666666669</v>
      </c>
      <c r="T49" s="98">
        <f t="shared" si="53"/>
        <v>144025</v>
      </c>
      <c r="U49" s="98">
        <f t="shared" si="53"/>
        <v>138252.9411764706</v>
      </c>
      <c r="V49" s="98">
        <f t="shared" si="53"/>
        <v>133122.22222222222</v>
      </c>
      <c r="W49" s="98">
        <f t="shared" si="53"/>
        <v>128531.57894736843</v>
      </c>
      <c r="X49" s="98">
        <f t="shared" si="53"/>
        <v>140400</v>
      </c>
      <c r="Y49" s="98">
        <f t="shared" si="53"/>
        <v>135900</v>
      </c>
      <c r="Z49" s="98">
        <f t="shared" si="53"/>
        <v>131809.09090909091</v>
      </c>
      <c r="AA49" s="98">
        <f t="shared" si="53"/>
        <v>128073.91304347826</v>
      </c>
      <c r="AB49" s="98">
        <f t="shared" si="53"/>
        <v>124650</v>
      </c>
      <c r="AC49" s="98">
        <f t="shared" si="53"/>
        <v>121500</v>
      </c>
    </row>
    <row r="50" spans="1:29" x14ac:dyDescent="0.25">
      <c r="A50" s="250"/>
      <c r="B50" s="308">
        <v>0.75</v>
      </c>
      <c r="C50" s="18"/>
      <c r="D50" s="152" t="s">
        <v>21</v>
      </c>
      <c r="E50" s="73">
        <f>E49/B50</f>
        <v>661200</v>
      </c>
      <c r="F50" s="73">
        <f>F49/B50</f>
        <v>361200</v>
      </c>
      <c r="G50" s="73">
        <f>G49/B50</f>
        <v>261200</v>
      </c>
      <c r="H50" s="73">
        <f>H49/B50</f>
        <v>261200</v>
      </c>
      <c r="I50" s="73">
        <f>I49/B50</f>
        <v>221200</v>
      </c>
      <c r="J50" s="73">
        <f>J49/B50</f>
        <v>194533.33333333334</v>
      </c>
      <c r="K50" s="73">
        <f>K49/B50</f>
        <v>175485.71428571429</v>
      </c>
      <c r="L50" s="73">
        <f>L49/B50</f>
        <v>161200</v>
      </c>
      <c r="M50" s="73">
        <f>M49/B50</f>
        <v>150088.88888888891</v>
      </c>
      <c r="N50" s="73">
        <f t="shared" ref="N50:AC50" si="54">SUM(N48:N49)</f>
        <v>179800</v>
      </c>
      <c r="O50" s="73">
        <f t="shared" si="54"/>
        <v>171800</v>
      </c>
      <c r="P50" s="73">
        <f t="shared" si="54"/>
        <v>165133.33333333331</v>
      </c>
      <c r="Q50" s="73">
        <f t="shared" si="54"/>
        <v>212569.23076923075</v>
      </c>
      <c r="R50" s="73">
        <f t="shared" si="54"/>
        <v>203942.85714285716</v>
      </c>
      <c r="S50" s="73">
        <f t="shared" si="54"/>
        <v>196466.66666666669</v>
      </c>
      <c r="T50" s="73">
        <f t="shared" si="54"/>
        <v>189925</v>
      </c>
      <c r="U50" s="73">
        <f t="shared" si="54"/>
        <v>184152.9411764706</v>
      </c>
      <c r="V50" s="73">
        <f t="shared" si="54"/>
        <v>179022.22222222222</v>
      </c>
      <c r="W50" s="73">
        <f t="shared" si="54"/>
        <v>174431.57894736843</v>
      </c>
      <c r="X50" s="73">
        <f t="shared" si="54"/>
        <v>186300</v>
      </c>
      <c r="Y50" s="73">
        <f t="shared" si="54"/>
        <v>181800</v>
      </c>
      <c r="Z50" s="73">
        <f t="shared" si="54"/>
        <v>177709.09090909091</v>
      </c>
      <c r="AA50" s="73">
        <f t="shared" si="54"/>
        <v>173973.91304347827</v>
      </c>
      <c r="AB50" s="73">
        <f t="shared" si="54"/>
        <v>170550</v>
      </c>
      <c r="AC50" s="73">
        <f t="shared" si="54"/>
        <v>167400</v>
      </c>
    </row>
    <row r="51" spans="1:29" x14ac:dyDescent="0.25">
      <c r="A51" s="251"/>
      <c r="B51" s="174"/>
      <c r="C51" s="19"/>
      <c r="D51" s="162" t="s">
        <v>23</v>
      </c>
      <c r="E51" s="163">
        <f>_xlfn.CEILING.MATH(E50,1000)</f>
        <v>662000</v>
      </c>
      <c r="F51" s="163">
        <f t="shared" ref="F51:J51" si="55">_xlfn.CEILING.MATH(F50,1000)</f>
        <v>362000</v>
      </c>
      <c r="G51" s="163">
        <f t="shared" si="55"/>
        <v>262000</v>
      </c>
      <c r="H51" s="163">
        <f t="shared" si="55"/>
        <v>262000</v>
      </c>
      <c r="I51" s="163">
        <f t="shared" si="55"/>
        <v>222000</v>
      </c>
      <c r="J51" s="163">
        <f t="shared" si="55"/>
        <v>195000</v>
      </c>
      <c r="K51" s="163">
        <f t="shared" ref="K51" si="56">_xlfn.CEILING.MATH(K50,1000)</f>
        <v>176000</v>
      </c>
      <c r="L51" s="163">
        <f t="shared" ref="L51" si="57">_xlfn.CEILING.MATH(L50,1000)</f>
        <v>162000</v>
      </c>
      <c r="M51" s="163">
        <f t="shared" ref="M51" si="58">_xlfn.CEILING.MATH(M50,1000)</f>
        <v>151000</v>
      </c>
      <c r="N51" s="20"/>
      <c r="O51" s="20"/>
      <c r="P51" s="20"/>
      <c r="Q51" s="20"/>
      <c r="R51" s="20"/>
      <c r="S51" s="20"/>
      <c r="T51" s="20"/>
      <c r="U51" s="20"/>
      <c r="V51" s="20"/>
      <c r="W51" s="21"/>
      <c r="X51" s="22"/>
      <c r="Y51" s="22"/>
      <c r="Z51" s="22"/>
      <c r="AA51" s="22"/>
      <c r="AB51" s="22"/>
      <c r="AC51" s="23"/>
    </row>
    <row r="52" spans="1:29" ht="15.75" customHeight="1" x14ac:dyDescent="0.25">
      <c r="B52" s="19"/>
      <c r="C52" s="19"/>
      <c r="D52" s="19"/>
      <c r="E52" s="19"/>
      <c r="F52" s="19"/>
      <c r="G52" s="19"/>
      <c r="H52" s="19"/>
    </row>
    <row r="53" spans="1:29" ht="30" x14ac:dyDescent="0.25">
      <c r="A53" s="176" t="s">
        <v>0</v>
      </c>
      <c r="B53" s="168" t="s">
        <v>1</v>
      </c>
      <c r="C53" s="168" t="s">
        <v>2</v>
      </c>
      <c r="D53" s="168" t="s">
        <v>3</v>
      </c>
      <c r="E53" s="253" t="s">
        <v>4</v>
      </c>
      <c r="F53" s="254"/>
      <c r="G53" s="182">
        <v>450000</v>
      </c>
      <c r="H53" s="255" t="s">
        <v>5</v>
      </c>
      <c r="I53" s="256"/>
      <c r="J53" s="256"/>
      <c r="K53" s="256"/>
      <c r="L53" s="256"/>
      <c r="M53" s="4">
        <v>600000</v>
      </c>
      <c r="N53" s="181" t="s">
        <v>46</v>
      </c>
      <c r="O53" s="149"/>
      <c r="P53" s="28">
        <v>880000</v>
      </c>
      <c r="Q53" s="259" t="s">
        <v>35</v>
      </c>
      <c r="R53" s="258"/>
      <c r="S53" s="258"/>
      <c r="T53" s="258"/>
      <c r="U53" s="258"/>
      <c r="V53" s="254"/>
      <c r="W53" s="6">
        <v>1570000</v>
      </c>
      <c r="X53" s="257" t="s">
        <v>36</v>
      </c>
      <c r="Y53" s="258"/>
      <c r="Z53" s="258"/>
      <c r="AA53" s="258"/>
      <c r="AB53" s="254"/>
      <c r="AC53" s="221">
        <v>1890000</v>
      </c>
    </row>
    <row r="54" spans="1:29" ht="15.75" customHeight="1" x14ac:dyDescent="0.25">
      <c r="A54" s="249" t="s">
        <v>47</v>
      </c>
      <c r="B54" s="172" t="s">
        <v>48</v>
      </c>
      <c r="C54" s="101" t="s">
        <v>49</v>
      </c>
      <c r="D54" s="9" t="s">
        <v>13</v>
      </c>
      <c r="E54" s="29">
        <f>$G$53/E2</f>
        <v>450000</v>
      </c>
      <c r="F54" s="29">
        <f>$G$53/F2</f>
        <v>225000</v>
      </c>
      <c r="G54" s="29">
        <f>$G$53/G2</f>
        <v>150000</v>
      </c>
      <c r="H54" s="29">
        <f t="shared" ref="H54:M54" si="59">$M$53/H2</f>
        <v>150000</v>
      </c>
      <c r="I54" s="29">
        <f t="shared" si="59"/>
        <v>120000</v>
      </c>
      <c r="J54" s="29">
        <f t="shared" si="59"/>
        <v>100000</v>
      </c>
      <c r="K54" s="29">
        <f t="shared" si="59"/>
        <v>85714.28571428571</v>
      </c>
      <c r="L54" s="29">
        <f t="shared" si="59"/>
        <v>75000</v>
      </c>
      <c r="M54" s="29">
        <f t="shared" si="59"/>
        <v>66666.666666666672</v>
      </c>
      <c r="N54" s="29">
        <f>$P$46/N2</f>
        <v>88000</v>
      </c>
      <c r="O54" s="29">
        <f>$P$46/O2</f>
        <v>80000</v>
      </c>
      <c r="P54" s="29">
        <f>$P$46/P2</f>
        <v>73333.333333333328</v>
      </c>
      <c r="Q54" s="29">
        <f t="shared" ref="Q54:W54" si="60">$W$46/Q2</f>
        <v>120769.23076923077</v>
      </c>
      <c r="R54" s="29">
        <f t="shared" si="60"/>
        <v>112142.85714285714</v>
      </c>
      <c r="S54" s="29">
        <f t="shared" si="60"/>
        <v>104666.66666666667</v>
      </c>
      <c r="T54" s="29">
        <f t="shared" si="60"/>
        <v>98125</v>
      </c>
      <c r="U54" s="29">
        <f t="shared" si="60"/>
        <v>92352.941176470587</v>
      </c>
      <c r="V54" s="29">
        <f t="shared" si="60"/>
        <v>87222.222222222219</v>
      </c>
      <c r="W54" s="29">
        <f t="shared" si="60"/>
        <v>82631.578947368427</v>
      </c>
      <c r="X54" s="82">
        <f t="shared" ref="X54:AC54" si="61">$AC$46/X2</f>
        <v>94500</v>
      </c>
      <c r="Y54" s="82">
        <f t="shared" si="61"/>
        <v>90000</v>
      </c>
      <c r="Z54" s="82">
        <f t="shared" si="61"/>
        <v>85909.090909090912</v>
      </c>
      <c r="AA54" s="82">
        <f t="shared" si="61"/>
        <v>82173.913043478256</v>
      </c>
      <c r="AB54" s="82">
        <f t="shared" si="61"/>
        <v>78750</v>
      </c>
      <c r="AC54" s="82">
        <f t="shared" si="61"/>
        <v>75600</v>
      </c>
    </row>
    <row r="55" spans="1:29" ht="15.75" customHeight="1" x14ac:dyDescent="0.25">
      <c r="A55" s="250"/>
      <c r="B55" s="170" t="s">
        <v>50</v>
      </c>
      <c r="C55" s="101" t="s">
        <v>19</v>
      </c>
      <c r="D55" s="114" t="s">
        <v>51</v>
      </c>
      <c r="E55" s="115">
        <v>61200</v>
      </c>
      <c r="F55" s="96">
        <f t="shared" ref="F55" si="62">E55</f>
        <v>61200</v>
      </c>
      <c r="G55" s="96">
        <f t="shared" ref="G55" si="63">F55</f>
        <v>61200</v>
      </c>
      <c r="H55" s="96">
        <f t="shared" ref="H55" si="64">G55</f>
        <v>61200</v>
      </c>
      <c r="I55" s="96">
        <f t="shared" ref="I55" si="65">H55</f>
        <v>61200</v>
      </c>
      <c r="J55" s="96">
        <f t="shared" ref="J55" si="66">I55</f>
        <v>61200</v>
      </c>
      <c r="K55" s="96">
        <f t="shared" ref="K55" si="67">J55</f>
        <v>61200</v>
      </c>
      <c r="L55" s="96">
        <f t="shared" ref="L55" si="68">K55</f>
        <v>61200</v>
      </c>
      <c r="M55" s="96">
        <f t="shared" ref="M55" si="69">L55</f>
        <v>61200</v>
      </c>
      <c r="N55" s="96">
        <f t="shared" ref="N55:AC55" si="70">M55</f>
        <v>61200</v>
      </c>
      <c r="O55" s="96">
        <f t="shared" si="70"/>
        <v>61200</v>
      </c>
      <c r="P55" s="96">
        <f t="shared" si="70"/>
        <v>61200</v>
      </c>
      <c r="Q55" s="96">
        <f t="shared" si="70"/>
        <v>61200</v>
      </c>
      <c r="R55" s="96">
        <f t="shared" si="70"/>
        <v>61200</v>
      </c>
      <c r="S55" s="96">
        <f t="shared" si="70"/>
        <v>61200</v>
      </c>
      <c r="T55" s="96">
        <f t="shared" si="70"/>
        <v>61200</v>
      </c>
      <c r="U55" s="96">
        <f t="shared" si="70"/>
        <v>61200</v>
      </c>
      <c r="V55" s="96">
        <f t="shared" si="70"/>
        <v>61200</v>
      </c>
      <c r="W55" s="96">
        <f t="shared" si="70"/>
        <v>61200</v>
      </c>
      <c r="X55" s="96">
        <f t="shared" si="70"/>
        <v>61200</v>
      </c>
      <c r="Y55" s="96">
        <f t="shared" si="70"/>
        <v>61200</v>
      </c>
      <c r="Z55" s="96">
        <f t="shared" si="70"/>
        <v>61200</v>
      </c>
      <c r="AA55" s="96">
        <f t="shared" si="70"/>
        <v>61200</v>
      </c>
      <c r="AB55" s="96">
        <f t="shared" si="70"/>
        <v>61200</v>
      </c>
      <c r="AC55" s="96">
        <f t="shared" si="70"/>
        <v>61200</v>
      </c>
    </row>
    <row r="56" spans="1:29" ht="15.75" customHeight="1" x14ac:dyDescent="0.25">
      <c r="A56" s="250"/>
      <c r="B56" s="175" t="s">
        <v>29</v>
      </c>
      <c r="C56" s="18"/>
      <c r="D56" s="18"/>
      <c r="E56" s="98">
        <f t="shared" ref="E56:M56" si="71">SUM(E54:E55)</f>
        <v>511200</v>
      </c>
      <c r="F56" s="98">
        <f t="shared" si="71"/>
        <v>286200</v>
      </c>
      <c r="G56" s="98">
        <f t="shared" si="71"/>
        <v>211200</v>
      </c>
      <c r="H56" s="98">
        <f t="shared" si="71"/>
        <v>211200</v>
      </c>
      <c r="I56" s="98">
        <f t="shared" si="71"/>
        <v>181200</v>
      </c>
      <c r="J56" s="98">
        <f t="shared" si="71"/>
        <v>161200</v>
      </c>
      <c r="K56" s="98">
        <f t="shared" si="71"/>
        <v>146914.28571428571</v>
      </c>
      <c r="L56" s="98">
        <f t="shared" si="71"/>
        <v>136200</v>
      </c>
      <c r="M56" s="98">
        <f t="shared" si="71"/>
        <v>127866.66666666667</v>
      </c>
      <c r="N56" s="98">
        <f t="shared" ref="N56:AC56" si="72">SUM(N54:N55)</f>
        <v>149200</v>
      </c>
      <c r="O56" s="98">
        <f t="shared" si="72"/>
        <v>141200</v>
      </c>
      <c r="P56" s="98">
        <f t="shared" si="72"/>
        <v>134533.33333333331</v>
      </c>
      <c r="Q56" s="98">
        <f t="shared" si="72"/>
        <v>181969.23076923075</v>
      </c>
      <c r="R56" s="98">
        <f t="shared" si="72"/>
        <v>173342.85714285716</v>
      </c>
      <c r="S56" s="98">
        <f t="shared" si="72"/>
        <v>165866.66666666669</v>
      </c>
      <c r="T56" s="98">
        <f t="shared" si="72"/>
        <v>159325</v>
      </c>
      <c r="U56" s="98">
        <f t="shared" si="72"/>
        <v>153552.9411764706</v>
      </c>
      <c r="V56" s="98">
        <f t="shared" si="72"/>
        <v>148422.22222222222</v>
      </c>
      <c r="W56" s="98">
        <f t="shared" si="72"/>
        <v>143831.57894736843</v>
      </c>
      <c r="X56" s="98">
        <f t="shared" si="72"/>
        <v>155700</v>
      </c>
      <c r="Y56" s="98">
        <f t="shared" si="72"/>
        <v>151200</v>
      </c>
      <c r="Z56" s="98">
        <f t="shared" si="72"/>
        <v>147109.09090909091</v>
      </c>
      <c r="AA56" s="98">
        <f t="shared" si="72"/>
        <v>143373.91304347827</v>
      </c>
      <c r="AB56" s="98">
        <f t="shared" si="72"/>
        <v>139950</v>
      </c>
      <c r="AC56" s="98">
        <f t="shared" si="72"/>
        <v>136800</v>
      </c>
    </row>
    <row r="57" spans="1:29" x14ac:dyDescent="0.25">
      <c r="A57" s="250"/>
      <c r="B57" s="308">
        <v>0.75</v>
      </c>
      <c r="C57" s="18"/>
      <c r="D57" s="152" t="s">
        <v>21</v>
      </c>
      <c r="E57" s="73">
        <f>E56/B57</f>
        <v>681600</v>
      </c>
      <c r="F57" s="73">
        <f>F56/B57</f>
        <v>381600</v>
      </c>
      <c r="G57" s="73">
        <f>G56/B57</f>
        <v>281600</v>
      </c>
      <c r="H57" s="73">
        <f>H56/B57</f>
        <v>281600</v>
      </c>
      <c r="I57" s="73">
        <f>I56/B57</f>
        <v>241600</v>
      </c>
      <c r="J57" s="73">
        <f>J56/B57</f>
        <v>214933.33333333334</v>
      </c>
      <c r="K57" s="73">
        <f>K56/B57</f>
        <v>195885.71428571429</v>
      </c>
      <c r="L57" s="73">
        <f>L56/B57</f>
        <v>181600</v>
      </c>
      <c r="M57" s="73">
        <f>M56/B57</f>
        <v>170488.88888888891</v>
      </c>
      <c r="N57" s="73">
        <f t="shared" ref="N57:AC57" si="73">SUM(N55:N56)</f>
        <v>210400</v>
      </c>
      <c r="O57" s="73">
        <f t="shared" si="73"/>
        <v>202400</v>
      </c>
      <c r="P57" s="73">
        <f t="shared" si="73"/>
        <v>195733.33333333331</v>
      </c>
      <c r="Q57" s="73">
        <f t="shared" si="73"/>
        <v>243169.23076923075</v>
      </c>
      <c r="R57" s="73">
        <f t="shared" si="73"/>
        <v>234542.85714285716</v>
      </c>
      <c r="S57" s="73">
        <f t="shared" si="73"/>
        <v>227066.66666666669</v>
      </c>
      <c r="T57" s="73">
        <f t="shared" si="73"/>
        <v>220525</v>
      </c>
      <c r="U57" s="73">
        <f t="shared" si="73"/>
        <v>214752.9411764706</v>
      </c>
      <c r="V57" s="73">
        <f t="shared" si="73"/>
        <v>209622.22222222222</v>
      </c>
      <c r="W57" s="73">
        <f t="shared" si="73"/>
        <v>205031.57894736843</v>
      </c>
      <c r="X57" s="73">
        <f t="shared" si="73"/>
        <v>216900</v>
      </c>
      <c r="Y57" s="73">
        <f t="shared" si="73"/>
        <v>212400</v>
      </c>
      <c r="Z57" s="73">
        <f t="shared" si="73"/>
        <v>208309.09090909091</v>
      </c>
      <c r="AA57" s="73">
        <f t="shared" si="73"/>
        <v>204573.91304347827</v>
      </c>
      <c r="AB57" s="73">
        <f t="shared" si="73"/>
        <v>201150</v>
      </c>
      <c r="AC57" s="73">
        <f t="shared" si="73"/>
        <v>198000</v>
      </c>
    </row>
    <row r="58" spans="1:29" x14ac:dyDescent="0.25">
      <c r="A58" s="251"/>
      <c r="B58" s="174"/>
      <c r="C58" s="19"/>
      <c r="D58" s="162" t="s">
        <v>23</v>
      </c>
      <c r="E58" s="163">
        <f>_xlfn.CEILING.MATH(E57,1000)</f>
        <v>682000</v>
      </c>
      <c r="F58" s="163">
        <f t="shared" ref="F58" si="74">_xlfn.CEILING.MATH(F57,1000)</f>
        <v>382000</v>
      </c>
      <c r="G58" s="163">
        <f t="shared" ref="G58" si="75">_xlfn.CEILING.MATH(G57,1000)</f>
        <v>282000</v>
      </c>
      <c r="H58" s="163">
        <f t="shared" ref="H58" si="76">_xlfn.CEILING.MATH(H57,1000)</f>
        <v>282000</v>
      </c>
      <c r="I58" s="163">
        <f t="shared" ref="I58" si="77">_xlfn.CEILING.MATH(I57,1000)</f>
        <v>242000</v>
      </c>
      <c r="J58" s="163">
        <f t="shared" ref="J58" si="78">_xlfn.CEILING.MATH(J57,1000)</f>
        <v>215000</v>
      </c>
      <c r="K58" s="163">
        <f t="shared" ref="K58" si="79">_xlfn.CEILING.MATH(K57,1000)</f>
        <v>196000</v>
      </c>
      <c r="L58" s="163">
        <f t="shared" ref="L58" si="80">_xlfn.CEILING.MATH(L57,1000)</f>
        <v>182000</v>
      </c>
      <c r="M58" s="163">
        <f t="shared" ref="M58" si="81">_xlfn.CEILING.MATH(M57,1000)</f>
        <v>171000</v>
      </c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</row>
    <row r="59" spans="1:29" ht="15.75" customHeight="1" x14ac:dyDescent="0.25">
      <c r="E59" s="116"/>
      <c r="F59" s="116"/>
    </row>
    <row r="60" spans="1:29" ht="15.75" customHeight="1" x14ac:dyDescent="0.25">
      <c r="A60" s="223" t="s">
        <v>52</v>
      </c>
      <c r="B60" s="23" t="s">
        <v>53</v>
      </c>
    </row>
    <row r="61" spans="1:29" ht="15.75" customHeight="1" x14ac:dyDescent="0.25">
      <c r="A61" s="224" t="s">
        <v>54</v>
      </c>
      <c r="B61" s="23" t="s">
        <v>55</v>
      </c>
    </row>
    <row r="62" spans="1:29" ht="15.75" customHeight="1" x14ac:dyDescent="0.25">
      <c r="A62" s="225" t="s">
        <v>56</v>
      </c>
      <c r="B62" s="23" t="s">
        <v>57</v>
      </c>
    </row>
    <row r="63" spans="1:29" ht="15.75" customHeight="1" x14ac:dyDescent="0.25">
      <c r="A63" s="226" t="s">
        <v>58</v>
      </c>
      <c r="B63" s="23" t="s">
        <v>59</v>
      </c>
    </row>
    <row r="64" spans="1:2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</sheetData>
  <mergeCells count="30">
    <mergeCell ref="A12:A19"/>
    <mergeCell ref="I1:L1"/>
    <mergeCell ref="I11:L11"/>
    <mergeCell ref="I28:L28"/>
    <mergeCell ref="I37:L37"/>
    <mergeCell ref="A3:A9"/>
    <mergeCell ref="H21:L21"/>
    <mergeCell ref="N1:Q1"/>
    <mergeCell ref="S1:AA1"/>
    <mergeCell ref="Q46:V46"/>
    <mergeCell ref="N21:Q21"/>
    <mergeCell ref="X37:AB37"/>
    <mergeCell ref="S11:AA11"/>
    <mergeCell ref="X28:AB28"/>
    <mergeCell ref="Q37:V37"/>
    <mergeCell ref="Q28:V28"/>
    <mergeCell ref="N11:Q11"/>
    <mergeCell ref="S21:AA21"/>
    <mergeCell ref="H53:L53"/>
    <mergeCell ref="A47:A51"/>
    <mergeCell ref="X53:AB53"/>
    <mergeCell ref="Q53:V53"/>
    <mergeCell ref="E46:F46"/>
    <mergeCell ref="H46:L46"/>
    <mergeCell ref="X46:AB46"/>
    <mergeCell ref="A54:A58"/>
    <mergeCell ref="A22:A26"/>
    <mergeCell ref="A38:A44"/>
    <mergeCell ref="A29:A35"/>
    <mergeCell ref="E53:F5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R1037"/>
  <sheetViews>
    <sheetView tabSelected="1" topLeftCell="A40" workbookViewId="0">
      <selection activeCell="B50" sqref="B50"/>
    </sheetView>
  </sheetViews>
  <sheetFormatPr baseColWidth="10" defaultColWidth="14.42578125" defaultRowHeight="15" customHeight="1" x14ac:dyDescent="0.25"/>
  <cols>
    <col min="1" max="1" width="10.85546875" customWidth="1"/>
    <col min="2" max="2" width="18.42578125" customWidth="1"/>
    <col min="3" max="4" width="13.140625" customWidth="1"/>
    <col min="5" max="6" width="10.7109375" customWidth="1"/>
    <col min="7" max="7" width="10.28515625" customWidth="1"/>
    <col min="8" max="8" width="10.7109375" customWidth="1"/>
    <col min="9" max="19" width="9.42578125" customWidth="1"/>
    <col min="20" max="23" width="10.85546875" customWidth="1"/>
    <col min="24" max="44" width="10.7109375" customWidth="1"/>
  </cols>
  <sheetData>
    <row r="1" spans="1:2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11" t="s">
        <v>4</v>
      </c>
      <c r="F1" s="2">
        <f>25000*5</f>
        <v>125000</v>
      </c>
      <c r="G1" s="3">
        <v>140000</v>
      </c>
      <c r="H1" s="280" t="s">
        <v>5</v>
      </c>
      <c r="I1" s="281"/>
      <c r="J1" s="281"/>
      <c r="K1" s="281"/>
      <c r="L1" s="281"/>
      <c r="M1" s="151">
        <v>190000</v>
      </c>
      <c r="N1" s="185" t="s">
        <v>60</v>
      </c>
      <c r="O1" s="149"/>
      <c r="P1" s="149"/>
      <c r="Q1" s="149"/>
      <c r="R1" s="178"/>
      <c r="S1" s="69">
        <v>207000</v>
      </c>
      <c r="T1" s="259" t="s">
        <v>35</v>
      </c>
      <c r="U1" s="258"/>
      <c r="V1" s="254"/>
      <c r="W1" s="6">
        <v>279000</v>
      </c>
      <c r="X1" s="257" t="s">
        <v>36</v>
      </c>
      <c r="Y1" s="258"/>
      <c r="Z1" s="258"/>
      <c r="AA1" s="258"/>
      <c r="AB1" s="254"/>
      <c r="AC1" s="221">
        <v>361000</v>
      </c>
    </row>
    <row r="2" spans="1:29" x14ac:dyDescent="0.25">
      <c r="A2" s="218" t="s">
        <v>61</v>
      </c>
      <c r="B2" s="190"/>
      <c r="C2" s="101"/>
      <c r="D2" s="102"/>
      <c r="E2" s="7" t="s">
        <v>9</v>
      </c>
      <c r="F2" s="7" t="s">
        <v>62</v>
      </c>
      <c r="G2" s="7" t="s">
        <v>63</v>
      </c>
      <c r="H2" s="7" t="s">
        <v>64</v>
      </c>
      <c r="I2" s="7" t="s">
        <v>65</v>
      </c>
      <c r="J2" s="7" t="s">
        <v>66</v>
      </c>
      <c r="K2" s="7" t="s">
        <v>67</v>
      </c>
      <c r="L2" s="7" t="s">
        <v>68</v>
      </c>
      <c r="M2" s="186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75</v>
      </c>
      <c r="T2" s="7" t="s">
        <v>76</v>
      </c>
      <c r="U2" s="7" t="s">
        <v>77</v>
      </c>
      <c r="V2" s="7" t="s">
        <v>78</v>
      </c>
      <c r="W2" s="7" t="s">
        <v>79</v>
      </c>
      <c r="X2" s="7" t="s">
        <v>80</v>
      </c>
      <c r="Y2" s="7" t="s">
        <v>81</v>
      </c>
      <c r="Z2" s="7" t="s">
        <v>82</v>
      </c>
      <c r="AA2" s="7" t="s">
        <v>83</v>
      </c>
      <c r="AB2" s="7" t="s">
        <v>84</v>
      </c>
      <c r="AC2" s="7" t="s">
        <v>85</v>
      </c>
    </row>
    <row r="3" spans="1:29" ht="26.25" x14ac:dyDescent="0.25">
      <c r="A3" s="277" t="s">
        <v>86</v>
      </c>
      <c r="B3" s="184" t="str">
        <f>HYPERLINK("https://drive.google.com/file/d/0B38uOBBhaLujeXNDR2N5WmE1WGQ2MERHZEh2QUZOanBaQ0c4/view?usp=sharing","Martha Acevedo")</f>
        <v>Martha Acevedo</v>
      </c>
      <c r="C3" s="101" t="s">
        <v>12</v>
      </c>
      <c r="D3" s="9" t="s">
        <v>13</v>
      </c>
      <c r="E3" s="29">
        <f t="shared" ref="E3:G3" si="0">$G$1/E2</f>
        <v>140000</v>
      </c>
      <c r="F3" s="29">
        <f t="shared" si="0"/>
        <v>70000</v>
      </c>
      <c r="G3" s="29">
        <f t="shared" si="0"/>
        <v>46666.666666666664</v>
      </c>
      <c r="H3" s="29">
        <f t="shared" ref="H3:M3" si="1">$M$1/H2</f>
        <v>47500</v>
      </c>
      <c r="I3" s="29">
        <f t="shared" si="1"/>
        <v>38000</v>
      </c>
      <c r="J3" s="29">
        <f t="shared" si="1"/>
        <v>31666.666666666668</v>
      </c>
      <c r="K3" s="29">
        <f t="shared" si="1"/>
        <v>27142.857142857141</v>
      </c>
      <c r="L3" s="29">
        <f t="shared" si="1"/>
        <v>23750</v>
      </c>
      <c r="M3" s="29">
        <f t="shared" si="1"/>
        <v>21111.111111111109</v>
      </c>
      <c r="N3" s="29">
        <f t="shared" ref="N3:S3" si="2">$S$1/N2</f>
        <v>20700</v>
      </c>
      <c r="O3" s="29">
        <f t="shared" si="2"/>
        <v>18818.18181818182</v>
      </c>
      <c r="P3" s="29">
        <f t="shared" si="2"/>
        <v>17250</v>
      </c>
      <c r="Q3" s="29">
        <f t="shared" si="2"/>
        <v>15923.076923076924</v>
      </c>
      <c r="R3" s="29">
        <f t="shared" si="2"/>
        <v>14785.714285714286</v>
      </c>
      <c r="S3" s="29">
        <f t="shared" si="2"/>
        <v>13800</v>
      </c>
      <c r="T3" s="29">
        <f t="shared" ref="T3:W3" si="3">$W$1/T2</f>
        <v>17437.5</v>
      </c>
      <c r="U3" s="29">
        <f t="shared" si="3"/>
        <v>16411.764705882353</v>
      </c>
      <c r="V3" s="29">
        <f t="shared" si="3"/>
        <v>15500</v>
      </c>
      <c r="W3" s="29">
        <f t="shared" si="3"/>
        <v>14684.21052631579</v>
      </c>
      <c r="X3" s="82">
        <f t="shared" ref="X3:AC3" si="4">$AC$1/X2</f>
        <v>18050</v>
      </c>
      <c r="Y3" s="82">
        <f t="shared" si="4"/>
        <v>17190.476190476191</v>
      </c>
      <c r="Z3" s="82">
        <f t="shared" si="4"/>
        <v>16409.090909090908</v>
      </c>
      <c r="AA3" s="82">
        <f t="shared" si="4"/>
        <v>15695.652173913044</v>
      </c>
      <c r="AB3" s="82">
        <f t="shared" si="4"/>
        <v>15041.666666666666</v>
      </c>
      <c r="AC3" s="82">
        <f t="shared" si="4"/>
        <v>14440</v>
      </c>
    </row>
    <row r="4" spans="1:29" x14ac:dyDescent="0.25">
      <c r="A4" s="278"/>
      <c r="B4" s="102" t="s">
        <v>87</v>
      </c>
      <c r="C4" s="101" t="s">
        <v>15</v>
      </c>
      <c r="D4" s="10" t="s">
        <v>16</v>
      </c>
      <c r="E4" s="29">
        <f t="shared" ref="E4:AC4" si="5">$F$1/E2</f>
        <v>125000</v>
      </c>
      <c r="F4" s="29">
        <f t="shared" si="5"/>
        <v>62500</v>
      </c>
      <c r="G4" s="29">
        <f t="shared" si="5"/>
        <v>41666.666666666664</v>
      </c>
      <c r="H4" s="29">
        <f t="shared" si="5"/>
        <v>31250</v>
      </c>
      <c r="I4" s="29">
        <f t="shared" si="5"/>
        <v>25000</v>
      </c>
      <c r="J4" s="29">
        <f t="shared" si="5"/>
        <v>20833.333333333332</v>
      </c>
      <c r="K4" s="29">
        <f t="shared" si="5"/>
        <v>17857.142857142859</v>
      </c>
      <c r="L4" s="29">
        <f t="shared" si="5"/>
        <v>15625</v>
      </c>
      <c r="M4" s="29">
        <f t="shared" si="5"/>
        <v>13888.888888888889</v>
      </c>
      <c r="N4" s="29">
        <f t="shared" si="5"/>
        <v>12500</v>
      </c>
      <c r="O4" s="29">
        <f t="shared" si="5"/>
        <v>11363.636363636364</v>
      </c>
      <c r="P4" s="29">
        <f t="shared" si="5"/>
        <v>10416.666666666666</v>
      </c>
      <c r="Q4" s="29">
        <f t="shared" si="5"/>
        <v>9615.3846153846152</v>
      </c>
      <c r="R4" s="29">
        <f t="shared" si="5"/>
        <v>8928.5714285714294</v>
      </c>
      <c r="S4" s="29">
        <f t="shared" si="5"/>
        <v>8333.3333333333339</v>
      </c>
      <c r="T4" s="29">
        <f t="shared" si="5"/>
        <v>7812.5</v>
      </c>
      <c r="U4" s="29">
        <f t="shared" si="5"/>
        <v>7352.9411764705883</v>
      </c>
      <c r="V4" s="29">
        <f t="shared" si="5"/>
        <v>6944.4444444444443</v>
      </c>
      <c r="W4" s="29">
        <f t="shared" si="5"/>
        <v>6578.9473684210525</v>
      </c>
      <c r="X4" s="29">
        <f t="shared" si="5"/>
        <v>6250</v>
      </c>
      <c r="Y4" s="29">
        <f t="shared" si="5"/>
        <v>5952.3809523809523</v>
      </c>
      <c r="Z4" s="29">
        <f t="shared" si="5"/>
        <v>5681.818181818182</v>
      </c>
      <c r="AA4" s="29">
        <f t="shared" si="5"/>
        <v>5434.782608695652</v>
      </c>
      <c r="AB4" s="29">
        <f t="shared" si="5"/>
        <v>5208.333333333333</v>
      </c>
      <c r="AC4" s="29">
        <f t="shared" si="5"/>
        <v>5000</v>
      </c>
    </row>
    <row r="5" spans="1:29" x14ac:dyDescent="0.25">
      <c r="A5" s="278"/>
      <c r="B5" s="227"/>
      <c r="C5" s="70"/>
      <c r="D5" s="71"/>
      <c r="E5" s="83">
        <f t="shared" ref="E5:AC5" si="6">SUM(E3:E4)</f>
        <v>265000</v>
      </c>
      <c r="F5" s="83">
        <f t="shared" si="6"/>
        <v>132500</v>
      </c>
      <c r="G5" s="83">
        <f t="shared" si="6"/>
        <v>88333.333333333328</v>
      </c>
      <c r="H5" s="83">
        <f t="shared" si="6"/>
        <v>78750</v>
      </c>
      <c r="I5" s="83">
        <f t="shared" si="6"/>
        <v>63000</v>
      </c>
      <c r="J5" s="83">
        <f t="shared" si="6"/>
        <v>52500</v>
      </c>
      <c r="K5" s="83">
        <f t="shared" si="6"/>
        <v>45000</v>
      </c>
      <c r="L5" s="83">
        <f t="shared" si="6"/>
        <v>39375</v>
      </c>
      <c r="M5" s="83">
        <f t="shared" si="6"/>
        <v>35000</v>
      </c>
      <c r="N5" s="83">
        <f t="shared" si="6"/>
        <v>33200</v>
      </c>
      <c r="O5" s="83">
        <f t="shared" si="6"/>
        <v>30181.818181818184</v>
      </c>
      <c r="P5" s="83">
        <f t="shared" si="6"/>
        <v>27666.666666666664</v>
      </c>
      <c r="Q5" s="83">
        <f t="shared" si="6"/>
        <v>25538.461538461539</v>
      </c>
      <c r="R5" s="83">
        <f t="shared" si="6"/>
        <v>23714.285714285717</v>
      </c>
      <c r="S5" s="83">
        <f t="shared" si="6"/>
        <v>22133.333333333336</v>
      </c>
      <c r="T5" s="83">
        <f t="shared" si="6"/>
        <v>25250</v>
      </c>
      <c r="U5" s="83">
        <f t="shared" si="6"/>
        <v>23764.705882352941</v>
      </c>
      <c r="V5" s="83">
        <f t="shared" si="6"/>
        <v>22444.444444444445</v>
      </c>
      <c r="W5" s="83">
        <f t="shared" si="6"/>
        <v>21263.157894736843</v>
      </c>
      <c r="X5" s="83">
        <f t="shared" si="6"/>
        <v>24300</v>
      </c>
      <c r="Y5" s="83">
        <f t="shared" si="6"/>
        <v>23142.857142857145</v>
      </c>
      <c r="Z5" s="83">
        <f t="shared" si="6"/>
        <v>22090.909090909088</v>
      </c>
      <c r="AA5" s="83">
        <f t="shared" si="6"/>
        <v>21130.434782608696</v>
      </c>
      <c r="AB5" s="83">
        <f t="shared" si="6"/>
        <v>20250</v>
      </c>
      <c r="AC5" s="83">
        <f t="shared" si="6"/>
        <v>19440</v>
      </c>
    </row>
    <row r="6" spans="1:29" x14ac:dyDescent="0.25">
      <c r="A6" s="278"/>
      <c r="B6" s="16" t="s">
        <v>88</v>
      </c>
      <c r="C6" s="101" t="s">
        <v>19</v>
      </c>
      <c r="D6" s="72" t="s">
        <v>20</v>
      </c>
      <c r="E6" s="85">
        <v>5000</v>
      </c>
      <c r="F6" s="29">
        <f t="shared" ref="F6:AC6" si="7">E6</f>
        <v>5000</v>
      </c>
      <c r="G6" s="29">
        <f t="shared" si="7"/>
        <v>5000</v>
      </c>
      <c r="H6" s="29">
        <f t="shared" si="7"/>
        <v>5000</v>
      </c>
      <c r="I6" s="29">
        <f t="shared" si="7"/>
        <v>5000</v>
      </c>
      <c r="J6" s="29">
        <f t="shared" si="7"/>
        <v>5000</v>
      </c>
      <c r="K6" s="29">
        <f t="shared" si="7"/>
        <v>5000</v>
      </c>
      <c r="L6" s="29">
        <f t="shared" si="7"/>
        <v>5000</v>
      </c>
      <c r="M6" s="29">
        <f t="shared" si="7"/>
        <v>5000</v>
      </c>
      <c r="N6" s="29">
        <f t="shared" si="7"/>
        <v>5000</v>
      </c>
      <c r="O6" s="29">
        <f t="shared" si="7"/>
        <v>5000</v>
      </c>
      <c r="P6" s="29">
        <f t="shared" si="7"/>
        <v>5000</v>
      </c>
      <c r="Q6" s="29">
        <f t="shared" si="7"/>
        <v>5000</v>
      </c>
      <c r="R6" s="29">
        <f t="shared" si="7"/>
        <v>5000</v>
      </c>
      <c r="S6" s="29">
        <f t="shared" si="7"/>
        <v>5000</v>
      </c>
      <c r="T6" s="29">
        <f t="shared" si="7"/>
        <v>5000</v>
      </c>
      <c r="U6" s="29">
        <f t="shared" si="7"/>
        <v>5000</v>
      </c>
      <c r="V6" s="29">
        <f t="shared" si="7"/>
        <v>5000</v>
      </c>
      <c r="W6" s="29">
        <f t="shared" si="7"/>
        <v>5000</v>
      </c>
      <c r="X6" s="29">
        <f t="shared" si="7"/>
        <v>5000</v>
      </c>
      <c r="Y6" s="29">
        <f t="shared" si="7"/>
        <v>5000</v>
      </c>
      <c r="Z6" s="29">
        <f t="shared" si="7"/>
        <v>5000</v>
      </c>
      <c r="AA6" s="29">
        <f t="shared" si="7"/>
        <v>5000</v>
      </c>
      <c r="AB6" s="29">
        <f t="shared" si="7"/>
        <v>5000</v>
      </c>
      <c r="AC6" s="29">
        <f t="shared" si="7"/>
        <v>5000</v>
      </c>
    </row>
    <row r="7" spans="1:29" x14ac:dyDescent="0.25">
      <c r="A7" s="13"/>
      <c r="B7" s="18" t="s">
        <v>29</v>
      </c>
      <c r="C7" s="18"/>
      <c r="D7" s="18"/>
      <c r="E7" s="73">
        <f t="shared" ref="E7:AC7" si="8">SUM(E5:E6)</f>
        <v>270000</v>
      </c>
      <c r="F7" s="73">
        <f t="shared" si="8"/>
        <v>137500</v>
      </c>
      <c r="G7" s="73">
        <f t="shared" si="8"/>
        <v>93333.333333333328</v>
      </c>
      <c r="H7" s="73">
        <f t="shared" si="8"/>
        <v>83750</v>
      </c>
      <c r="I7" s="73">
        <f t="shared" si="8"/>
        <v>68000</v>
      </c>
      <c r="J7" s="73">
        <f t="shared" si="8"/>
        <v>57500</v>
      </c>
      <c r="K7" s="73">
        <f t="shared" si="8"/>
        <v>50000</v>
      </c>
      <c r="L7" s="73">
        <f t="shared" si="8"/>
        <v>44375</v>
      </c>
      <c r="M7" s="73">
        <f t="shared" si="8"/>
        <v>40000</v>
      </c>
      <c r="N7" s="73">
        <f t="shared" si="8"/>
        <v>38200</v>
      </c>
      <c r="O7" s="73">
        <f t="shared" si="8"/>
        <v>35181.818181818184</v>
      </c>
      <c r="P7" s="73">
        <f t="shared" si="8"/>
        <v>32666.666666666664</v>
      </c>
      <c r="Q7" s="73">
        <f t="shared" si="8"/>
        <v>30538.461538461539</v>
      </c>
      <c r="R7" s="73">
        <f t="shared" si="8"/>
        <v>28714.285714285717</v>
      </c>
      <c r="S7" s="73">
        <f t="shared" si="8"/>
        <v>27133.333333333336</v>
      </c>
      <c r="T7" s="73">
        <f t="shared" si="8"/>
        <v>30250</v>
      </c>
      <c r="U7" s="73">
        <f t="shared" si="8"/>
        <v>28764.705882352941</v>
      </c>
      <c r="V7" s="73">
        <f t="shared" si="8"/>
        <v>27444.444444444445</v>
      </c>
      <c r="W7" s="73">
        <f t="shared" si="8"/>
        <v>26263.157894736843</v>
      </c>
      <c r="X7" s="73">
        <f t="shared" si="8"/>
        <v>29300</v>
      </c>
      <c r="Y7" s="73">
        <f t="shared" si="8"/>
        <v>28142.857142857145</v>
      </c>
      <c r="Z7" s="73">
        <f t="shared" si="8"/>
        <v>27090.909090909088</v>
      </c>
      <c r="AA7" s="73">
        <f t="shared" si="8"/>
        <v>26130.434782608696</v>
      </c>
      <c r="AB7" s="73">
        <f t="shared" si="8"/>
        <v>25250</v>
      </c>
      <c r="AC7" s="73">
        <f t="shared" si="8"/>
        <v>24440</v>
      </c>
    </row>
    <row r="8" spans="1:29" ht="15" customHeight="1" x14ac:dyDescent="0.25">
      <c r="A8" s="177"/>
      <c r="B8" s="308">
        <v>0.75</v>
      </c>
      <c r="C8" s="18"/>
      <c r="D8" s="152" t="s">
        <v>22</v>
      </c>
      <c r="E8" s="73">
        <f>E7/B8</f>
        <v>360000</v>
      </c>
      <c r="F8" s="73">
        <f>F7/B8</f>
        <v>183333.33333333334</v>
      </c>
      <c r="G8" s="73">
        <f>G7/B8</f>
        <v>124444.44444444444</v>
      </c>
      <c r="H8" s="73">
        <f>H7/B8</f>
        <v>111666.66666666667</v>
      </c>
      <c r="I8" s="73">
        <f>I7/B8</f>
        <v>90666.666666666672</v>
      </c>
      <c r="J8" s="73">
        <f>J7/B8</f>
        <v>76666.666666666672</v>
      </c>
      <c r="K8" s="73">
        <f>K7/B8</f>
        <v>66666.666666666672</v>
      </c>
      <c r="L8" s="73">
        <f>L7/B8</f>
        <v>59166.666666666664</v>
      </c>
      <c r="M8" s="73">
        <f>M7/B8</f>
        <v>53333.333333333336</v>
      </c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</row>
    <row r="9" spans="1:29" x14ac:dyDescent="0.25">
      <c r="A9" s="177"/>
      <c r="B9" s="174"/>
      <c r="C9" s="19"/>
      <c r="D9" s="162" t="s">
        <v>23</v>
      </c>
      <c r="E9" s="163">
        <f>_xlfn.CEILING.MATH(E8,1000)</f>
        <v>360000</v>
      </c>
      <c r="F9" s="163">
        <f>_xlfn.CEILING.MATH(F8,1000)</f>
        <v>184000</v>
      </c>
      <c r="G9" s="163">
        <f t="shared" ref="G9:M9" si="9">_xlfn.CEILING.MATH(G8,1000)</f>
        <v>125000</v>
      </c>
      <c r="H9" s="163">
        <f t="shared" si="9"/>
        <v>112000</v>
      </c>
      <c r="I9" s="163">
        <f t="shared" si="9"/>
        <v>91000</v>
      </c>
      <c r="J9" s="163">
        <f t="shared" si="9"/>
        <v>77000</v>
      </c>
      <c r="K9" s="163">
        <f t="shared" si="9"/>
        <v>67000</v>
      </c>
      <c r="L9" s="163">
        <f t="shared" si="9"/>
        <v>60000</v>
      </c>
      <c r="M9" s="163">
        <f t="shared" si="9"/>
        <v>54000</v>
      </c>
      <c r="N9" s="20"/>
      <c r="O9" s="20"/>
      <c r="P9" s="20"/>
      <c r="Q9" s="20"/>
      <c r="R9" s="20"/>
      <c r="S9" s="20"/>
      <c r="T9" s="20"/>
      <c r="U9" s="20"/>
      <c r="V9" s="20"/>
      <c r="W9" s="21"/>
      <c r="X9" s="22"/>
      <c r="Y9" s="22"/>
      <c r="Z9" s="22"/>
      <c r="AA9" s="22"/>
      <c r="AB9" s="22"/>
      <c r="AC9" s="23"/>
    </row>
    <row r="10" spans="1:29" x14ac:dyDescent="0.25">
      <c r="A10" s="21"/>
      <c r="B10" s="21"/>
      <c r="C10" s="21"/>
      <c r="D10" s="21"/>
      <c r="E10" s="20"/>
      <c r="F10" s="20"/>
      <c r="G10" s="74"/>
      <c r="H10" s="20"/>
      <c r="I10" s="20"/>
      <c r="J10" s="74"/>
      <c r="K10" s="20"/>
      <c r="L10" s="20"/>
      <c r="M10" s="20"/>
      <c r="N10" s="20"/>
      <c r="O10" s="20"/>
      <c r="P10" s="20"/>
      <c r="Q10" s="20"/>
      <c r="R10" s="20"/>
      <c r="S10" s="75"/>
      <c r="T10" s="20"/>
      <c r="U10" s="20"/>
      <c r="V10" s="20"/>
      <c r="W10" s="75"/>
      <c r="X10" s="22"/>
      <c r="Y10" s="22"/>
      <c r="Z10" s="22"/>
      <c r="AA10" s="22"/>
      <c r="AB10" s="22"/>
      <c r="AC10" s="223"/>
    </row>
    <row r="11" spans="1:29" ht="30" x14ac:dyDescent="0.25">
      <c r="A11" s="1" t="s">
        <v>0</v>
      </c>
      <c r="B11" s="1" t="s">
        <v>1</v>
      </c>
      <c r="C11" s="1" t="s">
        <v>2</v>
      </c>
      <c r="D11" s="1" t="s">
        <v>3</v>
      </c>
      <c r="E11" s="211" t="s">
        <v>4</v>
      </c>
      <c r="F11" s="2">
        <v>200000</v>
      </c>
      <c r="G11" s="182">
        <v>250000</v>
      </c>
      <c r="H11" s="256" t="s">
        <v>89</v>
      </c>
      <c r="I11" s="256"/>
      <c r="J11" s="256"/>
      <c r="K11" s="256"/>
      <c r="L11" s="256"/>
      <c r="M11" s="4">
        <v>430000</v>
      </c>
      <c r="N11" s="181" t="s">
        <v>60</v>
      </c>
      <c r="O11" s="149"/>
      <c r="P11" s="149"/>
      <c r="Q11" s="149"/>
      <c r="R11" s="178"/>
      <c r="S11" s="69">
        <v>437000</v>
      </c>
      <c r="T11" s="259" t="s">
        <v>35</v>
      </c>
      <c r="U11" s="258"/>
      <c r="V11" s="254"/>
      <c r="W11" s="6">
        <v>529000</v>
      </c>
      <c r="X11" s="257" t="s">
        <v>36</v>
      </c>
      <c r="Y11" s="258"/>
      <c r="Z11" s="258"/>
      <c r="AA11" s="258"/>
      <c r="AB11" s="254"/>
      <c r="AC11" s="221">
        <v>722000</v>
      </c>
    </row>
    <row r="12" spans="1:29" x14ac:dyDescent="0.25">
      <c r="A12" s="218" t="s">
        <v>61</v>
      </c>
      <c r="B12" s="190"/>
      <c r="C12" s="101"/>
      <c r="D12" s="102"/>
      <c r="E12" s="7" t="s">
        <v>9</v>
      </c>
      <c r="F12" s="7" t="s">
        <v>62</v>
      </c>
      <c r="G12" s="7" t="s">
        <v>63</v>
      </c>
      <c r="H12" s="186" t="s">
        <v>64</v>
      </c>
      <c r="I12" s="186" t="s">
        <v>65</v>
      </c>
      <c r="J12" s="186" t="s">
        <v>66</v>
      </c>
      <c r="K12" s="186" t="s">
        <v>67</v>
      </c>
      <c r="L12" s="186" t="s">
        <v>68</v>
      </c>
      <c r="M12" s="7" t="s">
        <v>69</v>
      </c>
      <c r="N12" s="7" t="s">
        <v>70</v>
      </c>
      <c r="O12" s="7" t="s">
        <v>71</v>
      </c>
      <c r="P12" s="7" t="s">
        <v>72</v>
      </c>
      <c r="Q12" s="7" t="s">
        <v>73</v>
      </c>
      <c r="R12" s="7" t="s">
        <v>74</v>
      </c>
      <c r="S12" s="7" t="s">
        <v>75</v>
      </c>
      <c r="T12" s="7" t="s">
        <v>76</v>
      </c>
      <c r="U12" s="7" t="s">
        <v>77</v>
      </c>
      <c r="V12" s="7" t="s">
        <v>78</v>
      </c>
      <c r="W12" s="7" t="s">
        <v>79</v>
      </c>
      <c r="X12" s="7" t="s">
        <v>80</v>
      </c>
      <c r="Y12" s="7" t="s">
        <v>81</v>
      </c>
      <c r="Z12" s="7" t="s">
        <v>82</v>
      </c>
      <c r="AA12" s="7" t="s">
        <v>83</v>
      </c>
      <c r="AB12" s="7" t="s">
        <v>84</v>
      </c>
      <c r="AC12" s="7" t="s">
        <v>85</v>
      </c>
    </row>
    <row r="13" spans="1:29" ht="26.25" x14ac:dyDescent="0.25">
      <c r="A13" s="277" t="s">
        <v>90</v>
      </c>
      <c r="B13" s="16" t="s">
        <v>87</v>
      </c>
      <c r="C13" s="101" t="s">
        <v>12</v>
      </c>
      <c r="D13" s="9" t="s">
        <v>13</v>
      </c>
      <c r="E13" s="29">
        <f t="shared" ref="E13:G13" si="10">$G$11/E12</f>
        <v>250000</v>
      </c>
      <c r="F13" s="29">
        <f t="shared" si="10"/>
        <v>125000</v>
      </c>
      <c r="G13" s="29">
        <f t="shared" si="10"/>
        <v>83333.333333333328</v>
      </c>
      <c r="H13" s="29">
        <f t="shared" ref="H13:M13" si="11">$M$11/H12</f>
        <v>107500</v>
      </c>
      <c r="I13" s="29">
        <f t="shared" si="11"/>
        <v>86000</v>
      </c>
      <c r="J13" s="29">
        <f t="shared" si="11"/>
        <v>71666.666666666672</v>
      </c>
      <c r="K13" s="29">
        <f t="shared" si="11"/>
        <v>61428.571428571428</v>
      </c>
      <c r="L13" s="29">
        <f t="shared" si="11"/>
        <v>53750</v>
      </c>
      <c r="M13" s="29">
        <f t="shared" si="11"/>
        <v>47777.777777777781</v>
      </c>
      <c r="N13" s="29">
        <f t="shared" ref="N13:S13" si="12">$S$11/N12</f>
        <v>43700</v>
      </c>
      <c r="O13" s="29">
        <f t="shared" si="12"/>
        <v>39727.272727272728</v>
      </c>
      <c r="P13" s="29">
        <f t="shared" si="12"/>
        <v>36416.666666666664</v>
      </c>
      <c r="Q13" s="29">
        <f t="shared" si="12"/>
        <v>33615.384615384617</v>
      </c>
      <c r="R13" s="29">
        <f t="shared" si="12"/>
        <v>31214.285714285714</v>
      </c>
      <c r="S13" s="29">
        <f t="shared" si="12"/>
        <v>29133.333333333332</v>
      </c>
      <c r="T13" s="29">
        <f t="shared" ref="T13:W13" si="13">$W$11/T12</f>
        <v>33062.5</v>
      </c>
      <c r="U13" s="29">
        <f t="shared" si="13"/>
        <v>31117.647058823528</v>
      </c>
      <c r="V13" s="29">
        <f t="shared" si="13"/>
        <v>29388.888888888891</v>
      </c>
      <c r="W13" s="29">
        <f t="shared" si="13"/>
        <v>27842.105263157893</v>
      </c>
      <c r="X13" s="82">
        <f t="shared" ref="X13:AC13" si="14">$AC$11/X12</f>
        <v>36100</v>
      </c>
      <c r="Y13" s="82">
        <f t="shared" si="14"/>
        <v>34380.952380952382</v>
      </c>
      <c r="Z13" s="82">
        <f t="shared" si="14"/>
        <v>32818.181818181816</v>
      </c>
      <c r="AA13" s="82">
        <f t="shared" si="14"/>
        <v>31391.304347826088</v>
      </c>
      <c r="AB13" s="82">
        <f t="shared" si="14"/>
        <v>30083.333333333332</v>
      </c>
      <c r="AC13" s="82">
        <f t="shared" si="14"/>
        <v>28880</v>
      </c>
    </row>
    <row r="14" spans="1:29" x14ac:dyDescent="0.25">
      <c r="A14" s="278"/>
      <c r="B14" s="102" t="s">
        <v>87</v>
      </c>
      <c r="C14" s="101" t="s">
        <v>15</v>
      </c>
      <c r="D14" s="10" t="s">
        <v>16</v>
      </c>
      <c r="E14" s="29">
        <f t="shared" ref="E14:AC14" si="15">$F$11/E12</f>
        <v>200000</v>
      </c>
      <c r="F14" s="29">
        <f t="shared" si="15"/>
        <v>100000</v>
      </c>
      <c r="G14" s="29">
        <f t="shared" si="15"/>
        <v>66666.666666666672</v>
      </c>
      <c r="H14" s="29">
        <f t="shared" si="15"/>
        <v>50000</v>
      </c>
      <c r="I14" s="29">
        <f t="shared" si="15"/>
        <v>40000</v>
      </c>
      <c r="J14" s="29">
        <f t="shared" si="15"/>
        <v>33333.333333333336</v>
      </c>
      <c r="K14" s="29">
        <f t="shared" si="15"/>
        <v>28571.428571428572</v>
      </c>
      <c r="L14" s="29">
        <f t="shared" si="15"/>
        <v>25000</v>
      </c>
      <c r="M14" s="29">
        <f t="shared" si="15"/>
        <v>22222.222222222223</v>
      </c>
      <c r="N14" s="29">
        <f t="shared" si="15"/>
        <v>20000</v>
      </c>
      <c r="O14" s="29">
        <f t="shared" si="15"/>
        <v>18181.81818181818</v>
      </c>
      <c r="P14" s="29">
        <f t="shared" si="15"/>
        <v>16666.666666666668</v>
      </c>
      <c r="Q14" s="29">
        <f t="shared" si="15"/>
        <v>15384.615384615385</v>
      </c>
      <c r="R14" s="29">
        <f t="shared" si="15"/>
        <v>14285.714285714286</v>
      </c>
      <c r="S14" s="29">
        <f t="shared" si="15"/>
        <v>13333.333333333334</v>
      </c>
      <c r="T14" s="29">
        <f t="shared" si="15"/>
        <v>12500</v>
      </c>
      <c r="U14" s="29">
        <f t="shared" si="15"/>
        <v>11764.705882352941</v>
      </c>
      <c r="V14" s="29">
        <f t="shared" si="15"/>
        <v>11111.111111111111</v>
      </c>
      <c r="W14" s="29">
        <f t="shared" si="15"/>
        <v>10526.315789473685</v>
      </c>
      <c r="X14" s="29">
        <f t="shared" si="15"/>
        <v>10000</v>
      </c>
      <c r="Y14" s="29">
        <f t="shared" si="15"/>
        <v>9523.8095238095229</v>
      </c>
      <c r="Z14" s="29">
        <f t="shared" si="15"/>
        <v>9090.9090909090901</v>
      </c>
      <c r="AA14" s="29">
        <f t="shared" si="15"/>
        <v>8695.652173913044</v>
      </c>
      <c r="AB14" s="29">
        <f t="shared" si="15"/>
        <v>8333.3333333333339</v>
      </c>
      <c r="AC14" s="29">
        <f t="shared" si="15"/>
        <v>8000</v>
      </c>
    </row>
    <row r="15" spans="1:29" x14ac:dyDescent="0.25">
      <c r="A15" s="278"/>
      <c r="B15" s="227"/>
      <c r="C15" s="70"/>
      <c r="D15" s="71"/>
      <c r="E15" s="83">
        <f t="shared" ref="E15:AC15" si="16">SUM(E13:E14)</f>
        <v>450000</v>
      </c>
      <c r="F15" s="83">
        <f t="shared" si="16"/>
        <v>225000</v>
      </c>
      <c r="G15" s="83">
        <f t="shared" si="16"/>
        <v>150000</v>
      </c>
      <c r="H15" s="83">
        <f t="shared" si="16"/>
        <v>157500</v>
      </c>
      <c r="I15" s="83">
        <f t="shared" si="16"/>
        <v>126000</v>
      </c>
      <c r="J15" s="83">
        <f t="shared" si="16"/>
        <v>105000</v>
      </c>
      <c r="K15" s="83">
        <f t="shared" si="16"/>
        <v>90000</v>
      </c>
      <c r="L15" s="83">
        <f t="shared" si="16"/>
        <v>78750</v>
      </c>
      <c r="M15" s="83">
        <f t="shared" si="16"/>
        <v>70000</v>
      </c>
      <c r="N15" s="83">
        <f t="shared" si="16"/>
        <v>63700</v>
      </c>
      <c r="O15" s="83">
        <f t="shared" si="16"/>
        <v>57909.090909090912</v>
      </c>
      <c r="P15" s="83">
        <f t="shared" si="16"/>
        <v>53083.333333333328</v>
      </c>
      <c r="Q15" s="83">
        <f t="shared" si="16"/>
        <v>49000</v>
      </c>
      <c r="R15" s="83">
        <f t="shared" si="16"/>
        <v>45500</v>
      </c>
      <c r="S15" s="83">
        <f t="shared" si="16"/>
        <v>42466.666666666664</v>
      </c>
      <c r="T15" s="83">
        <f t="shared" si="16"/>
        <v>45562.5</v>
      </c>
      <c r="U15" s="83">
        <f t="shared" si="16"/>
        <v>42882.352941176468</v>
      </c>
      <c r="V15" s="83">
        <f t="shared" si="16"/>
        <v>40500</v>
      </c>
      <c r="W15" s="83">
        <f t="shared" si="16"/>
        <v>38368.42105263158</v>
      </c>
      <c r="X15" s="83">
        <f t="shared" si="16"/>
        <v>46100</v>
      </c>
      <c r="Y15" s="83">
        <f t="shared" si="16"/>
        <v>43904.761904761908</v>
      </c>
      <c r="Z15" s="83">
        <f t="shared" si="16"/>
        <v>41909.090909090904</v>
      </c>
      <c r="AA15" s="83">
        <f t="shared" si="16"/>
        <v>40086.956521739135</v>
      </c>
      <c r="AB15" s="83">
        <f t="shared" si="16"/>
        <v>38416.666666666664</v>
      </c>
      <c r="AC15" s="83">
        <f t="shared" si="16"/>
        <v>36880</v>
      </c>
    </row>
    <row r="16" spans="1:29" x14ac:dyDescent="0.25">
      <c r="A16" s="278"/>
      <c r="B16" s="16" t="s">
        <v>91</v>
      </c>
      <c r="C16" s="101" t="s">
        <v>27</v>
      </c>
      <c r="D16" s="25" t="s">
        <v>28</v>
      </c>
      <c r="E16" s="87">
        <v>40000</v>
      </c>
      <c r="F16" s="29">
        <f t="shared" ref="F16:AC16" si="17">E16</f>
        <v>40000</v>
      </c>
      <c r="G16" s="29">
        <f t="shared" si="17"/>
        <v>40000</v>
      </c>
      <c r="H16" s="29">
        <f t="shared" si="17"/>
        <v>40000</v>
      </c>
      <c r="I16" s="29">
        <f t="shared" si="17"/>
        <v>40000</v>
      </c>
      <c r="J16" s="29">
        <f t="shared" si="17"/>
        <v>40000</v>
      </c>
      <c r="K16" s="29">
        <f t="shared" si="17"/>
        <v>40000</v>
      </c>
      <c r="L16" s="29">
        <f t="shared" si="17"/>
        <v>40000</v>
      </c>
      <c r="M16" s="29">
        <f t="shared" si="17"/>
        <v>40000</v>
      </c>
      <c r="N16" s="29">
        <f t="shared" si="17"/>
        <v>40000</v>
      </c>
      <c r="O16" s="29">
        <f t="shared" si="17"/>
        <v>40000</v>
      </c>
      <c r="P16" s="29">
        <f t="shared" si="17"/>
        <v>40000</v>
      </c>
      <c r="Q16" s="29">
        <f t="shared" si="17"/>
        <v>40000</v>
      </c>
      <c r="R16" s="29">
        <f t="shared" si="17"/>
        <v>40000</v>
      </c>
      <c r="S16" s="29">
        <f t="shared" si="17"/>
        <v>40000</v>
      </c>
      <c r="T16" s="29">
        <f t="shared" si="17"/>
        <v>40000</v>
      </c>
      <c r="U16" s="29">
        <f t="shared" si="17"/>
        <v>40000</v>
      </c>
      <c r="V16" s="29">
        <f t="shared" si="17"/>
        <v>40000</v>
      </c>
      <c r="W16" s="29">
        <f t="shared" si="17"/>
        <v>40000</v>
      </c>
      <c r="X16" s="29">
        <f t="shared" si="17"/>
        <v>40000</v>
      </c>
      <c r="Y16" s="29">
        <f t="shared" si="17"/>
        <v>40000</v>
      </c>
      <c r="Z16" s="29">
        <f t="shared" si="17"/>
        <v>40000</v>
      </c>
      <c r="AA16" s="29">
        <f t="shared" si="17"/>
        <v>40000</v>
      </c>
      <c r="AB16" s="29">
        <f t="shared" si="17"/>
        <v>40000</v>
      </c>
      <c r="AC16" s="29">
        <f t="shared" si="17"/>
        <v>40000</v>
      </c>
    </row>
    <row r="17" spans="1:44" x14ac:dyDescent="0.25">
      <c r="A17" s="278"/>
      <c r="B17" s="16" t="s">
        <v>88</v>
      </c>
      <c r="C17" s="101" t="s">
        <v>19</v>
      </c>
      <c r="D17" s="72" t="s">
        <v>20</v>
      </c>
      <c r="E17" s="85">
        <v>5000</v>
      </c>
      <c r="F17" s="29">
        <f t="shared" ref="F17:AC17" si="18">E17</f>
        <v>5000</v>
      </c>
      <c r="G17" s="29">
        <f t="shared" si="18"/>
        <v>5000</v>
      </c>
      <c r="H17" s="29">
        <f t="shared" si="18"/>
        <v>5000</v>
      </c>
      <c r="I17" s="29">
        <f t="shared" si="18"/>
        <v>5000</v>
      </c>
      <c r="J17" s="29">
        <f t="shared" si="18"/>
        <v>5000</v>
      </c>
      <c r="K17" s="29">
        <f t="shared" si="18"/>
        <v>5000</v>
      </c>
      <c r="L17" s="29">
        <f t="shared" si="18"/>
        <v>5000</v>
      </c>
      <c r="M17" s="29">
        <f t="shared" si="18"/>
        <v>5000</v>
      </c>
      <c r="N17" s="29">
        <f t="shared" si="18"/>
        <v>5000</v>
      </c>
      <c r="O17" s="29">
        <f t="shared" si="18"/>
        <v>5000</v>
      </c>
      <c r="P17" s="29">
        <f t="shared" si="18"/>
        <v>5000</v>
      </c>
      <c r="Q17" s="29">
        <f t="shared" si="18"/>
        <v>5000</v>
      </c>
      <c r="R17" s="29">
        <f t="shared" si="18"/>
        <v>5000</v>
      </c>
      <c r="S17" s="29">
        <f t="shared" si="18"/>
        <v>5000</v>
      </c>
      <c r="T17" s="29">
        <f t="shared" si="18"/>
        <v>5000</v>
      </c>
      <c r="U17" s="29">
        <f t="shared" si="18"/>
        <v>5000</v>
      </c>
      <c r="V17" s="29">
        <f t="shared" si="18"/>
        <v>5000</v>
      </c>
      <c r="W17" s="29">
        <f t="shared" si="18"/>
        <v>5000</v>
      </c>
      <c r="X17" s="29">
        <f t="shared" si="18"/>
        <v>5000</v>
      </c>
      <c r="Y17" s="29">
        <f t="shared" si="18"/>
        <v>5000</v>
      </c>
      <c r="Z17" s="29">
        <f t="shared" si="18"/>
        <v>5000</v>
      </c>
      <c r="AA17" s="29">
        <f t="shared" si="18"/>
        <v>5000</v>
      </c>
      <c r="AB17" s="29">
        <f t="shared" si="18"/>
        <v>5000</v>
      </c>
      <c r="AC17" s="29">
        <f t="shared" si="18"/>
        <v>5000</v>
      </c>
    </row>
    <row r="18" spans="1:44" ht="30" x14ac:dyDescent="0.25">
      <c r="A18" s="279"/>
      <c r="B18" s="16" t="s">
        <v>92</v>
      </c>
      <c r="C18" s="101" t="s">
        <v>19</v>
      </c>
      <c r="D18" s="72" t="s">
        <v>20</v>
      </c>
      <c r="E18" s="85">
        <v>21000</v>
      </c>
      <c r="F18" s="29">
        <f t="shared" ref="F18:AC18" si="19">E18</f>
        <v>21000</v>
      </c>
      <c r="G18" s="29">
        <f t="shared" si="19"/>
        <v>21000</v>
      </c>
      <c r="H18" s="29">
        <f t="shared" si="19"/>
        <v>21000</v>
      </c>
      <c r="I18" s="29">
        <f t="shared" si="19"/>
        <v>21000</v>
      </c>
      <c r="J18" s="29">
        <f t="shared" si="19"/>
        <v>21000</v>
      </c>
      <c r="K18" s="29">
        <f t="shared" si="19"/>
        <v>21000</v>
      </c>
      <c r="L18" s="29">
        <f t="shared" si="19"/>
        <v>21000</v>
      </c>
      <c r="M18" s="29">
        <f t="shared" si="19"/>
        <v>21000</v>
      </c>
      <c r="N18" s="29">
        <f t="shared" si="19"/>
        <v>21000</v>
      </c>
      <c r="O18" s="29">
        <f t="shared" si="19"/>
        <v>21000</v>
      </c>
      <c r="P18" s="29">
        <f t="shared" si="19"/>
        <v>21000</v>
      </c>
      <c r="Q18" s="29">
        <f t="shared" si="19"/>
        <v>21000</v>
      </c>
      <c r="R18" s="29">
        <f t="shared" si="19"/>
        <v>21000</v>
      </c>
      <c r="S18" s="29">
        <f t="shared" si="19"/>
        <v>21000</v>
      </c>
      <c r="T18" s="29">
        <f t="shared" si="19"/>
        <v>21000</v>
      </c>
      <c r="U18" s="29">
        <f t="shared" si="19"/>
        <v>21000</v>
      </c>
      <c r="V18" s="29">
        <f t="shared" si="19"/>
        <v>21000</v>
      </c>
      <c r="W18" s="29">
        <f t="shared" si="19"/>
        <v>21000</v>
      </c>
      <c r="X18" s="29">
        <f t="shared" si="19"/>
        <v>21000</v>
      </c>
      <c r="Y18" s="29">
        <f t="shared" si="19"/>
        <v>21000</v>
      </c>
      <c r="Z18" s="29">
        <f t="shared" si="19"/>
        <v>21000</v>
      </c>
      <c r="AA18" s="29">
        <f t="shared" si="19"/>
        <v>21000</v>
      </c>
      <c r="AB18" s="29">
        <f t="shared" si="19"/>
        <v>21000</v>
      </c>
      <c r="AC18" s="29">
        <f t="shared" si="19"/>
        <v>21000</v>
      </c>
    </row>
    <row r="19" spans="1:44" x14ac:dyDescent="0.25">
      <c r="A19" s="13"/>
      <c r="B19" s="18" t="s">
        <v>29</v>
      </c>
      <c r="C19" s="18"/>
      <c r="D19" s="18"/>
      <c r="E19" s="73">
        <f t="shared" ref="E19:AC19" si="20">SUM(E15:E18)</f>
        <v>516000</v>
      </c>
      <c r="F19" s="73">
        <f t="shared" si="20"/>
        <v>291000</v>
      </c>
      <c r="G19" s="73">
        <f t="shared" si="20"/>
        <v>216000</v>
      </c>
      <c r="H19" s="73">
        <f t="shared" si="20"/>
        <v>223500</v>
      </c>
      <c r="I19" s="73">
        <f t="shared" si="20"/>
        <v>192000</v>
      </c>
      <c r="J19" s="73">
        <f t="shared" si="20"/>
        <v>171000</v>
      </c>
      <c r="K19" s="73">
        <f t="shared" si="20"/>
        <v>156000</v>
      </c>
      <c r="L19" s="73">
        <f t="shared" si="20"/>
        <v>144750</v>
      </c>
      <c r="M19" s="73">
        <f t="shared" si="20"/>
        <v>136000</v>
      </c>
      <c r="N19" s="73">
        <f t="shared" si="20"/>
        <v>129700</v>
      </c>
      <c r="O19" s="73">
        <f t="shared" si="20"/>
        <v>123909.09090909091</v>
      </c>
      <c r="P19" s="73">
        <f t="shared" si="20"/>
        <v>119083.33333333333</v>
      </c>
      <c r="Q19" s="73">
        <f t="shared" si="20"/>
        <v>115000</v>
      </c>
      <c r="R19" s="73">
        <f t="shared" si="20"/>
        <v>111500</v>
      </c>
      <c r="S19" s="73">
        <f t="shared" si="20"/>
        <v>108466.66666666666</v>
      </c>
      <c r="T19" s="73">
        <f t="shared" si="20"/>
        <v>111562.5</v>
      </c>
      <c r="U19" s="73">
        <f t="shared" si="20"/>
        <v>108882.35294117648</v>
      </c>
      <c r="V19" s="73">
        <f t="shared" si="20"/>
        <v>106500</v>
      </c>
      <c r="W19" s="73">
        <f t="shared" si="20"/>
        <v>104368.42105263157</v>
      </c>
      <c r="X19" s="73">
        <f t="shared" si="20"/>
        <v>112100</v>
      </c>
      <c r="Y19" s="73">
        <f t="shared" si="20"/>
        <v>109904.76190476191</v>
      </c>
      <c r="Z19" s="73">
        <f t="shared" si="20"/>
        <v>107909.09090909091</v>
      </c>
      <c r="AA19" s="73">
        <f t="shared" si="20"/>
        <v>106086.95652173914</v>
      </c>
      <c r="AB19" s="73">
        <f t="shared" si="20"/>
        <v>104416.66666666666</v>
      </c>
      <c r="AC19" s="73">
        <f t="shared" si="20"/>
        <v>102880</v>
      </c>
    </row>
    <row r="20" spans="1:44" ht="15" customHeight="1" x14ac:dyDescent="0.25">
      <c r="A20" s="177"/>
      <c r="B20" s="308">
        <v>0.75</v>
      </c>
      <c r="C20" s="18"/>
      <c r="D20" s="152" t="s">
        <v>22</v>
      </c>
      <c r="E20" s="73">
        <f>E19/B20</f>
        <v>688000</v>
      </c>
      <c r="F20" s="73">
        <f>F19/B20</f>
        <v>388000</v>
      </c>
      <c r="G20" s="73">
        <f>G19/B20</f>
        <v>288000</v>
      </c>
      <c r="H20" s="73">
        <f>H19/B20</f>
        <v>298000</v>
      </c>
      <c r="I20" s="73">
        <f>I19/B20</f>
        <v>256000</v>
      </c>
      <c r="J20" s="73">
        <f>J19/B20</f>
        <v>228000</v>
      </c>
      <c r="K20" s="73">
        <f>K19/B20</f>
        <v>208000</v>
      </c>
      <c r="L20" s="73">
        <f>L19/B20</f>
        <v>193000</v>
      </c>
      <c r="M20" s="73">
        <f>M19/B20</f>
        <v>181333.33333333334</v>
      </c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</row>
    <row r="21" spans="1:44" x14ac:dyDescent="0.25">
      <c r="A21" s="177"/>
      <c r="B21" s="174"/>
      <c r="C21" s="19"/>
      <c r="D21" s="162" t="s">
        <v>23</v>
      </c>
      <c r="E21" s="163">
        <f>_xlfn.CEILING.MATH(E20,1000)</f>
        <v>688000</v>
      </c>
      <c r="F21" s="163">
        <f>_xlfn.CEILING.MATH(F20,1000)</f>
        <v>388000</v>
      </c>
      <c r="G21" s="163">
        <f t="shared" ref="G21:M21" si="21">_xlfn.CEILING.MATH(G20,1000)</f>
        <v>288000</v>
      </c>
      <c r="H21" s="163">
        <f t="shared" si="21"/>
        <v>298000</v>
      </c>
      <c r="I21" s="163">
        <f t="shared" si="21"/>
        <v>256000</v>
      </c>
      <c r="J21" s="163">
        <f t="shared" si="21"/>
        <v>228000</v>
      </c>
      <c r="K21" s="163">
        <f t="shared" si="21"/>
        <v>208000</v>
      </c>
      <c r="L21" s="163">
        <f t="shared" si="21"/>
        <v>193000</v>
      </c>
      <c r="M21" s="163">
        <f t="shared" si="21"/>
        <v>182000</v>
      </c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22"/>
      <c r="Y21" s="22"/>
      <c r="Z21" s="22"/>
      <c r="AA21" s="22"/>
      <c r="AB21" s="22"/>
      <c r="AC21" s="23"/>
    </row>
    <row r="22" spans="1:44" x14ac:dyDescent="0.25">
      <c r="A22" s="19"/>
      <c r="B22" s="19"/>
      <c r="C22" s="19"/>
      <c r="D22" s="19"/>
      <c r="E22" s="19"/>
      <c r="F22" s="19"/>
      <c r="G22" s="19"/>
      <c r="H22" s="183"/>
      <c r="I22" s="183"/>
      <c r="J22" s="183"/>
      <c r="K22" s="183"/>
      <c r="L22" s="183"/>
      <c r="M22" s="19"/>
      <c r="N22" s="19"/>
      <c r="O22" s="19"/>
      <c r="P22" s="19"/>
      <c r="Q22" s="19"/>
      <c r="R22" s="19"/>
      <c r="S22" s="19"/>
      <c r="T22" s="19"/>
      <c r="U22" s="21"/>
      <c r="V22" s="21"/>
      <c r="W22" s="21"/>
    </row>
    <row r="23" spans="1:44" ht="30" x14ac:dyDescent="0.25">
      <c r="A23" s="218" t="s">
        <v>61</v>
      </c>
      <c r="B23" s="190"/>
      <c r="C23" s="101"/>
      <c r="D23" s="102"/>
      <c r="E23" s="211" t="s">
        <v>4</v>
      </c>
      <c r="F23" s="2">
        <v>175000</v>
      </c>
      <c r="G23" s="182">
        <v>320000</v>
      </c>
      <c r="H23" s="271" t="s">
        <v>5</v>
      </c>
      <c r="I23" s="272"/>
      <c r="J23" s="272"/>
      <c r="K23" s="272"/>
      <c r="L23" s="273"/>
      <c r="M23" s="4">
        <v>530000</v>
      </c>
      <c r="N23" s="181" t="s">
        <v>60</v>
      </c>
      <c r="O23" s="185"/>
      <c r="P23" s="185"/>
      <c r="Q23" s="185"/>
      <c r="R23" s="188"/>
      <c r="S23" s="69">
        <v>339000</v>
      </c>
      <c r="T23" s="259" t="s">
        <v>35</v>
      </c>
      <c r="U23" s="261"/>
      <c r="V23" s="274"/>
      <c r="W23" s="6">
        <v>529000</v>
      </c>
      <c r="X23" s="257" t="s">
        <v>36</v>
      </c>
      <c r="Y23" s="275"/>
      <c r="Z23" s="275"/>
      <c r="AA23" s="275"/>
      <c r="AB23" s="276"/>
      <c r="AC23" s="221">
        <v>472000</v>
      </c>
    </row>
    <row r="24" spans="1:44" ht="26.25" x14ac:dyDescent="0.25">
      <c r="A24" s="277" t="s">
        <v>93</v>
      </c>
      <c r="B24" s="190" t="s">
        <v>94</v>
      </c>
      <c r="C24" s="101" t="s">
        <v>95</v>
      </c>
      <c r="D24" s="9" t="s">
        <v>13</v>
      </c>
      <c r="E24" s="29">
        <f t="shared" ref="E24:G24" si="22">$G$23/E2</f>
        <v>320000</v>
      </c>
      <c r="F24" s="29">
        <f t="shared" si="22"/>
        <v>160000</v>
      </c>
      <c r="G24" s="29">
        <f t="shared" si="22"/>
        <v>106666.66666666667</v>
      </c>
      <c r="H24" s="150">
        <f t="shared" ref="H24:M24" si="23">$M$23/H2</f>
        <v>132500</v>
      </c>
      <c r="I24" s="150">
        <f t="shared" si="23"/>
        <v>106000</v>
      </c>
      <c r="J24" s="150">
        <f t="shared" si="23"/>
        <v>88333.333333333328</v>
      </c>
      <c r="K24" s="150">
        <f t="shared" si="23"/>
        <v>75714.28571428571</v>
      </c>
      <c r="L24" s="150">
        <f t="shared" si="23"/>
        <v>66250</v>
      </c>
      <c r="M24" s="29">
        <f t="shared" si="23"/>
        <v>58888.888888888891</v>
      </c>
      <c r="N24" s="29">
        <f t="shared" ref="N24:S24" si="24">$S$23/N2</f>
        <v>33900</v>
      </c>
      <c r="O24" s="29">
        <f t="shared" si="24"/>
        <v>30818.18181818182</v>
      </c>
      <c r="P24" s="29">
        <f t="shared" si="24"/>
        <v>28250</v>
      </c>
      <c r="Q24" s="29">
        <f t="shared" si="24"/>
        <v>26076.923076923078</v>
      </c>
      <c r="R24" s="29">
        <f t="shared" si="24"/>
        <v>24214.285714285714</v>
      </c>
      <c r="S24" s="29">
        <f t="shared" si="24"/>
        <v>22600</v>
      </c>
      <c r="T24" s="29">
        <f t="shared" ref="T24:W24" si="25">$W$23/T2</f>
        <v>33062.5</v>
      </c>
      <c r="U24" s="29">
        <f t="shared" si="25"/>
        <v>31117.647058823528</v>
      </c>
      <c r="V24" s="29">
        <f t="shared" si="25"/>
        <v>29388.888888888891</v>
      </c>
      <c r="W24" s="29">
        <f t="shared" si="25"/>
        <v>27842.105263157893</v>
      </c>
      <c r="X24" s="82">
        <f t="shared" ref="X24:AC24" si="26">$AC$23/X2</f>
        <v>23600</v>
      </c>
      <c r="Y24" s="82">
        <f t="shared" si="26"/>
        <v>22476.190476190477</v>
      </c>
      <c r="Z24" s="82">
        <f t="shared" si="26"/>
        <v>21454.545454545456</v>
      </c>
      <c r="AA24" s="82">
        <f t="shared" si="26"/>
        <v>20521.739130434784</v>
      </c>
      <c r="AB24" s="82">
        <f t="shared" si="26"/>
        <v>19666.666666666668</v>
      </c>
      <c r="AC24" s="82">
        <f t="shared" si="26"/>
        <v>18880</v>
      </c>
    </row>
    <row r="25" spans="1:44" ht="26.25" x14ac:dyDescent="0.25">
      <c r="A25" s="278"/>
      <c r="B25" s="102" t="s">
        <v>87</v>
      </c>
      <c r="C25" s="101" t="s">
        <v>34</v>
      </c>
      <c r="D25" s="30" t="s">
        <v>16</v>
      </c>
      <c r="E25" s="29">
        <f t="shared" ref="E25:AC25" si="27">$F$23/E2</f>
        <v>175000</v>
      </c>
      <c r="F25" s="29">
        <f t="shared" si="27"/>
        <v>87500</v>
      </c>
      <c r="G25" s="29">
        <f t="shared" si="27"/>
        <v>58333.333333333336</v>
      </c>
      <c r="H25" s="29">
        <f t="shared" si="27"/>
        <v>43750</v>
      </c>
      <c r="I25" s="29">
        <f t="shared" si="27"/>
        <v>35000</v>
      </c>
      <c r="J25" s="29">
        <f t="shared" si="27"/>
        <v>29166.666666666668</v>
      </c>
      <c r="K25" s="29">
        <f t="shared" si="27"/>
        <v>25000</v>
      </c>
      <c r="L25" s="29">
        <f t="shared" si="27"/>
        <v>21875</v>
      </c>
      <c r="M25" s="29">
        <f t="shared" si="27"/>
        <v>19444.444444444445</v>
      </c>
      <c r="N25" s="29">
        <f t="shared" si="27"/>
        <v>17500</v>
      </c>
      <c r="O25" s="29">
        <f t="shared" si="27"/>
        <v>15909.09090909091</v>
      </c>
      <c r="P25" s="29">
        <f t="shared" si="27"/>
        <v>14583.333333333334</v>
      </c>
      <c r="Q25" s="29">
        <f t="shared" si="27"/>
        <v>13461.538461538461</v>
      </c>
      <c r="R25" s="29">
        <f t="shared" si="27"/>
        <v>12500</v>
      </c>
      <c r="S25" s="29">
        <f t="shared" si="27"/>
        <v>11666.666666666666</v>
      </c>
      <c r="T25" s="29">
        <f t="shared" si="27"/>
        <v>10937.5</v>
      </c>
      <c r="U25" s="29">
        <f t="shared" si="27"/>
        <v>10294.117647058823</v>
      </c>
      <c r="V25" s="29">
        <f t="shared" si="27"/>
        <v>9722.2222222222226</v>
      </c>
      <c r="W25" s="29">
        <f t="shared" si="27"/>
        <v>9210.5263157894733</v>
      </c>
      <c r="X25" s="29">
        <f t="shared" si="27"/>
        <v>8750</v>
      </c>
      <c r="Y25" s="29">
        <f t="shared" si="27"/>
        <v>8333.3333333333339</v>
      </c>
      <c r="Z25" s="29">
        <f t="shared" si="27"/>
        <v>7954.545454545455</v>
      </c>
      <c r="AA25" s="29">
        <f t="shared" si="27"/>
        <v>7608.695652173913</v>
      </c>
      <c r="AB25" s="29">
        <f t="shared" si="27"/>
        <v>7291.666666666667</v>
      </c>
      <c r="AC25" s="29">
        <f t="shared" si="27"/>
        <v>7000</v>
      </c>
    </row>
    <row r="26" spans="1:44" x14ac:dyDescent="0.25">
      <c r="A26" s="278"/>
      <c r="B26" s="71"/>
      <c r="C26" s="71"/>
      <c r="D26" s="71"/>
      <c r="E26" s="83">
        <f t="shared" ref="E26:AC26" si="28">SUM(E24:E25)</f>
        <v>495000</v>
      </c>
      <c r="F26" s="83">
        <f t="shared" si="28"/>
        <v>247500</v>
      </c>
      <c r="G26" s="83">
        <f t="shared" si="28"/>
        <v>165000</v>
      </c>
      <c r="H26" s="83">
        <f t="shared" si="28"/>
        <v>176250</v>
      </c>
      <c r="I26" s="83">
        <f t="shared" si="28"/>
        <v>141000</v>
      </c>
      <c r="J26" s="83">
        <f t="shared" si="28"/>
        <v>117500</v>
      </c>
      <c r="K26" s="83">
        <f t="shared" si="28"/>
        <v>100714.28571428571</v>
      </c>
      <c r="L26" s="83">
        <f t="shared" si="28"/>
        <v>88125</v>
      </c>
      <c r="M26" s="83">
        <f t="shared" si="28"/>
        <v>78333.333333333343</v>
      </c>
      <c r="N26" s="83">
        <f t="shared" si="28"/>
        <v>51400</v>
      </c>
      <c r="O26" s="83">
        <f t="shared" si="28"/>
        <v>46727.272727272728</v>
      </c>
      <c r="P26" s="83">
        <f t="shared" si="28"/>
        <v>42833.333333333336</v>
      </c>
      <c r="Q26" s="83">
        <f t="shared" si="28"/>
        <v>39538.461538461539</v>
      </c>
      <c r="R26" s="83">
        <f t="shared" si="28"/>
        <v>36714.28571428571</v>
      </c>
      <c r="S26" s="83">
        <f t="shared" si="28"/>
        <v>34266.666666666664</v>
      </c>
      <c r="T26" s="83">
        <f t="shared" si="28"/>
        <v>44000</v>
      </c>
      <c r="U26" s="83">
        <f t="shared" si="28"/>
        <v>41411.76470588235</v>
      </c>
      <c r="V26" s="83">
        <f t="shared" si="28"/>
        <v>39111.111111111109</v>
      </c>
      <c r="W26" s="83">
        <f t="shared" si="28"/>
        <v>37052.631578947367</v>
      </c>
      <c r="X26" s="83">
        <f t="shared" si="28"/>
        <v>32350</v>
      </c>
      <c r="Y26" s="83">
        <f t="shared" si="28"/>
        <v>30809.523809523809</v>
      </c>
      <c r="Z26" s="83">
        <f t="shared" si="28"/>
        <v>29409.090909090912</v>
      </c>
      <c r="AA26" s="83">
        <f t="shared" si="28"/>
        <v>28130.434782608696</v>
      </c>
      <c r="AB26" s="83">
        <f t="shared" si="28"/>
        <v>26958.333333333336</v>
      </c>
      <c r="AC26" s="83">
        <f t="shared" si="28"/>
        <v>25880</v>
      </c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</row>
    <row r="27" spans="1:44" x14ac:dyDescent="0.25">
      <c r="A27" s="278"/>
      <c r="B27" s="102" t="s">
        <v>96</v>
      </c>
      <c r="C27" s="102" t="s">
        <v>19</v>
      </c>
      <c r="D27" s="72" t="s">
        <v>20</v>
      </c>
      <c r="E27" s="85">
        <v>59000</v>
      </c>
      <c r="F27" s="29">
        <f t="shared" ref="F27:AC27" si="29">E27</f>
        <v>59000</v>
      </c>
      <c r="G27" s="29">
        <f t="shared" si="29"/>
        <v>59000</v>
      </c>
      <c r="H27" s="29">
        <f t="shared" si="29"/>
        <v>59000</v>
      </c>
      <c r="I27" s="29">
        <f t="shared" si="29"/>
        <v>59000</v>
      </c>
      <c r="J27" s="29">
        <f t="shared" si="29"/>
        <v>59000</v>
      </c>
      <c r="K27" s="29">
        <f t="shared" si="29"/>
        <v>59000</v>
      </c>
      <c r="L27" s="29">
        <f t="shared" si="29"/>
        <v>59000</v>
      </c>
      <c r="M27" s="29">
        <f t="shared" si="29"/>
        <v>59000</v>
      </c>
      <c r="N27" s="29">
        <f t="shared" si="29"/>
        <v>59000</v>
      </c>
      <c r="O27" s="29">
        <f t="shared" si="29"/>
        <v>59000</v>
      </c>
      <c r="P27" s="29">
        <f t="shared" si="29"/>
        <v>59000</v>
      </c>
      <c r="Q27" s="29">
        <f t="shared" si="29"/>
        <v>59000</v>
      </c>
      <c r="R27" s="29">
        <f t="shared" si="29"/>
        <v>59000</v>
      </c>
      <c r="S27" s="29">
        <f t="shared" si="29"/>
        <v>59000</v>
      </c>
      <c r="T27" s="29">
        <f t="shared" si="29"/>
        <v>59000</v>
      </c>
      <c r="U27" s="29">
        <f t="shared" si="29"/>
        <v>59000</v>
      </c>
      <c r="V27" s="29">
        <f t="shared" si="29"/>
        <v>59000</v>
      </c>
      <c r="W27" s="29">
        <f t="shared" si="29"/>
        <v>59000</v>
      </c>
      <c r="X27" s="29">
        <f t="shared" si="29"/>
        <v>59000</v>
      </c>
      <c r="Y27" s="29">
        <f t="shared" si="29"/>
        <v>59000</v>
      </c>
      <c r="Z27" s="29">
        <f t="shared" si="29"/>
        <v>59000</v>
      </c>
      <c r="AA27" s="29">
        <f t="shared" si="29"/>
        <v>59000</v>
      </c>
      <c r="AB27" s="29">
        <f t="shared" si="29"/>
        <v>59000</v>
      </c>
      <c r="AC27" s="29">
        <f t="shared" si="29"/>
        <v>59000</v>
      </c>
    </row>
    <row r="28" spans="1:44" x14ac:dyDescent="0.25">
      <c r="A28" s="279"/>
      <c r="B28" s="16" t="s">
        <v>97</v>
      </c>
      <c r="C28" s="101" t="s">
        <v>27</v>
      </c>
      <c r="D28" s="86" t="s">
        <v>28</v>
      </c>
      <c r="E28" s="87">
        <v>35000</v>
      </c>
      <c r="F28" s="29">
        <f t="shared" ref="F28:AC28" si="30">E28</f>
        <v>35000</v>
      </c>
      <c r="G28" s="29">
        <f t="shared" si="30"/>
        <v>35000</v>
      </c>
      <c r="H28" s="29">
        <f t="shared" si="30"/>
        <v>35000</v>
      </c>
      <c r="I28" s="29">
        <f t="shared" si="30"/>
        <v>35000</v>
      </c>
      <c r="J28" s="29">
        <f t="shared" si="30"/>
        <v>35000</v>
      </c>
      <c r="K28" s="29">
        <f t="shared" si="30"/>
        <v>35000</v>
      </c>
      <c r="L28" s="29">
        <f t="shared" si="30"/>
        <v>35000</v>
      </c>
      <c r="M28" s="29">
        <f t="shared" si="30"/>
        <v>35000</v>
      </c>
      <c r="N28" s="29">
        <f t="shared" si="30"/>
        <v>35000</v>
      </c>
      <c r="O28" s="29">
        <f t="shared" si="30"/>
        <v>35000</v>
      </c>
      <c r="P28" s="29">
        <f t="shared" si="30"/>
        <v>35000</v>
      </c>
      <c r="Q28" s="29">
        <f t="shared" si="30"/>
        <v>35000</v>
      </c>
      <c r="R28" s="29">
        <f t="shared" si="30"/>
        <v>35000</v>
      </c>
      <c r="S28" s="29">
        <f t="shared" si="30"/>
        <v>35000</v>
      </c>
      <c r="T28" s="29">
        <f t="shared" si="30"/>
        <v>35000</v>
      </c>
      <c r="U28" s="29">
        <f t="shared" si="30"/>
        <v>35000</v>
      </c>
      <c r="V28" s="29">
        <f t="shared" si="30"/>
        <v>35000</v>
      </c>
      <c r="W28" s="29">
        <f t="shared" si="30"/>
        <v>35000</v>
      </c>
      <c r="X28" s="29">
        <f t="shared" si="30"/>
        <v>35000</v>
      </c>
      <c r="Y28" s="29">
        <f t="shared" si="30"/>
        <v>35000</v>
      </c>
      <c r="Z28" s="29">
        <f t="shared" si="30"/>
        <v>35000</v>
      </c>
      <c r="AA28" s="29">
        <f t="shared" si="30"/>
        <v>35000</v>
      </c>
      <c r="AB28" s="29">
        <f t="shared" si="30"/>
        <v>35000</v>
      </c>
      <c r="AC28" s="29">
        <f t="shared" si="30"/>
        <v>35000</v>
      </c>
    </row>
    <row r="29" spans="1:44" x14ac:dyDescent="0.25">
      <c r="A29" s="13"/>
      <c r="B29" s="18" t="s">
        <v>29</v>
      </c>
      <c r="C29" s="18"/>
      <c r="D29" s="18"/>
      <c r="E29" s="73">
        <f t="shared" ref="E29:AC29" si="31">SUM(E26:E28)</f>
        <v>589000</v>
      </c>
      <c r="F29" s="73">
        <f t="shared" si="31"/>
        <v>341500</v>
      </c>
      <c r="G29" s="73">
        <f t="shared" si="31"/>
        <v>259000</v>
      </c>
      <c r="H29" s="73">
        <f t="shared" si="31"/>
        <v>270250</v>
      </c>
      <c r="I29" s="73">
        <f t="shared" si="31"/>
        <v>235000</v>
      </c>
      <c r="J29" s="73">
        <f t="shared" si="31"/>
        <v>211500</v>
      </c>
      <c r="K29" s="73">
        <f t="shared" si="31"/>
        <v>194714.28571428571</v>
      </c>
      <c r="L29" s="73">
        <f t="shared" si="31"/>
        <v>182125</v>
      </c>
      <c r="M29" s="73">
        <f t="shared" si="31"/>
        <v>172333.33333333334</v>
      </c>
      <c r="N29" s="73">
        <f t="shared" si="31"/>
        <v>145400</v>
      </c>
      <c r="O29" s="73">
        <f t="shared" si="31"/>
        <v>140727.27272727274</v>
      </c>
      <c r="P29" s="73">
        <f t="shared" si="31"/>
        <v>136833.33333333334</v>
      </c>
      <c r="Q29" s="73">
        <f t="shared" si="31"/>
        <v>133538.46153846153</v>
      </c>
      <c r="R29" s="73">
        <f t="shared" si="31"/>
        <v>130714.28571428571</v>
      </c>
      <c r="S29" s="73">
        <f t="shared" si="31"/>
        <v>128266.66666666666</v>
      </c>
      <c r="T29" s="73">
        <f t="shared" si="31"/>
        <v>138000</v>
      </c>
      <c r="U29" s="73">
        <f t="shared" si="31"/>
        <v>135411.76470588235</v>
      </c>
      <c r="V29" s="73">
        <f t="shared" si="31"/>
        <v>133111.11111111112</v>
      </c>
      <c r="W29" s="73">
        <f t="shared" si="31"/>
        <v>131052.63157894736</v>
      </c>
      <c r="X29" s="73">
        <f t="shared" si="31"/>
        <v>126350</v>
      </c>
      <c r="Y29" s="73">
        <f t="shared" si="31"/>
        <v>124809.52380952382</v>
      </c>
      <c r="Z29" s="73">
        <f t="shared" si="31"/>
        <v>123409.09090909091</v>
      </c>
      <c r="AA29" s="73">
        <f t="shared" si="31"/>
        <v>122130.4347826087</v>
      </c>
      <c r="AB29" s="73">
        <f t="shared" si="31"/>
        <v>120958.33333333334</v>
      </c>
      <c r="AC29" s="73">
        <f t="shared" si="31"/>
        <v>119880</v>
      </c>
    </row>
    <row r="30" spans="1:44" ht="15" customHeight="1" x14ac:dyDescent="0.25">
      <c r="A30" s="177"/>
      <c r="B30" s="308">
        <v>0.75</v>
      </c>
      <c r="C30" s="18"/>
      <c r="D30" s="152" t="s">
        <v>22</v>
      </c>
      <c r="E30" s="73">
        <f>E29/B30</f>
        <v>785333.33333333337</v>
      </c>
      <c r="F30" s="73">
        <f>F29/B30</f>
        <v>455333.33333333331</v>
      </c>
      <c r="G30" s="73">
        <f>G29/B30</f>
        <v>345333.33333333331</v>
      </c>
      <c r="H30" s="73">
        <f>H29/B30</f>
        <v>360333.33333333331</v>
      </c>
      <c r="I30" s="73">
        <f>I29/B30</f>
        <v>313333.33333333331</v>
      </c>
      <c r="J30" s="73">
        <f>J29/B30</f>
        <v>282000</v>
      </c>
      <c r="K30" s="73">
        <f>K29/B30</f>
        <v>259619.0476190476</v>
      </c>
      <c r="L30" s="73">
        <f>L29/B30</f>
        <v>242833.33333333334</v>
      </c>
      <c r="M30" s="73">
        <f>M29/B30</f>
        <v>229777.77777777778</v>
      </c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</row>
    <row r="31" spans="1:44" x14ac:dyDescent="0.25">
      <c r="A31" s="177"/>
      <c r="B31" s="174"/>
      <c r="C31" s="19"/>
      <c r="D31" s="162" t="s">
        <v>23</v>
      </c>
      <c r="E31" s="163">
        <f>_xlfn.CEILING.MATH(E30,1000)</f>
        <v>786000</v>
      </c>
      <c r="F31" s="163">
        <f>_xlfn.CEILING.MATH(F30,1000)</f>
        <v>456000</v>
      </c>
      <c r="G31" s="163">
        <f t="shared" ref="G31:M31" si="32">_xlfn.CEILING.MATH(G30,1000)</f>
        <v>346000</v>
      </c>
      <c r="H31" s="163">
        <f t="shared" si="32"/>
        <v>361000</v>
      </c>
      <c r="I31" s="163">
        <f t="shared" si="32"/>
        <v>314000</v>
      </c>
      <c r="J31" s="163">
        <f t="shared" si="32"/>
        <v>282000</v>
      </c>
      <c r="K31" s="163">
        <f t="shared" si="32"/>
        <v>260000</v>
      </c>
      <c r="L31" s="163">
        <f t="shared" si="32"/>
        <v>243000</v>
      </c>
      <c r="M31" s="163">
        <f t="shared" si="32"/>
        <v>230000</v>
      </c>
      <c r="N31" s="20"/>
      <c r="O31" s="20"/>
      <c r="P31" s="20"/>
      <c r="Q31" s="20"/>
      <c r="R31" s="20"/>
      <c r="S31" s="20"/>
      <c r="T31" s="20"/>
      <c r="U31" s="20"/>
      <c r="V31" s="20"/>
      <c r="W31" s="21"/>
      <c r="X31" s="22"/>
      <c r="Y31" s="22"/>
      <c r="Z31" s="22"/>
      <c r="AA31" s="22"/>
      <c r="AB31" s="22"/>
      <c r="AC31" s="23"/>
    </row>
    <row r="33" spans="1:44" ht="30" x14ac:dyDescent="0.25">
      <c r="A33" s="218" t="s">
        <v>61</v>
      </c>
      <c r="B33" s="190"/>
      <c r="C33" s="101"/>
      <c r="D33" s="102"/>
      <c r="E33" s="211" t="s">
        <v>4</v>
      </c>
      <c r="F33" s="2">
        <v>200000</v>
      </c>
      <c r="G33" s="182">
        <v>298000</v>
      </c>
      <c r="H33" s="271" t="s">
        <v>5</v>
      </c>
      <c r="I33" s="272"/>
      <c r="J33" s="272"/>
      <c r="K33" s="272"/>
      <c r="L33" s="273"/>
      <c r="M33" s="4">
        <v>500000</v>
      </c>
      <c r="N33" s="181" t="s">
        <v>60</v>
      </c>
      <c r="O33" s="185"/>
      <c r="P33" s="185"/>
      <c r="Q33" s="185"/>
      <c r="R33" s="188"/>
      <c r="S33" s="69">
        <v>339000</v>
      </c>
      <c r="T33" s="259" t="s">
        <v>35</v>
      </c>
      <c r="U33" s="261"/>
      <c r="V33" s="274"/>
      <c r="W33" s="6">
        <v>529000</v>
      </c>
      <c r="X33" s="257" t="s">
        <v>36</v>
      </c>
      <c r="Y33" s="275"/>
      <c r="Z33" s="275"/>
      <c r="AA33" s="275"/>
      <c r="AB33" s="276"/>
      <c r="AC33" s="221">
        <v>472000</v>
      </c>
    </row>
    <row r="34" spans="1:44" ht="26.25" x14ac:dyDescent="0.25">
      <c r="A34" s="277" t="s">
        <v>98</v>
      </c>
      <c r="B34" s="190" t="s">
        <v>87</v>
      </c>
      <c r="C34" s="101" t="s">
        <v>99</v>
      </c>
      <c r="D34" s="9" t="s">
        <v>13</v>
      </c>
      <c r="E34" s="29">
        <f>$G$33/E12</f>
        <v>298000</v>
      </c>
      <c r="F34" s="29">
        <f>$G$33/F12</f>
        <v>149000</v>
      </c>
      <c r="G34" s="29">
        <f>$G$33/G12</f>
        <v>99333.333333333328</v>
      </c>
      <c r="H34" s="150">
        <f t="shared" ref="H34:M34" si="33">$M$33/H12</f>
        <v>125000</v>
      </c>
      <c r="I34" s="150">
        <f t="shared" si="33"/>
        <v>100000</v>
      </c>
      <c r="J34" s="150">
        <f t="shared" si="33"/>
        <v>83333.333333333328</v>
      </c>
      <c r="K34" s="150">
        <f t="shared" si="33"/>
        <v>71428.571428571435</v>
      </c>
      <c r="L34" s="150">
        <f t="shared" si="33"/>
        <v>62500</v>
      </c>
      <c r="M34" s="29">
        <f t="shared" si="33"/>
        <v>55555.555555555555</v>
      </c>
      <c r="N34" s="29">
        <f t="shared" ref="N34:S34" si="34">$S$23/N12</f>
        <v>33900</v>
      </c>
      <c r="O34" s="29">
        <f t="shared" si="34"/>
        <v>30818.18181818182</v>
      </c>
      <c r="P34" s="29">
        <f t="shared" si="34"/>
        <v>28250</v>
      </c>
      <c r="Q34" s="29">
        <f t="shared" si="34"/>
        <v>26076.923076923078</v>
      </c>
      <c r="R34" s="29">
        <f t="shared" si="34"/>
        <v>24214.285714285714</v>
      </c>
      <c r="S34" s="29">
        <f t="shared" si="34"/>
        <v>22600</v>
      </c>
      <c r="T34" s="29">
        <f t="shared" ref="T34:W34" si="35">$W$23/T12</f>
        <v>33062.5</v>
      </c>
      <c r="U34" s="29">
        <f t="shared" si="35"/>
        <v>31117.647058823528</v>
      </c>
      <c r="V34" s="29">
        <f t="shared" si="35"/>
        <v>29388.888888888891</v>
      </c>
      <c r="W34" s="29">
        <f t="shared" si="35"/>
        <v>27842.105263157893</v>
      </c>
      <c r="X34" s="82">
        <f t="shared" ref="X34:AC34" si="36">$AC$23/X12</f>
        <v>23600</v>
      </c>
      <c r="Y34" s="82">
        <f t="shared" si="36"/>
        <v>22476.190476190477</v>
      </c>
      <c r="Z34" s="82">
        <f t="shared" si="36"/>
        <v>21454.545454545456</v>
      </c>
      <c r="AA34" s="82">
        <f t="shared" si="36"/>
        <v>20521.739130434784</v>
      </c>
      <c r="AB34" s="82">
        <f t="shared" si="36"/>
        <v>19666.666666666668</v>
      </c>
      <c r="AC34" s="82">
        <f t="shared" si="36"/>
        <v>18880</v>
      </c>
    </row>
    <row r="35" spans="1:44" ht="26.25" x14ac:dyDescent="0.25">
      <c r="A35" s="278"/>
      <c r="B35" s="102" t="s">
        <v>87</v>
      </c>
      <c r="C35" s="101" t="s">
        <v>34</v>
      </c>
      <c r="D35" s="30" t="s">
        <v>16</v>
      </c>
      <c r="E35" s="29">
        <f t="shared" ref="E35:M35" si="37">$F$33/E12</f>
        <v>200000</v>
      </c>
      <c r="F35" s="29">
        <f t="shared" si="37"/>
        <v>100000</v>
      </c>
      <c r="G35" s="29">
        <f t="shared" si="37"/>
        <v>66666.666666666672</v>
      </c>
      <c r="H35" s="29">
        <f t="shared" si="37"/>
        <v>50000</v>
      </c>
      <c r="I35" s="29">
        <f t="shared" si="37"/>
        <v>40000</v>
      </c>
      <c r="J35" s="29">
        <f t="shared" si="37"/>
        <v>33333.333333333336</v>
      </c>
      <c r="K35" s="29">
        <f t="shared" si="37"/>
        <v>28571.428571428572</v>
      </c>
      <c r="L35" s="29">
        <f t="shared" si="37"/>
        <v>25000</v>
      </c>
      <c r="M35" s="29">
        <f t="shared" si="37"/>
        <v>22222.222222222223</v>
      </c>
      <c r="N35" s="29">
        <f t="shared" ref="N35:AC35" si="38">$F$23/N12</f>
        <v>17500</v>
      </c>
      <c r="O35" s="29">
        <f t="shared" si="38"/>
        <v>15909.09090909091</v>
      </c>
      <c r="P35" s="29">
        <f t="shared" si="38"/>
        <v>14583.333333333334</v>
      </c>
      <c r="Q35" s="29">
        <f t="shared" si="38"/>
        <v>13461.538461538461</v>
      </c>
      <c r="R35" s="29">
        <f t="shared" si="38"/>
        <v>12500</v>
      </c>
      <c r="S35" s="29">
        <f t="shared" si="38"/>
        <v>11666.666666666666</v>
      </c>
      <c r="T35" s="29">
        <f t="shared" si="38"/>
        <v>10937.5</v>
      </c>
      <c r="U35" s="29">
        <f t="shared" si="38"/>
        <v>10294.117647058823</v>
      </c>
      <c r="V35" s="29">
        <f t="shared" si="38"/>
        <v>9722.2222222222226</v>
      </c>
      <c r="W35" s="29">
        <f t="shared" si="38"/>
        <v>9210.5263157894733</v>
      </c>
      <c r="X35" s="29">
        <f t="shared" si="38"/>
        <v>8750</v>
      </c>
      <c r="Y35" s="29">
        <f t="shared" si="38"/>
        <v>8333.3333333333339</v>
      </c>
      <c r="Z35" s="29">
        <f t="shared" si="38"/>
        <v>7954.545454545455</v>
      </c>
      <c r="AA35" s="29">
        <f t="shared" si="38"/>
        <v>7608.695652173913</v>
      </c>
      <c r="AB35" s="29">
        <f t="shared" si="38"/>
        <v>7291.666666666667</v>
      </c>
      <c r="AC35" s="29">
        <f t="shared" si="38"/>
        <v>7000</v>
      </c>
    </row>
    <row r="36" spans="1:44" x14ac:dyDescent="0.25">
      <c r="A36" s="278"/>
      <c r="B36" s="71"/>
      <c r="C36" s="71"/>
      <c r="D36" s="71"/>
      <c r="E36" s="83">
        <f t="shared" ref="E36:AC36" si="39">SUM(E34:E35)</f>
        <v>498000</v>
      </c>
      <c r="F36" s="83">
        <f t="shared" si="39"/>
        <v>249000</v>
      </c>
      <c r="G36" s="83">
        <f t="shared" si="39"/>
        <v>166000</v>
      </c>
      <c r="H36" s="83">
        <f t="shared" si="39"/>
        <v>175000</v>
      </c>
      <c r="I36" s="83">
        <f t="shared" si="39"/>
        <v>140000</v>
      </c>
      <c r="J36" s="83">
        <f t="shared" si="39"/>
        <v>116666.66666666666</v>
      </c>
      <c r="K36" s="83">
        <f t="shared" si="39"/>
        <v>100000</v>
      </c>
      <c r="L36" s="83">
        <f t="shared" si="39"/>
        <v>87500</v>
      </c>
      <c r="M36" s="83">
        <f t="shared" si="39"/>
        <v>77777.777777777781</v>
      </c>
      <c r="N36" s="83">
        <f t="shared" si="39"/>
        <v>51400</v>
      </c>
      <c r="O36" s="83">
        <f t="shared" si="39"/>
        <v>46727.272727272728</v>
      </c>
      <c r="P36" s="83">
        <f t="shared" si="39"/>
        <v>42833.333333333336</v>
      </c>
      <c r="Q36" s="83">
        <f t="shared" si="39"/>
        <v>39538.461538461539</v>
      </c>
      <c r="R36" s="83">
        <f t="shared" si="39"/>
        <v>36714.28571428571</v>
      </c>
      <c r="S36" s="83">
        <f t="shared" si="39"/>
        <v>34266.666666666664</v>
      </c>
      <c r="T36" s="83">
        <f t="shared" si="39"/>
        <v>44000</v>
      </c>
      <c r="U36" s="83">
        <f t="shared" si="39"/>
        <v>41411.76470588235</v>
      </c>
      <c r="V36" s="83">
        <f t="shared" si="39"/>
        <v>39111.111111111109</v>
      </c>
      <c r="W36" s="83">
        <f t="shared" si="39"/>
        <v>37052.631578947367</v>
      </c>
      <c r="X36" s="83">
        <f t="shared" si="39"/>
        <v>32350</v>
      </c>
      <c r="Y36" s="83">
        <f t="shared" si="39"/>
        <v>30809.523809523809</v>
      </c>
      <c r="Z36" s="83">
        <f t="shared" si="39"/>
        <v>29409.090909090912</v>
      </c>
      <c r="AA36" s="83">
        <f t="shared" si="39"/>
        <v>28130.434782608696</v>
      </c>
      <c r="AB36" s="83">
        <f t="shared" si="39"/>
        <v>26958.333333333336</v>
      </c>
      <c r="AC36" s="83">
        <f t="shared" si="39"/>
        <v>25880</v>
      </c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</row>
    <row r="37" spans="1:44" ht="30" x14ac:dyDescent="0.25">
      <c r="A37" s="278"/>
      <c r="B37" s="102" t="s">
        <v>100</v>
      </c>
      <c r="C37" s="102" t="s">
        <v>19</v>
      </c>
      <c r="D37" s="72" t="s">
        <v>20</v>
      </c>
      <c r="E37" s="85">
        <v>45000</v>
      </c>
      <c r="F37" s="29">
        <f t="shared" ref="F37:F38" si="40">E37</f>
        <v>45000</v>
      </c>
      <c r="G37" s="29">
        <f t="shared" ref="G37:G38" si="41">F37</f>
        <v>45000</v>
      </c>
      <c r="H37" s="29">
        <f t="shared" ref="H37:H38" si="42">G37</f>
        <v>45000</v>
      </c>
      <c r="I37" s="29">
        <f t="shared" ref="I37:I38" si="43">H37</f>
        <v>45000</v>
      </c>
      <c r="J37" s="29">
        <f t="shared" ref="J37:J38" si="44">I37</f>
        <v>45000</v>
      </c>
      <c r="K37" s="29">
        <f t="shared" ref="K37:K38" si="45">J37</f>
        <v>45000</v>
      </c>
      <c r="L37" s="29">
        <f t="shared" ref="L37:L38" si="46">K37</f>
        <v>45000</v>
      </c>
      <c r="M37" s="29">
        <f t="shared" ref="M37:M38" si="47">L37</f>
        <v>45000</v>
      </c>
      <c r="N37" s="29">
        <f t="shared" ref="N37:N38" si="48">M37</f>
        <v>45000</v>
      </c>
      <c r="O37" s="29">
        <f t="shared" ref="O37:O38" si="49">N37</f>
        <v>45000</v>
      </c>
      <c r="P37" s="29">
        <f t="shared" ref="P37:P38" si="50">O37</f>
        <v>45000</v>
      </c>
      <c r="Q37" s="29">
        <f t="shared" ref="Q37:Q38" si="51">P37</f>
        <v>45000</v>
      </c>
      <c r="R37" s="29">
        <f t="shared" ref="R37:R38" si="52">Q37</f>
        <v>45000</v>
      </c>
      <c r="S37" s="29">
        <f t="shared" ref="S37:S38" si="53">R37</f>
        <v>45000</v>
      </c>
      <c r="T37" s="29">
        <f t="shared" ref="T37:T38" si="54">S37</f>
        <v>45000</v>
      </c>
      <c r="U37" s="29">
        <f t="shared" ref="U37:U38" si="55">T37</f>
        <v>45000</v>
      </c>
      <c r="V37" s="29">
        <f t="shared" ref="V37:V38" si="56">U37</f>
        <v>45000</v>
      </c>
      <c r="W37" s="29">
        <f t="shared" ref="W37:W38" si="57">V37</f>
        <v>45000</v>
      </c>
      <c r="X37" s="29">
        <f t="shared" ref="X37:X38" si="58">W37</f>
        <v>45000</v>
      </c>
      <c r="Y37" s="29">
        <f t="shared" ref="Y37:Y38" si="59">X37</f>
        <v>45000</v>
      </c>
      <c r="Z37" s="29">
        <f t="shared" ref="Z37:Z38" si="60">Y37</f>
        <v>45000</v>
      </c>
      <c r="AA37" s="29">
        <f t="shared" ref="AA37:AA38" si="61">Z37</f>
        <v>45000</v>
      </c>
      <c r="AB37" s="29">
        <f t="shared" ref="AB37:AB38" si="62">AA37</f>
        <v>45000</v>
      </c>
      <c r="AC37" s="29">
        <f t="shared" ref="AC37:AC38" si="63">AB37</f>
        <v>45000</v>
      </c>
    </row>
    <row r="38" spans="1:44" x14ac:dyDescent="0.25">
      <c r="A38" s="279"/>
      <c r="B38" s="16" t="s">
        <v>101</v>
      </c>
      <c r="C38" s="101" t="s">
        <v>27</v>
      </c>
      <c r="D38" s="86" t="s">
        <v>28</v>
      </c>
      <c r="E38" s="87">
        <v>30000</v>
      </c>
      <c r="F38" s="29">
        <f t="shared" si="40"/>
        <v>30000</v>
      </c>
      <c r="G38" s="29">
        <f t="shared" si="41"/>
        <v>30000</v>
      </c>
      <c r="H38" s="29">
        <f t="shared" si="42"/>
        <v>30000</v>
      </c>
      <c r="I38" s="29">
        <f t="shared" si="43"/>
        <v>30000</v>
      </c>
      <c r="J38" s="29">
        <f t="shared" si="44"/>
        <v>30000</v>
      </c>
      <c r="K38" s="29">
        <f t="shared" si="45"/>
        <v>30000</v>
      </c>
      <c r="L38" s="29">
        <f t="shared" si="46"/>
        <v>30000</v>
      </c>
      <c r="M38" s="29">
        <f t="shared" si="47"/>
        <v>30000</v>
      </c>
      <c r="N38" s="29">
        <f t="shared" si="48"/>
        <v>30000</v>
      </c>
      <c r="O38" s="29">
        <f t="shared" si="49"/>
        <v>30000</v>
      </c>
      <c r="P38" s="29">
        <f t="shared" si="50"/>
        <v>30000</v>
      </c>
      <c r="Q38" s="29">
        <f t="shared" si="51"/>
        <v>30000</v>
      </c>
      <c r="R38" s="29">
        <f t="shared" si="52"/>
        <v>30000</v>
      </c>
      <c r="S38" s="29">
        <f t="shared" si="53"/>
        <v>30000</v>
      </c>
      <c r="T38" s="29">
        <f t="shared" si="54"/>
        <v>30000</v>
      </c>
      <c r="U38" s="29">
        <f t="shared" si="55"/>
        <v>30000</v>
      </c>
      <c r="V38" s="29">
        <f t="shared" si="56"/>
        <v>30000</v>
      </c>
      <c r="W38" s="29">
        <f t="shared" si="57"/>
        <v>30000</v>
      </c>
      <c r="X38" s="29">
        <f t="shared" si="58"/>
        <v>30000</v>
      </c>
      <c r="Y38" s="29">
        <f t="shared" si="59"/>
        <v>30000</v>
      </c>
      <c r="Z38" s="29">
        <f t="shared" si="60"/>
        <v>30000</v>
      </c>
      <c r="AA38" s="29">
        <f t="shared" si="61"/>
        <v>30000</v>
      </c>
      <c r="AB38" s="29">
        <f t="shared" si="62"/>
        <v>30000</v>
      </c>
      <c r="AC38" s="29">
        <f t="shared" si="63"/>
        <v>30000</v>
      </c>
    </row>
    <row r="39" spans="1:44" x14ac:dyDescent="0.25">
      <c r="A39" s="13"/>
      <c r="B39" s="18" t="s">
        <v>29</v>
      </c>
      <c r="C39" s="18"/>
      <c r="D39" s="18"/>
      <c r="E39" s="73">
        <f t="shared" ref="E39:AC39" si="64">SUM(E36:E38)</f>
        <v>573000</v>
      </c>
      <c r="F39" s="73">
        <f t="shared" si="64"/>
        <v>324000</v>
      </c>
      <c r="G39" s="73">
        <f t="shared" si="64"/>
        <v>241000</v>
      </c>
      <c r="H39" s="73">
        <f t="shared" si="64"/>
        <v>250000</v>
      </c>
      <c r="I39" s="73">
        <f t="shared" si="64"/>
        <v>215000</v>
      </c>
      <c r="J39" s="73">
        <f t="shared" si="64"/>
        <v>191666.66666666666</v>
      </c>
      <c r="K39" s="73">
        <f t="shared" si="64"/>
        <v>175000</v>
      </c>
      <c r="L39" s="73">
        <f t="shared" si="64"/>
        <v>162500</v>
      </c>
      <c r="M39" s="73">
        <f t="shared" si="64"/>
        <v>152777.77777777778</v>
      </c>
      <c r="N39" s="73">
        <f t="shared" si="64"/>
        <v>126400</v>
      </c>
      <c r="O39" s="73">
        <f t="shared" si="64"/>
        <v>121727.27272727274</v>
      </c>
      <c r="P39" s="73">
        <f t="shared" si="64"/>
        <v>117833.33333333334</v>
      </c>
      <c r="Q39" s="73">
        <f t="shared" si="64"/>
        <v>114538.46153846153</v>
      </c>
      <c r="R39" s="73">
        <f t="shared" si="64"/>
        <v>111714.28571428571</v>
      </c>
      <c r="S39" s="73">
        <f t="shared" si="64"/>
        <v>109266.66666666666</v>
      </c>
      <c r="T39" s="73">
        <f t="shared" si="64"/>
        <v>119000</v>
      </c>
      <c r="U39" s="73">
        <f t="shared" si="64"/>
        <v>116411.76470588235</v>
      </c>
      <c r="V39" s="73">
        <f t="shared" si="64"/>
        <v>114111.11111111111</v>
      </c>
      <c r="W39" s="73">
        <f t="shared" si="64"/>
        <v>112052.63157894736</v>
      </c>
      <c r="X39" s="73">
        <f t="shared" si="64"/>
        <v>107350</v>
      </c>
      <c r="Y39" s="73">
        <f t="shared" si="64"/>
        <v>105809.52380952382</v>
      </c>
      <c r="Z39" s="73">
        <f t="shared" si="64"/>
        <v>104409.09090909091</v>
      </c>
      <c r="AA39" s="73">
        <f t="shared" si="64"/>
        <v>103130.4347826087</v>
      </c>
      <c r="AB39" s="73">
        <f t="shared" si="64"/>
        <v>101958.33333333334</v>
      </c>
      <c r="AC39" s="73">
        <f t="shared" si="64"/>
        <v>100880</v>
      </c>
    </row>
    <row r="40" spans="1:44" ht="15" customHeight="1" x14ac:dyDescent="0.25">
      <c r="A40" s="177"/>
      <c r="B40" s="308">
        <v>0.75</v>
      </c>
      <c r="C40" s="18"/>
      <c r="D40" s="152" t="s">
        <v>22</v>
      </c>
      <c r="E40" s="73">
        <f>E39/B40</f>
        <v>764000</v>
      </c>
      <c r="F40" s="73">
        <f>F39/B40</f>
        <v>432000</v>
      </c>
      <c r="G40" s="73">
        <f>G39/B40</f>
        <v>321333.33333333331</v>
      </c>
      <c r="H40" s="73">
        <f>H39/B40</f>
        <v>333333.33333333331</v>
      </c>
      <c r="I40" s="73">
        <f>I39/B40</f>
        <v>286666.66666666669</v>
      </c>
      <c r="J40" s="73">
        <f>J39/B40</f>
        <v>255555.55555555553</v>
      </c>
      <c r="K40" s="73">
        <f>K39/B40</f>
        <v>233333.33333333334</v>
      </c>
      <c r="L40" s="73">
        <f>L39/B40</f>
        <v>216666.66666666666</v>
      </c>
      <c r="M40" s="73">
        <f>M39/B40</f>
        <v>203703.70370370371</v>
      </c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</row>
    <row r="41" spans="1:44" x14ac:dyDescent="0.25">
      <c r="A41" s="189"/>
      <c r="B41" s="174"/>
      <c r="C41" s="19"/>
      <c r="D41" s="162" t="s">
        <v>23</v>
      </c>
      <c r="E41" s="163">
        <f>_xlfn.CEILING.MATH(E40,1000)</f>
        <v>764000</v>
      </c>
      <c r="F41" s="163">
        <f>_xlfn.CEILING.MATH(F40,1000)</f>
        <v>432000</v>
      </c>
      <c r="G41" s="163">
        <f t="shared" ref="G41:M41" si="65">_xlfn.CEILING.MATH(G40,1000)</f>
        <v>322000</v>
      </c>
      <c r="H41" s="163">
        <f t="shared" si="65"/>
        <v>334000</v>
      </c>
      <c r="I41" s="163">
        <f t="shared" si="65"/>
        <v>287000</v>
      </c>
      <c r="J41" s="163">
        <f t="shared" si="65"/>
        <v>256000</v>
      </c>
      <c r="K41" s="163">
        <f t="shared" si="65"/>
        <v>234000</v>
      </c>
      <c r="L41" s="163">
        <f t="shared" si="65"/>
        <v>217000</v>
      </c>
      <c r="M41" s="163">
        <f t="shared" si="65"/>
        <v>204000</v>
      </c>
      <c r="N41" s="20"/>
      <c r="O41" s="20"/>
      <c r="P41" s="20"/>
      <c r="Q41" s="20"/>
      <c r="R41" s="20"/>
      <c r="S41" s="20"/>
      <c r="T41" s="20"/>
      <c r="U41" s="20"/>
      <c r="V41" s="20"/>
      <c r="W41" s="21"/>
      <c r="X41" s="22"/>
      <c r="Y41" s="22"/>
      <c r="Z41" s="22"/>
      <c r="AA41" s="22"/>
      <c r="AB41" s="22"/>
      <c r="AC41" s="23"/>
    </row>
    <row r="42" spans="1:44" x14ac:dyDescent="0.25">
      <c r="A42" s="191"/>
      <c r="B42" s="174"/>
      <c r="C42" s="19"/>
      <c r="D42" s="162"/>
      <c r="E42" s="164"/>
      <c r="F42" s="165"/>
      <c r="G42" s="166"/>
      <c r="H42" s="167"/>
      <c r="I42" s="167"/>
      <c r="J42" s="167"/>
      <c r="K42" s="167"/>
      <c r="L42" s="167"/>
      <c r="M42" s="165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2"/>
      <c r="Y42" s="22"/>
      <c r="Z42" s="22"/>
      <c r="AA42" s="22"/>
      <c r="AB42" s="22"/>
      <c r="AC42" s="23"/>
    </row>
    <row r="43" spans="1:44" ht="30" x14ac:dyDescent="0.25">
      <c r="A43" s="218" t="s">
        <v>61</v>
      </c>
      <c r="B43" s="190"/>
      <c r="C43" s="101"/>
      <c r="D43" s="102"/>
      <c r="E43" s="211" t="s">
        <v>4</v>
      </c>
      <c r="F43" s="2">
        <v>175000</v>
      </c>
      <c r="G43" s="182">
        <v>335000</v>
      </c>
      <c r="H43" s="271" t="s">
        <v>5</v>
      </c>
      <c r="I43" s="272"/>
      <c r="J43" s="272"/>
      <c r="K43" s="272"/>
      <c r="L43" s="273"/>
      <c r="M43" s="4">
        <v>580000</v>
      </c>
      <c r="N43" s="181" t="s">
        <v>60</v>
      </c>
      <c r="O43" s="185"/>
      <c r="P43" s="185"/>
      <c r="Q43" s="185"/>
      <c r="R43" s="188"/>
      <c r="S43" s="69">
        <v>339000</v>
      </c>
      <c r="T43" s="259" t="s">
        <v>35</v>
      </c>
      <c r="U43" s="261"/>
      <c r="V43" s="274"/>
      <c r="W43" s="6">
        <v>529000</v>
      </c>
      <c r="X43" s="257" t="s">
        <v>36</v>
      </c>
      <c r="Y43" s="275"/>
      <c r="Z43" s="275"/>
      <c r="AA43" s="275"/>
      <c r="AB43" s="276"/>
      <c r="AC43" s="221">
        <v>472000</v>
      </c>
    </row>
    <row r="44" spans="1:44" ht="26.25" x14ac:dyDescent="0.25">
      <c r="A44" s="277" t="s">
        <v>102</v>
      </c>
      <c r="B44" s="190" t="s">
        <v>87</v>
      </c>
      <c r="C44" s="101" t="s">
        <v>99</v>
      </c>
      <c r="D44" s="9" t="s">
        <v>13</v>
      </c>
      <c r="E44" s="29">
        <f>$G$43/E2</f>
        <v>335000</v>
      </c>
      <c r="F44" s="29">
        <f t="shared" ref="F44:G44" si="66">$G$43/F2</f>
        <v>167500</v>
      </c>
      <c r="G44" s="29">
        <f t="shared" si="66"/>
        <v>111666.66666666667</v>
      </c>
      <c r="H44" s="150">
        <f>$M$43/H2</f>
        <v>145000</v>
      </c>
      <c r="I44" s="150">
        <f t="shared" ref="I44:M44" si="67">$M$43/I2</f>
        <v>116000</v>
      </c>
      <c r="J44" s="150">
        <f t="shared" si="67"/>
        <v>96666.666666666672</v>
      </c>
      <c r="K44" s="150">
        <f t="shared" si="67"/>
        <v>82857.142857142855</v>
      </c>
      <c r="L44" s="150">
        <f t="shared" si="67"/>
        <v>72500</v>
      </c>
      <c r="M44" s="150">
        <f t="shared" si="67"/>
        <v>64444.444444444445</v>
      </c>
      <c r="N44" s="29" t="e">
        <f t="shared" ref="N44:S44" si="68">$S$23/N21</f>
        <v>#DIV/0!</v>
      </c>
      <c r="O44" s="29" t="e">
        <f t="shared" si="68"/>
        <v>#DIV/0!</v>
      </c>
      <c r="P44" s="29" t="e">
        <f t="shared" si="68"/>
        <v>#DIV/0!</v>
      </c>
      <c r="Q44" s="29" t="e">
        <f t="shared" si="68"/>
        <v>#DIV/0!</v>
      </c>
      <c r="R44" s="29" t="e">
        <f t="shared" si="68"/>
        <v>#DIV/0!</v>
      </c>
      <c r="S44" s="29" t="e">
        <f t="shared" si="68"/>
        <v>#DIV/0!</v>
      </c>
      <c r="T44" s="29" t="e">
        <f t="shared" ref="T44:W44" si="69">$W$23/T21</f>
        <v>#DIV/0!</v>
      </c>
      <c r="U44" s="29" t="e">
        <f t="shared" si="69"/>
        <v>#DIV/0!</v>
      </c>
      <c r="V44" s="29" t="e">
        <f t="shared" si="69"/>
        <v>#DIV/0!</v>
      </c>
      <c r="W44" s="29" t="e">
        <f t="shared" si="69"/>
        <v>#DIV/0!</v>
      </c>
      <c r="X44" s="82" t="e">
        <f t="shared" ref="X44:AC44" si="70">$AC$23/X21</f>
        <v>#DIV/0!</v>
      </c>
      <c r="Y44" s="82" t="e">
        <f t="shared" si="70"/>
        <v>#DIV/0!</v>
      </c>
      <c r="Z44" s="82" t="e">
        <f t="shared" si="70"/>
        <v>#DIV/0!</v>
      </c>
      <c r="AA44" s="82" t="e">
        <f t="shared" si="70"/>
        <v>#DIV/0!</v>
      </c>
      <c r="AB44" s="82" t="e">
        <f t="shared" si="70"/>
        <v>#DIV/0!</v>
      </c>
      <c r="AC44" s="82" t="e">
        <f t="shared" si="70"/>
        <v>#DIV/0!</v>
      </c>
    </row>
    <row r="45" spans="1:44" ht="26.25" x14ac:dyDescent="0.25">
      <c r="A45" s="278"/>
      <c r="B45" s="102" t="s">
        <v>87</v>
      </c>
      <c r="C45" s="101" t="s">
        <v>34</v>
      </c>
      <c r="D45" s="30" t="s">
        <v>16</v>
      </c>
      <c r="E45" s="29">
        <f>$F$43/E2</f>
        <v>175000</v>
      </c>
      <c r="F45" s="29">
        <f t="shared" ref="F45:M45" si="71">$F$43/F2</f>
        <v>87500</v>
      </c>
      <c r="G45" s="29">
        <f t="shared" si="71"/>
        <v>58333.333333333336</v>
      </c>
      <c r="H45" s="29">
        <f t="shared" si="71"/>
        <v>43750</v>
      </c>
      <c r="I45" s="29">
        <f t="shared" si="71"/>
        <v>35000</v>
      </c>
      <c r="J45" s="29">
        <f t="shared" si="71"/>
        <v>29166.666666666668</v>
      </c>
      <c r="K45" s="29">
        <f t="shared" si="71"/>
        <v>25000</v>
      </c>
      <c r="L45" s="29">
        <f t="shared" si="71"/>
        <v>21875</v>
      </c>
      <c r="M45" s="29">
        <f t="shared" si="71"/>
        <v>19444.444444444445</v>
      </c>
      <c r="N45" s="29" t="e">
        <f t="shared" ref="N45:AC45" si="72">$F$23/N21</f>
        <v>#DIV/0!</v>
      </c>
      <c r="O45" s="29" t="e">
        <f t="shared" si="72"/>
        <v>#DIV/0!</v>
      </c>
      <c r="P45" s="29" t="e">
        <f t="shared" si="72"/>
        <v>#DIV/0!</v>
      </c>
      <c r="Q45" s="29" t="e">
        <f t="shared" si="72"/>
        <v>#DIV/0!</v>
      </c>
      <c r="R45" s="29" t="e">
        <f t="shared" si="72"/>
        <v>#DIV/0!</v>
      </c>
      <c r="S45" s="29" t="e">
        <f t="shared" si="72"/>
        <v>#DIV/0!</v>
      </c>
      <c r="T45" s="29" t="e">
        <f t="shared" si="72"/>
        <v>#DIV/0!</v>
      </c>
      <c r="U45" s="29" t="e">
        <f t="shared" si="72"/>
        <v>#DIV/0!</v>
      </c>
      <c r="V45" s="29" t="e">
        <f t="shared" si="72"/>
        <v>#DIV/0!</v>
      </c>
      <c r="W45" s="29" t="e">
        <f t="shared" si="72"/>
        <v>#DIV/0!</v>
      </c>
      <c r="X45" s="29" t="e">
        <f t="shared" si="72"/>
        <v>#DIV/0!</v>
      </c>
      <c r="Y45" s="29" t="e">
        <f t="shared" si="72"/>
        <v>#DIV/0!</v>
      </c>
      <c r="Z45" s="29" t="e">
        <f t="shared" si="72"/>
        <v>#DIV/0!</v>
      </c>
      <c r="AA45" s="29" t="e">
        <f t="shared" si="72"/>
        <v>#DIV/0!</v>
      </c>
      <c r="AB45" s="29" t="e">
        <f t="shared" si="72"/>
        <v>#DIV/0!</v>
      </c>
      <c r="AC45" s="29" t="e">
        <f t="shared" si="72"/>
        <v>#DIV/0!</v>
      </c>
    </row>
    <row r="46" spans="1:44" x14ac:dyDescent="0.25">
      <c r="A46" s="278"/>
      <c r="B46" s="71"/>
      <c r="C46" s="71"/>
      <c r="D46" s="71"/>
      <c r="E46" s="83">
        <f t="shared" ref="E46:AC46" si="73">SUM(E44:E45)</f>
        <v>510000</v>
      </c>
      <c r="F46" s="83">
        <f t="shared" si="73"/>
        <v>255000</v>
      </c>
      <c r="G46" s="83">
        <f t="shared" si="73"/>
        <v>170000</v>
      </c>
      <c r="H46" s="83">
        <f t="shared" si="73"/>
        <v>188750</v>
      </c>
      <c r="I46" s="83">
        <f t="shared" si="73"/>
        <v>151000</v>
      </c>
      <c r="J46" s="83">
        <f t="shared" si="73"/>
        <v>125833.33333333334</v>
      </c>
      <c r="K46" s="83">
        <f t="shared" si="73"/>
        <v>107857.14285714286</v>
      </c>
      <c r="L46" s="83">
        <f t="shared" si="73"/>
        <v>94375</v>
      </c>
      <c r="M46" s="83">
        <f t="shared" si="73"/>
        <v>83888.888888888891</v>
      </c>
      <c r="N46" s="83" t="e">
        <f t="shared" si="73"/>
        <v>#DIV/0!</v>
      </c>
      <c r="O46" s="83" t="e">
        <f t="shared" si="73"/>
        <v>#DIV/0!</v>
      </c>
      <c r="P46" s="83" t="e">
        <f t="shared" si="73"/>
        <v>#DIV/0!</v>
      </c>
      <c r="Q46" s="83" t="e">
        <f t="shared" si="73"/>
        <v>#DIV/0!</v>
      </c>
      <c r="R46" s="83" t="e">
        <f t="shared" si="73"/>
        <v>#DIV/0!</v>
      </c>
      <c r="S46" s="83" t="e">
        <f t="shared" si="73"/>
        <v>#DIV/0!</v>
      </c>
      <c r="T46" s="83" t="e">
        <f t="shared" si="73"/>
        <v>#DIV/0!</v>
      </c>
      <c r="U46" s="83" t="e">
        <f t="shared" si="73"/>
        <v>#DIV/0!</v>
      </c>
      <c r="V46" s="83" t="e">
        <f t="shared" si="73"/>
        <v>#DIV/0!</v>
      </c>
      <c r="W46" s="83" t="e">
        <f t="shared" si="73"/>
        <v>#DIV/0!</v>
      </c>
      <c r="X46" s="83" t="e">
        <f t="shared" si="73"/>
        <v>#DIV/0!</v>
      </c>
      <c r="Y46" s="83" t="e">
        <f t="shared" si="73"/>
        <v>#DIV/0!</v>
      </c>
      <c r="Z46" s="83" t="e">
        <f t="shared" si="73"/>
        <v>#DIV/0!</v>
      </c>
      <c r="AA46" s="83" t="e">
        <f t="shared" si="73"/>
        <v>#DIV/0!</v>
      </c>
      <c r="AB46" s="83" t="e">
        <f t="shared" si="73"/>
        <v>#DIV/0!</v>
      </c>
      <c r="AC46" s="83" t="e">
        <f t="shared" si="73"/>
        <v>#DIV/0!</v>
      </c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</row>
    <row r="47" spans="1:44" x14ac:dyDescent="0.25">
      <c r="A47" s="278"/>
      <c r="B47" s="192" t="s">
        <v>103</v>
      </c>
      <c r="C47" s="102" t="s">
        <v>19</v>
      </c>
      <c r="D47" s="72" t="s">
        <v>20</v>
      </c>
      <c r="E47" s="85">
        <v>15000</v>
      </c>
      <c r="F47" s="29">
        <f t="shared" ref="F47:F48" si="74">E47</f>
        <v>15000</v>
      </c>
      <c r="G47" s="29">
        <f t="shared" ref="G47:G48" si="75">F47</f>
        <v>15000</v>
      </c>
      <c r="H47" s="29">
        <f t="shared" ref="H47:H48" si="76">G47</f>
        <v>15000</v>
      </c>
      <c r="I47" s="29">
        <f t="shared" ref="I47:I48" si="77">H47</f>
        <v>15000</v>
      </c>
      <c r="J47" s="29">
        <f t="shared" ref="J47:J48" si="78">I47</f>
        <v>15000</v>
      </c>
      <c r="K47" s="29">
        <f t="shared" ref="K47:K48" si="79">J47</f>
        <v>15000</v>
      </c>
      <c r="L47" s="29">
        <f t="shared" ref="L47:L48" si="80">K47</f>
        <v>15000</v>
      </c>
      <c r="M47" s="29">
        <f t="shared" ref="M47:M48" si="81">L47</f>
        <v>15000</v>
      </c>
      <c r="N47" s="29">
        <f t="shared" ref="N47:N48" si="82">M47</f>
        <v>15000</v>
      </c>
      <c r="O47" s="29">
        <f t="shared" ref="O47:O48" si="83">N47</f>
        <v>15000</v>
      </c>
      <c r="P47" s="29">
        <f t="shared" ref="P47:P48" si="84">O47</f>
        <v>15000</v>
      </c>
      <c r="Q47" s="29">
        <f t="shared" ref="Q47:Q48" si="85">P47</f>
        <v>15000</v>
      </c>
      <c r="R47" s="29">
        <f t="shared" ref="R47:R48" si="86">Q47</f>
        <v>15000</v>
      </c>
      <c r="S47" s="29">
        <f t="shared" ref="S47:S48" si="87">R47</f>
        <v>15000</v>
      </c>
      <c r="T47" s="29">
        <f t="shared" ref="T47:T48" si="88">S47</f>
        <v>15000</v>
      </c>
      <c r="U47" s="29">
        <f t="shared" ref="U47:U48" si="89">T47</f>
        <v>15000</v>
      </c>
      <c r="V47" s="29">
        <f t="shared" ref="V47:V48" si="90">U47</f>
        <v>15000</v>
      </c>
      <c r="W47" s="29">
        <f t="shared" ref="W47:W48" si="91">V47</f>
        <v>15000</v>
      </c>
      <c r="X47" s="29">
        <f t="shared" ref="X47:X48" si="92">W47</f>
        <v>15000</v>
      </c>
      <c r="Y47" s="29">
        <f t="shared" ref="Y47:Y48" si="93">X47</f>
        <v>15000</v>
      </c>
      <c r="Z47" s="29">
        <f t="shared" ref="Z47:Z48" si="94">Y47</f>
        <v>15000</v>
      </c>
      <c r="AA47" s="29">
        <f t="shared" ref="AA47:AA48" si="95">Z47</f>
        <v>15000</v>
      </c>
      <c r="AB47" s="29">
        <f t="shared" ref="AB47:AB48" si="96">AA47</f>
        <v>15000</v>
      </c>
      <c r="AC47" s="29">
        <f t="shared" ref="AC47:AC48" si="97">AB47</f>
        <v>15000</v>
      </c>
    </row>
    <row r="48" spans="1:44" x14ac:dyDescent="0.25">
      <c r="A48" s="279"/>
      <c r="B48" s="16" t="s">
        <v>101</v>
      </c>
      <c r="C48" s="101" t="s">
        <v>27</v>
      </c>
      <c r="D48" s="86" t="s">
        <v>28</v>
      </c>
      <c r="E48" s="87">
        <v>30000</v>
      </c>
      <c r="F48" s="29">
        <f t="shared" si="74"/>
        <v>30000</v>
      </c>
      <c r="G48" s="29">
        <f t="shared" si="75"/>
        <v>30000</v>
      </c>
      <c r="H48" s="29">
        <f t="shared" si="76"/>
        <v>30000</v>
      </c>
      <c r="I48" s="29">
        <f t="shared" si="77"/>
        <v>30000</v>
      </c>
      <c r="J48" s="29">
        <f t="shared" si="78"/>
        <v>30000</v>
      </c>
      <c r="K48" s="29">
        <f t="shared" si="79"/>
        <v>30000</v>
      </c>
      <c r="L48" s="29">
        <f t="shared" si="80"/>
        <v>30000</v>
      </c>
      <c r="M48" s="29">
        <f t="shared" si="81"/>
        <v>30000</v>
      </c>
      <c r="N48" s="29">
        <f t="shared" si="82"/>
        <v>30000</v>
      </c>
      <c r="O48" s="29">
        <f t="shared" si="83"/>
        <v>30000</v>
      </c>
      <c r="P48" s="29">
        <f t="shared" si="84"/>
        <v>30000</v>
      </c>
      <c r="Q48" s="29">
        <f t="shared" si="85"/>
        <v>30000</v>
      </c>
      <c r="R48" s="29">
        <f t="shared" si="86"/>
        <v>30000</v>
      </c>
      <c r="S48" s="29">
        <f t="shared" si="87"/>
        <v>30000</v>
      </c>
      <c r="T48" s="29">
        <f t="shared" si="88"/>
        <v>30000</v>
      </c>
      <c r="U48" s="29">
        <f t="shared" si="89"/>
        <v>30000</v>
      </c>
      <c r="V48" s="29">
        <f t="shared" si="90"/>
        <v>30000</v>
      </c>
      <c r="W48" s="29">
        <f t="shared" si="91"/>
        <v>30000</v>
      </c>
      <c r="X48" s="29">
        <f t="shared" si="92"/>
        <v>30000</v>
      </c>
      <c r="Y48" s="29">
        <f t="shared" si="93"/>
        <v>30000</v>
      </c>
      <c r="Z48" s="29">
        <f t="shared" si="94"/>
        <v>30000</v>
      </c>
      <c r="AA48" s="29">
        <f t="shared" si="95"/>
        <v>30000</v>
      </c>
      <c r="AB48" s="29">
        <f t="shared" si="96"/>
        <v>30000</v>
      </c>
      <c r="AC48" s="29">
        <f t="shared" si="97"/>
        <v>30000</v>
      </c>
    </row>
    <row r="49" spans="1:29" x14ac:dyDescent="0.25">
      <c r="A49" s="13"/>
      <c r="B49" s="18" t="s">
        <v>29</v>
      </c>
      <c r="C49" s="18"/>
      <c r="D49" s="18"/>
      <c r="E49" s="73">
        <f t="shared" ref="E49:AC49" si="98">SUM(E46:E48)</f>
        <v>555000</v>
      </c>
      <c r="F49" s="73">
        <f t="shared" si="98"/>
        <v>300000</v>
      </c>
      <c r="G49" s="73">
        <f t="shared" si="98"/>
        <v>215000</v>
      </c>
      <c r="H49" s="73">
        <f t="shared" si="98"/>
        <v>233750</v>
      </c>
      <c r="I49" s="73">
        <f t="shared" si="98"/>
        <v>196000</v>
      </c>
      <c r="J49" s="73">
        <f t="shared" si="98"/>
        <v>170833.33333333334</v>
      </c>
      <c r="K49" s="73">
        <f t="shared" si="98"/>
        <v>152857.14285714284</v>
      </c>
      <c r="L49" s="73">
        <f t="shared" si="98"/>
        <v>139375</v>
      </c>
      <c r="M49" s="73">
        <f t="shared" si="98"/>
        <v>128888.88888888889</v>
      </c>
      <c r="N49" s="73" t="e">
        <f t="shared" si="98"/>
        <v>#DIV/0!</v>
      </c>
      <c r="O49" s="73" t="e">
        <f t="shared" si="98"/>
        <v>#DIV/0!</v>
      </c>
      <c r="P49" s="73" t="e">
        <f t="shared" si="98"/>
        <v>#DIV/0!</v>
      </c>
      <c r="Q49" s="73" t="e">
        <f t="shared" si="98"/>
        <v>#DIV/0!</v>
      </c>
      <c r="R49" s="73" t="e">
        <f t="shared" si="98"/>
        <v>#DIV/0!</v>
      </c>
      <c r="S49" s="73" t="e">
        <f t="shared" si="98"/>
        <v>#DIV/0!</v>
      </c>
      <c r="T49" s="73" t="e">
        <f t="shared" si="98"/>
        <v>#DIV/0!</v>
      </c>
      <c r="U49" s="73" t="e">
        <f t="shared" si="98"/>
        <v>#DIV/0!</v>
      </c>
      <c r="V49" s="73" t="e">
        <f t="shared" si="98"/>
        <v>#DIV/0!</v>
      </c>
      <c r="W49" s="73" t="e">
        <f t="shared" si="98"/>
        <v>#DIV/0!</v>
      </c>
      <c r="X49" s="73" t="e">
        <f t="shared" si="98"/>
        <v>#DIV/0!</v>
      </c>
      <c r="Y49" s="73" t="e">
        <f t="shared" si="98"/>
        <v>#DIV/0!</v>
      </c>
      <c r="Z49" s="73" t="e">
        <f t="shared" si="98"/>
        <v>#DIV/0!</v>
      </c>
      <c r="AA49" s="73" t="e">
        <f t="shared" si="98"/>
        <v>#DIV/0!</v>
      </c>
      <c r="AB49" s="73" t="e">
        <f t="shared" si="98"/>
        <v>#DIV/0!</v>
      </c>
      <c r="AC49" s="73" t="e">
        <f t="shared" si="98"/>
        <v>#DIV/0!</v>
      </c>
    </row>
    <row r="50" spans="1:29" ht="15" customHeight="1" x14ac:dyDescent="0.25">
      <c r="A50" s="177"/>
      <c r="B50" s="308">
        <v>0.75</v>
      </c>
      <c r="C50" s="18"/>
      <c r="D50" s="152" t="s">
        <v>22</v>
      </c>
      <c r="E50" s="73">
        <f>E49/B50</f>
        <v>740000</v>
      </c>
      <c r="F50" s="73">
        <f>F49/B50</f>
        <v>400000</v>
      </c>
      <c r="G50" s="73">
        <f>G49/B50</f>
        <v>286666.66666666669</v>
      </c>
      <c r="H50" s="73">
        <f>H49/B50</f>
        <v>311666.66666666669</v>
      </c>
      <c r="I50" s="73">
        <f>I49/B50</f>
        <v>261333.33333333334</v>
      </c>
      <c r="J50" s="73">
        <f>J49/B50</f>
        <v>227777.77777777778</v>
      </c>
      <c r="K50" s="73">
        <f>K49/B50</f>
        <v>203809.52380952379</v>
      </c>
      <c r="L50" s="73">
        <f>L49/B50</f>
        <v>185833.33333333334</v>
      </c>
      <c r="M50" s="73">
        <f>M49/B50</f>
        <v>171851.85185185185</v>
      </c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</row>
    <row r="51" spans="1:29" x14ac:dyDescent="0.25">
      <c r="A51" s="189"/>
      <c r="B51" s="174"/>
      <c r="C51" s="19"/>
      <c r="D51" s="162" t="s">
        <v>23</v>
      </c>
      <c r="E51" s="163">
        <f>_xlfn.CEILING.MATH(E50,1000)</f>
        <v>740000</v>
      </c>
      <c r="F51" s="163">
        <f>_xlfn.CEILING.MATH(F50,1000)</f>
        <v>400000</v>
      </c>
      <c r="G51" s="163">
        <f t="shared" ref="G51:M51" si="99">_xlfn.CEILING.MATH(G50,1000)</f>
        <v>287000</v>
      </c>
      <c r="H51" s="163">
        <f t="shared" si="99"/>
        <v>312000</v>
      </c>
      <c r="I51" s="163">
        <f t="shared" si="99"/>
        <v>262000</v>
      </c>
      <c r="J51" s="163">
        <f t="shared" si="99"/>
        <v>228000</v>
      </c>
      <c r="K51" s="163">
        <f t="shared" si="99"/>
        <v>204000</v>
      </c>
      <c r="L51" s="163">
        <f t="shared" si="99"/>
        <v>186000</v>
      </c>
      <c r="M51" s="163">
        <f t="shared" si="99"/>
        <v>172000</v>
      </c>
      <c r="N51" s="20"/>
      <c r="O51" s="20"/>
      <c r="P51" s="20"/>
      <c r="Q51" s="20"/>
      <c r="R51" s="20"/>
      <c r="S51" s="20"/>
      <c r="T51" s="20"/>
      <c r="U51" s="20"/>
      <c r="V51" s="20"/>
      <c r="W51" s="21"/>
      <c r="X51" s="22"/>
      <c r="Y51" s="22"/>
      <c r="Z51" s="22"/>
      <c r="AA51" s="22"/>
      <c r="AB51" s="22"/>
      <c r="AC51" s="23"/>
    </row>
    <row r="52" spans="1:29" x14ac:dyDescent="0.25">
      <c r="A52" s="223" t="s">
        <v>52</v>
      </c>
      <c r="B52" s="23" t="s">
        <v>53</v>
      </c>
    </row>
    <row r="53" spans="1:29" x14ac:dyDescent="0.25">
      <c r="A53" s="224" t="s">
        <v>54</v>
      </c>
      <c r="B53" s="23" t="s">
        <v>55</v>
      </c>
    </row>
    <row r="54" spans="1:29" x14ac:dyDescent="0.25">
      <c r="A54" s="225" t="s">
        <v>56</v>
      </c>
      <c r="B54" s="23" t="s">
        <v>57</v>
      </c>
    </row>
    <row r="55" spans="1:29" x14ac:dyDescent="0.25">
      <c r="A55" s="226" t="s">
        <v>58</v>
      </c>
      <c r="B55" s="23" t="s">
        <v>59</v>
      </c>
    </row>
    <row r="58" spans="1:29" ht="15.75" customHeight="1" x14ac:dyDescent="0.25"/>
    <row r="59" spans="1:29" ht="15.75" customHeight="1" x14ac:dyDescent="0.25"/>
    <row r="60" spans="1:29" ht="15.75" customHeight="1" x14ac:dyDescent="0.25"/>
    <row r="61" spans="1:29" ht="15.75" customHeight="1" x14ac:dyDescent="0.25"/>
    <row r="62" spans="1:29" ht="15.75" customHeight="1" x14ac:dyDescent="0.25"/>
    <row r="63" spans="1:29" ht="15.75" customHeight="1" x14ac:dyDescent="0.25"/>
    <row r="64" spans="1:2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0">
    <mergeCell ref="A3:A6"/>
    <mergeCell ref="A13:A18"/>
    <mergeCell ref="A24:A28"/>
    <mergeCell ref="X23:AB23"/>
    <mergeCell ref="T23:V23"/>
    <mergeCell ref="H11:L11"/>
    <mergeCell ref="T1:V1"/>
    <mergeCell ref="X1:AB1"/>
    <mergeCell ref="T11:V11"/>
    <mergeCell ref="X11:AB11"/>
    <mergeCell ref="H1:L1"/>
    <mergeCell ref="H23:L23"/>
    <mergeCell ref="H43:L43"/>
    <mergeCell ref="T43:V43"/>
    <mergeCell ref="X43:AB43"/>
    <mergeCell ref="A44:A48"/>
    <mergeCell ref="H33:L33"/>
    <mergeCell ref="T33:V33"/>
    <mergeCell ref="X33:AB33"/>
    <mergeCell ref="A34:A38"/>
  </mergeCells>
  <hyperlinks>
    <hyperlink ref="B6" r:id="rId1" xr:uid="{00000000-0004-0000-0100-000000000000}"/>
    <hyperlink ref="B16" r:id="rId2" xr:uid="{00000000-0004-0000-0100-000001000000}"/>
    <hyperlink ref="B17" r:id="rId3" xr:uid="{00000000-0004-0000-0100-000002000000}"/>
    <hyperlink ref="B18" r:id="rId4" xr:uid="{00000000-0004-0000-0100-000003000000}"/>
    <hyperlink ref="B28" r:id="rId5" xr:uid="{00000000-0004-0000-0100-000004000000}"/>
  </hyperlinks>
  <pageMargins left="0.7" right="0.7" top="0.75" bottom="0.75" header="0" footer="0"/>
  <pageSetup orientation="portrait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Q1025"/>
  <sheetViews>
    <sheetView topLeftCell="A31" workbookViewId="0">
      <selection activeCell="B39" sqref="B39"/>
    </sheetView>
  </sheetViews>
  <sheetFormatPr baseColWidth="10" defaultColWidth="14.42578125" defaultRowHeight="15" customHeight="1" x14ac:dyDescent="0.25"/>
  <cols>
    <col min="1" max="1" width="13.140625" customWidth="1"/>
    <col min="2" max="2" width="24" customWidth="1"/>
    <col min="3" max="3" width="27.28515625" customWidth="1"/>
    <col min="4" max="4" width="12.85546875" customWidth="1"/>
    <col min="5" max="43" width="10.7109375" customWidth="1"/>
  </cols>
  <sheetData>
    <row r="1" spans="1:4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11" t="s">
        <v>4</v>
      </c>
      <c r="F1" s="2">
        <v>250000</v>
      </c>
      <c r="G1" s="3">
        <f>35000*2</f>
        <v>70000</v>
      </c>
      <c r="H1" s="284" t="s">
        <v>5</v>
      </c>
      <c r="I1" s="281"/>
      <c r="J1" s="281"/>
      <c r="K1" s="281"/>
      <c r="L1" s="285"/>
      <c r="M1" s="4">
        <f>65000*2</f>
        <v>130000</v>
      </c>
      <c r="N1" s="213" t="s">
        <v>104</v>
      </c>
      <c r="O1" s="228">
        <v>100000</v>
      </c>
      <c r="P1" s="214"/>
      <c r="Q1" s="31"/>
      <c r="R1" s="6">
        <f>79000*3</f>
        <v>237000</v>
      </c>
      <c r="S1" s="212" t="s">
        <v>36</v>
      </c>
      <c r="T1" s="216"/>
      <c r="U1" s="229">
        <v>140000</v>
      </c>
      <c r="V1" s="216"/>
      <c r="W1" s="216"/>
      <c r="X1" s="216"/>
      <c r="Y1" s="229">
        <v>200000</v>
      </c>
      <c r="Z1" s="216"/>
      <c r="AA1" s="216"/>
      <c r="AB1" s="217"/>
      <c r="AC1" s="221">
        <f>200000*3</f>
        <v>600000</v>
      </c>
    </row>
    <row r="2" spans="1:43" x14ac:dyDescent="0.25">
      <c r="A2" s="32" t="s">
        <v>105</v>
      </c>
      <c r="B2" s="190"/>
      <c r="C2" s="101"/>
      <c r="D2" s="102"/>
      <c r="E2" s="7" t="s">
        <v>9</v>
      </c>
      <c r="F2" s="7" t="s">
        <v>62</v>
      </c>
      <c r="G2" s="7" t="s">
        <v>63</v>
      </c>
      <c r="H2" s="7" t="s">
        <v>64</v>
      </c>
      <c r="I2" s="7" t="s">
        <v>65</v>
      </c>
      <c r="J2" s="7" t="s">
        <v>66</v>
      </c>
      <c r="K2" s="7" t="s">
        <v>67</v>
      </c>
      <c r="L2" s="7" t="s">
        <v>68</v>
      </c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75</v>
      </c>
      <c r="T2" s="7" t="s">
        <v>76</v>
      </c>
      <c r="U2" s="7" t="s">
        <v>77</v>
      </c>
      <c r="V2" s="7" t="s">
        <v>78</v>
      </c>
      <c r="W2" s="7" t="s">
        <v>79</v>
      </c>
      <c r="X2" s="7" t="s">
        <v>80</v>
      </c>
      <c r="Y2" s="7" t="s">
        <v>81</v>
      </c>
      <c r="Z2" s="7" t="s">
        <v>82</v>
      </c>
      <c r="AA2" s="7" t="s">
        <v>83</v>
      </c>
      <c r="AB2" s="7" t="s">
        <v>84</v>
      </c>
      <c r="AC2" s="7" t="s">
        <v>85</v>
      </c>
    </row>
    <row r="3" spans="1:43" ht="25.5" customHeight="1" x14ac:dyDescent="0.25">
      <c r="A3" s="286" t="s">
        <v>106</v>
      </c>
      <c r="B3" s="38" t="s">
        <v>107</v>
      </c>
      <c r="C3" s="33" t="s">
        <v>108</v>
      </c>
      <c r="D3" s="34" t="s">
        <v>13</v>
      </c>
      <c r="E3" s="146">
        <f t="shared" ref="E3:G3" si="0">$G$1/E2</f>
        <v>70000</v>
      </c>
      <c r="F3" s="146">
        <f t="shared" si="0"/>
        <v>35000</v>
      </c>
      <c r="G3" s="146">
        <f t="shared" si="0"/>
        <v>23333.333333333332</v>
      </c>
      <c r="H3" s="29">
        <f t="shared" ref="H3:M3" si="1">$M$1/H2</f>
        <v>32500</v>
      </c>
      <c r="I3" s="29">
        <f t="shared" si="1"/>
        <v>26000</v>
      </c>
      <c r="J3" s="29">
        <f t="shared" si="1"/>
        <v>21666.666666666668</v>
      </c>
      <c r="K3" s="29">
        <f t="shared" si="1"/>
        <v>18571.428571428572</v>
      </c>
      <c r="L3" s="29">
        <f t="shared" si="1"/>
        <v>16250</v>
      </c>
      <c r="M3" s="29">
        <f t="shared" si="1"/>
        <v>14444.444444444445</v>
      </c>
      <c r="N3" s="29">
        <f t="shared" ref="N3:R3" si="2">$R$1/N2</f>
        <v>23700</v>
      </c>
      <c r="O3" s="29">
        <f t="shared" si="2"/>
        <v>21545.454545454544</v>
      </c>
      <c r="P3" s="29">
        <f t="shared" si="2"/>
        <v>19750</v>
      </c>
      <c r="Q3" s="29">
        <f t="shared" si="2"/>
        <v>18230.76923076923</v>
      </c>
      <c r="R3" s="29">
        <f t="shared" si="2"/>
        <v>16928.571428571428</v>
      </c>
      <c r="S3" s="29">
        <f t="shared" ref="S3:AC3" si="3">$AC$1/S2</f>
        <v>40000</v>
      </c>
      <c r="T3" s="29">
        <f t="shared" si="3"/>
        <v>37500</v>
      </c>
      <c r="U3" s="29">
        <f t="shared" si="3"/>
        <v>35294.117647058825</v>
      </c>
      <c r="V3" s="29">
        <f t="shared" si="3"/>
        <v>33333.333333333336</v>
      </c>
      <c r="W3" s="29">
        <f t="shared" si="3"/>
        <v>31578.947368421053</v>
      </c>
      <c r="X3" s="29">
        <f t="shared" si="3"/>
        <v>30000</v>
      </c>
      <c r="Y3" s="29">
        <f t="shared" si="3"/>
        <v>28571.428571428572</v>
      </c>
      <c r="Z3" s="29">
        <f t="shared" si="3"/>
        <v>27272.727272727272</v>
      </c>
      <c r="AA3" s="29">
        <f t="shared" si="3"/>
        <v>26086.956521739132</v>
      </c>
      <c r="AB3" s="29">
        <f t="shared" si="3"/>
        <v>25000</v>
      </c>
      <c r="AC3" s="29">
        <f t="shared" si="3"/>
        <v>24000</v>
      </c>
    </row>
    <row r="4" spans="1:43" x14ac:dyDescent="0.25">
      <c r="A4" s="287"/>
      <c r="B4" s="230" t="s">
        <v>109</v>
      </c>
      <c r="C4" s="35" t="s">
        <v>110</v>
      </c>
      <c r="D4" s="36" t="s">
        <v>16</v>
      </c>
      <c r="E4" s="29">
        <f t="shared" ref="E4:N4" si="4">$F$1/E2</f>
        <v>250000</v>
      </c>
      <c r="F4" s="29">
        <f t="shared" si="4"/>
        <v>125000</v>
      </c>
      <c r="G4" s="29">
        <f t="shared" si="4"/>
        <v>83333.333333333328</v>
      </c>
      <c r="H4" s="29">
        <f t="shared" si="4"/>
        <v>62500</v>
      </c>
      <c r="I4" s="29">
        <f t="shared" si="4"/>
        <v>50000</v>
      </c>
      <c r="J4" s="29">
        <f t="shared" si="4"/>
        <v>41666.666666666664</v>
      </c>
      <c r="K4" s="29">
        <f t="shared" si="4"/>
        <v>35714.285714285717</v>
      </c>
      <c r="L4" s="29">
        <f t="shared" si="4"/>
        <v>31250</v>
      </c>
      <c r="M4" s="29">
        <f t="shared" si="4"/>
        <v>27777.777777777777</v>
      </c>
      <c r="N4" s="29">
        <f t="shared" si="4"/>
        <v>25000</v>
      </c>
      <c r="O4" s="29">
        <f t="shared" ref="O4:T4" si="5">$O$1/O2</f>
        <v>9090.9090909090901</v>
      </c>
      <c r="P4" s="29">
        <f t="shared" si="5"/>
        <v>8333.3333333333339</v>
      </c>
      <c r="Q4" s="29">
        <f t="shared" si="5"/>
        <v>7692.3076923076924</v>
      </c>
      <c r="R4" s="29">
        <f t="shared" si="5"/>
        <v>7142.8571428571431</v>
      </c>
      <c r="S4" s="29">
        <f t="shared" si="5"/>
        <v>6666.666666666667</v>
      </c>
      <c r="T4" s="29">
        <f t="shared" si="5"/>
        <v>6250</v>
      </c>
      <c r="U4" s="29">
        <f t="shared" ref="U4:X4" si="6">$U$1/U2</f>
        <v>8235.2941176470595</v>
      </c>
      <c r="V4" s="29">
        <f t="shared" si="6"/>
        <v>7777.7777777777774</v>
      </c>
      <c r="W4" s="29">
        <f t="shared" si="6"/>
        <v>7368.4210526315792</v>
      </c>
      <c r="X4" s="29">
        <f t="shared" si="6"/>
        <v>7000</v>
      </c>
      <c r="Y4" s="134">
        <f t="shared" ref="Y4:AC4" si="7">$Y$1/Y2</f>
        <v>9523.8095238095229</v>
      </c>
      <c r="Z4" s="134">
        <f t="shared" si="7"/>
        <v>9090.9090909090901</v>
      </c>
      <c r="AA4" s="134">
        <f t="shared" si="7"/>
        <v>8695.652173913044</v>
      </c>
      <c r="AB4" s="134">
        <f t="shared" si="7"/>
        <v>8333.3333333333339</v>
      </c>
      <c r="AC4" s="134">
        <f t="shared" si="7"/>
        <v>8000</v>
      </c>
    </row>
    <row r="5" spans="1:43" x14ac:dyDescent="0.25">
      <c r="A5" s="287"/>
      <c r="B5" s="11" t="s">
        <v>17</v>
      </c>
      <c r="C5" s="24"/>
      <c r="D5" s="19"/>
      <c r="E5" s="37">
        <f t="shared" ref="E5:AC5" si="8">SUM(E3:E4)</f>
        <v>320000</v>
      </c>
      <c r="F5" s="37">
        <f t="shared" si="8"/>
        <v>160000</v>
      </c>
      <c r="G5" s="37">
        <f t="shared" si="8"/>
        <v>106666.66666666666</v>
      </c>
      <c r="H5" s="37">
        <f t="shared" si="8"/>
        <v>95000</v>
      </c>
      <c r="I5" s="37">
        <f t="shared" si="8"/>
        <v>76000</v>
      </c>
      <c r="J5" s="37">
        <f t="shared" si="8"/>
        <v>63333.333333333328</v>
      </c>
      <c r="K5" s="37">
        <f t="shared" si="8"/>
        <v>54285.71428571429</v>
      </c>
      <c r="L5" s="37">
        <f t="shared" si="8"/>
        <v>47500</v>
      </c>
      <c r="M5" s="37">
        <f t="shared" si="8"/>
        <v>42222.222222222219</v>
      </c>
      <c r="N5" s="37">
        <f t="shared" si="8"/>
        <v>48700</v>
      </c>
      <c r="O5" s="37">
        <f t="shared" si="8"/>
        <v>30636.363636363632</v>
      </c>
      <c r="P5" s="37">
        <f t="shared" si="8"/>
        <v>28083.333333333336</v>
      </c>
      <c r="Q5" s="37">
        <f t="shared" si="8"/>
        <v>25923.076923076922</v>
      </c>
      <c r="R5" s="37">
        <f t="shared" si="8"/>
        <v>24071.428571428572</v>
      </c>
      <c r="S5" s="37">
        <f t="shared" si="8"/>
        <v>46666.666666666664</v>
      </c>
      <c r="T5" s="37">
        <f t="shared" si="8"/>
        <v>43750</v>
      </c>
      <c r="U5" s="37">
        <f t="shared" si="8"/>
        <v>43529.411764705888</v>
      </c>
      <c r="V5" s="37">
        <f t="shared" si="8"/>
        <v>41111.111111111109</v>
      </c>
      <c r="W5" s="37">
        <f t="shared" si="8"/>
        <v>38947.368421052633</v>
      </c>
      <c r="X5" s="37">
        <f t="shared" si="8"/>
        <v>37000</v>
      </c>
      <c r="Y5" s="37">
        <f t="shared" si="8"/>
        <v>38095.238095238092</v>
      </c>
      <c r="Z5" s="37">
        <f t="shared" si="8"/>
        <v>36363.63636363636</v>
      </c>
      <c r="AA5" s="37">
        <f t="shared" si="8"/>
        <v>34782.608695652176</v>
      </c>
      <c r="AB5" s="37">
        <f t="shared" si="8"/>
        <v>33333.333333333336</v>
      </c>
      <c r="AC5" s="37">
        <f t="shared" si="8"/>
        <v>32000</v>
      </c>
    </row>
    <row r="6" spans="1:43" ht="30" x14ac:dyDescent="0.25">
      <c r="A6" s="287"/>
      <c r="B6" s="38" t="s">
        <v>111</v>
      </c>
      <c r="C6" s="35" t="s">
        <v>112</v>
      </c>
      <c r="D6" s="39" t="s">
        <v>28</v>
      </c>
      <c r="E6" s="40">
        <v>80000</v>
      </c>
      <c r="F6" s="41">
        <f t="shared" ref="F6:AC6" si="9">E6</f>
        <v>80000</v>
      </c>
      <c r="G6" s="41">
        <f t="shared" si="9"/>
        <v>80000</v>
      </c>
      <c r="H6" s="41">
        <f t="shared" si="9"/>
        <v>80000</v>
      </c>
      <c r="I6" s="41">
        <f t="shared" si="9"/>
        <v>80000</v>
      </c>
      <c r="J6" s="41">
        <f t="shared" si="9"/>
        <v>80000</v>
      </c>
      <c r="K6" s="41">
        <f t="shared" si="9"/>
        <v>80000</v>
      </c>
      <c r="L6" s="41">
        <f t="shared" si="9"/>
        <v>80000</v>
      </c>
      <c r="M6" s="41">
        <f t="shared" si="9"/>
        <v>80000</v>
      </c>
      <c r="N6" s="41">
        <f t="shared" si="9"/>
        <v>80000</v>
      </c>
      <c r="O6" s="41">
        <f t="shared" si="9"/>
        <v>80000</v>
      </c>
      <c r="P6" s="41">
        <f t="shared" si="9"/>
        <v>80000</v>
      </c>
      <c r="Q6" s="41">
        <f t="shared" si="9"/>
        <v>80000</v>
      </c>
      <c r="R6" s="41">
        <f t="shared" si="9"/>
        <v>80000</v>
      </c>
      <c r="S6" s="41">
        <f t="shared" si="9"/>
        <v>80000</v>
      </c>
      <c r="T6" s="41">
        <f t="shared" si="9"/>
        <v>80000</v>
      </c>
      <c r="U6" s="41">
        <f t="shared" si="9"/>
        <v>80000</v>
      </c>
      <c r="V6" s="41">
        <f t="shared" si="9"/>
        <v>80000</v>
      </c>
      <c r="W6" s="41">
        <f t="shared" si="9"/>
        <v>80000</v>
      </c>
      <c r="X6" s="41">
        <f t="shared" si="9"/>
        <v>80000</v>
      </c>
      <c r="Y6" s="41">
        <f t="shared" si="9"/>
        <v>80000</v>
      </c>
      <c r="Z6" s="41">
        <f t="shared" si="9"/>
        <v>80000</v>
      </c>
      <c r="AA6" s="41">
        <f t="shared" si="9"/>
        <v>80000</v>
      </c>
      <c r="AB6" s="41">
        <f t="shared" si="9"/>
        <v>80000</v>
      </c>
      <c r="AC6" s="41">
        <f t="shared" si="9"/>
        <v>80000</v>
      </c>
    </row>
    <row r="7" spans="1:43" x14ac:dyDescent="0.25">
      <c r="A7" s="195"/>
      <c r="B7" s="175" t="s">
        <v>29</v>
      </c>
      <c r="C7" s="18"/>
      <c r="D7" s="18"/>
      <c r="E7" s="73">
        <f t="shared" ref="E7:AC7" si="10">SUM(E5:E6)</f>
        <v>400000</v>
      </c>
      <c r="F7" s="73">
        <f t="shared" si="10"/>
        <v>240000</v>
      </c>
      <c r="G7" s="73">
        <f t="shared" si="10"/>
        <v>186666.66666666666</v>
      </c>
      <c r="H7" s="73">
        <f t="shared" si="10"/>
        <v>175000</v>
      </c>
      <c r="I7" s="73">
        <f t="shared" si="10"/>
        <v>156000</v>
      </c>
      <c r="J7" s="73">
        <f t="shared" si="10"/>
        <v>143333.33333333331</v>
      </c>
      <c r="K7" s="73">
        <f t="shared" si="10"/>
        <v>134285.71428571429</v>
      </c>
      <c r="L7" s="73">
        <f t="shared" si="10"/>
        <v>127500</v>
      </c>
      <c r="M7" s="73">
        <f t="shared" si="10"/>
        <v>122222.22222222222</v>
      </c>
      <c r="N7" s="73">
        <f t="shared" si="10"/>
        <v>128700</v>
      </c>
      <c r="O7" s="73">
        <f t="shared" si="10"/>
        <v>110636.36363636363</v>
      </c>
      <c r="P7" s="73">
        <f t="shared" si="10"/>
        <v>108083.33333333334</v>
      </c>
      <c r="Q7" s="73">
        <f t="shared" si="10"/>
        <v>105923.07692307692</v>
      </c>
      <c r="R7" s="73">
        <f t="shared" si="10"/>
        <v>104071.42857142858</v>
      </c>
      <c r="S7" s="73">
        <f t="shared" si="10"/>
        <v>126666.66666666666</v>
      </c>
      <c r="T7" s="73">
        <f t="shared" si="10"/>
        <v>123750</v>
      </c>
      <c r="U7" s="73">
        <f t="shared" si="10"/>
        <v>123529.41176470589</v>
      </c>
      <c r="V7" s="73">
        <f t="shared" si="10"/>
        <v>121111.11111111111</v>
      </c>
      <c r="W7" s="73">
        <f t="shared" si="10"/>
        <v>118947.36842105264</v>
      </c>
      <c r="X7" s="73">
        <f t="shared" si="10"/>
        <v>117000</v>
      </c>
      <c r="Y7" s="73">
        <f t="shared" si="10"/>
        <v>118095.23809523809</v>
      </c>
      <c r="Z7" s="73">
        <f t="shared" si="10"/>
        <v>116363.63636363635</v>
      </c>
      <c r="AA7" s="73">
        <f t="shared" si="10"/>
        <v>114782.60869565218</v>
      </c>
      <c r="AB7" s="73">
        <f t="shared" si="10"/>
        <v>113333.33333333334</v>
      </c>
      <c r="AC7" s="73">
        <f t="shared" si="10"/>
        <v>112000</v>
      </c>
    </row>
    <row r="8" spans="1:43" ht="15" customHeight="1" x14ac:dyDescent="0.25">
      <c r="A8" s="194"/>
      <c r="B8" s="308">
        <v>0.8</v>
      </c>
      <c r="C8" s="18"/>
      <c r="D8" s="152" t="s">
        <v>22</v>
      </c>
      <c r="E8" s="73">
        <f>E7/B8</f>
        <v>500000</v>
      </c>
      <c r="F8" s="73">
        <f>F7/B8</f>
        <v>300000</v>
      </c>
      <c r="G8" s="73">
        <f>G7/B8</f>
        <v>233333.33333333331</v>
      </c>
      <c r="H8" s="73">
        <f>H7/B8</f>
        <v>218750</v>
      </c>
      <c r="I8" s="73">
        <f>I7/B8</f>
        <v>195000</v>
      </c>
      <c r="J8" s="73">
        <f>J7/B8</f>
        <v>179166.66666666663</v>
      </c>
      <c r="K8" s="73">
        <f>K7/B8</f>
        <v>167857.14285714284</v>
      </c>
      <c r="L8" s="73">
        <f>L7/B8</f>
        <v>159375</v>
      </c>
      <c r="M8" s="73">
        <f>M7/B8</f>
        <v>152777.77777777775</v>
      </c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</row>
    <row r="9" spans="1:43" x14ac:dyDescent="0.25">
      <c r="A9" s="189"/>
      <c r="B9" s="174"/>
      <c r="C9" s="19"/>
      <c r="D9" s="162" t="s">
        <v>23</v>
      </c>
      <c r="E9" s="163">
        <f>_xlfn.CEILING.MATH(E8,1000)</f>
        <v>500000</v>
      </c>
      <c r="F9" s="163">
        <f>_xlfn.CEILING.MATH(F8,1000)</f>
        <v>300000</v>
      </c>
      <c r="G9" s="163">
        <f t="shared" ref="G9:M9" si="11">_xlfn.CEILING.MATH(G8,1000)</f>
        <v>234000</v>
      </c>
      <c r="H9" s="163">
        <f t="shared" si="11"/>
        <v>219000</v>
      </c>
      <c r="I9" s="163">
        <f t="shared" si="11"/>
        <v>195000</v>
      </c>
      <c r="J9" s="163">
        <f t="shared" si="11"/>
        <v>180000</v>
      </c>
      <c r="K9" s="163">
        <f t="shared" si="11"/>
        <v>168000</v>
      </c>
      <c r="L9" s="163">
        <f t="shared" si="11"/>
        <v>160000</v>
      </c>
      <c r="M9" s="163">
        <f t="shared" si="11"/>
        <v>153000</v>
      </c>
      <c r="N9" s="20"/>
      <c r="O9" s="20"/>
      <c r="P9" s="20"/>
      <c r="Q9" s="20"/>
      <c r="R9" s="20"/>
      <c r="S9" s="20"/>
      <c r="T9" s="20"/>
      <c r="U9" s="20"/>
      <c r="V9" s="20"/>
      <c r="W9" s="21"/>
      <c r="X9" s="22"/>
      <c r="Y9" s="22"/>
      <c r="Z9" s="22"/>
      <c r="AA9" s="22"/>
      <c r="AB9" s="22"/>
      <c r="AC9" s="23"/>
    </row>
    <row r="10" spans="1:43" x14ac:dyDescent="0.25">
      <c r="A10" s="42"/>
      <c r="B10" s="231"/>
      <c r="C10" s="43"/>
      <c r="D10" s="44"/>
      <c r="E10" s="45"/>
      <c r="F10" s="46"/>
      <c r="G10" s="47"/>
      <c r="H10" s="47"/>
    </row>
    <row r="11" spans="1:43" ht="30" x14ac:dyDescent="0.25">
      <c r="A11" s="1" t="s">
        <v>0</v>
      </c>
      <c r="B11" s="1" t="s">
        <v>1</v>
      </c>
      <c r="C11" s="1" t="s">
        <v>2</v>
      </c>
      <c r="D11" s="1" t="s">
        <v>3</v>
      </c>
      <c r="E11" s="211" t="s">
        <v>4</v>
      </c>
      <c r="F11" s="2">
        <v>100000</v>
      </c>
      <c r="G11" s="48">
        <f>40000*4</f>
        <v>160000</v>
      </c>
      <c r="H11" s="215"/>
      <c r="I11" s="49">
        <v>250000</v>
      </c>
      <c r="J11" s="288" t="s">
        <v>5</v>
      </c>
      <c r="K11" s="289"/>
      <c r="L11" s="290"/>
      <c r="M11" s="50">
        <f>52000*4</f>
        <v>208000</v>
      </c>
      <c r="N11" s="51">
        <v>150000</v>
      </c>
      <c r="O11" s="213" t="s">
        <v>104</v>
      </c>
      <c r="P11" s="214"/>
      <c r="Q11" s="214"/>
      <c r="R11" s="52">
        <f>79000*5</f>
        <v>395000</v>
      </c>
      <c r="S11" s="212"/>
      <c r="T11" s="229">
        <v>200000</v>
      </c>
      <c r="U11" s="275" t="s">
        <v>36</v>
      </c>
      <c r="V11" s="258"/>
      <c r="W11" s="258"/>
      <c r="X11" s="258"/>
      <c r="Y11" s="229">
        <v>250000</v>
      </c>
      <c r="Z11" s="216"/>
      <c r="AA11" s="216"/>
      <c r="AB11" s="216"/>
      <c r="AC11" s="232">
        <f>110000*5</f>
        <v>550000</v>
      </c>
    </row>
    <row r="12" spans="1:43" ht="15" customHeight="1" x14ac:dyDescent="0.25">
      <c r="A12" s="286" t="s">
        <v>113</v>
      </c>
      <c r="B12" s="197" t="s">
        <v>114</v>
      </c>
      <c r="C12" s="35" t="s">
        <v>115</v>
      </c>
      <c r="D12" s="34" t="s">
        <v>13</v>
      </c>
      <c r="E12" s="146">
        <f t="shared" ref="E12:G12" si="12">$G$11/E2</f>
        <v>160000</v>
      </c>
      <c r="F12" s="146">
        <f t="shared" si="12"/>
        <v>80000</v>
      </c>
      <c r="G12" s="146">
        <f t="shared" si="12"/>
        <v>53333.333333333336</v>
      </c>
      <c r="H12" s="29">
        <f t="shared" ref="H12:M12" si="13">$M$11/H2</f>
        <v>52000</v>
      </c>
      <c r="I12" s="29">
        <f t="shared" si="13"/>
        <v>41600</v>
      </c>
      <c r="J12" s="29">
        <f t="shared" si="13"/>
        <v>34666.666666666664</v>
      </c>
      <c r="K12" s="29">
        <f t="shared" si="13"/>
        <v>29714.285714285714</v>
      </c>
      <c r="L12" s="29">
        <f t="shared" si="13"/>
        <v>26000</v>
      </c>
      <c r="M12" s="29">
        <f t="shared" si="13"/>
        <v>23111.111111111109</v>
      </c>
      <c r="N12" s="29">
        <f t="shared" ref="N12:R12" si="14">$R$11/N2</f>
        <v>39500</v>
      </c>
      <c r="O12" s="29">
        <f t="shared" si="14"/>
        <v>35909.090909090912</v>
      </c>
      <c r="P12" s="29">
        <f t="shared" si="14"/>
        <v>32916.666666666664</v>
      </c>
      <c r="Q12" s="29">
        <f t="shared" si="14"/>
        <v>30384.615384615383</v>
      </c>
      <c r="R12" s="29">
        <f t="shared" si="14"/>
        <v>28214.285714285714</v>
      </c>
      <c r="S12" s="29">
        <f t="shared" ref="S12:AC12" si="15">$AC$11/S2</f>
        <v>36666.666666666664</v>
      </c>
      <c r="T12" s="29">
        <f t="shared" si="15"/>
        <v>34375</v>
      </c>
      <c r="U12" s="29">
        <f t="shared" si="15"/>
        <v>32352.941176470587</v>
      </c>
      <c r="V12" s="29">
        <f t="shared" si="15"/>
        <v>30555.555555555555</v>
      </c>
      <c r="W12" s="29">
        <f t="shared" si="15"/>
        <v>28947.36842105263</v>
      </c>
      <c r="X12" s="29">
        <f t="shared" si="15"/>
        <v>27500</v>
      </c>
      <c r="Y12" s="29">
        <f t="shared" si="15"/>
        <v>26190.476190476191</v>
      </c>
      <c r="Z12" s="29">
        <f t="shared" si="15"/>
        <v>25000</v>
      </c>
      <c r="AA12" s="29">
        <f t="shared" si="15"/>
        <v>23913.043478260868</v>
      </c>
      <c r="AB12" s="29">
        <f t="shared" si="15"/>
        <v>22916.666666666668</v>
      </c>
      <c r="AC12" s="29">
        <f t="shared" si="15"/>
        <v>22000</v>
      </c>
    </row>
    <row r="13" spans="1:43" x14ac:dyDescent="0.25">
      <c r="A13" s="287"/>
      <c r="B13" s="230" t="s">
        <v>109</v>
      </c>
      <c r="C13" s="35" t="s">
        <v>34</v>
      </c>
      <c r="D13" s="36" t="s">
        <v>16</v>
      </c>
      <c r="E13" s="29">
        <f t="shared" ref="E13:H13" si="16">$F$11/E2</f>
        <v>100000</v>
      </c>
      <c r="F13" s="29">
        <f t="shared" si="16"/>
        <v>50000</v>
      </c>
      <c r="G13" s="29">
        <f t="shared" si="16"/>
        <v>33333.333333333336</v>
      </c>
      <c r="H13" s="29">
        <f t="shared" si="16"/>
        <v>25000</v>
      </c>
      <c r="I13" s="29">
        <f t="shared" ref="I13:M13" si="17">$I$11/I2</f>
        <v>50000</v>
      </c>
      <c r="J13" s="29">
        <f t="shared" si="17"/>
        <v>41666.666666666664</v>
      </c>
      <c r="K13" s="29">
        <f t="shared" si="17"/>
        <v>35714.285714285717</v>
      </c>
      <c r="L13" s="29">
        <f t="shared" si="17"/>
        <v>31250</v>
      </c>
      <c r="M13" s="29">
        <f t="shared" si="17"/>
        <v>27777.777777777777</v>
      </c>
      <c r="N13" s="53">
        <f t="shared" ref="N13:S13" si="18">$N$11/N2</f>
        <v>15000</v>
      </c>
      <c r="O13" s="53">
        <f t="shared" si="18"/>
        <v>13636.363636363636</v>
      </c>
      <c r="P13" s="53">
        <f t="shared" si="18"/>
        <v>12500</v>
      </c>
      <c r="Q13" s="53">
        <f t="shared" si="18"/>
        <v>11538.461538461539</v>
      </c>
      <c r="R13" s="53">
        <f t="shared" si="18"/>
        <v>10714.285714285714</v>
      </c>
      <c r="S13" s="53">
        <f t="shared" si="18"/>
        <v>10000</v>
      </c>
      <c r="T13" s="53">
        <f t="shared" ref="T13:X13" si="19">$T$11/T2</f>
        <v>12500</v>
      </c>
      <c r="U13" s="53">
        <f t="shared" si="19"/>
        <v>11764.705882352941</v>
      </c>
      <c r="V13" s="53">
        <f t="shared" si="19"/>
        <v>11111.111111111111</v>
      </c>
      <c r="W13" s="53">
        <f t="shared" si="19"/>
        <v>10526.315789473685</v>
      </c>
      <c r="X13" s="53">
        <f t="shared" si="19"/>
        <v>10000</v>
      </c>
      <c r="Y13" s="53">
        <f t="shared" ref="Y13:AC13" si="20">$Y$11/Y2</f>
        <v>11904.761904761905</v>
      </c>
      <c r="Z13" s="53">
        <f t="shared" si="20"/>
        <v>11363.636363636364</v>
      </c>
      <c r="AA13" s="53">
        <f t="shared" si="20"/>
        <v>10869.565217391304</v>
      </c>
      <c r="AB13" s="53">
        <f t="shared" si="20"/>
        <v>10416.666666666666</v>
      </c>
      <c r="AC13" s="53">
        <f t="shared" si="20"/>
        <v>10000</v>
      </c>
    </row>
    <row r="14" spans="1:43" x14ac:dyDescent="0.25">
      <c r="A14" s="287"/>
      <c r="B14" s="11" t="s">
        <v>17</v>
      </c>
      <c r="C14" s="19"/>
      <c r="D14" s="19"/>
      <c r="E14" s="37">
        <f t="shared" ref="E14:AC14" si="21">SUM(E12:E13)</f>
        <v>260000</v>
      </c>
      <c r="F14" s="37">
        <f t="shared" si="21"/>
        <v>130000</v>
      </c>
      <c r="G14" s="37">
        <f t="shared" si="21"/>
        <v>86666.666666666672</v>
      </c>
      <c r="H14" s="37">
        <f t="shared" si="21"/>
        <v>77000</v>
      </c>
      <c r="I14" s="37">
        <f t="shared" si="21"/>
        <v>91600</v>
      </c>
      <c r="J14" s="37">
        <f t="shared" si="21"/>
        <v>76333.333333333328</v>
      </c>
      <c r="K14" s="37">
        <f t="shared" si="21"/>
        <v>65428.571428571435</v>
      </c>
      <c r="L14" s="37">
        <f t="shared" si="21"/>
        <v>57250</v>
      </c>
      <c r="M14" s="37">
        <f t="shared" si="21"/>
        <v>50888.888888888891</v>
      </c>
      <c r="N14" s="37">
        <f t="shared" si="21"/>
        <v>54500</v>
      </c>
      <c r="O14" s="37">
        <f t="shared" si="21"/>
        <v>49545.454545454544</v>
      </c>
      <c r="P14" s="37">
        <f t="shared" si="21"/>
        <v>45416.666666666664</v>
      </c>
      <c r="Q14" s="37">
        <f t="shared" si="21"/>
        <v>41923.076923076922</v>
      </c>
      <c r="R14" s="37">
        <f t="shared" si="21"/>
        <v>38928.571428571428</v>
      </c>
      <c r="S14" s="37">
        <f t="shared" si="21"/>
        <v>46666.666666666664</v>
      </c>
      <c r="T14" s="37">
        <f t="shared" si="21"/>
        <v>46875</v>
      </c>
      <c r="U14" s="37">
        <f t="shared" si="21"/>
        <v>44117.647058823524</v>
      </c>
      <c r="V14" s="37">
        <f t="shared" si="21"/>
        <v>41666.666666666664</v>
      </c>
      <c r="W14" s="37">
        <f t="shared" si="21"/>
        <v>39473.684210526313</v>
      </c>
      <c r="X14" s="37">
        <f t="shared" si="21"/>
        <v>37500</v>
      </c>
      <c r="Y14" s="37">
        <f t="shared" si="21"/>
        <v>38095.238095238092</v>
      </c>
      <c r="Z14" s="37">
        <f t="shared" si="21"/>
        <v>36363.636363636368</v>
      </c>
      <c r="AA14" s="37">
        <f t="shared" si="21"/>
        <v>34782.608695652176</v>
      </c>
      <c r="AB14" s="37">
        <f t="shared" si="21"/>
        <v>33333.333333333336</v>
      </c>
      <c r="AC14" s="37">
        <f t="shared" si="21"/>
        <v>32000</v>
      </c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</row>
    <row r="15" spans="1:43" x14ac:dyDescent="0.25">
      <c r="A15" s="287"/>
      <c r="B15" s="38" t="s">
        <v>116</v>
      </c>
      <c r="C15" s="35" t="s">
        <v>117</v>
      </c>
      <c r="D15" s="54" t="s">
        <v>20</v>
      </c>
      <c r="E15" s="55">
        <v>34000</v>
      </c>
      <c r="F15" s="146">
        <f t="shared" ref="F15:AC15" si="22">E15</f>
        <v>34000</v>
      </c>
      <c r="G15" s="146">
        <f t="shared" si="22"/>
        <v>34000</v>
      </c>
      <c r="H15" s="146">
        <f t="shared" si="22"/>
        <v>34000</v>
      </c>
      <c r="I15" s="146">
        <f t="shared" si="22"/>
        <v>34000</v>
      </c>
      <c r="J15" s="146">
        <f t="shared" si="22"/>
        <v>34000</v>
      </c>
      <c r="K15" s="146">
        <f t="shared" si="22"/>
        <v>34000</v>
      </c>
      <c r="L15" s="146">
        <f t="shared" si="22"/>
        <v>34000</v>
      </c>
      <c r="M15" s="146">
        <f t="shared" si="22"/>
        <v>34000</v>
      </c>
      <c r="N15" s="146">
        <f t="shared" si="22"/>
        <v>34000</v>
      </c>
      <c r="O15" s="146">
        <f t="shared" si="22"/>
        <v>34000</v>
      </c>
      <c r="P15" s="146">
        <f t="shared" si="22"/>
        <v>34000</v>
      </c>
      <c r="Q15" s="146">
        <f t="shared" si="22"/>
        <v>34000</v>
      </c>
      <c r="R15" s="146">
        <f t="shared" si="22"/>
        <v>34000</v>
      </c>
      <c r="S15" s="146">
        <f t="shared" si="22"/>
        <v>34000</v>
      </c>
      <c r="T15" s="146">
        <f t="shared" si="22"/>
        <v>34000</v>
      </c>
      <c r="U15" s="146">
        <f t="shared" si="22"/>
        <v>34000</v>
      </c>
      <c r="V15" s="146">
        <f t="shared" si="22"/>
        <v>34000</v>
      </c>
      <c r="W15" s="146">
        <f t="shared" si="22"/>
        <v>34000</v>
      </c>
      <c r="X15" s="146">
        <f t="shared" si="22"/>
        <v>34000</v>
      </c>
      <c r="Y15" s="146">
        <f t="shared" si="22"/>
        <v>34000</v>
      </c>
      <c r="Z15" s="146">
        <f t="shared" si="22"/>
        <v>34000</v>
      </c>
      <c r="AA15" s="146">
        <f t="shared" si="22"/>
        <v>34000</v>
      </c>
      <c r="AB15" s="146">
        <f t="shared" si="22"/>
        <v>34000</v>
      </c>
      <c r="AC15" s="146">
        <f t="shared" si="22"/>
        <v>34000</v>
      </c>
    </row>
    <row r="16" spans="1:43" ht="30" x14ac:dyDescent="0.25">
      <c r="A16" s="287"/>
      <c r="B16" s="38" t="s">
        <v>118</v>
      </c>
      <c r="C16" s="35" t="s">
        <v>119</v>
      </c>
      <c r="D16" s="54" t="s">
        <v>20</v>
      </c>
      <c r="E16" s="55">
        <v>22000</v>
      </c>
      <c r="F16" s="146">
        <f t="shared" ref="F16:AC16" si="23">E16</f>
        <v>22000</v>
      </c>
      <c r="G16" s="146">
        <f t="shared" si="23"/>
        <v>22000</v>
      </c>
      <c r="H16" s="146">
        <f t="shared" si="23"/>
        <v>22000</v>
      </c>
      <c r="I16" s="146">
        <f t="shared" si="23"/>
        <v>22000</v>
      </c>
      <c r="J16" s="146">
        <f t="shared" si="23"/>
        <v>22000</v>
      </c>
      <c r="K16" s="146">
        <f t="shared" si="23"/>
        <v>22000</v>
      </c>
      <c r="L16" s="146">
        <f t="shared" si="23"/>
        <v>22000</v>
      </c>
      <c r="M16" s="146">
        <f t="shared" si="23"/>
        <v>22000</v>
      </c>
      <c r="N16" s="146">
        <f t="shared" si="23"/>
        <v>22000</v>
      </c>
      <c r="O16" s="146">
        <f t="shared" si="23"/>
        <v>22000</v>
      </c>
      <c r="P16" s="146">
        <f t="shared" si="23"/>
        <v>22000</v>
      </c>
      <c r="Q16" s="146">
        <f t="shared" si="23"/>
        <v>22000</v>
      </c>
      <c r="R16" s="146">
        <f t="shared" si="23"/>
        <v>22000</v>
      </c>
      <c r="S16" s="146">
        <f t="shared" si="23"/>
        <v>22000</v>
      </c>
      <c r="T16" s="146">
        <f t="shared" si="23"/>
        <v>22000</v>
      </c>
      <c r="U16" s="146">
        <f t="shared" si="23"/>
        <v>22000</v>
      </c>
      <c r="V16" s="146">
        <f t="shared" si="23"/>
        <v>22000</v>
      </c>
      <c r="W16" s="146">
        <f t="shared" si="23"/>
        <v>22000</v>
      </c>
      <c r="X16" s="146">
        <f t="shared" si="23"/>
        <v>22000</v>
      </c>
      <c r="Y16" s="146">
        <f t="shared" si="23"/>
        <v>22000</v>
      </c>
      <c r="Z16" s="146">
        <f t="shared" si="23"/>
        <v>22000</v>
      </c>
      <c r="AA16" s="146">
        <f t="shared" si="23"/>
        <v>22000</v>
      </c>
      <c r="AB16" s="146">
        <f t="shared" si="23"/>
        <v>22000</v>
      </c>
      <c r="AC16" s="146">
        <f t="shared" si="23"/>
        <v>22000</v>
      </c>
    </row>
    <row r="17" spans="1:29" x14ac:dyDescent="0.25">
      <c r="A17" s="193"/>
      <c r="B17" s="18" t="s">
        <v>29</v>
      </c>
      <c r="C17" s="18"/>
      <c r="D17" s="18"/>
      <c r="E17" s="73">
        <f t="shared" ref="E17:AC17" si="24">SUM(E14:E16)</f>
        <v>316000</v>
      </c>
      <c r="F17" s="73">
        <f t="shared" si="24"/>
        <v>186000</v>
      </c>
      <c r="G17" s="73">
        <f t="shared" si="24"/>
        <v>142666.66666666669</v>
      </c>
      <c r="H17" s="73">
        <f t="shared" si="24"/>
        <v>133000</v>
      </c>
      <c r="I17" s="73">
        <f t="shared" si="24"/>
        <v>147600</v>
      </c>
      <c r="J17" s="73">
        <f t="shared" si="24"/>
        <v>132333.33333333331</v>
      </c>
      <c r="K17" s="73">
        <f t="shared" si="24"/>
        <v>121428.57142857143</v>
      </c>
      <c r="L17" s="73">
        <f t="shared" si="24"/>
        <v>113250</v>
      </c>
      <c r="M17" s="73">
        <f t="shared" si="24"/>
        <v>106888.88888888889</v>
      </c>
      <c r="N17" s="73">
        <f t="shared" si="24"/>
        <v>110500</v>
      </c>
      <c r="O17" s="73">
        <f t="shared" si="24"/>
        <v>105545.45454545454</v>
      </c>
      <c r="P17" s="73">
        <f t="shared" si="24"/>
        <v>101416.66666666666</v>
      </c>
      <c r="Q17" s="73">
        <f t="shared" si="24"/>
        <v>97923.076923076922</v>
      </c>
      <c r="R17" s="73">
        <f t="shared" si="24"/>
        <v>94928.57142857142</v>
      </c>
      <c r="S17" s="73">
        <f t="shared" si="24"/>
        <v>102666.66666666666</v>
      </c>
      <c r="T17" s="73">
        <f t="shared" si="24"/>
        <v>102875</v>
      </c>
      <c r="U17" s="73">
        <f t="shared" si="24"/>
        <v>100117.64705882352</v>
      </c>
      <c r="V17" s="73">
        <f t="shared" si="24"/>
        <v>97666.666666666657</v>
      </c>
      <c r="W17" s="73">
        <f t="shared" si="24"/>
        <v>95473.68421052632</v>
      </c>
      <c r="X17" s="73">
        <f t="shared" si="24"/>
        <v>93500</v>
      </c>
      <c r="Y17" s="73">
        <f t="shared" si="24"/>
        <v>94095.238095238092</v>
      </c>
      <c r="Z17" s="73">
        <f t="shared" si="24"/>
        <v>92363.636363636368</v>
      </c>
      <c r="AA17" s="73">
        <f t="shared" si="24"/>
        <v>90782.608695652176</v>
      </c>
      <c r="AB17" s="73">
        <f t="shared" si="24"/>
        <v>89333.333333333343</v>
      </c>
      <c r="AC17" s="73">
        <f t="shared" si="24"/>
        <v>88000</v>
      </c>
    </row>
    <row r="18" spans="1:29" ht="15" customHeight="1" x14ac:dyDescent="0.25">
      <c r="A18" s="194"/>
      <c r="B18" s="308">
        <v>0.8</v>
      </c>
      <c r="C18" s="18"/>
      <c r="D18" s="152" t="s">
        <v>22</v>
      </c>
      <c r="E18" s="73">
        <f>E17/B18</f>
        <v>395000</v>
      </c>
      <c r="F18" s="73">
        <f>F17/B18</f>
        <v>232500</v>
      </c>
      <c r="G18" s="73">
        <f>G17/B18</f>
        <v>178333.33333333334</v>
      </c>
      <c r="H18" s="73">
        <f>H17/B18</f>
        <v>166250</v>
      </c>
      <c r="I18" s="73">
        <f>I17/B18</f>
        <v>184500</v>
      </c>
      <c r="J18" s="73">
        <f>J17/B18</f>
        <v>165416.66666666663</v>
      </c>
      <c r="K18" s="73">
        <f>K17/B18</f>
        <v>151785.71428571429</v>
      </c>
      <c r="L18" s="73">
        <f>L17/B18</f>
        <v>141562.5</v>
      </c>
      <c r="M18" s="73">
        <f>M17/B18</f>
        <v>133611.11111111109</v>
      </c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</row>
    <row r="19" spans="1:29" x14ac:dyDescent="0.25">
      <c r="A19" s="189"/>
      <c r="B19" s="174"/>
      <c r="C19" s="19"/>
      <c r="D19" s="162" t="s">
        <v>23</v>
      </c>
      <c r="E19" s="163">
        <f>_xlfn.CEILING.MATH(E18,1000)</f>
        <v>395000</v>
      </c>
      <c r="F19" s="163">
        <f>_xlfn.CEILING.MATH(F18,1000)</f>
        <v>233000</v>
      </c>
      <c r="G19" s="163">
        <f t="shared" ref="G19:M19" si="25">_xlfn.CEILING.MATH(G18,1000)</f>
        <v>179000</v>
      </c>
      <c r="H19" s="163">
        <f t="shared" si="25"/>
        <v>167000</v>
      </c>
      <c r="I19" s="163">
        <f t="shared" si="25"/>
        <v>185000</v>
      </c>
      <c r="J19" s="163">
        <f t="shared" si="25"/>
        <v>166000</v>
      </c>
      <c r="K19" s="163">
        <f t="shared" si="25"/>
        <v>152000</v>
      </c>
      <c r="L19" s="163">
        <f t="shared" si="25"/>
        <v>142000</v>
      </c>
      <c r="M19" s="163">
        <f t="shared" si="25"/>
        <v>134000</v>
      </c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2"/>
      <c r="Y19" s="22"/>
      <c r="Z19" s="22"/>
      <c r="AA19" s="22"/>
      <c r="AB19" s="22"/>
      <c r="AC19" s="23"/>
    </row>
    <row r="20" spans="1:29" x14ac:dyDescent="0.25">
      <c r="A20" s="42"/>
      <c r="B20" s="21"/>
      <c r="C20" s="56"/>
      <c r="D20" s="21"/>
      <c r="E20" s="57"/>
      <c r="F20" s="58"/>
      <c r="G20" s="58"/>
      <c r="H20" s="46"/>
    </row>
    <row r="21" spans="1:29" x14ac:dyDescent="0.25">
      <c r="A21" s="1" t="s">
        <v>0</v>
      </c>
      <c r="B21" s="1" t="s">
        <v>1</v>
      </c>
      <c r="C21" s="1" t="s">
        <v>2</v>
      </c>
      <c r="D21" s="1" t="s">
        <v>3</v>
      </c>
      <c r="E21" s="253" t="s">
        <v>4</v>
      </c>
      <c r="F21" s="254"/>
      <c r="G21" s="48"/>
      <c r="H21" s="265" t="s">
        <v>89</v>
      </c>
      <c r="I21" s="258"/>
      <c r="J21" s="258"/>
      <c r="K21" s="258"/>
      <c r="L21" s="254"/>
      <c r="M21" s="50"/>
      <c r="N21" s="259" t="s">
        <v>104</v>
      </c>
      <c r="O21" s="258"/>
      <c r="P21" s="258"/>
      <c r="Q21" s="254"/>
      <c r="R21" s="6">
        <v>160000</v>
      </c>
      <c r="S21" s="257" t="s">
        <v>36</v>
      </c>
      <c r="T21" s="258"/>
      <c r="U21" s="258"/>
      <c r="V21" s="258"/>
      <c r="W21" s="258"/>
      <c r="X21" s="258"/>
      <c r="Y21" s="258"/>
      <c r="Z21" s="258"/>
      <c r="AA21" s="258"/>
      <c r="AB21" s="254"/>
      <c r="AC21" s="221">
        <v>310000</v>
      </c>
    </row>
    <row r="22" spans="1:29" ht="19.5" customHeight="1" x14ac:dyDescent="0.25">
      <c r="A22" s="282" t="s">
        <v>120</v>
      </c>
      <c r="B22" s="59" t="s">
        <v>121</v>
      </c>
      <c r="C22" s="60" t="s">
        <v>122</v>
      </c>
      <c r="D22" s="61" t="s">
        <v>13</v>
      </c>
      <c r="E22" s="146">
        <f t="shared" ref="E22:G22" si="26">$G$21/E2</f>
        <v>0</v>
      </c>
      <c r="F22" s="146">
        <f t="shared" si="26"/>
        <v>0</v>
      </c>
      <c r="G22" s="146">
        <f t="shared" si="26"/>
        <v>0</v>
      </c>
      <c r="H22" s="29">
        <f t="shared" ref="H22:M22" si="27">$M$21/H2</f>
        <v>0</v>
      </c>
      <c r="I22" s="29">
        <f t="shared" si="27"/>
        <v>0</v>
      </c>
      <c r="J22" s="29">
        <f t="shared" si="27"/>
        <v>0</v>
      </c>
      <c r="K22" s="29">
        <f t="shared" si="27"/>
        <v>0</v>
      </c>
      <c r="L22" s="29">
        <f t="shared" si="27"/>
        <v>0</v>
      </c>
      <c r="M22" s="29">
        <f t="shared" si="27"/>
        <v>0</v>
      </c>
      <c r="N22" s="29">
        <f t="shared" ref="N22:R22" si="28">$R$21/N2</f>
        <v>16000</v>
      </c>
      <c r="O22" s="29">
        <f t="shared" si="28"/>
        <v>14545.454545454546</v>
      </c>
      <c r="P22" s="29">
        <f t="shared" si="28"/>
        <v>13333.333333333334</v>
      </c>
      <c r="Q22" s="29">
        <f t="shared" si="28"/>
        <v>12307.692307692309</v>
      </c>
      <c r="R22" s="29">
        <f t="shared" si="28"/>
        <v>11428.571428571429</v>
      </c>
      <c r="S22" s="29">
        <f t="shared" ref="S22:AC22" si="29">$AC$21/S2</f>
        <v>20666.666666666668</v>
      </c>
      <c r="T22" s="29">
        <f t="shared" si="29"/>
        <v>19375</v>
      </c>
      <c r="U22" s="29">
        <f t="shared" si="29"/>
        <v>18235.294117647059</v>
      </c>
      <c r="V22" s="29">
        <f t="shared" si="29"/>
        <v>17222.222222222223</v>
      </c>
      <c r="W22" s="29">
        <f t="shared" si="29"/>
        <v>16315.78947368421</v>
      </c>
      <c r="X22" s="29">
        <f t="shared" si="29"/>
        <v>15500</v>
      </c>
      <c r="Y22" s="29">
        <f t="shared" si="29"/>
        <v>14761.904761904761</v>
      </c>
      <c r="Z22" s="29">
        <f t="shared" si="29"/>
        <v>14090.90909090909</v>
      </c>
      <c r="AA22" s="29">
        <f t="shared" si="29"/>
        <v>13478.260869565218</v>
      </c>
      <c r="AB22" s="29">
        <f t="shared" si="29"/>
        <v>12916.666666666666</v>
      </c>
      <c r="AC22" s="29">
        <f t="shared" si="29"/>
        <v>12400</v>
      </c>
    </row>
    <row r="23" spans="1:29" ht="19.5" customHeight="1" x14ac:dyDescent="0.25">
      <c r="A23" s="283"/>
      <c r="B23" s="62" t="s">
        <v>123</v>
      </c>
      <c r="C23" s="63" t="s">
        <v>124</v>
      </c>
      <c r="D23" s="64" t="s">
        <v>20</v>
      </c>
      <c r="E23" s="65">
        <v>184000</v>
      </c>
      <c r="F23" s="66">
        <f t="shared" ref="F23:AC23" si="30">E23</f>
        <v>184000</v>
      </c>
      <c r="G23" s="66">
        <f t="shared" si="30"/>
        <v>184000</v>
      </c>
      <c r="H23" s="66">
        <f t="shared" si="30"/>
        <v>184000</v>
      </c>
      <c r="I23" s="66">
        <f t="shared" si="30"/>
        <v>184000</v>
      </c>
      <c r="J23" s="66">
        <f t="shared" si="30"/>
        <v>184000</v>
      </c>
      <c r="K23" s="66">
        <f t="shared" si="30"/>
        <v>184000</v>
      </c>
      <c r="L23" s="66">
        <f t="shared" si="30"/>
        <v>184000</v>
      </c>
      <c r="M23" s="66">
        <f t="shared" si="30"/>
        <v>184000</v>
      </c>
      <c r="N23" s="66">
        <f t="shared" si="30"/>
        <v>184000</v>
      </c>
      <c r="O23" s="66">
        <f t="shared" si="30"/>
        <v>184000</v>
      </c>
      <c r="P23" s="66">
        <f t="shared" si="30"/>
        <v>184000</v>
      </c>
      <c r="Q23" s="66">
        <f t="shared" si="30"/>
        <v>184000</v>
      </c>
      <c r="R23" s="66">
        <f t="shared" si="30"/>
        <v>184000</v>
      </c>
      <c r="S23" s="66">
        <f t="shared" si="30"/>
        <v>184000</v>
      </c>
      <c r="T23" s="66">
        <f t="shared" si="30"/>
        <v>184000</v>
      </c>
      <c r="U23" s="66">
        <f t="shared" si="30"/>
        <v>184000</v>
      </c>
      <c r="V23" s="66">
        <f t="shared" si="30"/>
        <v>184000</v>
      </c>
      <c r="W23" s="66">
        <f t="shared" si="30"/>
        <v>184000</v>
      </c>
      <c r="X23" s="66">
        <f t="shared" si="30"/>
        <v>184000</v>
      </c>
      <c r="Y23" s="66">
        <f t="shared" si="30"/>
        <v>184000</v>
      </c>
      <c r="Z23" s="66">
        <f t="shared" si="30"/>
        <v>184000</v>
      </c>
      <c r="AA23" s="66">
        <f t="shared" si="30"/>
        <v>184000</v>
      </c>
      <c r="AB23" s="66">
        <f t="shared" si="30"/>
        <v>184000</v>
      </c>
      <c r="AC23" s="66">
        <f t="shared" si="30"/>
        <v>184000</v>
      </c>
    </row>
    <row r="24" spans="1:29" x14ac:dyDescent="0.25">
      <c r="A24" s="196"/>
      <c r="B24" s="67" t="s">
        <v>29</v>
      </c>
      <c r="C24" s="67"/>
      <c r="D24" s="68"/>
      <c r="E24" s="73">
        <f t="shared" ref="E24:AC24" si="31">SUM(E22:E23)</f>
        <v>184000</v>
      </c>
      <c r="F24" s="73">
        <f t="shared" si="31"/>
        <v>184000</v>
      </c>
      <c r="G24" s="73">
        <f t="shared" si="31"/>
        <v>184000</v>
      </c>
      <c r="H24" s="73">
        <f t="shared" si="31"/>
        <v>184000</v>
      </c>
      <c r="I24" s="73">
        <f t="shared" si="31"/>
        <v>184000</v>
      </c>
      <c r="J24" s="73">
        <f t="shared" si="31"/>
        <v>184000</v>
      </c>
      <c r="K24" s="73">
        <f t="shared" si="31"/>
        <v>184000</v>
      </c>
      <c r="L24" s="73">
        <f t="shared" si="31"/>
        <v>184000</v>
      </c>
      <c r="M24" s="73">
        <f t="shared" si="31"/>
        <v>184000</v>
      </c>
      <c r="N24" s="73">
        <f t="shared" si="31"/>
        <v>200000</v>
      </c>
      <c r="O24" s="73">
        <f t="shared" si="31"/>
        <v>198545.45454545456</v>
      </c>
      <c r="P24" s="73">
        <f t="shared" si="31"/>
        <v>197333.33333333334</v>
      </c>
      <c r="Q24" s="73">
        <f t="shared" si="31"/>
        <v>196307.69230769231</v>
      </c>
      <c r="R24" s="73">
        <f t="shared" si="31"/>
        <v>195428.57142857142</v>
      </c>
      <c r="S24" s="73">
        <f t="shared" si="31"/>
        <v>204666.66666666666</v>
      </c>
      <c r="T24" s="73">
        <f t="shared" si="31"/>
        <v>203375</v>
      </c>
      <c r="U24" s="73">
        <f t="shared" si="31"/>
        <v>202235.29411764705</v>
      </c>
      <c r="V24" s="73">
        <f t="shared" si="31"/>
        <v>201222.22222222222</v>
      </c>
      <c r="W24" s="73">
        <f t="shared" si="31"/>
        <v>200315.78947368421</v>
      </c>
      <c r="X24" s="73">
        <f t="shared" si="31"/>
        <v>199500</v>
      </c>
      <c r="Y24" s="73">
        <f t="shared" si="31"/>
        <v>198761.90476190476</v>
      </c>
      <c r="Z24" s="73">
        <f t="shared" si="31"/>
        <v>198090.90909090909</v>
      </c>
      <c r="AA24" s="73">
        <f t="shared" si="31"/>
        <v>197478.26086956522</v>
      </c>
      <c r="AB24" s="73">
        <f t="shared" si="31"/>
        <v>196916.66666666666</v>
      </c>
      <c r="AC24" s="73">
        <f t="shared" si="31"/>
        <v>196400</v>
      </c>
    </row>
    <row r="25" spans="1:29" ht="15" customHeight="1" x14ac:dyDescent="0.25">
      <c r="A25" s="194"/>
      <c r="B25" s="308">
        <v>0.8</v>
      </c>
      <c r="C25" s="18"/>
      <c r="D25" s="152" t="s">
        <v>22</v>
      </c>
      <c r="E25" s="73">
        <f>E24/B25</f>
        <v>230000</v>
      </c>
      <c r="F25" s="73">
        <f>F24/B25</f>
        <v>230000</v>
      </c>
      <c r="G25" s="73">
        <f>G24/B25</f>
        <v>230000</v>
      </c>
      <c r="H25" s="73">
        <f>H24/B25</f>
        <v>230000</v>
      </c>
      <c r="I25" s="73">
        <f>I24/B25</f>
        <v>230000</v>
      </c>
      <c r="J25" s="73">
        <f>J24/B25</f>
        <v>230000</v>
      </c>
      <c r="K25" s="73">
        <f>K24/B25</f>
        <v>230000</v>
      </c>
      <c r="L25" s="73">
        <f>L24/B25</f>
        <v>230000</v>
      </c>
      <c r="M25" s="73">
        <f>M24/B25</f>
        <v>230000</v>
      </c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</row>
    <row r="26" spans="1:29" x14ac:dyDescent="0.25">
      <c r="A26" s="189"/>
      <c r="B26" s="174"/>
      <c r="C26" s="19"/>
      <c r="D26" s="162" t="s">
        <v>23</v>
      </c>
      <c r="E26" s="163">
        <f>_xlfn.CEILING.MATH(E25,1000)</f>
        <v>230000</v>
      </c>
      <c r="F26" s="163">
        <f>_xlfn.CEILING.MATH(F25,1000)</f>
        <v>230000</v>
      </c>
      <c r="G26" s="163">
        <f t="shared" ref="G26:M26" si="32">_xlfn.CEILING.MATH(G25,1000)</f>
        <v>230000</v>
      </c>
      <c r="H26" s="163">
        <f t="shared" si="32"/>
        <v>230000</v>
      </c>
      <c r="I26" s="163">
        <f t="shared" si="32"/>
        <v>230000</v>
      </c>
      <c r="J26" s="163">
        <f t="shared" si="32"/>
        <v>230000</v>
      </c>
      <c r="K26" s="163">
        <f t="shared" si="32"/>
        <v>230000</v>
      </c>
      <c r="L26" s="163">
        <f t="shared" si="32"/>
        <v>230000</v>
      </c>
      <c r="M26" s="163">
        <f t="shared" si="32"/>
        <v>230000</v>
      </c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2"/>
      <c r="Y26" s="22"/>
      <c r="Z26" s="22"/>
      <c r="AA26" s="22"/>
      <c r="AB26" s="22"/>
      <c r="AC26" s="23"/>
    </row>
    <row r="28" spans="1:29" ht="15.75" thickBot="1" x14ac:dyDescent="0.3">
      <c r="A28" s="1" t="s">
        <v>0</v>
      </c>
      <c r="B28" s="1" t="s">
        <v>1</v>
      </c>
      <c r="C28" s="1" t="s">
        <v>2</v>
      </c>
      <c r="D28" s="1" t="s">
        <v>3</v>
      </c>
      <c r="E28" s="253" t="s">
        <v>4</v>
      </c>
      <c r="F28" s="254"/>
      <c r="G28" s="48"/>
      <c r="H28" s="265" t="s">
        <v>89</v>
      </c>
      <c r="I28" s="258"/>
      <c r="J28" s="258"/>
      <c r="K28" s="258"/>
      <c r="L28" s="254"/>
      <c r="M28" s="50"/>
      <c r="N28" s="259" t="s">
        <v>104</v>
      </c>
      <c r="O28" s="258"/>
      <c r="P28" s="258"/>
      <c r="Q28" s="254"/>
      <c r="R28" s="6">
        <v>160000</v>
      </c>
      <c r="S28" s="257" t="s">
        <v>36</v>
      </c>
      <c r="T28" s="258"/>
      <c r="U28" s="258"/>
      <c r="V28" s="258"/>
      <c r="W28" s="258"/>
      <c r="X28" s="258"/>
      <c r="Y28" s="258"/>
      <c r="Z28" s="258"/>
      <c r="AA28" s="258"/>
      <c r="AB28" s="254"/>
      <c r="AC28" s="221">
        <v>310000</v>
      </c>
    </row>
    <row r="29" spans="1:29" ht="19.5" customHeight="1" thickBot="1" x14ac:dyDescent="0.3">
      <c r="A29" s="282" t="s">
        <v>125</v>
      </c>
      <c r="D29" s="61"/>
      <c r="E29" s="146">
        <f t="shared" ref="E29:G29" si="33">$G$21/E9</f>
        <v>0</v>
      </c>
      <c r="F29" s="146">
        <f t="shared" si="33"/>
        <v>0</v>
      </c>
      <c r="G29" s="146">
        <f t="shared" si="33"/>
        <v>0</v>
      </c>
      <c r="H29" s="29">
        <f t="shared" ref="H29:M29" si="34">$M$21/H9</f>
        <v>0</v>
      </c>
      <c r="I29" s="29">
        <f t="shared" si="34"/>
        <v>0</v>
      </c>
      <c r="J29" s="29">
        <f t="shared" si="34"/>
        <v>0</v>
      </c>
      <c r="K29" s="29">
        <f t="shared" si="34"/>
        <v>0</v>
      </c>
      <c r="L29" s="29">
        <f t="shared" si="34"/>
        <v>0</v>
      </c>
      <c r="M29" s="29">
        <f t="shared" si="34"/>
        <v>0</v>
      </c>
      <c r="N29" s="29" t="e">
        <f t="shared" ref="N29:R29" si="35">$R$21/N9</f>
        <v>#DIV/0!</v>
      </c>
      <c r="O29" s="29" t="e">
        <f t="shared" si="35"/>
        <v>#DIV/0!</v>
      </c>
      <c r="P29" s="29" t="e">
        <f t="shared" si="35"/>
        <v>#DIV/0!</v>
      </c>
      <c r="Q29" s="29" t="e">
        <f t="shared" si="35"/>
        <v>#DIV/0!</v>
      </c>
      <c r="R29" s="29" t="e">
        <f t="shared" si="35"/>
        <v>#DIV/0!</v>
      </c>
      <c r="S29" s="29" t="e">
        <f t="shared" ref="S29:AC29" si="36">$AC$21/S9</f>
        <v>#DIV/0!</v>
      </c>
      <c r="T29" s="29" t="e">
        <f t="shared" si="36"/>
        <v>#DIV/0!</v>
      </c>
      <c r="U29" s="29" t="e">
        <f t="shared" si="36"/>
        <v>#DIV/0!</v>
      </c>
      <c r="V29" s="29" t="e">
        <f t="shared" si="36"/>
        <v>#DIV/0!</v>
      </c>
      <c r="W29" s="29" t="e">
        <f t="shared" si="36"/>
        <v>#DIV/0!</v>
      </c>
      <c r="X29" s="29" t="e">
        <f t="shared" si="36"/>
        <v>#DIV/0!</v>
      </c>
      <c r="Y29" s="29" t="e">
        <f t="shared" si="36"/>
        <v>#DIV/0!</v>
      </c>
      <c r="Z29" s="29" t="e">
        <f t="shared" si="36"/>
        <v>#DIV/0!</v>
      </c>
      <c r="AA29" s="29" t="e">
        <f t="shared" si="36"/>
        <v>#DIV/0!</v>
      </c>
      <c r="AB29" s="29" t="e">
        <f t="shared" si="36"/>
        <v>#DIV/0!</v>
      </c>
      <c r="AC29" s="29" t="e">
        <f t="shared" si="36"/>
        <v>#DIV/0!</v>
      </c>
    </row>
    <row r="30" spans="1:29" ht="19.5" customHeight="1" thickBot="1" x14ac:dyDescent="0.3">
      <c r="A30" s="283"/>
      <c r="B30" s="59" t="s">
        <v>126</v>
      </c>
      <c r="C30" s="60" t="s">
        <v>127</v>
      </c>
      <c r="D30" s="64" t="s">
        <v>20</v>
      </c>
      <c r="E30" s="65">
        <v>50000</v>
      </c>
      <c r="F30" s="66">
        <f t="shared" ref="F30" si="37">E30</f>
        <v>50000</v>
      </c>
      <c r="G30" s="66">
        <f t="shared" ref="G30" si="38">F30</f>
        <v>50000</v>
      </c>
      <c r="H30" s="66">
        <f t="shared" ref="H30" si="39">G30</f>
        <v>50000</v>
      </c>
      <c r="I30" s="66">
        <f t="shared" ref="I30" si="40">H30</f>
        <v>50000</v>
      </c>
      <c r="J30" s="66">
        <f t="shared" ref="J30" si="41">I30</f>
        <v>50000</v>
      </c>
      <c r="K30" s="66">
        <f t="shared" ref="K30" si="42">J30</f>
        <v>50000</v>
      </c>
      <c r="L30" s="66">
        <f t="shared" ref="L30" si="43">K30</f>
        <v>50000</v>
      </c>
      <c r="M30" s="66">
        <f t="shared" ref="M30" si="44">L30</f>
        <v>50000</v>
      </c>
      <c r="N30" s="66">
        <f t="shared" ref="N30" si="45">M30</f>
        <v>50000</v>
      </c>
      <c r="O30" s="66">
        <f t="shared" ref="O30" si="46">N30</f>
        <v>50000</v>
      </c>
      <c r="P30" s="66">
        <f t="shared" ref="P30" si="47">O30</f>
        <v>50000</v>
      </c>
      <c r="Q30" s="66">
        <f t="shared" ref="Q30" si="48">P30</f>
        <v>50000</v>
      </c>
      <c r="R30" s="66">
        <f t="shared" ref="R30" si="49">Q30</f>
        <v>50000</v>
      </c>
      <c r="S30" s="66">
        <f t="shared" ref="S30" si="50">R30</f>
        <v>50000</v>
      </c>
      <c r="T30" s="66">
        <f t="shared" ref="T30" si="51">S30</f>
        <v>50000</v>
      </c>
      <c r="U30" s="66">
        <f t="shared" ref="U30" si="52">T30</f>
        <v>50000</v>
      </c>
      <c r="V30" s="66">
        <f t="shared" ref="V30" si="53">U30</f>
        <v>50000</v>
      </c>
      <c r="W30" s="66">
        <f t="shared" ref="W30" si="54">V30</f>
        <v>50000</v>
      </c>
      <c r="X30" s="66">
        <f t="shared" ref="X30" si="55">W30</f>
        <v>50000</v>
      </c>
      <c r="Y30" s="66">
        <f t="shared" ref="Y30" si="56">X30</f>
        <v>50000</v>
      </c>
      <c r="Z30" s="66">
        <f t="shared" ref="Z30" si="57">Y30</f>
        <v>50000</v>
      </c>
      <c r="AA30" s="66">
        <f t="shared" ref="AA30" si="58">Z30</f>
        <v>50000</v>
      </c>
      <c r="AB30" s="66">
        <f t="shared" ref="AB30" si="59">AA30</f>
        <v>50000</v>
      </c>
      <c r="AC30" s="66">
        <f t="shared" ref="AC30" si="60">AB30</f>
        <v>50000</v>
      </c>
    </row>
    <row r="31" spans="1:29" ht="15.75" thickBot="1" x14ac:dyDescent="0.3">
      <c r="A31" s="196"/>
      <c r="B31" s="67" t="s">
        <v>29</v>
      </c>
      <c r="C31" s="67"/>
      <c r="D31" s="68"/>
      <c r="E31" s="73">
        <f t="shared" ref="E31:AC31" si="61">SUM(E29:E30)</f>
        <v>50000</v>
      </c>
      <c r="F31" s="73">
        <f t="shared" si="61"/>
        <v>50000</v>
      </c>
      <c r="G31" s="73">
        <f t="shared" si="61"/>
        <v>50000</v>
      </c>
      <c r="H31" s="73">
        <f t="shared" si="61"/>
        <v>50000</v>
      </c>
      <c r="I31" s="73">
        <f t="shared" si="61"/>
        <v>50000</v>
      </c>
      <c r="J31" s="73">
        <f t="shared" si="61"/>
        <v>50000</v>
      </c>
      <c r="K31" s="73">
        <f t="shared" si="61"/>
        <v>50000</v>
      </c>
      <c r="L31" s="73">
        <f t="shared" si="61"/>
        <v>50000</v>
      </c>
      <c r="M31" s="73">
        <f t="shared" si="61"/>
        <v>50000</v>
      </c>
      <c r="N31" s="73" t="e">
        <f t="shared" si="61"/>
        <v>#DIV/0!</v>
      </c>
      <c r="O31" s="73" t="e">
        <f t="shared" si="61"/>
        <v>#DIV/0!</v>
      </c>
      <c r="P31" s="73" t="e">
        <f t="shared" si="61"/>
        <v>#DIV/0!</v>
      </c>
      <c r="Q31" s="73" t="e">
        <f t="shared" si="61"/>
        <v>#DIV/0!</v>
      </c>
      <c r="R31" s="73" t="e">
        <f t="shared" si="61"/>
        <v>#DIV/0!</v>
      </c>
      <c r="S31" s="73" t="e">
        <f t="shared" si="61"/>
        <v>#DIV/0!</v>
      </c>
      <c r="T31" s="73" t="e">
        <f t="shared" si="61"/>
        <v>#DIV/0!</v>
      </c>
      <c r="U31" s="73" t="e">
        <f t="shared" si="61"/>
        <v>#DIV/0!</v>
      </c>
      <c r="V31" s="73" t="e">
        <f t="shared" si="61"/>
        <v>#DIV/0!</v>
      </c>
      <c r="W31" s="73" t="e">
        <f t="shared" si="61"/>
        <v>#DIV/0!</v>
      </c>
      <c r="X31" s="73" t="e">
        <f t="shared" si="61"/>
        <v>#DIV/0!</v>
      </c>
      <c r="Y31" s="73" t="e">
        <f t="shared" si="61"/>
        <v>#DIV/0!</v>
      </c>
      <c r="Z31" s="73" t="e">
        <f t="shared" si="61"/>
        <v>#DIV/0!</v>
      </c>
      <c r="AA31" s="73" t="e">
        <f t="shared" si="61"/>
        <v>#DIV/0!</v>
      </c>
      <c r="AB31" s="73" t="e">
        <f t="shared" si="61"/>
        <v>#DIV/0!</v>
      </c>
      <c r="AC31" s="73" t="e">
        <f t="shared" si="61"/>
        <v>#DIV/0!</v>
      </c>
    </row>
    <row r="32" spans="1:29" ht="15" customHeight="1" x14ac:dyDescent="0.25">
      <c r="A32" s="194"/>
      <c r="B32" s="308">
        <v>0.78</v>
      </c>
      <c r="C32" s="18"/>
      <c r="D32" s="152" t="s">
        <v>22</v>
      </c>
      <c r="E32" s="73">
        <f>E31/B32</f>
        <v>64102.564102564102</v>
      </c>
      <c r="F32" s="73">
        <f>F31/B32</f>
        <v>64102.564102564102</v>
      </c>
      <c r="G32" s="73">
        <f>G31/B32</f>
        <v>64102.564102564102</v>
      </c>
      <c r="H32" s="73">
        <f>H31/B32</f>
        <v>64102.564102564102</v>
      </c>
      <c r="I32" s="73">
        <f>I31/B32</f>
        <v>64102.564102564102</v>
      </c>
      <c r="J32" s="73">
        <f>J31/B32</f>
        <v>64102.564102564102</v>
      </c>
      <c r="K32" s="73">
        <f>K31/B32</f>
        <v>64102.564102564102</v>
      </c>
      <c r="L32" s="73">
        <f>L31/B32</f>
        <v>64102.564102564102</v>
      </c>
      <c r="M32" s="73">
        <f>M31/B32</f>
        <v>64102.564102564102</v>
      </c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</row>
    <row r="33" spans="1:29" x14ac:dyDescent="0.25">
      <c r="A33" s="189"/>
      <c r="B33" s="174"/>
      <c r="C33" s="19"/>
      <c r="D33" s="162" t="s">
        <v>23</v>
      </c>
      <c r="E33" s="163">
        <f>_xlfn.CEILING.MATH(E32,1000)</f>
        <v>65000</v>
      </c>
      <c r="F33" s="163">
        <f>_xlfn.CEILING.MATH(F32,1000)</f>
        <v>65000</v>
      </c>
      <c r="G33" s="163">
        <f t="shared" ref="G33:M33" si="62">_xlfn.CEILING.MATH(G32,1000)</f>
        <v>65000</v>
      </c>
      <c r="H33" s="163">
        <f t="shared" si="62"/>
        <v>65000</v>
      </c>
      <c r="I33" s="163">
        <f t="shared" si="62"/>
        <v>65000</v>
      </c>
      <c r="J33" s="163">
        <f t="shared" si="62"/>
        <v>65000</v>
      </c>
      <c r="K33" s="163">
        <f t="shared" si="62"/>
        <v>65000</v>
      </c>
      <c r="L33" s="163">
        <f t="shared" si="62"/>
        <v>65000</v>
      </c>
      <c r="M33" s="163">
        <f t="shared" si="62"/>
        <v>65000</v>
      </c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22"/>
      <c r="Y33" s="22"/>
      <c r="Z33" s="22"/>
      <c r="AA33" s="22"/>
      <c r="AB33" s="22"/>
      <c r="AC33" s="23"/>
    </row>
    <row r="34" spans="1:29" x14ac:dyDescent="0.25">
      <c r="A34" s="191"/>
      <c r="B34" s="198"/>
      <c r="C34" s="198"/>
      <c r="D34" s="199"/>
      <c r="E34" s="167"/>
      <c r="F34" s="167"/>
      <c r="G34" s="167"/>
      <c r="H34" s="167"/>
      <c r="I34" s="167"/>
      <c r="J34" s="167"/>
      <c r="K34" s="167"/>
      <c r="L34" s="167"/>
      <c r="M34" s="167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2"/>
      <c r="Y34" s="22"/>
      <c r="Z34" s="22"/>
      <c r="AA34" s="22"/>
      <c r="AB34" s="22"/>
      <c r="AC34" s="23"/>
    </row>
    <row r="35" spans="1:29" ht="15.75" thickBot="1" x14ac:dyDescent="0.3">
      <c r="A35" s="1" t="s">
        <v>0</v>
      </c>
      <c r="B35" s="1" t="s">
        <v>1</v>
      </c>
      <c r="C35" s="1" t="s">
        <v>2</v>
      </c>
      <c r="D35" s="1" t="s">
        <v>3</v>
      </c>
      <c r="E35" s="253" t="s">
        <v>4</v>
      </c>
      <c r="F35" s="254"/>
      <c r="G35" s="48"/>
      <c r="H35" s="265" t="s">
        <v>89</v>
      </c>
      <c r="I35" s="258"/>
      <c r="J35" s="258"/>
      <c r="K35" s="258"/>
      <c r="L35" s="254"/>
      <c r="M35" s="50"/>
      <c r="N35" s="259" t="s">
        <v>104</v>
      </c>
      <c r="O35" s="258"/>
      <c r="P35" s="258"/>
      <c r="Q35" s="254"/>
      <c r="R35" s="6">
        <v>160000</v>
      </c>
      <c r="S35" s="257" t="s">
        <v>36</v>
      </c>
      <c r="T35" s="258"/>
      <c r="U35" s="258"/>
      <c r="V35" s="258"/>
      <c r="W35" s="258"/>
      <c r="X35" s="258"/>
      <c r="Y35" s="258"/>
      <c r="Z35" s="258"/>
      <c r="AA35" s="258"/>
      <c r="AB35" s="254"/>
      <c r="AC35" s="221">
        <v>310000</v>
      </c>
    </row>
    <row r="36" spans="1:29" ht="19.5" customHeight="1" thickBot="1" x14ac:dyDescent="0.3">
      <c r="A36" s="282" t="s">
        <v>128</v>
      </c>
      <c r="D36" s="61"/>
      <c r="E36" s="146">
        <f t="shared" ref="E36:G36" si="63">$G$21/E16</f>
        <v>0</v>
      </c>
      <c r="F36" s="146">
        <f t="shared" si="63"/>
        <v>0</v>
      </c>
      <c r="G36" s="146">
        <f t="shared" si="63"/>
        <v>0</v>
      </c>
      <c r="H36" s="29">
        <f t="shared" ref="H36:M36" si="64">$M$21/H16</f>
        <v>0</v>
      </c>
      <c r="I36" s="29">
        <f t="shared" si="64"/>
        <v>0</v>
      </c>
      <c r="J36" s="29">
        <f t="shared" si="64"/>
        <v>0</v>
      </c>
      <c r="K36" s="29">
        <f t="shared" si="64"/>
        <v>0</v>
      </c>
      <c r="L36" s="29">
        <f t="shared" si="64"/>
        <v>0</v>
      </c>
      <c r="M36" s="29">
        <f t="shared" si="64"/>
        <v>0</v>
      </c>
      <c r="N36" s="29">
        <f t="shared" ref="N36:R36" si="65">$R$21/N16</f>
        <v>7.2727272727272725</v>
      </c>
      <c r="O36" s="29">
        <f t="shared" si="65"/>
        <v>7.2727272727272725</v>
      </c>
      <c r="P36" s="29">
        <f t="shared" si="65"/>
        <v>7.2727272727272725</v>
      </c>
      <c r="Q36" s="29">
        <f t="shared" si="65"/>
        <v>7.2727272727272725</v>
      </c>
      <c r="R36" s="29">
        <f t="shared" si="65"/>
        <v>7.2727272727272725</v>
      </c>
      <c r="S36" s="29">
        <f t="shared" ref="S36:AC36" si="66">$AC$21/S16</f>
        <v>14.090909090909092</v>
      </c>
      <c r="T36" s="29">
        <f t="shared" si="66"/>
        <v>14.090909090909092</v>
      </c>
      <c r="U36" s="29">
        <f t="shared" si="66"/>
        <v>14.090909090909092</v>
      </c>
      <c r="V36" s="29">
        <f t="shared" si="66"/>
        <v>14.090909090909092</v>
      </c>
      <c r="W36" s="29">
        <f t="shared" si="66"/>
        <v>14.090909090909092</v>
      </c>
      <c r="X36" s="29">
        <f t="shared" si="66"/>
        <v>14.090909090909092</v>
      </c>
      <c r="Y36" s="29">
        <f t="shared" si="66"/>
        <v>14.090909090909092</v>
      </c>
      <c r="Z36" s="29">
        <f t="shared" si="66"/>
        <v>14.090909090909092</v>
      </c>
      <c r="AA36" s="29">
        <f t="shared" si="66"/>
        <v>14.090909090909092</v>
      </c>
      <c r="AB36" s="29">
        <f t="shared" si="66"/>
        <v>14.090909090909092</v>
      </c>
      <c r="AC36" s="29">
        <f t="shared" si="66"/>
        <v>14.090909090909092</v>
      </c>
    </row>
    <row r="37" spans="1:29" ht="19.5" customHeight="1" thickBot="1" x14ac:dyDescent="0.3">
      <c r="A37" s="283"/>
      <c r="B37" s="59" t="s">
        <v>126</v>
      </c>
      <c r="C37" s="60" t="s">
        <v>129</v>
      </c>
      <c r="D37" s="64" t="s">
        <v>20</v>
      </c>
      <c r="E37" s="65">
        <v>100000</v>
      </c>
      <c r="F37" s="66">
        <f t="shared" ref="F37" si="67">E37</f>
        <v>100000</v>
      </c>
      <c r="G37" s="66">
        <f t="shared" ref="G37" si="68">F37</f>
        <v>100000</v>
      </c>
      <c r="H37" s="66">
        <f t="shared" ref="H37" si="69">G37</f>
        <v>100000</v>
      </c>
      <c r="I37" s="66">
        <f t="shared" ref="I37" si="70">H37</f>
        <v>100000</v>
      </c>
      <c r="J37" s="66">
        <f t="shared" ref="J37" si="71">I37</f>
        <v>100000</v>
      </c>
      <c r="K37" s="66">
        <f t="shared" ref="K37" si="72">J37</f>
        <v>100000</v>
      </c>
      <c r="L37" s="66">
        <f t="shared" ref="L37" si="73">K37</f>
        <v>100000</v>
      </c>
      <c r="M37" s="66">
        <f t="shared" ref="M37" si="74">L37</f>
        <v>100000</v>
      </c>
      <c r="N37" s="66">
        <f t="shared" ref="N37" si="75">M37</f>
        <v>100000</v>
      </c>
      <c r="O37" s="66">
        <f t="shared" ref="O37" si="76">N37</f>
        <v>100000</v>
      </c>
      <c r="P37" s="66">
        <f t="shared" ref="P37" si="77">O37</f>
        <v>100000</v>
      </c>
      <c r="Q37" s="66">
        <f t="shared" ref="Q37" si="78">P37</f>
        <v>100000</v>
      </c>
      <c r="R37" s="66">
        <f t="shared" ref="R37" si="79">Q37</f>
        <v>100000</v>
      </c>
      <c r="S37" s="66">
        <f t="shared" ref="S37" si="80">R37</f>
        <v>100000</v>
      </c>
      <c r="T37" s="66">
        <f t="shared" ref="T37" si="81">S37</f>
        <v>100000</v>
      </c>
      <c r="U37" s="66">
        <f t="shared" ref="U37" si="82">T37</f>
        <v>100000</v>
      </c>
      <c r="V37" s="66">
        <f t="shared" ref="V37" si="83">U37</f>
        <v>100000</v>
      </c>
      <c r="W37" s="66">
        <f t="shared" ref="W37" si="84">V37</f>
        <v>100000</v>
      </c>
      <c r="X37" s="66">
        <f t="shared" ref="X37" si="85">W37</f>
        <v>100000</v>
      </c>
      <c r="Y37" s="66">
        <f t="shared" ref="Y37" si="86">X37</f>
        <v>100000</v>
      </c>
      <c r="Z37" s="66">
        <f t="shared" ref="Z37" si="87">Y37</f>
        <v>100000</v>
      </c>
      <c r="AA37" s="66">
        <f t="shared" ref="AA37" si="88">Z37</f>
        <v>100000</v>
      </c>
      <c r="AB37" s="66">
        <f t="shared" ref="AB37" si="89">AA37</f>
        <v>100000</v>
      </c>
      <c r="AC37" s="66">
        <f t="shared" ref="AC37" si="90">AB37</f>
        <v>100000</v>
      </c>
    </row>
    <row r="38" spans="1:29" ht="15.75" thickBot="1" x14ac:dyDescent="0.3">
      <c r="A38" s="196"/>
      <c r="B38" s="67" t="s">
        <v>29</v>
      </c>
      <c r="C38" s="67"/>
      <c r="D38" s="68"/>
      <c r="E38" s="73">
        <f t="shared" ref="E38:AC38" si="91">SUM(E36:E37)</f>
        <v>100000</v>
      </c>
      <c r="F38" s="73">
        <f t="shared" si="91"/>
        <v>100000</v>
      </c>
      <c r="G38" s="73">
        <f t="shared" si="91"/>
        <v>100000</v>
      </c>
      <c r="H38" s="73">
        <f t="shared" si="91"/>
        <v>100000</v>
      </c>
      <c r="I38" s="73">
        <f t="shared" si="91"/>
        <v>100000</v>
      </c>
      <c r="J38" s="73">
        <f t="shared" si="91"/>
        <v>100000</v>
      </c>
      <c r="K38" s="73">
        <f t="shared" si="91"/>
        <v>100000</v>
      </c>
      <c r="L38" s="73">
        <f t="shared" si="91"/>
        <v>100000</v>
      </c>
      <c r="M38" s="73">
        <f t="shared" si="91"/>
        <v>100000</v>
      </c>
      <c r="N38" s="73">
        <f t="shared" si="91"/>
        <v>100007.27272727272</v>
      </c>
      <c r="O38" s="73">
        <f t="shared" si="91"/>
        <v>100007.27272727272</v>
      </c>
      <c r="P38" s="73">
        <f t="shared" si="91"/>
        <v>100007.27272727272</v>
      </c>
      <c r="Q38" s="73">
        <f t="shared" si="91"/>
        <v>100007.27272727272</v>
      </c>
      <c r="R38" s="73">
        <f t="shared" si="91"/>
        <v>100007.27272727272</v>
      </c>
      <c r="S38" s="73">
        <f t="shared" si="91"/>
        <v>100014.09090909091</v>
      </c>
      <c r="T38" s="73">
        <f t="shared" si="91"/>
        <v>100014.09090909091</v>
      </c>
      <c r="U38" s="73">
        <f t="shared" si="91"/>
        <v>100014.09090909091</v>
      </c>
      <c r="V38" s="73">
        <f t="shared" si="91"/>
        <v>100014.09090909091</v>
      </c>
      <c r="W38" s="73">
        <f t="shared" si="91"/>
        <v>100014.09090909091</v>
      </c>
      <c r="X38" s="73">
        <f t="shared" si="91"/>
        <v>100014.09090909091</v>
      </c>
      <c r="Y38" s="73">
        <f t="shared" si="91"/>
        <v>100014.09090909091</v>
      </c>
      <c r="Z38" s="73">
        <f t="shared" si="91"/>
        <v>100014.09090909091</v>
      </c>
      <c r="AA38" s="73">
        <f t="shared" si="91"/>
        <v>100014.09090909091</v>
      </c>
      <c r="AB38" s="73">
        <f t="shared" si="91"/>
        <v>100014.09090909091</v>
      </c>
      <c r="AC38" s="73">
        <f t="shared" si="91"/>
        <v>100014.09090909091</v>
      </c>
    </row>
    <row r="39" spans="1:29" ht="15" customHeight="1" x14ac:dyDescent="0.25">
      <c r="A39" s="194"/>
      <c r="B39" s="308">
        <v>0.82</v>
      </c>
      <c r="C39" s="18"/>
      <c r="D39" s="152" t="s">
        <v>22</v>
      </c>
      <c r="E39" s="73">
        <f>E38/B39</f>
        <v>121951.21951219512</v>
      </c>
      <c r="F39" s="73">
        <f>F38/B39</f>
        <v>121951.21951219512</v>
      </c>
      <c r="G39" s="73">
        <f>G38/B39</f>
        <v>121951.21951219512</v>
      </c>
      <c r="H39" s="73">
        <f>H38/B39</f>
        <v>121951.21951219512</v>
      </c>
      <c r="I39" s="73">
        <f>I38/B39</f>
        <v>121951.21951219512</v>
      </c>
      <c r="J39" s="73">
        <f>J38/B39</f>
        <v>121951.21951219512</v>
      </c>
      <c r="K39" s="73">
        <f>K38/B39</f>
        <v>121951.21951219512</v>
      </c>
      <c r="L39" s="73">
        <f>L38/B39</f>
        <v>121951.21951219512</v>
      </c>
      <c r="M39" s="73">
        <f>M38/B39</f>
        <v>121951.21951219512</v>
      </c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</row>
    <row r="40" spans="1:29" x14ac:dyDescent="0.25">
      <c r="A40" s="189"/>
      <c r="B40" s="174"/>
      <c r="C40" s="19"/>
      <c r="D40" s="162" t="s">
        <v>23</v>
      </c>
      <c r="E40" s="163">
        <f>_xlfn.CEILING.MATH(E39,1000)</f>
        <v>122000</v>
      </c>
      <c r="F40" s="163">
        <f>_xlfn.CEILING.MATH(F39,1000)</f>
        <v>122000</v>
      </c>
      <c r="G40" s="163">
        <f t="shared" ref="G40:M40" si="92">_xlfn.CEILING.MATH(G39,1000)</f>
        <v>122000</v>
      </c>
      <c r="H40" s="163">
        <f t="shared" si="92"/>
        <v>122000</v>
      </c>
      <c r="I40" s="163">
        <f t="shared" si="92"/>
        <v>122000</v>
      </c>
      <c r="J40" s="163">
        <f t="shared" si="92"/>
        <v>122000</v>
      </c>
      <c r="K40" s="163">
        <f t="shared" si="92"/>
        <v>122000</v>
      </c>
      <c r="L40" s="163">
        <f t="shared" si="92"/>
        <v>122000</v>
      </c>
      <c r="M40" s="163">
        <f t="shared" si="92"/>
        <v>122000</v>
      </c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2"/>
      <c r="Y40" s="22"/>
      <c r="Z40" s="22"/>
      <c r="AA40" s="22"/>
      <c r="AB40" s="22"/>
      <c r="AC40" s="23"/>
    </row>
    <row r="41" spans="1:29" x14ac:dyDescent="0.25">
      <c r="A41" s="223" t="s">
        <v>52</v>
      </c>
      <c r="B41" s="23" t="s">
        <v>53</v>
      </c>
    </row>
    <row r="42" spans="1:29" x14ac:dyDescent="0.25">
      <c r="A42" s="224" t="s">
        <v>54</v>
      </c>
      <c r="B42" s="23" t="s">
        <v>55</v>
      </c>
    </row>
    <row r="43" spans="1:29" x14ac:dyDescent="0.25">
      <c r="A43" s="225" t="s">
        <v>56</v>
      </c>
      <c r="B43" s="23" t="s">
        <v>57</v>
      </c>
    </row>
    <row r="44" spans="1:29" x14ac:dyDescent="0.25">
      <c r="A44" s="226" t="s">
        <v>58</v>
      </c>
      <c r="B44" s="23" t="s">
        <v>59</v>
      </c>
    </row>
    <row r="46" spans="1:29" ht="15.75" customHeight="1" x14ac:dyDescent="0.25"/>
    <row r="47" spans="1:29" ht="15.75" customHeight="1" x14ac:dyDescent="0.25"/>
    <row r="48" spans="1:2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</sheetData>
  <mergeCells count="20">
    <mergeCell ref="S21:AB21"/>
    <mergeCell ref="U11:X11"/>
    <mergeCell ref="N21:Q21"/>
    <mergeCell ref="H21:L21"/>
    <mergeCell ref="E21:F21"/>
    <mergeCell ref="H1:L1"/>
    <mergeCell ref="A3:A6"/>
    <mergeCell ref="A12:A16"/>
    <mergeCell ref="A22:A23"/>
    <mergeCell ref="J11:L11"/>
    <mergeCell ref="E28:F28"/>
    <mergeCell ref="H28:L28"/>
    <mergeCell ref="N28:Q28"/>
    <mergeCell ref="S28:AB28"/>
    <mergeCell ref="A29:A30"/>
    <mergeCell ref="E35:F35"/>
    <mergeCell ref="H35:L35"/>
    <mergeCell ref="N35:Q35"/>
    <mergeCell ref="S35:AB35"/>
    <mergeCell ref="A36:A37"/>
  </mergeCells>
  <hyperlinks>
    <hyperlink ref="B4" r:id="rId1" xr:uid="{00000000-0004-0000-0200-000000000000}"/>
    <hyperlink ref="B13" r:id="rId2" xr:uid="{00000000-0004-0000-0200-000001000000}"/>
  </hyperlinks>
  <pageMargins left="0.7" right="0.7" top="0.75" bottom="0.75" header="0" footer="0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B41B-411C-4325-9C62-0998F1CDCA76}">
  <sheetPr>
    <tabColor rgb="FF00B050"/>
  </sheetPr>
  <dimension ref="A1:AQ1018"/>
  <sheetViews>
    <sheetView topLeftCell="A22" workbookViewId="0">
      <selection activeCell="E20" sqref="E20"/>
    </sheetView>
  </sheetViews>
  <sheetFormatPr baseColWidth="10" defaultColWidth="14.42578125" defaultRowHeight="15" customHeight="1" x14ac:dyDescent="0.25"/>
  <cols>
    <col min="1" max="1" width="14.28515625" customWidth="1"/>
    <col min="2" max="2" width="24" customWidth="1"/>
    <col min="3" max="3" width="27.28515625" customWidth="1"/>
    <col min="4" max="4" width="12.85546875" customWidth="1"/>
    <col min="5" max="43" width="10.7109375" customWidth="1"/>
  </cols>
  <sheetData>
    <row r="1" spans="1:43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11" t="s">
        <v>4</v>
      </c>
      <c r="F1" s="2"/>
      <c r="G1" s="3"/>
      <c r="H1" s="284" t="s">
        <v>5</v>
      </c>
      <c r="I1" s="281"/>
      <c r="J1" s="281"/>
      <c r="K1" s="281"/>
      <c r="L1" s="285"/>
      <c r="M1" s="4"/>
      <c r="N1" s="213" t="s">
        <v>104</v>
      </c>
      <c r="O1" s="228">
        <v>100000</v>
      </c>
      <c r="P1" s="214"/>
      <c r="Q1" s="31"/>
      <c r="R1" s="6">
        <f>79000*3</f>
        <v>237000</v>
      </c>
      <c r="S1" s="212" t="s">
        <v>36</v>
      </c>
      <c r="T1" s="216"/>
      <c r="U1" s="229">
        <v>140000</v>
      </c>
      <c r="V1" s="216"/>
      <c r="W1" s="216"/>
      <c r="X1" s="216"/>
      <c r="Y1" s="229">
        <v>200000</v>
      </c>
      <c r="Z1" s="216"/>
      <c r="AA1" s="216"/>
      <c r="AB1" s="217"/>
      <c r="AC1" s="221">
        <f>200000*3</f>
        <v>600000</v>
      </c>
    </row>
    <row r="2" spans="1:43" x14ac:dyDescent="0.25">
      <c r="A2" s="220" t="s">
        <v>130</v>
      </c>
      <c r="B2" s="190"/>
      <c r="C2" s="101"/>
      <c r="D2" s="102"/>
      <c r="E2" s="7" t="s">
        <v>9</v>
      </c>
      <c r="F2" s="7" t="s">
        <v>62</v>
      </c>
      <c r="G2" s="7" t="s">
        <v>63</v>
      </c>
      <c r="H2" s="7" t="s">
        <v>64</v>
      </c>
      <c r="I2" s="7" t="s">
        <v>65</v>
      </c>
      <c r="J2" s="7" t="s">
        <v>66</v>
      </c>
      <c r="K2" s="7" t="s">
        <v>67</v>
      </c>
      <c r="L2" s="7" t="s">
        <v>68</v>
      </c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75</v>
      </c>
      <c r="T2" s="7" t="s">
        <v>76</v>
      </c>
      <c r="U2" s="7" t="s">
        <v>77</v>
      </c>
      <c r="V2" s="7" t="s">
        <v>78</v>
      </c>
      <c r="W2" s="7" t="s">
        <v>79</v>
      </c>
      <c r="X2" s="7" t="s">
        <v>80</v>
      </c>
      <c r="Y2" s="7" t="s">
        <v>81</v>
      </c>
      <c r="Z2" s="7" t="s">
        <v>82</v>
      </c>
      <c r="AA2" s="7" t="s">
        <v>83</v>
      </c>
      <c r="AB2" s="7" t="s">
        <v>84</v>
      </c>
      <c r="AC2" s="7" t="s">
        <v>85</v>
      </c>
    </row>
    <row r="3" spans="1:43" ht="25.5" customHeight="1" x14ac:dyDescent="0.25">
      <c r="A3" s="291" t="s">
        <v>106</v>
      </c>
      <c r="B3" s="210" t="s">
        <v>131</v>
      </c>
      <c r="C3" s="35" t="s">
        <v>132</v>
      </c>
      <c r="D3" s="34" t="s">
        <v>13</v>
      </c>
      <c r="E3" s="146">
        <v>138600</v>
      </c>
      <c r="F3" s="146">
        <v>78300</v>
      </c>
      <c r="G3" s="146">
        <v>60300</v>
      </c>
      <c r="H3" s="29">
        <v>51300</v>
      </c>
      <c r="I3" s="29">
        <v>45900</v>
      </c>
      <c r="J3" s="29">
        <v>42300</v>
      </c>
      <c r="K3" s="29">
        <v>39600</v>
      </c>
      <c r="L3" s="29">
        <v>37800</v>
      </c>
      <c r="M3" s="29">
        <v>37800</v>
      </c>
      <c r="N3" s="29">
        <f t="shared" ref="N3:R3" si="0">$R$1/N2</f>
        <v>23700</v>
      </c>
      <c r="O3" s="29">
        <f t="shared" si="0"/>
        <v>21545.454545454544</v>
      </c>
      <c r="P3" s="29">
        <f t="shared" si="0"/>
        <v>19750</v>
      </c>
      <c r="Q3" s="29">
        <f t="shared" si="0"/>
        <v>18230.76923076923</v>
      </c>
      <c r="R3" s="29">
        <f t="shared" si="0"/>
        <v>16928.571428571428</v>
      </c>
      <c r="S3" s="29">
        <f t="shared" ref="S3:AC3" si="1">$AC$1/S2</f>
        <v>40000</v>
      </c>
      <c r="T3" s="29">
        <f t="shared" si="1"/>
        <v>37500</v>
      </c>
      <c r="U3" s="29">
        <f t="shared" si="1"/>
        <v>35294.117647058825</v>
      </c>
      <c r="V3" s="29">
        <f t="shared" si="1"/>
        <v>33333.333333333336</v>
      </c>
      <c r="W3" s="29">
        <f t="shared" si="1"/>
        <v>31578.947368421053</v>
      </c>
      <c r="X3" s="29">
        <f t="shared" si="1"/>
        <v>30000</v>
      </c>
      <c r="Y3" s="29">
        <f t="shared" si="1"/>
        <v>28571.428571428572</v>
      </c>
      <c r="Z3" s="29">
        <f t="shared" si="1"/>
        <v>27272.727272727272</v>
      </c>
      <c r="AA3" s="29">
        <f t="shared" si="1"/>
        <v>26086.956521739132</v>
      </c>
      <c r="AB3" s="29">
        <f t="shared" si="1"/>
        <v>25000</v>
      </c>
      <c r="AC3" s="29">
        <f t="shared" si="1"/>
        <v>24000</v>
      </c>
    </row>
    <row r="4" spans="1:43" x14ac:dyDescent="0.25">
      <c r="A4" s="291"/>
      <c r="B4" s="171" t="s">
        <v>17</v>
      </c>
      <c r="C4" s="24"/>
      <c r="D4" s="19"/>
      <c r="E4" s="37">
        <f t="shared" ref="E4:N5" si="2">SUM(E3:E3)</f>
        <v>138600</v>
      </c>
      <c r="F4" s="37">
        <f t="shared" si="2"/>
        <v>78300</v>
      </c>
      <c r="G4" s="37">
        <f t="shared" si="2"/>
        <v>60300</v>
      </c>
      <c r="H4" s="37">
        <f t="shared" si="2"/>
        <v>51300</v>
      </c>
      <c r="I4" s="37">
        <f t="shared" si="2"/>
        <v>45900</v>
      </c>
      <c r="J4" s="37">
        <f t="shared" si="2"/>
        <v>42300</v>
      </c>
      <c r="K4" s="37">
        <f t="shared" si="2"/>
        <v>39600</v>
      </c>
      <c r="L4" s="37">
        <f t="shared" si="2"/>
        <v>37800</v>
      </c>
      <c r="M4" s="37">
        <f t="shared" si="2"/>
        <v>37800</v>
      </c>
      <c r="N4" s="37">
        <f t="shared" si="2"/>
        <v>23700</v>
      </c>
      <c r="O4" s="37">
        <f t="shared" ref="O4:X5" si="3">SUM(O3:O3)</f>
        <v>21545.454545454544</v>
      </c>
      <c r="P4" s="37">
        <f t="shared" si="3"/>
        <v>19750</v>
      </c>
      <c r="Q4" s="37">
        <f t="shared" si="3"/>
        <v>18230.76923076923</v>
      </c>
      <c r="R4" s="37">
        <f t="shared" si="3"/>
        <v>16928.571428571428</v>
      </c>
      <c r="S4" s="37">
        <f t="shared" si="3"/>
        <v>40000</v>
      </c>
      <c r="T4" s="37">
        <f t="shared" si="3"/>
        <v>37500</v>
      </c>
      <c r="U4" s="37">
        <f t="shared" si="3"/>
        <v>35294.117647058825</v>
      </c>
      <c r="V4" s="37">
        <f t="shared" si="3"/>
        <v>33333.333333333336</v>
      </c>
      <c r="W4" s="37">
        <f t="shared" si="3"/>
        <v>31578.947368421053</v>
      </c>
      <c r="X4" s="37">
        <f t="shared" si="3"/>
        <v>30000</v>
      </c>
      <c r="Y4" s="37">
        <f t="shared" ref="Y4:AC5" si="4">SUM(Y3:Y3)</f>
        <v>28571.428571428572</v>
      </c>
      <c r="Z4" s="37">
        <f t="shared" si="4"/>
        <v>27272.727272727272</v>
      </c>
      <c r="AA4" s="37">
        <f t="shared" si="4"/>
        <v>26086.956521739132</v>
      </c>
      <c r="AB4" s="37">
        <f t="shared" si="4"/>
        <v>25000</v>
      </c>
      <c r="AC4" s="37">
        <f t="shared" si="4"/>
        <v>24000</v>
      </c>
    </row>
    <row r="5" spans="1:43" x14ac:dyDescent="0.25">
      <c r="A5" s="291"/>
      <c r="B5" s="175" t="s">
        <v>29</v>
      </c>
      <c r="C5" s="18"/>
      <c r="D5" s="18"/>
      <c r="E5" s="73">
        <f t="shared" si="2"/>
        <v>138600</v>
      </c>
      <c r="F5" s="73">
        <f t="shared" si="2"/>
        <v>78300</v>
      </c>
      <c r="G5" s="73">
        <f t="shared" si="2"/>
        <v>60300</v>
      </c>
      <c r="H5" s="73">
        <f t="shared" si="2"/>
        <v>51300</v>
      </c>
      <c r="I5" s="73">
        <f t="shared" si="2"/>
        <v>45900</v>
      </c>
      <c r="J5" s="73">
        <f t="shared" si="2"/>
        <v>42300</v>
      </c>
      <c r="K5" s="73">
        <f t="shared" si="2"/>
        <v>39600</v>
      </c>
      <c r="L5" s="73">
        <f t="shared" si="2"/>
        <v>37800</v>
      </c>
      <c r="M5" s="73">
        <f t="shared" si="2"/>
        <v>37800</v>
      </c>
      <c r="N5" s="73">
        <f t="shared" si="2"/>
        <v>23700</v>
      </c>
      <c r="O5" s="73">
        <f t="shared" si="3"/>
        <v>21545.454545454544</v>
      </c>
      <c r="P5" s="73">
        <f t="shared" si="3"/>
        <v>19750</v>
      </c>
      <c r="Q5" s="73">
        <f t="shared" si="3"/>
        <v>18230.76923076923</v>
      </c>
      <c r="R5" s="73">
        <f t="shared" si="3"/>
        <v>16928.571428571428</v>
      </c>
      <c r="S5" s="73">
        <f t="shared" si="3"/>
        <v>40000</v>
      </c>
      <c r="T5" s="73">
        <f t="shared" si="3"/>
        <v>37500</v>
      </c>
      <c r="U5" s="73">
        <f t="shared" si="3"/>
        <v>35294.117647058825</v>
      </c>
      <c r="V5" s="73">
        <f t="shared" si="3"/>
        <v>33333.333333333336</v>
      </c>
      <c r="W5" s="73">
        <f t="shared" si="3"/>
        <v>31578.947368421053</v>
      </c>
      <c r="X5" s="73">
        <f t="shared" si="3"/>
        <v>30000</v>
      </c>
      <c r="Y5" s="73">
        <f t="shared" si="4"/>
        <v>28571.428571428572</v>
      </c>
      <c r="Z5" s="73">
        <f t="shared" si="4"/>
        <v>27272.727272727272</v>
      </c>
      <c r="AA5" s="73">
        <f t="shared" si="4"/>
        <v>26086.956521739132</v>
      </c>
      <c r="AB5" s="73">
        <f t="shared" si="4"/>
        <v>25000</v>
      </c>
      <c r="AC5" s="73">
        <f t="shared" si="4"/>
        <v>24000</v>
      </c>
    </row>
    <row r="6" spans="1:43" ht="15" customHeight="1" x14ac:dyDescent="0.25">
      <c r="A6" s="291"/>
      <c r="B6" s="173">
        <v>0.75</v>
      </c>
      <c r="C6" s="18"/>
      <c r="D6" s="152" t="s">
        <v>22</v>
      </c>
      <c r="E6" s="73">
        <f>E5/B6</f>
        <v>184800</v>
      </c>
      <c r="F6" s="73">
        <f>F5/B6</f>
        <v>104400</v>
      </c>
      <c r="G6" s="73">
        <f>G5/B6</f>
        <v>80400</v>
      </c>
      <c r="H6" s="73">
        <f>H5/B6</f>
        <v>68400</v>
      </c>
      <c r="I6" s="73">
        <f>I5/B6</f>
        <v>61200</v>
      </c>
      <c r="J6" s="73">
        <f>J5/B6</f>
        <v>56400</v>
      </c>
      <c r="K6" s="73">
        <f>K5/B6</f>
        <v>52800</v>
      </c>
      <c r="L6" s="73">
        <f>L5/B6</f>
        <v>50400</v>
      </c>
      <c r="M6" s="73">
        <f>M5/B6</f>
        <v>50400</v>
      </c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</row>
    <row r="7" spans="1:43" x14ac:dyDescent="0.25">
      <c r="A7" s="189"/>
      <c r="B7" s="174"/>
      <c r="C7" s="19"/>
      <c r="D7" s="162" t="s">
        <v>23</v>
      </c>
      <c r="E7" s="163">
        <f>_xlfn.CEILING.MATH(E6,1000)</f>
        <v>185000</v>
      </c>
      <c r="F7" s="163">
        <f>_xlfn.CEILING.MATH(F6,1000)</f>
        <v>105000</v>
      </c>
      <c r="G7" s="163">
        <f t="shared" ref="G7:M7" si="5">_xlfn.CEILING.MATH(G6,1000)</f>
        <v>81000</v>
      </c>
      <c r="H7" s="163">
        <f t="shared" si="5"/>
        <v>69000</v>
      </c>
      <c r="I7" s="163">
        <f t="shared" si="5"/>
        <v>62000</v>
      </c>
      <c r="J7" s="163">
        <f t="shared" si="5"/>
        <v>57000</v>
      </c>
      <c r="K7" s="163">
        <f t="shared" si="5"/>
        <v>53000</v>
      </c>
      <c r="L7" s="163">
        <f t="shared" si="5"/>
        <v>51000</v>
      </c>
      <c r="M7" s="163">
        <f t="shared" si="5"/>
        <v>51000</v>
      </c>
      <c r="N7" s="20"/>
      <c r="O7" s="20"/>
      <c r="P7" s="20"/>
      <c r="Q7" s="20"/>
      <c r="R7" s="20"/>
      <c r="S7" s="20"/>
      <c r="T7" s="20"/>
      <c r="U7" s="20"/>
      <c r="V7" s="20"/>
      <c r="W7" s="21"/>
      <c r="X7" s="22"/>
      <c r="Y7" s="22"/>
      <c r="Z7" s="22"/>
      <c r="AA7" s="22"/>
      <c r="AB7" s="22"/>
      <c r="AC7" s="23"/>
    </row>
    <row r="8" spans="1:43" x14ac:dyDescent="0.25">
      <c r="A8" s="42"/>
      <c r="B8" s="231"/>
      <c r="C8" s="43"/>
      <c r="D8" s="44"/>
      <c r="E8" s="45"/>
      <c r="F8" s="46"/>
      <c r="G8" s="47"/>
      <c r="H8" s="47"/>
    </row>
    <row r="9" spans="1:43" ht="30" x14ac:dyDescent="0.25">
      <c r="A9" s="143" t="s">
        <v>0</v>
      </c>
      <c r="B9" s="1" t="s">
        <v>1</v>
      </c>
      <c r="C9" s="1" t="s">
        <v>2</v>
      </c>
      <c r="D9" s="1" t="s">
        <v>3</v>
      </c>
      <c r="E9" s="211" t="s">
        <v>4</v>
      </c>
      <c r="F9" s="2"/>
      <c r="G9" s="48"/>
      <c r="H9" s="215"/>
      <c r="I9" s="49"/>
      <c r="J9" s="288" t="s">
        <v>5</v>
      </c>
      <c r="K9" s="289"/>
      <c r="L9" s="290"/>
      <c r="M9" s="50"/>
      <c r="N9" s="51">
        <v>150000</v>
      </c>
      <c r="O9" s="213" t="s">
        <v>104</v>
      </c>
      <c r="P9" s="214"/>
      <c r="Q9" s="214"/>
      <c r="R9" s="52">
        <f>79000*5</f>
        <v>395000</v>
      </c>
      <c r="S9" s="212"/>
      <c r="T9" s="229">
        <v>200000</v>
      </c>
      <c r="U9" s="275" t="s">
        <v>36</v>
      </c>
      <c r="V9" s="258"/>
      <c r="W9" s="258"/>
      <c r="X9" s="258"/>
      <c r="Y9" s="229">
        <v>250000</v>
      </c>
      <c r="Z9" s="216"/>
      <c r="AA9" s="216"/>
      <c r="AB9" s="216"/>
      <c r="AC9" s="232">
        <f>110000*5</f>
        <v>550000</v>
      </c>
    </row>
    <row r="10" spans="1:43" ht="15" customHeight="1" x14ac:dyDescent="0.25">
      <c r="A10" s="291" t="s">
        <v>133</v>
      </c>
      <c r="B10" s="200" t="s">
        <v>131</v>
      </c>
      <c r="C10" s="35" t="s">
        <v>132</v>
      </c>
      <c r="D10" s="34" t="s">
        <v>13</v>
      </c>
      <c r="E10" s="146">
        <v>307800</v>
      </c>
      <c r="F10" s="146">
        <v>167400</v>
      </c>
      <c r="G10" s="146">
        <v>120600</v>
      </c>
      <c r="H10" s="29">
        <v>138600</v>
      </c>
      <c r="I10" s="29">
        <v>116100</v>
      </c>
      <c r="J10" s="29">
        <v>101700</v>
      </c>
      <c r="K10" s="29">
        <v>90900</v>
      </c>
      <c r="L10" s="29">
        <v>82800</v>
      </c>
      <c r="M10" s="29">
        <v>76500</v>
      </c>
      <c r="N10" s="29">
        <f>$R$9/N2</f>
        <v>39500</v>
      </c>
      <c r="O10" s="29">
        <f>$R$9/O2</f>
        <v>35909.090909090912</v>
      </c>
      <c r="P10" s="29">
        <f>$R$9/P2</f>
        <v>32916.666666666664</v>
      </c>
      <c r="Q10" s="29">
        <f>$R$9/Q2</f>
        <v>30384.615384615383</v>
      </c>
      <c r="R10" s="29">
        <f>$R$9/R2</f>
        <v>28214.285714285714</v>
      </c>
      <c r="S10" s="29">
        <f t="shared" ref="S10:AC10" si="6">$AC$9/S2</f>
        <v>36666.666666666664</v>
      </c>
      <c r="T10" s="29">
        <f t="shared" si="6"/>
        <v>34375</v>
      </c>
      <c r="U10" s="29">
        <f t="shared" si="6"/>
        <v>32352.941176470587</v>
      </c>
      <c r="V10" s="29">
        <f t="shared" si="6"/>
        <v>30555.555555555555</v>
      </c>
      <c r="W10" s="29">
        <f t="shared" si="6"/>
        <v>28947.36842105263</v>
      </c>
      <c r="X10" s="29">
        <f t="shared" si="6"/>
        <v>27500</v>
      </c>
      <c r="Y10" s="29">
        <f t="shared" si="6"/>
        <v>26190.476190476191</v>
      </c>
      <c r="Z10" s="29">
        <f t="shared" si="6"/>
        <v>25000</v>
      </c>
      <c r="AA10" s="29">
        <f t="shared" si="6"/>
        <v>23913.043478260868</v>
      </c>
      <c r="AB10" s="29">
        <f t="shared" si="6"/>
        <v>22916.666666666668</v>
      </c>
      <c r="AC10" s="29">
        <f t="shared" si="6"/>
        <v>22000</v>
      </c>
    </row>
    <row r="11" spans="1:43" x14ac:dyDescent="0.25">
      <c r="A11" s="291"/>
      <c r="B11" s="171" t="s">
        <v>17</v>
      </c>
      <c r="C11" s="19"/>
      <c r="D11" s="19"/>
      <c r="E11" s="37">
        <f t="shared" ref="E11:N12" si="7">SUM(E10:E10)</f>
        <v>307800</v>
      </c>
      <c r="F11" s="37">
        <f t="shared" si="7"/>
        <v>167400</v>
      </c>
      <c r="G11" s="37">
        <f t="shared" si="7"/>
        <v>120600</v>
      </c>
      <c r="H11" s="37">
        <f t="shared" si="7"/>
        <v>138600</v>
      </c>
      <c r="I11" s="37">
        <f t="shared" si="7"/>
        <v>116100</v>
      </c>
      <c r="J11" s="37">
        <f t="shared" si="7"/>
        <v>101700</v>
      </c>
      <c r="K11" s="37">
        <f t="shared" si="7"/>
        <v>90900</v>
      </c>
      <c r="L11" s="37">
        <f t="shared" si="7"/>
        <v>82800</v>
      </c>
      <c r="M11" s="37">
        <f t="shared" si="7"/>
        <v>76500</v>
      </c>
      <c r="N11" s="37">
        <f t="shared" si="7"/>
        <v>39500</v>
      </c>
      <c r="O11" s="37">
        <f t="shared" ref="O11:X12" si="8">SUM(O10:O10)</f>
        <v>35909.090909090912</v>
      </c>
      <c r="P11" s="37">
        <f t="shared" si="8"/>
        <v>32916.666666666664</v>
      </c>
      <c r="Q11" s="37">
        <f t="shared" si="8"/>
        <v>30384.615384615383</v>
      </c>
      <c r="R11" s="37">
        <f t="shared" si="8"/>
        <v>28214.285714285714</v>
      </c>
      <c r="S11" s="37">
        <f t="shared" si="8"/>
        <v>36666.666666666664</v>
      </c>
      <c r="T11" s="37">
        <f t="shared" si="8"/>
        <v>34375</v>
      </c>
      <c r="U11" s="37">
        <f t="shared" si="8"/>
        <v>32352.941176470587</v>
      </c>
      <c r="V11" s="37">
        <f t="shared" si="8"/>
        <v>30555.555555555555</v>
      </c>
      <c r="W11" s="37">
        <f t="shared" si="8"/>
        <v>28947.36842105263</v>
      </c>
      <c r="X11" s="37">
        <f t="shared" si="8"/>
        <v>27500</v>
      </c>
      <c r="Y11" s="37">
        <f t="shared" ref="Y11:AC12" si="9">SUM(Y10:Y10)</f>
        <v>26190.476190476191</v>
      </c>
      <c r="Z11" s="37">
        <f t="shared" si="9"/>
        <v>25000</v>
      </c>
      <c r="AA11" s="37">
        <f t="shared" si="9"/>
        <v>23913.043478260868</v>
      </c>
      <c r="AB11" s="37">
        <f t="shared" si="9"/>
        <v>22916.666666666668</v>
      </c>
      <c r="AC11" s="37">
        <f t="shared" si="9"/>
        <v>22000</v>
      </c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</row>
    <row r="12" spans="1:43" x14ac:dyDescent="0.25">
      <c r="A12" s="291"/>
      <c r="B12" s="175" t="s">
        <v>29</v>
      </c>
      <c r="C12" s="18"/>
      <c r="D12" s="18"/>
      <c r="E12" s="73">
        <f t="shared" si="7"/>
        <v>307800</v>
      </c>
      <c r="F12" s="73">
        <f t="shared" si="7"/>
        <v>167400</v>
      </c>
      <c r="G12" s="73">
        <f t="shared" si="7"/>
        <v>120600</v>
      </c>
      <c r="H12" s="73">
        <f t="shared" si="7"/>
        <v>138600</v>
      </c>
      <c r="I12" s="73">
        <f t="shared" si="7"/>
        <v>116100</v>
      </c>
      <c r="J12" s="73">
        <f t="shared" si="7"/>
        <v>101700</v>
      </c>
      <c r="K12" s="73">
        <f t="shared" si="7"/>
        <v>90900</v>
      </c>
      <c r="L12" s="73">
        <f t="shared" si="7"/>
        <v>82800</v>
      </c>
      <c r="M12" s="73">
        <f t="shared" si="7"/>
        <v>76500</v>
      </c>
      <c r="N12" s="73">
        <f t="shared" si="7"/>
        <v>39500</v>
      </c>
      <c r="O12" s="73">
        <f t="shared" si="8"/>
        <v>35909.090909090912</v>
      </c>
      <c r="P12" s="73">
        <f t="shared" si="8"/>
        <v>32916.666666666664</v>
      </c>
      <c r="Q12" s="73">
        <f t="shared" si="8"/>
        <v>30384.615384615383</v>
      </c>
      <c r="R12" s="73">
        <f t="shared" si="8"/>
        <v>28214.285714285714</v>
      </c>
      <c r="S12" s="73">
        <f t="shared" si="8"/>
        <v>36666.666666666664</v>
      </c>
      <c r="T12" s="73">
        <f t="shared" si="8"/>
        <v>34375</v>
      </c>
      <c r="U12" s="73">
        <f t="shared" si="8"/>
        <v>32352.941176470587</v>
      </c>
      <c r="V12" s="73">
        <f t="shared" si="8"/>
        <v>30555.555555555555</v>
      </c>
      <c r="W12" s="73">
        <f t="shared" si="8"/>
        <v>28947.36842105263</v>
      </c>
      <c r="X12" s="73">
        <f t="shared" si="8"/>
        <v>27500</v>
      </c>
      <c r="Y12" s="73">
        <f t="shared" si="9"/>
        <v>26190.476190476191</v>
      </c>
      <c r="Z12" s="73">
        <f t="shared" si="9"/>
        <v>25000</v>
      </c>
      <c r="AA12" s="73">
        <f t="shared" si="9"/>
        <v>23913.043478260868</v>
      </c>
      <c r="AB12" s="73">
        <f t="shared" si="9"/>
        <v>22916.666666666668</v>
      </c>
      <c r="AC12" s="73">
        <f t="shared" si="9"/>
        <v>22000</v>
      </c>
    </row>
    <row r="13" spans="1:43" ht="15" customHeight="1" x14ac:dyDescent="0.25">
      <c r="A13" s="291"/>
      <c r="B13" s="173">
        <v>0.75</v>
      </c>
      <c r="C13" s="18"/>
      <c r="D13" s="152" t="s">
        <v>22</v>
      </c>
      <c r="E13" s="73">
        <f>E12/B13</f>
        <v>410400</v>
      </c>
      <c r="F13" s="73">
        <f>F12/B13</f>
        <v>223200</v>
      </c>
      <c r="G13" s="73">
        <f>G12/B13</f>
        <v>160800</v>
      </c>
      <c r="H13" s="73">
        <f>H12/B13</f>
        <v>184800</v>
      </c>
      <c r="I13" s="73">
        <f>I12/B13</f>
        <v>154800</v>
      </c>
      <c r="J13" s="73">
        <f>J12/B13</f>
        <v>135600</v>
      </c>
      <c r="K13" s="73">
        <f>K12/B13</f>
        <v>121200</v>
      </c>
      <c r="L13" s="73">
        <f>L12/B13</f>
        <v>110400</v>
      </c>
      <c r="M13" s="73">
        <f>M12/B13</f>
        <v>102000</v>
      </c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</row>
    <row r="14" spans="1:43" x14ac:dyDescent="0.25">
      <c r="A14" s="189"/>
      <c r="B14" s="174"/>
      <c r="C14" s="19"/>
      <c r="D14" s="162" t="s">
        <v>23</v>
      </c>
      <c r="E14" s="163">
        <f>_xlfn.CEILING.MATH(E13,1000)</f>
        <v>411000</v>
      </c>
      <c r="F14" s="163">
        <f>_xlfn.CEILING.MATH(F13,1000)</f>
        <v>224000</v>
      </c>
      <c r="G14" s="163">
        <f t="shared" ref="G14:M14" si="10">_xlfn.CEILING.MATH(G13,1000)</f>
        <v>161000</v>
      </c>
      <c r="H14" s="163">
        <f t="shared" si="10"/>
        <v>185000</v>
      </c>
      <c r="I14" s="163">
        <f t="shared" si="10"/>
        <v>155000</v>
      </c>
      <c r="J14" s="163">
        <f t="shared" si="10"/>
        <v>136000</v>
      </c>
      <c r="K14" s="163">
        <f t="shared" si="10"/>
        <v>122000</v>
      </c>
      <c r="L14" s="163">
        <f t="shared" si="10"/>
        <v>111000</v>
      </c>
      <c r="M14" s="163">
        <f t="shared" si="10"/>
        <v>102000</v>
      </c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2"/>
      <c r="Y14" s="22"/>
      <c r="Z14" s="22"/>
      <c r="AA14" s="22"/>
      <c r="AB14" s="22"/>
      <c r="AC14" s="23"/>
    </row>
    <row r="15" spans="1:43" x14ac:dyDescent="0.25">
      <c r="A15" s="42"/>
      <c r="B15" s="21"/>
      <c r="C15" s="56"/>
      <c r="D15" s="21"/>
      <c r="E15" s="57"/>
      <c r="F15" s="58"/>
      <c r="G15" s="58"/>
      <c r="H15" s="46"/>
    </row>
    <row r="16" spans="1:43" ht="15.75" thickBot="1" x14ac:dyDescent="0.3">
      <c r="A16" s="1" t="s">
        <v>0</v>
      </c>
      <c r="B16" s="143" t="s">
        <v>1</v>
      </c>
      <c r="C16" s="143" t="s">
        <v>2</v>
      </c>
      <c r="D16" s="1" t="s">
        <v>3</v>
      </c>
      <c r="E16" s="253" t="s">
        <v>4</v>
      </c>
      <c r="F16" s="254"/>
      <c r="G16" s="48"/>
      <c r="H16" s="268" t="s">
        <v>5</v>
      </c>
      <c r="I16" s="258"/>
      <c r="J16" s="258"/>
      <c r="K16" s="258"/>
      <c r="L16" s="254"/>
      <c r="M16" s="50"/>
      <c r="N16" s="259" t="s">
        <v>104</v>
      </c>
      <c r="O16" s="258"/>
      <c r="P16" s="258"/>
      <c r="Q16" s="254"/>
      <c r="R16" s="6">
        <v>160000</v>
      </c>
      <c r="S16" s="257" t="s">
        <v>36</v>
      </c>
      <c r="T16" s="258"/>
      <c r="U16" s="258"/>
      <c r="V16" s="258"/>
      <c r="W16" s="258"/>
      <c r="X16" s="258"/>
      <c r="Y16" s="258"/>
      <c r="Z16" s="258"/>
      <c r="AA16" s="258"/>
      <c r="AB16" s="254"/>
      <c r="AC16" s="221">
        <v>310000</v>
      </c>
    </row>
    <row r="17" spans="1:29" ht="19.5" customHeight="1" thickBot="1" x14ac:dyDescent="0.3">
      <c r="A17" s="292" t="s">
        <v>134</v>
      </c>
      <c r="B17" s="205" t="s">
        <v>131</v>
      </c>
      <c r="C17" s="206" t="s">
        <v>132</v>
      </c>
      <c r="D17" s="201" t="s">
        <v>13</v>
      </c>
      <c r="E17" s="146">
        <v>629100</v>
      </c>
      <c r="F17" s="146">
        <v>351900</v>
      </c>
      <c r="G17" s="146">
        <v>260100</v>
      </c>
      <c r="H17" s="29">
        <v>273600</v>
      </c>
      <c r="I17" s="29">
        <v>234000</v>
      </c>
      <c r="J17" s="29">
        <v>207900</v>
      </c>
      <c r="K17" s="29">
        <v>189000</v>
      </c>
      <c r="L17" s="29">
        <v>174600</v>
      </c>
      <c r="M17" s="29">
        <v>163800</v>
      </c>
      <c r="N17" s="29">
        <f>$R$16/N2</f>
        <v>16000</v>
      </c>
      <c r="O17" s="29">
        <f>$R$16/O2</f>
        <v>14545.454545454546</v>
      </c>
      <c r="P17" s="29">
        <f>$R$16/P2</f>
        <v>13333.333333333334</v>
      </c>
      <c r="Q17" s="29">
        <f>$R$16/Q2</f>
        <v>12307.692307692309</v>
      </c>
      <c r="R17" s="29">
        <f>$R$16/R2</f>
        <v>11428.571428571429</v>
      </c>
      <c r="S17" s="29">
        <f t="shared" ref="S17:AC17" si="11">$AC$16/S2</f>
        <v>20666.666666666668</v>
      </c>
      <c r="T17" s="29">
        <f t="shared" si="11"/>
        <v>19375</v>
      </c>
      <c r="U17" s="29">
        <f t="shared" si="11"/>
        <v>18235.294117647059</v>
      </c>
      <c r="V17" s="29">
        <f t="shared" si="11"/>
        <v>17222.222222222223</v>
      </c>
      <c r="W17" s="29">
        <f t="shared" si="11"/>
        <v>16315.78947368421</v>
      </c>
      <c r="X17" s="29">
        <f t="shared" si="11"/>
        <v>15500</v>
      </c>
      <c r="Y17" s="29">
        <f t="shared" si="11"/>
        <v>14761.904761904761</v>
      </c>
      <c r="Z17" s="29">
        <f t="shared" si="11"/>
        <v>14090.90909090909</v>
      </c>
      <c r="AA17" s="29">
        <f t="shared" si="11"/>
        <v>13478.260869565218</v>
      </c>
      <c r="AB17" s="29">
        <f t="shared" si="11"/>
        <v>12916.666666666666</v>
      </c>
      <c r="AC17" s="29">
        <f t="shared" si="11"/>
        <v>12400</v>
      </c>
    </row>
    <row r="18" spans="1:29" ht="15.75" thickBot="1" x14ac:dyDescent="0.3">
      <c r="A18" s="293"/>
      <c r="B18" s="207" t="s">
        <v>29</v>
      </c>
      <c r="C18" s="207"/>
      <c r="D18" s="202"/>
      <c r="E18" s="73">
        <f t="shared" ref="E18:AC18" si="12">SUM(E17:E17)</f>
        <v>629100</v>
      </c>
      <c r="F18" s="73">
        <f t="shared" si="12"/>
        <v>351900</v>
      </c>
      <c r="G18" s="73">
        <f t="shared" si="12"/>
        <v>260100</v>
      </c>
      <c r="H18" s="73">
        <f t="shared" si="12"/>
        <v>273600</v>
      </c>
      <c r="I18" s="73">
        <f t="shared" si="12"/>
        <v>234000</v>
      </c>
      <c r="J18" s="73">
        <f t="shared" si="12"/>
        <v>207900</v>
      </c>
      <c r="K18" s="73">
        <f t="shared" si="12"/>
        <v>189000</v>
      </c>
      <c r="L18" s="73">
        <f t="shared" si="12"/>
        <v>174600</v>
      </c>
      <c r="M18" s="73">
        <f t="shared" si="12"/>
        <v>163800</v>
      </c>
      <c r="N18" s="73">
        <f t="shared" si="12"/>
        <v>16000</v>
      </c>
      <c r="O18" s="73">
        <f t="shared" si="12"/>
        <v>14545.454545454546</v>
      </c>
      <c r="P18" s="73">
        <f t="shared" si="12"/>
        <v>13333.333333333334</v>
      </c>
      <c r="Q18" s="73">
        <f t="shared" si="12"/>
        <v>12307.692307692309</v>
      </c>
      <c r="R18" s="73">
        <f t="shared" si="12"/>
        <v>11428.571428571429</v>
      </c>
      <c r="S18" s="73">
        <f t="shared" si="12"/>
        <v>20666.666666666668</v>
      </c>
      <c r="T18" s="73">
        <f t="shared" si="12"/>
        <v>19375</v>
      </c>
      <c r="U18" s="73">
        <f t="shared" si="12"/>
        <v>18235.294117647059</v>
      </c>
      <c r="V18" s="73">
        <f t="shared" si="12"/>
        <v>17222.222222222223</v>
      </c>
      <c r="W18" s="73">
        <f t="shared" si="12"/>
        <v>16315.78947368421</v>
      </c>
      <c r="X18" s="73">
        <f t="shared" si="12"/>
        <v>15500</v>
      </c>
      <c r="Y18" s="73">
        <f t="shared" si="12"/>
        <v>14761.904761904761</v>
      </c>
      <c r="Z18" s="73">
        <f t="shared" si="12"/>
        <v>14090.90909090909</v>
      </c>
      <c r="AA18" s="73">
        <f t="shared" si="12"/>
        <v>13478.260869565218</v>
      </c>
      <c r="AB18" s="73">
        <f t="shared" si="12"/>
        <v>12916.666666666666</v>
      </c>
      <c r="AC18" s="73">
        <f t="shared" si="12"/>
        <v>12400</v>
      </c>
    </row>
    <row r="19" spans="1:29" ht="15" customHeight="1" x14ac:dyDescent="0.25">
      <c r="A19" s="294"/>
      <c r="B19" s="208">
        <v>0.75</v>
      </c>
      <c r="C19" s="207"/>
      <c r="D19" s="173" t="s">
        <v>22</v>
      </c>
      <c r="E19" s="73">
        <f>E18/B19</f>
        <v>838800</v>
      </c>
      <c r="F19" s="73">
        <f>F18/B19</f>
        <v>469200</v>
      </c>
      <c r="G19" s="73">
        <f>G18/B19</f>
        <v>346800</v>
      </c>
      <c r="H19" s="73">
        <f>H18/B19</f>
        <v>364800</v>
      </c>
      <c r="I19" s="73">
        <f>I18/B19</f>
        <v>312000</v>
      </c>
      <c r="J19" s="73">
        <f>J18/B19</f>
        <v>277200</v>
      </c>
      <c r="K19" s="73">
        <f>K18/B19</f>
        <v>252000</v>
      </c>
      <c r="L19" s="73">
        <f>L18/B19</f>
        <v>232800</v>
      </c>
      <c r="M19" s="73">
        <f>M18/B19</f>
        <v>218400</v>
      </c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</row>
    <row r="20" spans="1:29" x14ac:dyDescent="0.25">
      <c r="A20" s="189"/>
      <c r="B20" s="203"/>
      <c r="C20" s="204"/>
      <c r="D20" s="162" t="s">
        <v>23</v>
      </c>
      <c r="E20" s="163">
        <f>_xlfn.CEILING.MATH(E19,1000)</f>
        <v>839000</v>
      </c>
      <c r="F20" s="163">
        <f>_xlfn.CEILING.MATH(F19,1000)</f>
        <v>470000</v>
      </c>
      <c r="G20" s="163">
        <f t="shared" ref="G20:M20" si="13">_xlfn.CEILING.MATH(G19,1000)</f>
        <v>347000</v>
      </c>
      <c r="H20" s="163">
        <f t="shared" si="13"/>
        <v>365000</v>
      </c>
      <c r="I20" s="163">
        <f t="shared" si="13"/>
        <v>312000</v>
      </c>
      <c r="J20" s="163">
        <f t="shared" si="13"/>
        <v>278000</v>
      </c>
      <c r="K20" s="163">
        <f t="shared" si="13"/>
        <v>252000</v>
      </c>
      <c r="L20" s="163">
        <f t="shared" si="13"/>
        <v>233000</v>
      </c>
      <c r="M20" s="163">
        <f t="shared" si="13"/>
        <v>219000</v>
      </c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2"/>
      <c r="Y20" s="22"/>
      <c r="Z20" s="22"/>
      <c r="AA20" s="22"/>
      <c r="AB20" s="22"/>
      <c r="AC20" s="23"/>
    </row>
    <row r="22" spans="1:29" ht="15.75" thickBot="1" x14ac:dyDescent="0.3">
      <c r="A22" s="143" t="s">
        <v>0</v>
      </c>
      <c r="B22" s="143" t="s">
        <v>1</v>
      </c>
      <c r="C22" s="143" t="s">
        <v>2</v>
      </c>
      <c r="D22" s="1" t="s">
        <v>3</v>
      </c>
      <c r="E22" s="253" t="s">
        <v>4</v>
      </c>
      <c r="F22" s="254"/>
      <c r="G22" s="48"/>
      <c r="H22" s="265" t="s">
        <v>89</v>
      </c>
      <c r="I22" s="258"/>
      <c r="J22" s="258"/>
      <c r="K22" s="258"/>
      <c r="L22" s="254"/>
      <c r="M22" s="50"/>
      <c r="N22" s="259" t="s">
        <v>104</v>
      </c>
      <c r="O22" s="258"/>
      <c r="P22" s="258"/>
      <c r="Q22" s="254"/>
      <c r="R22" s="6">
        <v>160000</v>
      </c>
      <c r="S22" s="257" t="s">
        <v>36</v>
      </c>
      <c r="T22" s="258"/>
      <c r="U22" s="258"/>
      <c r="V22" s="258"/>
      <c r="W22" s="258"/>
      <c r="X22" s="258"/>
      <c r="Y22" s="258"/>
      <c r="Z22" s="258"/>
      <c r="AA22" s="258"/>
      <c r="AB22" s="254"/>
      <c r="AC22" s="221">
        <v>310000</v>
      </c>
    </row>
    <row r="23" spans="1:29" ht="19.5" customHeight="1" thickBot="1" x14ac:dyDescent="0.3">
      <c r="A23" s="291" t="s">
        <v>135</v>
      </c>
      <c r="B23" s="205" t="s">
        <v>131</v>
      </c>
      <c r="C23" s="206" t="s">
        <v>132</v>
      </c>
      <c r="D23" s="201" t="s">
        <v>13</v>
      </c>
      <c r="E23" s="146">
        <v>675900</v>
      </c>
      <c r="F23" s="146">
        <v>387000</v>
      </c>
      <c r="G23" s="146">
        <v>290700</v>
      </c>
      <c r="H23" s="29">
        <v>290700</v>
      </c>
      <c r="I23" s="29">
        <v>252000</v>
      </c>
      <c r="J23" s="29">
        <v>226800</v>
      </c>
      <c r="K23" s="29">
        <v>207900</v>
      </c>
      <c r="L23" s="29">
        <v>194400</v>
      </c>
      <c r="M23" s="29">
        <v>183600</v>
      </c>
      <c r="N23" s="29" t="e">
        <f>$R$16/N7</f>
        <v>#DIV/0!</v>
      </c>
      <c r="O23" s="29" t="e">
        <f>$R$16/O7</f>
        <v>#DIV/0!</v>
      </c>
      <c r="P23" s="29" t="e">
        <f>$R$16/P7</f>
        <v>#DIV/0!</v>
      </c>
      <c r="Q23" s="29" t="e">
        <f>$R$16/Q7</f>
        <v>#DIV/0!</v>
      </c>
      <c r="R23" s="29" t="e">
        <f>$R$16/R7</f>
        <v>#DIV/0!</v>
      </c>
      <c r="S23" s="29" t="e">
        <f t="shared" ref="S23:AC23" si="14">$AC$16/S7</f>
        <v>#DIV/0!</v>
      </c>
      <c r="T23" s="29" t="e">
        <f t="shared" si="14"/>
        <v>#DIV/0!</v>
      </c>
      <c r="U23" s="29" t="e">
        <f t="shared" si="14"/>
        <v>#DIV/0!</v>
      </c>
      <c r="V23" s="29" t="e">
        <f t="shared" si="14"/>
        <v>#DIV/0!</v>
      </c>
      <c r="W23" s="29" t="e">
        <f t="shared" si="14"/>
        <v>#DIV/0!</v>
      </c>
      <c r="X23" s="29" t="e">
        <f t="shared" si="14"/>
        <v>#DIV/0!</v>
      </c>
      <c r="Y23" s="29" t="e">
        <f t="shared" si="14"/>
        <v>#DIV/0!</v>
      </c>
      <c r="Z23" s="29" t="e">
        <f t="shared" si="14"/>
        <v>#DIV/0!</v>
      </c>
      <c r="AA23" s="29" t="e">
        <f t="shared" si="14"/>
        <v>#DIV/0!</v>
      </c>
      <c r="AB23" s="29" t="e">
        <f t="shared" si="14"/>
        <v>#DIV/0!</v>
      </c>
      <c r="AC23" s="29" t="e">
        <f t="shared" si="14"/>
        <v>#DIV/0!</v>
      </c>
    </row>
    <row r="24" spans="1:29" ht="15.75" thickBot="1" x14ac:dyDescent="0.3">
      <c r="A24" s="291"/>
      <c r="B24" s="207" t="s">
        <v>29</v>
      </c>
      <c r="C24" s="207"/>
      <c r="D24" s="202"/>
      <c r="E24" s="73">
        <f t="shared" ref="E24:AC24" si="15">SUM(E23:E23)</f>
        <v>675900</v>
      </c>
      <c r="F24" s="73">
        <f t="shared" si="15"/>
        <v>387000</v>
      </c>
      <c r="G24" s="73">
        <f t="shared" si="15"/>
        <v>290700</v>
      </c>
      <c r="H24" s="73">
        <f t="shared" si="15"/>
        <v>290700</v>
      </c>
      <c r="I24" s="73">
        <f t="shared" si="15"/>
        <v>252000</v>
      </c>
      <c r="J24" s="73">
        <f t="shared" si="15"/>
        <v>226800</v>
      </c>
      <c r="K24" s="73">
        <f t="shared" si="15"/>
        <v>207900</v>
      </c>
      <c r="L24" s="73">
        <f t="shared" si="15"/>
        <v>194400</v>
      </c>
      <c r="M24" s="73">
        <f t="shared" si="15"/>
        <v>183600</v>
      </c>
      <c r="N24" s="73" t="e">
        <f t="shared" si="15"/>
        <v>#DIV/0!</v>
      </c>
      <c r="O24" s="73" t="e">
        <f t="shared" si="15"/>
        <v>#DIV/0!</v>
      </c>
      <c r="P24" s="73" t="e">
        <f t="shared" si="15"/>
        <v>#DIV/0!</v>
      </c>
      <c r="Q24" s="73" t="e">
        <f t="shared" si="15"/>
        <v>#DIV/0!</v>
      </c>
      <c r="R24" s="73" t="e">
        <f t="shared" si="15"/>
        <v>#DIV/0!</v>
      </c>
      <c r="S24" s="73" t="e">
        <f t="shared" si="15"/>
        <v>#DIV/0!</v>
      </c>
      <c r="T24" s="73" t="e">
        <f t="shared" si="15"/>
        <v>#DIV/0!</v>
      </c>
      <c r="U24" s="73" t="e">
        <f t="shared" si="15"/>
        <v>#DIV/0!</v>
      </c>
      <c r="V24" s="73" t="e">
        <f t="shared" si="15"/>
        <v>#DIV/0!</v>
      </c>
      <c r="W24" s="73" t="e">
        <f t="shared" si="15"/>
        <v>#DIV/0!</v>
      </c>
      <c r="X24" s="73" t="e">
        <f t="shared" si="15"/>
        <v>#DIV/0!</v>
      </c>
      <c r="Y24" s="73" t="e">
        <f t="shared" si="15"/>
        <v>#DIV/0!</v>
      </c>
      <c r="Z24" s="73" t="e">
        <f t="shared" si="15"/>
        <v>#DIV/0!</v>
      </c>
      <c r="AA24" s="73" t="e">
        <f t="shared" si="15"/>
        <v>#DIV/0!</v>
      </c>
      <c r="AB24" s="73" t="e">
        <f t="shared" si="15"/>
        <v>#DIV/0!</v>
      </c>
      <c r="AC24" s="73" t="e">
        <f t="shared" si="15"/>
        <v>#DIV/0!</v>
      </c>
    </row>
    <row r="25" spans="1:29" ht="15" customHeight="1" x14ac:dyDescent="0.25">
      <c r="A25" s="291"/>
      <c r="B25" s="208">
        <v>0.75</v>
      </c>
      <c r="C25" s="207"/>
      <c r="D25" s="173" t="s">
        <v>22</v>
      </c>
      <c r="E25" s="73">
        <f>E24/B25</f>
        <v>901200</v>
      </c>
      <c r="F25" s="73">
        <f>F24/B25</f>
        <v>516000</v>
      </c>
      <c r="G25" s="73">
        <f>G24/B25</f>
        <v>387600</v>
      </c>
      <c r="H25" s="73">
        <f>H24/B25</f>
        <v>387600</v>
      </c>
      <c r="I25" s="73">
        <f>I24/B25</f>
        <v>336000</v>
      </c>
      <c r="J25" s="73">
        <f>J24/B25</f>
        <v>302400</v>
      </c>
      <c r="K25" s="73">
        <f>K24/B25</f>
        <v>277200</v>
      </c>
      <c r="L25" s="73">
        <f>L24/B25</f>
        <v>259200</v>
      </c>
      <c r="M25" s="73">
        <f>M24/B25</f>
        <v>244800</v>
      </c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</row>
    <row r="26" spans="1:29" x14ac:dyDescent="0.25">
      <c r="A26" s="209"/>
      <c r="B26" s="203"/>
      <c r="C26" s="204"/>
      <c r="D26" s="162" t="s">
        <v>23</v>
      </c>
      <c r="E26" s="163">
        <f>_xlfn.CEILING.MATH(E25,1000)</f>
        <v>902000</v>
      </c>
      <c r="F26" s="163">
        <f>_xlfn.CEILING.MATH(F25,1000)</f>
        <v>516000</v>
      </c>
      <c r="G26" s="163">
        <f t="shared" ref="G26:M26" si="16">_xlfn.CEILING.MATH(G25,1000)</f>
        <v>388000</v>
      </c>
      <c r="H26" s="163">
        <f t="shared" si="16"/>
        <v>388000</v>
      </c>
      <c r="I26" s="163">
        <f t="shared" si="16"/>
        <v>336000</v>
      </c>
      <c r="J26" s="163">
        <f t="shared" si="16"/>
        <v>303000</v>
      </c>
      <c r="K26" s="163">
        <f t="shared" si="16"/>
        <v>278000</v>
      </c>
      <c r="L26" s="163">
        <f t="shared" si="16"/>
        <v>260000</v>
      </c>
      <c r="M26" s="163">
        <f t="shared" si="16"/>
        <v>245000</v>
      </c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2"/>
      <c r="Y26" s="22"/>
      <c r="Z26" s="22"/>
      <c r="AA26" s="22"/>
      <c r="AB26" s="22"/>
      <c r="AC26" s="23"/>
    </row>
    <row r="27" spans="1:29" x14ac:dyDescent="0.25">
      <c r="A27" s="191"/>
      <c r="B27" s="198"/>
      <c r="C27" s="198"/>
      <c r="D27" s="199"/>
      <c r="E27" s="167"/>
      <c r="F27" s="167"/>
      <c r="G27" s="167"/>
      <c r="H27" s="167"/>
      <c r="I27" s="167"/>
      <c r="J27" s="167"/>
      <c r="K27" s="167"/>
      <c r="L27" s="167"/>
      <c r="M27" s="167"/>
      <c r="N27" s="20"/>
      <c r="O27" s="20"/>
      <c r="P27" s="20"/>
      <c r="Q27" s="20"/>
      <c r="R27" s="20"/>
      <c r="S27" s="20"/>
      <c r="T27" s="20"/>
      <c r="U27" s="20"/>
      <c r="V27" s="20"/>
      <c r="W27" s="21"/>
      <c r="X27" s="22"/>
      <c r="Y27" s="22"/>
      <c r="Z27" s="22"/>
      <c r="AA27" s="22"/>
      <c r="AB27" s="22"/>
      <c r="AC27" s="23"/>
    </row>
    <row r="28" spans="1:29" ht="15.75" thickBot="1" x14ac:dyDescent="0.3">
      <c r="A28" s="1" t="s">
        <v>0</v>
      </c>
      <c r="B28" s="1" t="s">
        <v>1</v>
      </c>
      <c r="C28" s="1" t="s">
        <v>2</v>
      </c>
      <c r="D28" s="1" t="s">
        <v>3</v>
      </c>
      <c r="E28" s="253" t="s">
        <v>4</v>
      </c>
      <c r="F28" s="254"/>
      <c r="G28" s="48"/>
      <c r="H28" s="265" t="s">
        <v>89</v>
      </c>
      <c r="I28" s="258"/>
      <c r="J28" s="258"/>
      <c r="K28" s="258"/>
      <c r="L28" s="254"/>
      <c r="M28" s="50"/>
      <c r="N28" s="259" t="s">
        <v>104</v>
      </c>
      <c r="O28" s="258"/>
      <c r="P28" s="258"/>
      <c r="Q28" s="254"/>
      <c r="R28" s="6">
        <v>160000</v>
      </c>
      <c r="S28" s="257" t="s">
        <v>36</v>
      </c>
      <c r="T28" s="258"/>
      <c r="U28" s="258"/>
      <c r="V28" s="258"/>
      <c r="W28" s="258"/>
      <c r="X28" s="258"/>
      <c r="Y28" s="258"/>
      <c r="Z28" s="258"/>
      <c r="AA28" s="258"/>
      <c r="AB28" s="254"/>
      <c r="AC28" s="221">
        <v>310000</v>
      </c>
    </row>
    <row r="29" spans="1:29" ht="19.5" customHeight="1" thickBot="1" x14ac:dyDescent="0.3">
      <c r="A29" s="292" t="s">
        <v>136</v>
      </c>
      <c r="B29" s="205" t="s">
        <v>131</v>
      </c>
      <c r="C29" s="206" t="s">
        <v>132</v>
      </c>
      <c r="D29" s="201" t="s">
        <v>13</v>
      </c>
      <c r="E29" s="146">
        <v>353700</v>
      </c>
      <c r="F29" s="146">
        <v>233100</v>
      </c>
      <c r="G29" s="146">
        <v>192600</v>
      </c>
      <c r="H29" s="29">
        <v>252000</v>
      </c>
      <c r="I29" s="29">
        <v>224100</v>
      </c>
      <c r="J29" s="29">
        <v>205200</v>
      </c>
      <c r="K29" s="29">
        <v>191700</v>
      </c>
      <c r="L29" s="29">
        <v>181800</v>
      </c>
      <c r="M29" s="29">
        <v>174600</v>
      </c>
      <c r="N29" s="29" t="e">
        <f>$R$16/#REF!</f>
        <v>#REF!</v>
      </c>
      <c r="O29" s="29" t="e">
        <f>$R$16/#REF!</f>
        <v>#REF!</v>
      </c>
      <c r="P29" s="29" t="e">
        <f>$R$16/#REF!</f>
        <v>#REF!</v>
      </c>
      <c r="Q29" s="29" t="e">
        <f>$R$16/#REF!</f>
        <v>#REF!</v>
      </c>
      <c r="R29" s="29" t="e">
        <f>$R$16/#REF!</f>
        <v>#REF!</v>
      </c>
      <c r="S29" s="29" t="e">
        <f>$AC$16/#REF!</f>
        <v>#REF!</v>
      </c>
      <c r="T29" s="29" t="e">
        <f>$AC$16/#REF!</f>
        <v>#REF!</v>
      </c>
      <c r="U29" s="29" t="e">
        <f>$AC$16/#REF!</f>
        <v>#REF!</v>
      </c>
      <c r="V29" s="29" t="e">
        <f>$AC$16/#REF!</f>
        <v>#REF!</v>
      </c>
      <c r="W29" s="29" t="e">
        <f>$AC$16/#REF!</f>
        <v>#REF!</v>
      </c>
      <c r="X29" s="29" t="e">
        <f>$AC$16/#REF!</f>
        <v>#REF!</v>
      </c>
      <c r="Y29" s="29" t="e">
        <f>$AC$16/#REF!</f>
        <v>#REF!</v>
      </c>
      <c r="Z29" s="29" t="e">
        <f>$AC$16/#REF!</f>
        <v>#REF!</v>
      </c>
      <c r="AA29" s="29" t="e">
        <f>$AC$16/#REF!</f>
        <v>#REF!</v>
      </c>
      <c r="AB29" s="29" t="e">
        <f>$AC$16/#REF!</f>
        <v>#REF!</v>
      </c>
      <c r="AC29" s="29" t="e">
        <f>$AC$16/#REF!</f>
        <v>#REF!</v>
      </c>
    </row>
    <row r="30" spans="1:29" ht="15.75" thickBot="1" x14ac:dyDescent="0.3">
      <c r="A30" s="293"/>
      <c r="B30" s="67" t="s">
        <v>29</v>
      </c>
      <c r="C30" s="67"/>
      <c r="D30" s="68"/>
      <c r="E30" s="73">
        <f t="shared" ref="E30:AC30" si="17">SUM(E29:E29)</f>
        <v>353700</v>
      </c>
      <c r="F30" s="73">
        <f t="shared" si="17"/>
        <v>233100</v>
      </c>
      <c r="G30" s="73">
        <f t="shared" si="17"/>
        <v>192600</v>
      </c>
      <c r="H30" s="73">
        <f t="shared" si="17"/>
        <v>252000</v>
      </c>
      <c r="I30" s="73">
        <f t="shared" si="17"/>
        <v>224100</v>
      </c>
      <c r="J30" s="73">
        <f t="shared" si="17"/>
        <v>205200</v>
      </c>
      <c r="K30" s="73">
        <f t="shared" si="17"/>
        <v>191700</v>
      </c>
      <c r="L30" s="73">
        <f t="shared" si="17"/>
        <v>181800</v>
      </c>
      <c r="M30" s="73">
        <f t="shared" si="17"/>
        <v>174600</v>
      </c>
      <c r="N30" s="73" t="e">
        <f t="shared" si="17"/>
        <v>#REF!</v>
      </c>
      <c r="O30" s="73" t="e">
        <f t="shared" si="17"/>
        <v>#REF!</v>
      </c>
      <c r="P30" s="73" t="e">
        <f t="shared" si="17"/>
        <v>#REF!</v>
      </c>
      <c r="Q30" s="73" t="e">
        <f t="shared" si="17"/>
        <v>#REF!</v>
      </c>
      <c r="R30" s="73" t="e">
        <f t="shared" si="17"/>
        <v>#REF!</v>
      </c>
      <c r="S30" s="73" t="e">
        <f t="shared" si="17"/>
        <v>#REF!</v>
      </c>
      <c r="T30" s="73" t="e">
        <f t="shared" si="17"/>
        <v>#REF!</v>
      </c>
      <c r="U30" s="73" t="e">
        <f t="shared" si="17"/>
        <v>#REF!</v>
      </c>
      <c r="V30" s="73" t="e">
        <f t="shared" si="17"/>
        <v>#REF!</v>
      </c>
      <c r="W30" s="73" t="e">
        <f t="shared" si="17"/>
        <v>#REF!</v>
      </c>
      <c r="X30" s="73" t="e">
        <f t="shared" si="17"/>
        <v>#REF!</v>
      </c>
      <c r="Y30" s="73" t="e">
        <f t="shared" si="17"/>
        <v>#REF!</v>
      </c>
      <c r="Z30" s="73" t="e">
        <f t="shared" si="17"/>
        <v>#REF!</v>
      </c>
      <c r="AA30" s="73" t="e">
        <f t="shared" si="17"/>
        <v>#REF!</v>
      </c>
      <c r="AB30" s="73" t="e">
        <f t="shared" si="17"/>
        <v>#REF!</v>
      </c>
      <c r="AC30" s="73" t="e">
        <f t="shared" si="17"/>
        <v>#REF!</v>
      </c>
    </row>
    <row r="31" spans="1:29" ht="15" customHeight="1" x14ac:dyDescent="0.25">
      <c r="A31" s="294"/>
      <c r="B31" s="173">
        <v>0.75</v>
      </c>
      <c r="C31" s="18"/>
      <c r="D31" s="152" t="s">
        <v>22</v>
      </c>
      <c r="E31" s="73">
        <f>E30/B31</f>
        <v>471600</v>
      </c>
      <c r="F31" s="73">
        <f>F30/B31</f>
        <v>310800</v>
      </c>
      <c r="G31" s="73">
        <f>G30/B31</f>
        <v>256800</v>
      </c>
      <c r="H31" s="73">
        <f>H30/B31</f>
        <v>336000</v>
      </c>
      <c r="I31" s="73">
        <f>I30/B31</f>
        <v>298800</v>
      </c>
      <c r="J31" s="73">
        <f>J30/B31</f>
        <v>273600</v>
      </c>
      <c r="K31" s="73">
        <f>K30/B31</f>
        <v>255600</v>
      </c>
      <c r="L31" s="73">
        <f>L30/B31</f>
        <v>242400</v>
      </c>
      <c r="M31" s="73">
        <f>M30/B31</f>
        <v>232800</v>
      </c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</row>
    <row r="32" spans="1:29" x14ac:dyDescent="0.25">
      <c r="A32" s="189"/>
      <c r="B32" s="174"/>
      <c r="C32" s="19"/>
      <c r="D32" s="162" t="s">
        <v>23</v>
      </c>
      <c r="E32" s="163">
        <f>_xlfn.CEILING.MATH(E31,1000)</f>
        <v>472000</v>
      </c>
      <c r="F32" s="163">
        <f>_xlfn.CEILING.MATH(F31,1000)</f>
        <v>311000</v>
      </c>
      <c r="G32" s="163">
        <f t="shared" ref="G32:M32" si="18">_xlfn.CEILING.MATH(G31,1000)</f>
        <v>257000</v>
      </c>
      <c r="H32" s="163">
        <f t="shared" si="18"/>
        <v>336000</v>
      </c>
      <c r="I32" s="163">
        <f t="shared" si="18"/>
        <v>299000</v>
      </c>
      <c r="J32" s="163">
        <f t="shared" si="18"/>
        <v>274000</v>
      </c>
      <c r="K32" s="163">
        <f t="shared" si="18"/>
        <v>256000</v>
      </c>
      <c r="L32" s="163">
        <f t="shared" si="18"/>
        <v>243000</v>
      </c>
      <c r="M32" s="163">
        <f t="shared" si="18"/>
        <v>233000</v>
      </c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2"/>
      <c r="Y32" s="22"/>
      <c r="Z32" s="22"/>
      <c r="AA32" s="22"/>
      <c r="AB32" s="22"/>
      <c r="AC32" s="23"/>
    </row>
    <row r="33" spans="1:29" x14ac:dyDescent="0.25">
      <c r="A33" s="191"/>
      <c r="B33" s="198"/>
      <c r="C33" s="198"/>
      <c r="D33" s="199"/>
      <c r="E33" s="167"/>
      <c r="F33" s="167"/>
      <c r="G33" s="167"/>
      <c r="H33" s="167"/>
      <c r="I33" s="167"/>
      <c r="J33" s="167"/>
      <c r="K33" s="167"/>
      <c r="L33" s="167"/>
      <c r="M33" s="167"/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22"/>
      <c r="Y33" s="22"/>
      <c r="Z33" s="22"/>
      <c r="AA33" s="22"/>
      <c r="AB33" s="22"/>
      <c r="AC33" s="23"/>
    </row>
    <row r="34" spans="1:29" x14ac:dyDescent="0.25">
      <c r="A34" s="223" t="s">
        <v>52</v>
      </c>
      <c r="B34" s="23" t="s">
        <v>53</v>
      </c>
    </row>
    <row r="35" spans="1:29" x14ac:dyDescent="0.25">
      <c r="A35" s="224" t="s">
        <v>54</v>
      </c>
      <c r="B35" s="23" t="s">
        <v>55</v>
      </c>
    </row>
    <row r="36" spans="1:29" x14ac:dyDescent="0.25">
      <c r="A36" s="225" t="s">
        <v>56</v>
      </c>
      <c r="B36" s="23" t="s">
        <v>57</v>
      </c>
    </row>
    <row r="37" spans="1:29" x14ac:dyDescent="0.25">
      <c r="A37" s="226" t="s">
        <v>58</v>
      </c>
      <c r="B37" s="23" t="s">
        <v>59</v>
      </c>
    </row>
    <row r="39" spans="1:29" ht="15.75" customHeight="1" x14ac:dyDescent="0.25"/>
    <row r="40" spans="1:29" ht="15.75" customHeight="1" x14ac:dyDescent="0.25"/>
    <row r="41" spans="1:29" ht="15.75" customHeight="1" x14ac:dyDescent="0.25"/>
    <row r="42" spans="1:29" ht="15.75" customHeight="1" x14ac:dyDescent="0.25"/>
    <row r="43" spans="1:29" ht="15.75" customHeight="1" x14ac:dyDescent="0.25"/>
    <row r="44" spans="1:29" ht="15.75" customHeight="1" x14ac:dyDescent="0.25"/>
    <row r="45" spans="1:29" ht="15.75" customHeight="1" x14ac:dyDescent="0.25"/>
    <row r="46" spans="1:29" ht="15.75" customHeight="1" x14ac:dyDescent="0.25"/>
    <row r="47" spans="1:29" ht="15.75" customHeight="1" x14ac:dyDescent="0.25"/>
    <row r="48" spans="1:2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mergeCells count="20">
    <mergeCell ref="A29:A31"/>
    <mergeCell ref="H1:L1"/>
    <mergeCell ref="J9:L9"/>
    <mergeCell ref="U9:X9"/>
    <mergeCell ref="E16:F16"/>
    <mergeCell ref="H16:L16"/>
    <mergeCell ref="N16:Q16"/>
    <mergeCell ref="S16:AB16"/>
    <mergeCell ref="A3:A6"/>
    <mergeCell ref="E28:F28"/>
    <mergeCell ref="H28:L28"/>
    <mergeCell ref="N28:Q28"/>
    <mergeCell ref="S28:AB28"/>
    <mergeCell ref="H22:L22"/>
    <mergeCell ref="N22:Q22"/>
    <mergeCell ref="S22:AB22"/>
    <mergeCell ref="A23:A25"/>
    <mergeCell ref="A17:A19"/>
    <mergeCell ref="A10:A13"/>
    <mergeCell ref="E22:F2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9529-D7B2-4F51-9805-A21FFBDEC3AB}">
  <sheetPr>
    <tabColor rgb="FF00B050"/>
  </sheetPr>
  <dimension ref="A1:AQ1018"/>
  <sheetViews>
    <sheetView topLeftCell="A19" workbookViewId="0">
      <selection activeCell="E26" sqref="E26"/>
    </sheetView>
  </sheetViews>
  <sheetFormatPr baseColWidth="10" defaultColWidth="14.42578125" defaultRowHeight="15" customHeight="1" x14ac:dyDescent="0.25"/>
  <cols>
    <col min="1" max="1" width="14.28515625" customWidth="1"/>
    <col min="2" max="2" width="24" customWidth="1"/>
    <col min="3" max="3" width="27.28515625" customWidth="1"/>
    <col min="4" max="4" width="12.85546875" customWidth="1"/>
    <col min="5" max="43" width="10.7109375" customWidth="1"/>
  </cols>
  <sheetData>
    <row r="1" spans="1:43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11" t="s">
        <v>4</v>
      </c>
      <c r="F1" s="2"/>
      <c r="G1" s="3"/>
      <c r="H1" s="284" t="s">
        <v>5</v>
      </c>
      <c r="I1" s="281"/>
      <c r="J1" s="281"/>
      <c r="K1" s="281"/>
      <c r="L1" s="285"/>
      <c r="M1" s="4"/>
      <c r="N1" s="213" t="s">
        <v>104</v>
      </c>
      <c r="O1" s="228">
        <v>100000</v>
      </c>
      <c r="P1" s="214"/>
      <c r="Q1" s="31"/>
      <c r="R1" s="6">
        <f>79000*3</f>
        <v>237000</v>
      </c>
      <c r="S1" s="212" t="s">
        <v>36</v>
      </c>
      <c r="T1" s="216"/>
      <c r="U1" s="229">
        <v>140000</v>
      </c>
      <c r="V1" s="216"/>
      <c r="W1" s="216"/>
      <c r="X1" s="216"/>
      <c r="Y1" s="229">
        <v>200000</v>
      </c>
      <c r="Z1" s="216"/>
      <c r="AA1" s="216"/>
      <c r="AB1" s="217"/>
      <c r="AC1" s="221">
        <f>200000*3</f>
        <v>600000</v>
      </c>
    </row>
    <row r="2" spans="1:43" x14ac:dyDescent="0.25">
      <c r="A2" s="220" t="s">
        <v>130</v>
      </c>
      <c r="B2" s="190"/>
      <c r="C2" s="101"/>
      <c r="D2" s="102"/>
      <c r="E2" s="7" t="s">
        <v>9</v>
      </c>
      <c r="F2" s="7" t="s">
        <v>62</v>
      </c>
      <c r="G2" s="7" t="s">
        <v>63</v>
      </c>
      <c r="H2" s="7" t="s">
        <v>64</v>
      </c>
      <c r="I2" s="7" t="s">
        <v>65</v>
      </c>
      <c r="J2" s="7" t="s">
        <v>66</v>
      </c>
      <c r="K2" s="7" t="s">
        <v>67</v>
      </c>
      <c r="L2" s="7" t="s">
        <v>68</v>
      </c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75</v>
      </c>
      <c r="T2" s="7" t="s">
        <v>76</v>
      </c>
      <c r="U2" s="7" t="s">
        <v>77</v>
      </c>
      <c r="V2" s="7" t="s">
        <v>78</v>
      </c>
      <c r="W2" s="7" t="s">
        <v>79</v>
      </c>
      <c r="X2" s="7" t="s">
        <v>80</v>
      </c>
      <c r="Y2" s="7" t="s">
        <v>81</v>
      </c>
      <c r="Z2" s="7" t="s">
        <v>82</v>
      </c>
      <c r="AA2" s="7" t="s">
        <v>83</v>
      </c>
      <c r="AB2" s="7" t="s">
        <v>84</v>
      </c>
      <c r="AC2" s="7" t="s">
        <v>85</v>
      </c>
    </row>
    <row r="3" spans="1:43" ht="25.5" customHeight="1" x14ac:dyDescent="0.25">
      <c r="A3" s="291" t="s">
        <v>137</v>
      </c>
      <c r="B3" s="210" t="s">
        <v>138</v>
      </c>
      <c r="C3" s="35" t="s">
        <v>132</v>
      </c>
      <c r="D3" s="34" t="s">
        <v>13</v>
      </c>
      <c r="E3" s="146">
        <v>38000</v>
      </c>
      <c r="F3" s="146">
        <v>38000</v>
      </c>
      <c r="G3" s="146">
        <v>38000</v>
      </c>
      <c r="H3" s="146">
        <v>38000</v>
      </c>
      <c r="I3" s="146">
        <v>38000</v>
      </c>
      <c r="J3" s="146">
        <v>38000</v>
      </c>
      <c r="K3" s="146">
        <v>38000</v>
      </c>
      <c r="L3" s="146">
        <v>38000</v>
      </c>
      <c r="M3" s="146">
        <v>38000</v>
      </c>
      <c r="N3" s="29">
        <f t="shared" ref="N3:R3" si="0">$R$1/N2</f>
        <v>23700</v>
      </c>
      <c r="O3" s="29">
        <f t="shared" si="0"/>
        <v>21545.454545454544</v>
      </c>
      <c r="P3" s="29">
        <f t="shared" si="0"/>
        <v>19750</v>
      </c>
      <c r="Q3" s="29">
        <f t="shared" si="0"/>
        <v>18230.76923076923</v>
      </c>
      <c r="R3" s="29">
        <f t="shared" si="0"/>
        <v>16928.571428571428</v>
      </c>
      <c r="S3" s="29">
        <f t="shared" ref="S3:AC3" si="1">$AC$1/S2</f>
        <v>40000</v>
      </c>
      <c r="T3" s="29">
        <f t="shared" si="1"/>
        <v>37500</v>
      </c>
      <c r="U3" s="29">
        <f t="shared" si="1"/>
        <v>35294.117647058825</v>
      </c>
      <c r="V3" s="29">
        <f t="shared" si="1"/>
        <v>33333.333333333336</v>
      </c>
      <c r="W3" s="29">
        <f t="shared" si="1"/>
        <v>31578.947368421053</v>
      </c>
      <c r="X3" s="29">
        <f t="shared" si="1"/>
        <v>30000</v>
      </c>
      <c r="Y3" s="29">
        <f t="shared" si="1"/>
        <v>28571.428571428572</v>
      </c>
      <c r="Z3" s="29">
        <f t="shared" si="1"/>
        <v>27272.727272727272</v>
      </c>
      <c r="AA3" s="29">
        <f t="shared" si="1"/>
        <v>26086.956521739132</v>
      </c>
      <c r="AB3" s="29">
        <f t="shared" si="1"/>
        <v>25000</v>
      </c>
      <c r="AC3" s="29">
        <f t="shared" si="1"/>
        <v>24000</v>
      </c>
    </row>
    <row r="4" spans="1:43" x14ac:dyDescent="0.25">
      <c r="A4" s="291"/>
      <c r="B4" s="171" t="s">
        <v>17</v>
      </c>
      <c r="C4" s="24"/>
      <c r="D4" s="19"/>
      <c r="E4" s="37">
        <f t="shared" ref="E4:T5" si="2">SUM(E3:E3)</f>
        <v>38000</v>
      </c>
      <c r="F4" s="37">
        <f t="shared" si="2"/>
        <v>38000</v>
      </c>
      <c r="G4" s="37">
        <f t="shared" si="2"/>
        <v>38000</v>
      </c>
      <c r="H4" s="37">
        <f t="shared" si="2"/>
        <v>38000</v>
      </c>
      <c r="I4" s="37">
        <f t="shared" si="2"/>
        <v>38000</v>
      </c>
      <c r="J4" s="37">
        <f t="shared" si="2"/>
        <v>38000</v>
      </c>
      <c r="K4" s="37">
        <f t="shared" si="2"/>
        <v>38000</v>
      </c>
      <c r="L4" s="37">
        <f t="shared" si="2"/>
        <v>38000</v>
      </c>
      <c r="M4" s="37">
        <f t="shared" si="2"/>
        <v>38000</v>
      </c>
      <c r="N4" s="37">
        <f t="shared" si="2"/>
        <v>23700</v>
      </c>
      <c r="O4" s="37">
        <f t="shared" si="2"/>
        <v>21545.454545454544</v>
      </c>
      <c r="P4" s="37">
        <f t="shared" si="2"/>
        <v>19750</v>
      </c>
      <c r="Q4" s="37">
        <f t="shared" si="2"/>
        <v>18230.76923076923</v>
      </c>
      <c r="R4" s="37">
        <f t="shared" si="2"/>
        <v>16928.571428571428</v>
      </c>
      <c r="S4" s="37">
        <f t="shared" si="2"/>
        <v>40000</v>
      </c>
      <c r="T4" s="37">
        <f t="shared" si="2"/>
        <v>37500</v>
      </c>
      <c r="U4" s="37">
        <f t="shared" ref="O4:AC5" si="3">SUM(U3:U3)</f>
        <v>35294.117647058825</v>
      </c>
      <c r="V4" s="37">
        <f t="shared" si="3"/>
        <v>33333.333333333336</v>
      </c>
      <c r="W4" s="37">
        <f t="shared" si="3"/>
        <v>31578.947368421053</v>
      </c>
      <c r="X4" s="37">
        <f t="shared" si="3"/>
        <v>30000</v>
      </c>
      <c r="Y4" s="37">
        <f t="shared" si="3"/>
        <v>28571.428571428572</v>
      </c>
      <c r="Z4" s="37">
        <f t="shared" si="3"/>
        <v>27272.727272727272</v>
      </c>
      <c r="AA4" s="37">
        <f t="shared" si="3"/>
        <v>26086.956521739132</v>
      </c>
      <c r="AB4" s="37">
        <f t="shared" si="3"/>
        <v>25000</v>
      </c>
      <c r="AC4" s="37">
        <f t="shared" si="3"/>
        <v>24000</v>
      </c>
    </row>
    <row r="5" spans="1:43" x14ac:dyDescent="0.25">
      <c r="A5" s="291"/>
      <c r="B5" s="175" t="s">
        <v>29</v>
      </c>
      <c r="C5" s="18"/>
      <c r="D5" s="18"/>
      <c r="E5" s="73">
        <f t="shared" si="2"/>
        <v>38000</v>
      </c>
      <c r="F5" s="73">
        <f t="shared" si="2"/>
        <v>38000</v>
      </c>
      <c r="G5" s="73">
        <f t="shared" si="2"/>
        <v>38000</v>
      </c>
      <c r="H5" s="73">
        <f t="shared" si="2"/>
        <v>38000</v>
      </c>
      <c r="I5" s="73">
        <f t="shared" si="2"/>
        <v>38000</v>
      </c>
      <c r="J5" s="73">
        <f t="shared" si="2"/>
        <v>38000</v>
      </c>
      <c r="K5" s="73">
        <f t="shared" si="2"/>
        <v>38000</v>
      </c>
      <c r="L5" s="73">
        <f t="shared" si="2"/>
        <v>38000</v>
      </c>
      <c r="M5" s="73">
        <f t="shared" si="2"/>
        <v>38000</v>
      </c>
      <c r="N5" s="73">
        <f t="shared" si="2"/>
        <v>23700</v>
      </c>
      <c r="O5" s="73">
        <f t="shared" si="3"/>
        <v>21545.454545454544</v>
      </c>
      <c r="P5" s="73">
        <f t="shared" si="3"/>
        <v>19750</v>
      </c>
      <c r="Q5" s="73">
        <f t="shared" si="3"/>
        <v>18230.76923076923</v>
      </c>
      <c r="R5" s="73">
        <f t="shared" si="3"/>
        <v>16928.571428571428</v>
      </c>
      <c r="S5" s="73">
        <f t="shared" si="3"/>
        <v>40000</v>
      </c>
      <c r="T5" s="73">
        <f t="shared" si="3"/>
        <v>37500</v>
      </c>
      <c r="U5" s="73">
        <f t="shared" si="3"/>
        <v>35294.117647058825</v>
      </c>
      <c r="V5" s="73">
        <f t="shared" si="3"/>
        <v>33333.333333333336</v>
      </c>
      <c r="W5" s="73">
        <f t="shared" si="3"/>
        <v>31578.947368421053</v>
      </c>
      <c r="X5" s="73">
        <f t="shared" si="3"/>
        <v>30000</v>
      </c>
      <c r="Y5" s="73">
        <f t="shared" si="3"/>
        <v>28571.428571428572</v>
      </c>
      <c r="Z5" s="73">
        <f t="shared" si="3"/>
        <v>27272.727272727272</v>
      </c>
      <c r="AA5" s="73">
        <f t="shared" si="3"/>
        <v>26086.956521739132</v>
      </c>
      <c r="AB5" s="73">
        <f t="shared" si="3"/>
        <v>25000</v>
      </c>
      <c r="AC5" s="73">
        <f t="shared" si="3"/>
        <v>24000</v>
      </c>
    </row>
    <row r="6" spans="1:43" ht="15" customHeight="1" x14ac:dyDescent="0.25">
      <c r="A6" s="291"/>
      <c r="B6" s="173">
        <v>0.8</v>
      </c>
      <c r="C6" s="18"/>
      <c r="D6" s="152" t="s">
        <v>22</v>
      </c>
      <c r="E6" s="73">
        <f>E5/B6</f>
        <v>47500</v>
      </c>
      <c r="F6" s="73">
        <f>F5/B6</f>
        <v>47500</v>
      </c>
      <c r="G6" s="73">
        <f>G5/B6</f>
        <v>47500</v>
      </c>
      <c r="H6" s="73">
        <f>H5/B6</f>
        <v>47500</v>
      </c>
      <c r="I6" s="73">
        <f>I5/B6</f>
        <v>47500</v>
      </c>
      <c r="J6" s="73">
        <f>J5/B6</f>
        <v>47500</v>
      </c>
      <c r="K6" s="73">
        <f>K5/B6</f>
        <v>47500</v>
      </c>
      <c r="L6" s="73">
        <f>L5/B6</f>
        <v>47500</v>
      </c>
      <c r="M6" s="73">
        <f>M5/B6</f>
        <v>47500</v>
      </c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</row>
    <row r="7" spans="1:43" x14ac:dyDescent="0.25">
      <c r="A7" s="189"/>
      <c r="B7" s="174"/>
      <c r="C7" s="19"/>
      <c r="D7" s="162" t="s">
        <v>23</v>
      </c>
      <c r="E7" s="163">
        <f>_xlfn.CEILING.MATH(E6,1000)</f>
        <v>48000</v>
      </c>
      <c r="F7" s="163">
        <f>_xlfn.CEILING.MATH(F6,1000)</f>
        <v>48000</v>
      </c>
      <c r="G7" s="163">
        <f t="shared" ref="G7:M7" si="4">_xlfn.CEILING.MATH(G6,1000)</f>
        <v>48000</v>
      </c>
      <c r="H7" s="163">
        <f t="shared" si="4"/>
        <v>48000</v>
      </c>
      <c r="I7" s="163">
        <f t="shared" si="4"/>
        <v>48000</v>
      </c>
      <c r="J7" s="163">
        <f t="shared" si="4"/>
        <v>48000</v>
      </c>
      <c r="K7" s="163">
        <f t="shared" si="4"/>
        <v>48000</v>
      </c>
      <c r="L7" s="163">
        <f t="shared" si="4"/>
        <v>48000</v>
      </c>
      <c r="M7" s="163">
        <f t="shared" si="4"/>
        <v>48000</v>
      </c>
      <c r="N7" s="20"/>
      <c r="O7" s="20"/>
      <c r="P7" s="20"/>
      <c r="Q7" s="20"/>
      <c r="R7" s="20"/>
      <c r="S7" s="20"/>
      <c r="T7" s="20"/>
      <c r="U7" s="20"/>
      <c r="V7" s="20"/>
      <c r="W7" s="21"/>
      <c r="X7" s="22"/>
      <c r="Y7" s="22"/>
      <c r="Z7" s="22"/>
      <c r="AA7" s="22"/>
      <c r="AB7" s="22"/>
      <c r="AC7" s="23"/>
    </row>
    <row r="8" spans="1:43" x14ac:dyDescent="0.25">
      <c r="A8" s="42"/>
      <c r="B8" s="231"/>
      <c r="C8" s="43"/>
      <c r="D8" s="44"/>
      <c r="E8" s="45"/>
      <c r="F8" s="46"/>
      <c r="G8" s="47"/>
      <c r="H8" s="47"/>
    </row>
    <row r="9" spans="1:43" ht="30" x14ac:dyDescent="0.25">
      <c r="A9" s="143" t="s">
        <v>0</v>
      </c>
      <c r="B9" s="1" t="s">
        <v>1</v>
      </c>
      <c r="C9" s="1" t="s">
        <v>2</v>
      </c>
      <c r="D9" s="1" t="s">
        <v>3</v>
      </c>
      <c r="E9" s="211" t="s">
        <v>4</v>
      </c>
      <c r="F9" s="2"/>
      <c r="G9" s="48"/>
      <c r="H9" s="215"/>
      <c r="I9" s="49"/>
      <c r="J9" s="288" t="s">
        <v>5</v>
      </c>
      <c r="K9" s="289"/>
      <c r="L9" s="290"/>
      <c r="M9" s="50"/>
      <c r="N9" s="51">
        <v>150000</v>
      </c>
      <c r="O9" s="213" t="s">
        <v>104</v>
      </c>
      <c r="P9" s="214"/>
      <c r="Q9" s="214"/>
      <c r="R9" s="52">
        <f>79000*5</f>
        <v>395000</v>
      </c>
      <c r="S9" s="212"/>
      <c r="T9" s="229">
        <v>200000</v>
      </c>
      <c r="U9" s="275" t="s">
        <v>36</v>
      </c>
      <c r="V9" s="258"/>
      <c r="W9" s="258"/>
      <c r="X9" s="258"/>
      <c r="Y9" s="229">
        <v>250000</v>
      </c>
      <c r="Z9" s="216"/>
      <c r="AA9" s="216"/>
      <c r="AB9" s="216"/>
      <c r="AC9" s="232">
        <f>110000*5</f>
        <v>550000</v>
      </c>
    </row>
    <row r="10" spans="1:43" ht="15" customHeight="1" x14ac:dyDescent="0.25">
      <c r="A10" s="295" t="s">
        <v>139</v>
      </c>
      <c r="B10" s="210" t="s">
        <v>138</v>
      </c>
      <c r="C10" s="35" t="s">
        <v>132</v>
      </c>
      <c r="D10" s="34" t="s">
        <v>13</v>
      </c>
      <c r="E10" s="146">
        <v>60000</v>
      </c>
      <c r="F10" s="146">
        <v>60000</v>
      </c>
      <c r="G10" s="146">
        <v>60000</v>
      </c>
      <c r="H10" s="146">
        <v>60000</v>
      </c>
      <c r="I10" s="146">
        <v>60000</v>
      </c>
      <c r="J10" s="146">
        <v>60000</v>
      </c>
      <c r="K10" s="146">
        <v>60000</v>
      </c>
      <c r="L10" s="146">
        <v>60000</v>
      </c>
      <c r="M10" s="146">
        <v>60000</v>
      </c>
      <c r="N10" s="29">
        <f>$R$9/N2</f>
        <v>39500</v>
      </c>
      <c r="O10" s="29">
        <f>$R$9/O2</f>
        <v>35909.090909090912</v>
      </c>
      <c r="P10" s="29">
        <f>$R$9/P2</f>
        <v>32916.666666666664</v>
      </c>
      <c r="Q10" s="29">
        <f>$R$9/Q2</f>
        <v>30384.615384615383</v>
      </c>
      <c r="R10" s="29">
        <f>$R$9/R2</f>
        <v>28214.285714285714</v>
      </c>
      <c r="S10" s="29">
        <f t="shared" ref="S10:AC10" si="5">$AC$9/S2</f>
        <v>36666.666666666664</v>
      </c>
      <c r="T10" s="29">
        <f t="shared" si="5"/>
        <v>34375</v>
      </c>
      <c r="U10" s="29">
        <f t="shared" si="5"/>
        <v>32352.941176470587</v>
      </c>
      <c r="V10" s="29">
        <f t="shared" si="5"/>
        <v>30555.555555555555</v>
      </c>
      <c r="W10" s="29">
        <f t="shared" si="5"/>
        <v>28947.36842105263</v>
      </c>
      <c r="X10" s="29">
        <f t="shared" si="5"/>
        <v>27500</v>
      </c>
      <c r="Y10" s="29">
        <f t="shared" si="5"/>
        <v>26190.476190476191</v>
      </c>
      <c r="Z10" s="29">
        <f t="shared" si="5"/>
        <v>25000</v>
      </c>
      <c r="AA10" s="29">
        <f t="shared" si="5"/>
        <v>23913.043478260868</v>
      </c>
      <c r="AB10" s="29">
        <f t="shared" si="5"/>
        <v>22916.666666666668</v>
      </c>
      <c r="AC10" s="29">
        <f t="shared" si="5"/>
        <v>22000</v>
      </c>
    </row>
    <row r="11" spans="1:43" x14ac:dyDescent="0.25">
      <c r="A11" s="296"/>
      <c r="B11" s="171" t="s">
        <v>17</v>
      </c>
      <c r="C11" s="19"/>
      <c r="D11" s="19"/>
      <c r="E11" s="37">
        <f t="shared" ref="E11:T12" si="6">SUM(E10:E10)</f>
        <v>60000</v>
      </c>
      <c r="F11" s="37">
        <f t="shared" si="6"/>
        <v>60000</v>
      </c>
      <c r="G11" s="37">
        <f t="shared" si="6"/>
        <v>60000</v>
      </c>
      <c r="H11" s="37">
        <f t="shared" si="6"/>
        <v>60000</v>
      </c>
      <c r="I11" s="37">
        <f t="shared" si="6"/>
        <v>60000</v>
      </c>
      <c r="J11" s="37">
        <f t="shared" si="6"/>
        <v>60000</v>
      </c>
      <c r="K11" s="37">
        <f t="shared" si="6"/>
        <v>60000</v>
      </c>
      <c r="L11" s="37">
        <f t="shared" si="6"/>
        <v>60000</v>
      </c>
      <c r="M11" s="37">
        <f t="shared" si="6"/>
        <v>60000</v>
      </c>
      <c r="N11" s="37">
        <f t="shared" si="6"/>
        <v>39500</v>
      </c>
      <c r="O11" s="37">
        <f t="shared" si="6"/>
        <v>35909.090909090912</v>
      </c>
      <c r="P11" s="37">
        <f t="shared" si="6"/>
        <v>32916.666666666664</v>
      </c>
      <c r="Q11" s="37">
        <f t="shared" si="6"/>
        <v>30384.615384615383</v>
      </c>
      <c r="R11" s="37">
        <f t="shared" si="6"/>
        <v>28214.285714285714</v>
      </c>
      <c r="S11" s="37">
        <f t="shared" si="6"/>
        <v>36666.666666666664</v>
      </c>
      <c r="T11" s="37">
        <f t="shared" si="6"/>
        <v>34375</v>
      </c>
      <c r="U11" s="37">
        <f t="shared" ref="O11:AC12" si="7">SUM(U10:U10)</f>
        <v>32352.941176470587</v>
      </c>
      <c r="V11" s="37">
        <f t="shared" si="7"/>
        <v>30555.555555555555</v>
      </c>
      <c r="W11" s="37">
        <f t="shared" si="7"/>
        <v>28947.36842105263</v>
      </c>
      <c r="X11" s="37">
        <f t="shared" si="7"/>
        <v>27500</v>
      </c>
      <c r="Y11" s="37">
        <f t="shared" si="7"/>
        <v>26190.476190476191</v>
      </c>
      <c r="Z11" s="37">
        <f t="shared" si="7"/>
        <v>25000</v>
      </c>
      <c r="AA11" s="37">
        <f t="shared" si="7"/>
        <v>23913.043478260868</v>
      </c>
      <c r="AB11" s="37">
        <f t="shared" si="7"/>
        <v>22916.666666666668</v>
      </c>
      <c r="AC11" s="37">
        <f t="shared" si="7"/>
        <v>22000</v>
      </c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</row>
    <row r="12" spans="1:43" x14ac:dyDescent="0.25">
      <c r="A12" s="296"/>
      <c r="B12" s="175" t="s">
        <v>29</v>
      </c>
      <c r="C12" s="18"/>
      <c r="D12" s="18"/>
      <c r="E12" s="73">
        <f t="shared" si="6"/>
        <v>60000</v>
      </c>
      <c r="F12" s="73">
        <f t="shared" si="6"/>
        <v>60000</v>
      </c>
      <c r="G12" s="73">
        <f t="shared" si="6"/>
        <v>60000</v>
      </c>
      <c r="H12" s="73">
        <f t="shared" si="6"/>
        <v>60000</v>
      </c>
      <c r="I12" s="73">
        <f t="shared" si="6"/>
        <v>60000</v>
      </c>
      <c r="J12" s="73">
        <f t="shared" si="6"/>
        <v>60000</v>
      </c>
      <c r="K12" s="73">
        <f t="shared" si="6"/>
        <v>60000</v>
      </c>
      <c r="L12" s="73">
        <f t="shared" si="6"/>
        <v>60000</v>
      </c>
      <c r="M12" s="73">
        <f t="shared" si="6"/>
        <v>60000</v>
      </c>
      <c r="N12" s="73">
        <f t="shared" si="6"/>
        <v>39500</v>
      </c>
      <c r="O12" s="73">
        <f t="shared" si="7"/>
        <v>35909.090909090912</v>
      </c>
      <c r="P12" s="73">
        <f t="shared" si="7"/>
        <v>32916.666666666664</v>
      </c>
      <c r="Q12" s="73">
        <f t="shared" si="7"/>
        <v>30384.615384615383</v>
      </c>
      <c r="R12" s="73">
        <f t="shared" si="7"/>
        <v>28214.285714285714</v>
      </c>
      <c r="S12" s="73">
        <f t="shared" si="7"/>
        <v>36666.666666666664</v>
      </c>
      <c r="T12" s="73">
        <f t="shared" si="7"/>
        <v>34375</v>
      </c>
      <c r="U12" s="73">
        <f t="shared" si="7"/>
        <v>32352.941176470587</v>
      </c>
      <c r="V12" s="73">
        <f t="shared" si="7"/>
        <v>30555.555555555555</v>
      </c>
      <c r="W12" s="73">
        <f t="shared" si="7"/>
        <v>28947.36842105263</v>
      </c>
      <c r="X12" s="73">
        <f t="shared" si="7"/>
        <v>27500</v>
      </c>
      <c r="Y12" s="73">
        <f t="shared" si="7"/>
        <v>26190.476190476191</v>
      </c>
      <c r="Z12" s="73">
        <f t="shared" si="7"/>
        <v>25000</v>
      </c>
      <c r="AA12" s="73">
        <f t="shared" si="7"/>
        <v>23913.043478260868</v>
      </c>
      <c r="AB12" s="73">
        <f t="shared" si="7"/>
        <v>22916.666666666668</v>
      </c>
      <c r="AC12" s="73">
        <f t="shared" si="7"/>
        <v>22000</v>
      </c>
    </row>
    <row r="13" spans="1:43" ht="15" customHeight="1" x14ac:dyDescent="0.25">
      <c r="A13" s="297"/>
      <c r="B13" s="173">
        <v>0.8</v>
      </c>
      <c r="C13" s="18"/>
      <c r="D13" s="152" t="s">
        <v>22</v>
      </c>
      <c r="E13" s="73">
        <f>E12/B13</f>
        <v>75000</v>
      </c>
      <c r="F13" s="73">
        <f>F12/B13</f>
        <v>75000</v>
      </c>
      <c r="G13" s="73">
        <f>G12/B13</f>
        <v>75000</v>
      </c>
      <c r="H13" s="73">
        <f>H12/B13</f>
        <v>75000</v>
      </c>
      <c r="I13" s="73">
        <f>I12/B13</f>
        <v>75000</v>
      </c>
      <c r="J13" s="73">
        <f>J12/B13</f>
        <v>75000</v>
      </c>
      <c r="K13" s="73">
        <f>K12/B13</f>
        <v>75000</v>
      </c>
      <c r="L13" s="73">
        <f>L12/B13</f>
        <v>75000</v>
      </c>
      <c r="M13" s="73">
        <f>M12/B13</f>
        <v>75000</v>
      </c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</row>
    <row r="14" spans="1:43" x14ac:dyDescent="0.25">
      <c r="A14" s="189"/>
      <c r="B14" s="174"/>
      <c r="C14" s="19"/>
      <c r="D14" s="162" t="s">
        <v>23</v>
      </c>
      <c r="E14" s="163">
        <f>_xlfn.CEILING.MATH(E13,1000)</f>
        <v>75000</v>
      </c>
      <c r="F14" s="163">
        <f>_xlfn.CEILING.MATH(F13,1000)</f>
        <v>75000</v>
      </c>
      <c r="G14" s="163">
        <f t="shared" ref="G14:M14" si="8">_xlfn.CEILING.MATH(G13,1000)</f>
        <v>75000</v>
      </c>
      <c r="H14" s="163">
        <f t="shared" si="8"/>
        <v>75000</v>
      </c>
      <c r="I14" s="163">
        <f t="shared" si="8"/>
        <v>75000</v>
      </c>
      <c r="J14" s="163">
        <f t="shared" si="8"/>
        <v>75000</v>
      </c>
      <c r="K14" s="163">
        <f t="shared" si="8"/>
        <v>75000</v>
      </c>
      <c r="L14" s="163">
        <f t="shared" si="8"/>
        <v>75000</v>
      </c>
      <c r="M14" s="163">
        <f t="shared" si="8"/>
        <v>75000</v>
      </c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2"/>
      <c r="Y14" s="22"/>
      <c r="Z14" s="22"/>
      <c r="AA14" s="22"/>
      <c r="AB14" s="22"/>
      <c r="AC14" s="23"/>
    </row>
    <row r="15" spans="1:43" x14ac:dyDescent="0.25">
      <c r="A15" s="42"/>
      <c r="B15" s="21"/>
      <c r="C15" s="56"/>
      <c r="D15" s="21"/>
      <c r="E15" s="57"/>
      <c r="F15" s="58"/>
      <c r="G15" s="58"/>
      <c r="H15" s="46"/>
    </row>
    <row r="16" spans="1:43" ht="15.75" thickBot="1" x14ac:dyDescent="0.3">
      <c r="A16" s="1" t="s">
        <v>0</v>
      </c>
      <c r="B16" s="143" t="s">
        <v>1</v>
      </c>
      <c r="C16" s="143" t="s">
        <v>2</v>
      </c>
      <c r="D16" s="1" t="s">
        <v>3</v>
      </c>
      <c r="E16" s="253" t="s">
        <v>4</v>
      </c>
      <c r="F16" s="254"/>
      <c r="G16" s="48"/>
      <c r="H16" s="268" t="s">
        <v>5</v>
      </c>
      <c r="I16" s="258"/>
      <c r="J16" s="258"/>
      <c r="K16" s="258"/>
      <c r="L16" s="254"/>
      <c r="M16" s="50"/>
      <c r="N16" s="259" t="s">
        <v>104</v>
      </c>
      <c r="O16" s="258"/>
      <c r="P16" s="258"/>
      <c r="Q16" s="254"/>
      <c r="R16" s="6">
        <v>160000</v>
      </c>
      <c r="S16" s="257" t="s">
        <v>36</v>
      </c>
      <c r="T16" s="258"/>
      <c r="U16" s="258"/>
      <c r="V16" s="258"/>
      <c r="W16" s="258"/>
      <c r="X16" s="258"/>
      <c r="Y16" s="258"/>
      <c r="Z16" s="258"/>
      <c r="AA16" s="258"/>
      <c r="AB16" s="254"/>
      <c r="AC16" s="221">
        <v>310000</v>
      </c>
    </row>
    <row r="17" spans="1:29" ht="19.5" customHeight="1" thickBot="1" x14ac:dyDescent="0.3">
      <c r="A17" s="292" t="s">
        <v>140</v>
      </c>
      <c r="B17" s="205" t="s">
        <v>138</v>
      </c>
      <c r="C17" s="206" t="s">
        <v>132</v>
      </c>
      <c r="D17" s="201" t="s">
        <v>13</v>
      </c>
      <c r="E17" s="146">
        <v>50000</v>
      </c>
      <c r="F17" s="146">
        <v>50000</v>
      </c>
      <c r="G17" s="146">
        <v>50000</v>
      </c>
      <c r="H17" s="146">
        <v>50000</v>
      </c>
      <c r="I17" s="146">
        <v>50000</v>
      </c>
      <c r="J17" s="146">
        <v>50000</v>
      </c>
      <c r="K17" s="146">
        <v>50000</v>
      </c>
      <c r="L17" s="146">
        <v>50000</v>
      </c>
      <c r="M17" s="146">
        <v>50000</v>
      </c>
      <c r="N17" s="29">
        <f>$R$16/N2</f>
        <v>16000</v>
      </c>
      <c r="O17" s="29">
        <f>$R$16/O2</f>
        <v>14545.454545454546</v>
      </c>
      <c r="P17" s="29">
        <f>$R$16/P2</f>
        <v>13333.333333333334</v>
      </c>
      <c r="Q17" s="29">
        <f>$R$16/Q2</f>
        <v>12307.692307692309</v>
      </c>
      <c r="R17" s="29">
        <f>$R$16/R2</f>
        <v>11428.571428571429</v>
      </c>
      <c r="S17" s="29">
        <f t="shared" ref="S17:AC17" si="9">$AC$16/S2</f>
        <v>20666.666666666668</v>
      </c>
      <c r="T17" s="29">
        <f t="shared" si="9"/>
        <v>19375</v>
      </c>
      <c r="U17" s="29">
        <f t="shared" si="9"/>
        <v>18235.294117647059</v>
      </c>
      <c r="V17" s="29">
        <f t="shared" si="9"/>
        <v>17222.222222222223</v>
      </c>
      <c r="W17" s="29">
        <f t="shared" si="9"/>
        <v>16315.78947368421</v>
      </c>
      <c r="X17" s="29">
        <f t="shared" si="9"/>
        <v>15500</v>
      </c>
      <c r="Y17" s="29">
        <f t="shared" si="9"/>
        <v>14761.904761904761</v>
      </c>
      <c r="Z17" s="29">
        <f t="shared" si="9"/>
        <v>14090.90909090909</v>
      </c>
      <c r="AA17" s="29">
        <f t="shared" si="9"/>
        <v>13478.260869565218</v>
      </c>
      <c r="AB17" s="29">
        <f t="shared" si="9"/>
        <v>12916.666666666666</v>
      </c>
      <c r="AC17" s="29">
        <f t="shared" si="9"/>
        <v>12400</v>
      </c>
    </row>
    <row r="18" spans="1:29" ht="15.75" thickBot="1" x14ac:dyDescent="0.3">
      <c r="A18" s="293"/>
      <c r="B18" s="207" t="s">
        <v>29</v>
      </c>
      <c r="C18" s="207"/>
      <c r="D18" s="202"/>
      <c r="E18" s="73">
        <f t="shared" ref="E18:AC18" si="10">SUM(E17:E17)</f>
        <v>50000</v>
      </c>
      <c r="F18" s="73">
        <f t="shared" si="10"/>
        <v>50000</v>
      </c>
      <c r="G18" s="73">
        <f t="shared" si="10"/>
        <v>50000</v>
      </c>
      <c r="H18" s="73">
        <f t="shared" si="10"/>
        <v>50000</v>
      </c>
      <c r="I18" s="73">
        <f t="shared" si="10"/>
        <v>50000</v>
      </c>
      <c r="J18" s="73">
        <f t="shared" si="10"/>
        <v>50000</v>
      </c>
      <c r="K18" s="73">
        <f t="shared" si="10"/>
        <v>50000</v>
      </c>
      <c r="L18" s="73">
        <f t="shared" si="10"/>
        <v>50000</v>
      </c>
      <c r="M18" s="73">
        <f t="shared" si="10"/>
        <v>50000</v>
      </c>
      <c r="N18" s="73">
        <f t="shared" si="10"/>
        <v>16000</v>
      </c>
      <c r="O18" s="73">
        <f t="shared" si="10"/>
        <v>14545.454545454546</v>
      </c>
      <c r="P18" s="73">
        <f t="shared" si="10"/>
        <v>13333.333333333334</v>
      </c>
      <c r="Q18" s="73">
        <f t="shared" si="10"/>
        <v>12307.692307692309</v>
      </c>
      <c r="R18" s="73">
        <f t="shared" si="10"/>
        <v>11428.571428571429</v>
      </c>
      <c r="S18" s="73">
        <f t="shared" si="10"/>
        <v>20666.666666666668</v>
      </c>
      <c r="T18" s="73">
        <f t="shared" si="10"/>
        <v>19375</v>
      </c>
      <c r="U18" s="73">
        <f t="shared" si="10"/>
        <v>18235.294117647059</v>
      </c>
      <c r="V18" s="73">
        <f t="shared" si="10"/>
        <v>17222.222222222223</v>
      </c>
      <c r="W18" s="73">
        <f t="shared" si="10"/>
        <v>16315.78947368421</v>
      </c>
      <c r="X18" s="73">
        <f t="shared" si="10"/>
        <v>15500</v>
      </c>
      <c r="Y18" s="73">
        <f t="shared" si="10"/>
        <v>14761.904761904761</v>
      </c>
      <c r="Z18" s="73">
        <f t="shared" si="10"/>
        <v>14090.90909090909</v>
      </c>
      <c r="AA18" s="73">
        <f t="shared" si="10"/>
        <v>13478.260869565218</v>
      </c>
      <c r="AB18" s="73">
        <f t="shared" si="10"/>
        <v>12916.666666666666</v>
      </c>
      <c r="AC18" s="73">
        <f t="shared" si="10"/>
        <v>12400</v>
      </c>
    </row>
    <row r="19" spans="1:29" ht="15" customHeight="1" x14ac:dyDescent="0.25">
      <c r="A19" s="294"/>
      <c r="B19" s="208">
        <v>0.75</v>
      </c>
      <c r="C19" s="207"/>
      <c r="D19" s="173" t="s">
        <v>22</v>
      </c>
      <c r="E19" s="73">
        <f>E18/B19</f>
        <v>66666.666666666672</v>
      </c>
      <c r="F19" s="73">
        <f>F18/B19</f>
        <v>66666.666666666672</v>
      </c>
      <c r="G19" s="73">
        <f>G18/B19</f>
        <v>66666.666666666672</v>
      </c>
      <c r="H19" s="73">
        <f>H18/B19</f>
        <v>66666.666666666672</v>
      </c>
      <c r="I19" s="73">
        <f>I18/B19</f>
        <v>66666.666666666672</v>
      </c>
      <c r="J19" s="73">
        <f>J18/B19</f>
        <v>66666.666666666672</v>
      </c>
      <c r="K19" s="73">
        <f>K18/B19</f>
        <v>66666.666666666672</v>
      </c>
      <c r="L19" s="73">
        <f>L18/B19</f>
        <v>66666.666666666672</v>
      </c>
      <c r="M19" s="73">
        <f>M18/B19</f>
        <v>66666.666666666672</v>
      </c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</row>
    <row r="20" spans="1:29" x14ac:dyDescent="0.25">
      <c r="A20" s="189"/>
      <c r="B20" s="203"/>
      <c r="C20" s="204"/>
      <c r="D20" s="162" t="s">
        <v>23</v>
      </c>
      <c r="E20" s="163">
        <f>_xlfn.CEILING.MATH(E19,1000)</f>
        <v>67000</v>
      </c>
      <c r="F20" s="163">
        <f>_xlfn.CEILING.MATH(F19,1000)</f>
        <v>67000</v>
      </c>
      <c r="G20" s="163">
        <f t="shared" ref="G20:M20" si="11">_xlfn.CEILING.MATH(G19,1000)</f>
        <v>67000</v>
      </c>
      <c r="H20" s="163">
        <f t="shared" si="11"/>
        <v>67000</v>
      </c>
      <c r="I20" s="163">
        <f t="shared" si="11"/>
        <v>67000</v>
      </c>
      <c r="J20" s="163">
        <f t="shared" si="11"/>
        <v>67000</v>
      </c>
      <c r="K20" s="163">
        <f t="shared" si="11"/>
        <v>67000</v>
      </c>
      <c r="L20" s="163">
        <f t="shared" si="11"/>
        <v>67000</v>
      </c>
      <c r="M20" s="163">
        <f t="shared" si="11"/>
        <v>67000</v>
      </c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2"/>
      <c r="Y20" s="22"/>
      <c r="Z20" s="22"/>
      <c r="AA20" s="22"/>
      <c r="AB20" s="22"/>
      <c r="AC20" s="23"/>
    </row>
    <row r="22" spans="1:29" x14ac:dyDescent="0.25">
      <c r="A22" s="143" t="s">
        <v>0</v>
      </c>
      <c r="B22" s="143" t="s">
        <v>1</v>
      </c>
      <c r="C22" s="143" t="s">
        <v>2</v>
      </c>
      <c r="D22" s="1" t="s">
        <v>3</v>
      </c>
      <c r="E22" s="253" t="s">
        <v>4</v>
      </c>
      <c r="F22" s="254"/>
      <c r="G22" s="48"/>
      <c r="H22" s="265" t="s">
        <v>89</v>
      </c>
      <c r="I22" s="258"/>
      <c r="J22" s="258"/>
      <c r="K22" s="258"/>
      <c r="L22" s="254"/>
      <c r="M22" s="50"/>
      <c r="N22" s="259" t="s">
        <v>104</v>
      </c>
      <c r="O22" s="258"/>
      <c r="P22" s="258"/>
      <c r="Q22" s="254"/>
      <c r="R22" s="6">
        <v>160000</v>
      </c>
      <c r="S22" s="257" t="s">
        <v>36</v>
      </c>
      <c r="T22" s="258"/>
      <c r="U22" s="258"/>
      <c r="V22" s="258"/>
      <c r="W22" s="258"/>
      <c r="X22" s="258"/>
      <c r="Y22" s="258"/>
      <c r="Z22" s="258"/>
      <c r="AA22" s="258"/>
      <c r="AB22" s="254"/>
      <c r="AC22" s="221">
        <v>310000</v>
      </c>
    </row>
    <row r="23" spans="1:29" ht="19.5" customHeight="1" x14ac:dyDescent="0.25">
      <c r="A23" s="295" t="s">
        <v>141</v>
      </c>
      <c r="B23" s="205" t="s">
        <v>142</v>
      </c>
      <c r="C23" s="206" t="s">
        <v>132</v>
      </c>
      <c r="D23" s="201" t="s">
        <v>13</v>
      </c>
      <c r="E23" s="146">
        <v>60000</v>
      </c>
      <c r="F23" s="146">
        <v>60000</v>
      </c>
      <c r="G23" s="146">
        <v>60000</v>
      </c>
      <c r="H23" s="146">
        <v>60000</v>
      </c>
      <c r="I23" s="146">
        <v>60000</v>
      </c>
      <c r="J23" s="146">
        <v>60000</v>
      </c>
      <c r="K23" s="146">
        <v>60000</v>
      </c>
      <c r="L23" s="146">
        <v>60000</v>
      </c>
      <c r="M23" s="146">
        <v>60000</v>
      </c>
      <c r="N23" s="29" t="e">
        <f>$R$16/N7</f>
        <v>#DIV/0!</v>
      </c>
      <c r="O23" s="29" t="e">
        <f>$R$16/O7</f>
        <v>#DIV/0!</v>
      </c>
      <c r="P23" s="29" t="e">
        <f>$R$16/P7</f>
        <v>#DIV/0!</v>
      </c>
      <c r="Q23" s="29" t="e">
        <f>$R$16/Q7</f>
        <v>#DIV/0!</v>
      </c>
      <c r="R23" s="29" t="e">
        <f>$R$16/R7</f>
        <v>#DIV/0!</v>
      </c>
      <c r="S23" s="29" t="e">
        <f t="shared" ref="S23:AC23" si="12">$AC$16/S7</f>
        <v>#DIV/0!</v>
      </c>
      <c r="T23" s="29" t="e">
        <f t="shared" si="12"/>
        <v>#DIV/0!</v>
      </c>
      <c r="U23" s="29" t="e">
        <f t="shared" si="12"/>
        <v>#DIV/0!</v>
      </c>
      <c r="V23" s="29" t="e">
        <f t="shared" si="12"/>
        <v>#DIV/0!</v>
      </c>
      <c r="W23" s="29" t="e">
        <f t="shared" si="12"/>
        <v>#DIV/0!</v>
      </c>
      <c r="X23" s="29" t="e">
        <f t="shared" si="12"/>
        <v>#DIV/0!</v>
      </c>
      <c r="Y23" s="29" t="e">
        <f t="shared" si="12"/>
        <v>#DIV/0!</v>
      </c>
      <c r="Z23" s="29" t="e">
        <f t="shared" si="12"/>
        <v>#DIV/0!</v>
      </c>
      <c r="AA23" s="29" t="e">
        <f t="shared" si="12"/>
        <v>#DIV/0!</v>
      </c>
      <c r="AB23" s="29" t="e">
        <f t="shared" si="12"/>
        <v>#DIV/0!</v>
      </c>
      <c r="AC23" s="29" t="e">
        <f t="shared" si="12"/>
        <v>#DIV/0!</v>
      </c>
    </row>
    <row r="24" spans="1:29" x14ac:dyDescent="0.25">
      <c r="A24" s="296"/>
      <c r="B24" s="207" t="s">
        <v>29</v>
      </c>
      <c r="C24" s="207"/>
      <c r="D24" s="202"/>
      <c r="E24" s="73">
        <f t="shared" ref="E24:AC24" si="13">SUM(E23:E23)</f>
        <v>60000</v>
      </c>
      <c r="F24" s="73">
        <f t="shared" si="13"/>
        <v>60000</v>
      </c>
      <c r="G24" s="73">
        <f t="shared" si="13"/>
        <v>60000</v>
      </c>
      <c r="H24" s="73">
        <f t="shared" si="13"/>
        <v>60000</v>
      </c>
      <c r="I24" s="73">
        <f t="shared" si="13"/>
        <v>60000</v>
      </c>
      <c r="J24" s="73">
        <f t="shared" si="13"/>
        <v>60000</v>
      </c>
      <c r="K24" s="73">
        <f t="shared" si="13"/>
        <v>60000</v>
      </c>
      <c r="L24" s="73">
        <f t="shared" si="13"/>
        <v>60000</v>
      </c>
      <c r="M24" s="73">
        <f t="shared" si="13"/>
        <v>60000</v>
      </c>
      <c r="N24" s="73" t="e">
        <f t="shared" si="13"/>
        <v>#DIV/0!</v>
      </c>
      <c r="O24" s="73" t="e">
        <f t="shared" si="13"/>
        <v>#DIV/0!</v>
      </c>
      <c r="P24" s="73" t="e">
        <f t="shared" si="13"/>
        <v>#DIV/0!</v>
      </c>
      <c r="Q24" s="73" t="e">
        <f t="shared" si="13"/>
        <v>#DIV/0!</v>
      </c>
      <c r="R24" s="73" t="e">
        <f t="shared" si="13"/>
        <v>#DIV/0!</v>
      </c>
      <c r="S24" s="73" t="e">
        <f t="shared" si="13"/>
        <v>#DIV/0!</v>
      </c>
      <c r="T24" s="73" t="e">
        <f t="shared" si="13"/>
        <v>#DIV/0!</v>
      </c>
      <c r="U24" s="73" t="e">
        <f t="shared" si="13"/>
        <v>#DIV/0!</v>
      </c>
      <c r="V24" s="73" t="e">
        <f t="shared" si="13"/>
        <v>#DIV/0!</v>
      </c>
      <c r="W24" s="73" t="e">
        <f t="shared" si="13"/>
        <v>#DIV/0!</v>
      </c>
      <c r="X24" s="73" t="e">
        <f t="shared" si="13"/>
        <v>#DIV/0!</v>
      </c>
      <c r="Y24" s="73" t="e">
        <f t="shared" si="13"/>
        <v>#DIV/0!</v>
      </c>
      <c r="Z24" s="73" t="e">
        <f t="shared" si="13"/>
        <v>#DIV/0!</v>
      </c>
      <c r="AA24" s="73" t="e">
        <f t="shared" si="13"/>
        <v>#DIV/0!</v>
      </c>
      <c r="AB24" s="73" t="e">
        <f t="shared" si="13"/>
        <v>#DIV/0!</v>
      </c>
      <c r="AC24" s="73" t="e">
        <f t="shared" si="13"/>
        <v>#DIV/0!</v>
      </c>
    </row>
    <row r="25" spans="1:29" ht="15" customHeight="1" x14ac:dyDescent="0.25">
      <c r="A25" s="297"/>
      <c r="B25" s="208">
        <v>0.8</v>
      </c>
      <c r="C25" s="207"/>
      <c r="D25" s="173" t="s">
        <v>22</v>
      </c>
      <c r="E25" s="73">
        <f>E24/B25</f>
        <v>75000</v>
      </c>
      <c r="F25" s="73">
        <f>F24/B25</f>
        <v>75000</v>
      </c>
      <c r="G25" s="73">
        <f>G24/B25</f>
        <v>75000</v>
      </c>
      <c r="H25" s="73">
        <f>H24/B25</f>
        <v>75000</v>
      </c>
      <c r="I25" s="73">
        <f>I24/B25</f>
        <v>75000</v>
      </c>
      <c r="J25" s="73">
        <f>J24/B25</f>
        <v>75000</v>
      </c>
      <c r="K25" s="73">
        <f>K24/B25</f>
        <v>75000</v>
      </c>
      <c r="L25" s="73">
        <f>L24/B25</f>
        <v>75000</v>
      </c>
      <c r="M25" s="73">
        <f>M24/B25</f>
        <v>75000</v>
      </c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</row>
    <row r="26" spans="1:29" x14ac:dyDescent="0.25">
      <c r="A26" s="209"/>
      <c r="B26" s="203"/>
      <c r="C26" s="204"/>
      <c r="D26" s="162" t="s">
        <v>23</v>
      </c>
      <c r="E26" s="163">
        <f>_xlfn.CEILING.MATH(E25,1000)</f>
        <v>75000</v>
      </c>
      <c r="F26" s="163">
        <f>_xlfn.CEILING.MATH(F25,1000)</f>
        <v>75000</v>
      </c>
      <c r="G26" s="163">
        <f t="shared" ref="G26:M26" si="14">_xlfn.CEILING.MATH(G25,1000)</f>
        <v>75000</v>
      </c>
      <c r="H26" s="163">
        <f t="shared" si="14"/>
        <v>75000</v>
      </c>
      <c r="I26" s="163">
        <f t="shared" si="14"/>
        <v>75000</v>
      </c>
      <c r="J26" s="163">
        <f t="shared" si="14"/>
        <v>75000</v>
      </c>
      <c r="K26" s="163">
        <f t="shared" si="14"/>
        <v>75000</v>
      </c>
      <c r="L26" s="163">
        <f t="shared" si="14"/>
        <v>75000</v>
      </c>
      <c r="M26" s="163">
        <f t="shared" si="14"/>
        <v>75000</v>
      </c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2"/>
      <c r="Y26" s="22"/>
      <c r="Z26" s="22"/>
      <c r="AA26" s="22"/>
      <c r="AB26" s="22"/>
      <c r="AC26" s="23"/>
    </row>
    <row r="27" spans="1:29" x14ac:dyDescent="0.25">
      <c r="A27" s="191"/>
      <c r="B27" s="198"/>
      <c r="C27" s="198"/>
      <c r="D27" s="199"/>
      <c r="E27" s="167"/>
      <c r="F27" s="167"/>
      <c r="G27" s="167"/>
      <c r="H27" s="167"/>
      <c r="I27" s="167"/>
      <c r="J27" s="167"/>
      <c r="K27" s="167"/>
      <c r="L27" s="167"/>
      <c r="M27" s="167"/>
      <c r="N27" s="20"/>
      <c r="O27" s="20"/>
      <c r="P27" s="20"/>
      <c r="Q27" s="20"/>
      <c r="R27" s="20"/>
      <c r="S27" s="20"/>
      <c r="T27" s="20"/>
      <c r="U27" s="20"/>
      <c r="V27" s="20"/>
      <c r="W27" s="21"/>
      <c r="X27" s="22"/>
      <c r="Y27" s="22"/>
      <c r="Z27" s="22"/>
      <c r="AA27" s="22"/>
      <c r="AB27" s="22"/>
      <c r="AC27" s="23"/>
    </row>
    <row r="28" spans="1:29" ht="15.75" thickBot="1" x14ac:dyDescent="0.3">
      <c r="A28" s="1" t="s">
        <v>0</v>
      </c>
      <c r="B28" s="1" t="s">
        <v>1</v>
      </c>
      <c r="C28" s="1" t="s">
        <v>2</v>
      </c>
      <c r="D28" s="1" t="s">
        <v>3</v>
      </c>
      <c r="E28" s="253" t="s">
        <v>4</v>
      </c>
      <c r="F28" s="254"/>
      <c r="G28" s="48"/>
      <c r="H28" s="265" t="s">
        <v>89</v>
      </c>
      <c r="I28" s="258"/>
      <c r="J28" s="258"/>
      <c r="K28" s="258"/>
      <c r="L28" s="254"/>
      <c r="M28" s="50"/>
      <c r="N28" s="259" t="s">
        <v>104</v>
      </c>
      <c r="O28" s="258"/>
      <c r="P28" s="258"/>
      <c r="Q28" s="254"/>
      <c r="R28" s="6">
        <v>160000</v>
      </c>
      <c r="S28" s="257" t="s">
        <v>36</v>
      </c>
      <c r="T28" s="258"/>
      <c r="U28" s="258"/>
      <c r="V28" s="258"/>
      <c r="W28" s="258"/>
      <c r="X28" s="258"/>
      <c r="Y28" s="258"/>
      <c r="Z28" s="258"/>
      <c r="AA28" s="258"/>
      <c r="AB28" s="254"/>
      <c r="AC28" s="221">
        <v>310000</v>
      </c>
    </row>
    <row r="29" spans="1:29" ht="19.5" customHeight="1" thickBot="1" x14ac:dyDescent="0.3">
      <c r="A29" s="292" t="s">
        <v>136</v>
      </c>
      <c r="B29" s="205" t="s">
        <v>131</v>
      </c>
      <c r="C29" s="206" t="s">
        <v>132</v>
      </c>
      <c r="D29" s="201" t="s">
        <v>13</v>
      </c>
      <c r="E29" s="146">
        <v>353700</v>
      </c>
      <c r="F29" s="146">
        <v>233100</v>
      </c>
      <c r="G29" s="146">
        <v>192600</v>
      </c>
      <c r="H29" s="29">
        <v>252000</v>
      </c>
      <c r="I29" s="29">
        <v>224100</v>
      </c>
      <c r="J29" s="29">
        <v>205200</v>
      </c>
      <c r="K29" s="29">
        <v>191700</v>
      </c>
      <c r="L29" s="29">
        <v>181800</v>
      </c>
      <c r="M29" s="29">
        <v>174600</v>
      </c>
      <c r="N29" s="29" t="e">
        <f>$R$16/#REF!</f>
        <v>#REF!</v>
      </c>
      <c r="O29" s="29" t="e">
        <f>$R$16/#REF!</f>
        <v>#REF!</v>
      </c>
      <c r="P29" s="29" t="e">
        <f>$R$16/#REF!</f>
        <v>#REF!</v>
      </c>
      <c r="Q29" s="29" t="e">
        <f>$R$16/#REF!</f>
        <v>#REF!</v>
      </c>
      <c r="R29" s="29" t="e">
        <f>$R$16/#REF!</f>
        <v>#REF!</v>
      </c>
      <c r="S29" s="29" t="e">
        <f>$AC$16/#REF!</f>
        <v>#REF!</v>
      </c>
      <c r="T29" s="29" t="e">
        <f>$AC$16/#REF!</f>
        <v>#REF!</v>
      </c>
      <c r="U29" s="29" t="e">
        <f>$AC$16/#REF!</f>
        <v>#REF!</v>
      </c>
      <c r="V29" s="29" t="e">
        <f>$AC$16/#REF!</f>
        <v>#REF!</v>
      </c>
      <c r="W29" s="29" t="e">
        <f>$AC$16/#REF!</f>
        <v>#REF!</v>
      </c>
      <c r="X29" s="29" t="e">
        <f>$AC$16/#REF!</f>
        <v>#REF!</v>
      </c>
      <c r="Y29" s="29" t="e">
        <f>$AC$16/#REF!</f>
        <v>#REF!</v>
      </c>
      <c r="Z29" s="29" t="e">
        <f>$AC$16/#REF!</f>
        <v>#REF!</v>
      </c>
      <c r="AA29" s="29" t="e">
        <f>$AC$16/#REF!</f>
        <v>#REF!</v>
      </c>
      <c r="AB29" s="29" t="e">
        <f>$AC$16/#REF!</f>
        <v>#REF!</v>
      </c>
      <c r="AC29" s="29" t="e">
        <f>$AC$16/#REF!</f>
        <v>#REF!</v>
      </c>
    </row>
    <row r="30" spans="1:29" ht="15.75" thickBot="1" x14ac:dyDescent="0.3">
      <c r="A30" s="293"/>
      <c r="B30" s="67" t="s">
        <v>29</v>
      </c>
      <c r="C30" s="67"/>
      <c r="D30" s="68"/>
      <c r="E30" s="73">
        <f t="shared" ref="E30:AC30" si="15">SUM(E29:E29)</f>
        <v>353700</v>
      </c>
      <c r="F30" s="73">
        <f t="shared" si="15"/>
        <v>233100</v>
      </c>
      <c r="G30" s="73">
        <f t="shared" si="15"/>
        <v>192600</v>
      </c>
      <c r="H30" s="73">
        <f t="shared" si="15"/>
        <v>252000</v>
      </c>
      <c r="I30" s="73">
        <f t="shared" si="15"/>
        <v>224100</v>
      </c>
      <c r="J30" s="73">
        <f t="shared" si="15"/>
        <v>205200</v>
      </c>
      <c r="K30" s="73">
        <f t="shared" si="15"/>
        <v>191700</v>
      </c>
      <c r="L30" s="73">
        <f t="shared" si="15"/>
        <v>181800</v>
      </c>
      <c r="M30" s="73">
        <f t="shared" si="15"/>
        <v>174600</v>
      </c>
      <c r="N30" s="73" t="e">
        <f t="shared" si="15"/>
        <v>#REF!</v>
      </c>
      <c r="O30" s="73" t="e">
        <f t="shared" si="15"/>
        <v>#REF!</v>
      </c>
      <c r="P30" s="73" t="e">
        <f t="shared" si="15"/>
        <v>#REF!</v>
      </c>
      <c r="Q30" s="73" t="e">
        <f t="shared" si="15"/>
        <v>#REF!</v>
      </c>
      <c r="R30" s="73" t="e">
        <f t="shared" si="15"/>
        <v>#REF!</v>
      </c>
      <c r="S30" s="73" t="e">
        <f t="shared" si="15"/>
        <v>#REF!</v>
      </c>
      <c r="T30" s="73" t="e">
        <f t="shared" si="15"/>
        <v>#REF!</v>
      </c>
      <c r="U30" s="73" t="e">
        <f t="shared" si="15"/>
        <v>#REF!</v>
      </c>
      <c r="V30" s="73" t="e">
        <f t="shared" si="15"/>
        <v>#REF!</v>
      </c>
      <c r="W30" s="73" t="e">
        <f t="shared" si="15"/>
        <v>#REF!</v>
      </c>
      <c r="X30" s="73" t="e">
        <f t="shared" si="15"/>
        <v>#REF!</v>
      </c>
      <c r="Y30" s="73" t="e">
        <f t="shared" si="15"/>
        <v>#REF!</v>
      </c>
      <c r="Z30" s="73" t="e">
        <f t="shared" si="15"/>
        <v>#REF!</v>
      </c>
      <c r="AA30" s="73" t="e">
        <f t="shared" si="15"/>
        <v>#REF!</v>
      </c>
      <c r="AB30" s="73" t="e">
        <f t="shared" si="15"/>
        <v>#REF!</v>
      </c>
      <c r="AC30" s="73" t="e">
        <f t="shared" si="15"/>
        <v>#REF!</v>
      </c>
    </row>
    <row r="31" spans="1:29" ht="15" customHeight="1" x14ac:dyDescent="0.25">
      <c r="A31" s="294"/>
      <c r="B31" s="173">
        <v>0.75</v>
      </c>
      <c r="C31" s="18"/>
      <c r="D31" s="152" t="s">
        <v>22</v>
      </c>
      <c r="E31" s="73">
        <f>E30/B31</f>
        <v>471600</v>
      </c>
      <c r="F31" s="73">
        <f>F30/B31</f>
        <v>310800</v>
      </c>
      <c r="G31" s="73">
        <f>G30/B31</f>
        <v>256800</v>
      </c>
      <c r="H31" s="73">
        <f>H30/B31</f>
        <v>336000</v>
      </c>
      <c r="I31" s="73">
        <f>I30/B31</f>
        <v>298800</v>
      </c>
      <c r="J31" s="73">
        <f>J30/B31</f>
        <v>273600</v>
      </c>
      <c r="K31" s="73">
        <f>K30/B31</f>
        <v>255600</v>
      </c>
      <c r="L31" s="73">
        <f>L30/B31</f>
        <v>242400</v>
      </c>
      <c r="M31" s="73">
        <f>M30/B31</f>
        <v>232800</v>
      </c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</row>
    <row r="32" spans="1:29" x14ac:dyDescent="0.25">
      <c r="A32" s="189"/>
      <c r="B32" s="174"/>
      <c r="C32" s="19"/>
      <c r="D32" s="162" t="s">
        <v>23</v>
      </c>
      <c r="E32" s="163">
        <f>_xlfn.CEILING.MATH(E31,1000)</f>
        <v>472000</v>
      </c>
      <c r="F32" s="163">
        <f>_xlfn.CEILING.MATH(F31,1000)</f>
        <v>311000</v>
      </c>
      <c r="G32" s="163">
        <f t="shared" ref="G32:M32" si="16">_xlfn.CEILING.MATH(G31,1000)</f>
        <v>257000</v>
      </c>
      <c r="H32" s="163">
        <f t="shared" si="16"/>
        <v>336000</v>
      </c>
      <c r="I32" s="163">
        <f t="shared" si="16"/>
        <v>299000</v>
      </c>
      <c r="J32" s="163">
        <f t="shared" si="16"/>
        <v>274000</v>
      </c>
      <c r="K32" s="163">
        <f t="shared" si="16"/>
        <v>256000</v>
      </c>
      <c r="L32" s="163">
        <f t="shared" si="16"/>
        <v>243000</v>
      </c>
      <c r="M32" s="163">
        <f t="shared" si="16"/>
        <v>233000</v>
      </c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2"/>
      <c r="Y32" s="22"/>
      <c r="Z32" s="22"/>
      <c r="AA32" s="22"/>
      <c r="AB32" s="22"/>
      <c r="AC32" s="23"/>
    </row>
    <row r="33" spans="1:29" x14ac:dyDescent="0.25">
      <c r="A33" s="191"/>
      <c r="B33" s="198"/>
      <c r="C33" s="198"/>
      <c r="D33" s="199"/>
      <c r="E33" s="167"/>
      <c r="F33" s="167"/>
      <c r="G33" s="167"/>
      <c r="H33" s="167"/>
      <c r="I33" s="167"/>
      <c r="J33" s="167"/>
      <c r="K33" s="167"/>
      <c r="L33" s="167"/>
      <c r="M33" s="167"/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22"/>
      <c r="Y33" s="22"/>
      <c r="Z33" s="22"/>
      <c r="AA33" s="22"/>
      <c r="AB33" s="22"/>
      <c r="AC33" s="23"/>
    </row>
    <row r="34" spans="1:29" x14ac:dyDescent="0.25">
      <c r="A34" s="223" t="s">
        <v>52</v>
      </c>
      <c r="B34" s="23" t="s">
        <v>53</v>
      </c>
    </row>
    <row r="35" spans="1:29" x14ac:dyDescent="0.25">
      <c r="A35" s="224" t="s">
        <v>54</v>
      </c>
      <c r="B35" s="23" t="s">
        <v>55</v>
      </c>
    </row>
    <row r="36" spans="1:29" x14ac:dyDescent="0.25">
      <c r="A36" s="225" t="s">
        <v>56</v>
      </c>
      <c r="B36" s="23" t="s">
        <v>57</v>
      </c>
    </row>
    <row r="37" spans="1:29" x14ac:dyDescent="0.25">
      <c r="A37" s="226" t="s">
        <v>58</v>
      </c>
      <c r="B37" s="23" t="s">
        <v>59</v>
      </c>
    </row>
    <row r="39" spans="1:29" ht="15.75" customHeight="1" x14ac:dyDescent="0.25"/>
    <row r="40" spans="1:29" ht="15.75" customHeight="1" x14ac:dyDescent="0.25"/>
    <row r="41" spans="1:29" ht="15.75" customHeight="1" x14ac:dyDescent="0.25"/>
    <row r="42" spans="1:29" ht="15.75" customHeight="1" x14ac:dyDescent="0.25"/>
    <row r="43" spans="1:29" ht="15.75" customHeight="1" x14ac:dyDescent="0.25"/>
    <row r="44" spans="1:29" ht="15.75" customHeight="1" x14ac:dyDescent="0.25"/>
    <row r="45" spans="1:29" ht="15.75" customHeight="1" x14ac:dyDescent="0.25"/>
    <row r="46" spans="1:29" ht="15.75" customHeight="1" x14ac:dyDescent="0.25"/>
    <row r="47" spans="1:29" ht="15.75" customHeight="1" x14ac:dyDescent="0.25"/>
    <row r="48" spans="1:2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mergeCells count="20">
    <mergeCell ref="E28:F28"/>
    <mergeCell ref="H28:L28"/>
    <mergeCell ref="N28:Q28"/>
    <mergeCell ref="S28:AB28"/>
    <mergeCell ref="A29:A31"/>
    <mergeCell ref="A23:A25"/>
    <mergeCell ref="H1:L1"/>
    <mergeCell ref="A3:A6"/>
    <mergeCell ref="J9:L9"/>
    <mergeCell ref="U9:X9"/>
    <mergeCell ref="A10:A13"/>
    <mergeCell ref="E16:F16"/>
    <mergeCell ref="H16:L16"/>
    <mergeCell ref="N16:Q16"/>
    <mergeCell ref="S16:AB16"/>
    <mergeCell ref="A17:A19"/>
    <mergeCell ref="E22:F22"/>
    <mergeCell ref="H22:L22"/>
    <mergeCell ref="N22:Q22"/>
    <mergeCell ref="S22:AB2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C1003"/>
  <sheetViews>
    <sheetView workbookViewId="0"/>
  </sheetViews>
  <sheetFormatPr baseColWidth="10" defaultColWidth="14.42578125" defaultRowHeight="15" customHeight="1" x14ac:dyDescent="0.25"/>
  <cols>
    <col min="1" max="1" width="13.85546875" customWidth="1"/>
    <col min="2" max="2" width="18" customWidth="1"/>
    <col min="3" max="3" width="15.28515625" customWidth="1"/>
    <col min="4" max="4" width="13.7109375" customWidth="1"/>
    <col min="5" max="5" width="11.7109375" customWidth="1"/>
    <col min="6" max="7" width="9.42578125" customWidth="1"/>
    <col min="8" max="8" width="11.7109375" customWidth="1"/>
    <col min="9" max="44" width="10.7109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253" t="s">
        <v>4</v>
      </c>
      <c r="F1" s="254"/>
      <c r="G1" s="3"/>
      <c r="H1" s="265" t="s">
        <v>89</v>
      </c>
      <c r="I1" s="254"/>
      <c r="J1" s="4"/>
      <c r="K1" s="304" t="s">
        <v>5</v>
      </c>
      <c r="L1" s="254"/>
      <c r="M1" s="76"/>
      <c r="N1" s="259" t="s">
        <v>104</v>
      </c>
      <c r="O1" s="258"/>
      <c r="P1" s="258"/>
      <c r="Q1" s="258"/>
      <c r="R1" s="6"/>
      <c r="S1" s="212" t="s">
        <v>36</v>
      </c>
      <c r="T1" s="216"/>
      <c r="U1" s="229">
        <v>140000</v>
      </c>
      <c r="V1" s="216"/>
      <c r="W1" s="216"/>
      <c r="X1" s="216"/>
      <c r="Y1" s="229">
        <v>200000</v>
      </c>
      <c r="Z1" s="216"/>
      <c r="AA1" s="216"/>
      <c r="AB1" s="217"/>
      <c r="AC1" s="221"/>
    </row>
    <row r="2" spans="1:29" x14ac:dyDescent="0.25">
      <c r="A2" s="77" t="s">
        <v>143</v>
      </c>
      <c r="B2" s="78"/>
      <c r="C2" s="78"/>
      <c r="D2" s="79"/>
      <c r="E2" s="7" t="s">
        <v>9</v>
      </c>
      <c r="F2" s="7" t="s">
        <v>62</v>
      </c>
      <c r="G2" s="7" t="s">
        <v>63</v>
      </c>
      <c r="H2" s="7" t="s">
        <v>64</v>
      </c>
      <c r="I2" s="7" t="s">
        <v>65</v>
      </c>
      <c r="J2" s="7" t="s">
        <v>66</v>
      </c>
      <c r="K2" s="7" t="s">
        <v>67</v>
      </c>
      <c r="L2" s="7" t="s">
        <v>68</v>
      </c>
      <c r="M2" s="7" t="s">
        <v>69</v>
      </c>
      <c r="N2" s="7" t="s">
        <v>70</v>
      </c>
      <c r="O2" s="7" t="s">
        <v>71</v>
      </c>
      <c r="P2" s="7" t="s">
        <v>72</v>
      </c>
      <c r="Q2" s="7" t="s">
        <v>73</v>
      </c>
      <c r="R2" s="7" t="s">
        <v>74</v>
      </c>
      <c r="S2" s="7" t="s">
        <v>75</v>
      </c>
      <c r="T2" s="7" t="s">
        <v>76</v>
      </c>
      <c r="U2" s="7" t="s">
        <v>77</v>
      </c>
      <c r="V2" s="7" t="s">
        <v>78</v>
      </c>
      <c r="W2" s="7" t="s">
        <v>79</v>
      </c>
      <c r="X2" s="7" t="s">
        <v>80</v>
      </c>
      <c r="Y2" s="7" t="s">
        <v>81</v>
      </c>
      <c r="Z2" s="7" t="s">
        <v>82</v>
      </c>
      <c r="AA2" s="7" t="s">
        <v>83</v>
      </c>
      <c r="AB2" s="7" t="s">
        <v>84</v>
      </c>
      <c r="AC2" s="7" t="s">
        <v>85</v>
      </c>
    </row>
    <row r="3" spans="1:29" ht="25.5" x14ac:dyDescent="0.25">
      <c r="A3" s="301" t="s">
        <v>144</v>
      </c>
      <c r="B3" s="234" t="s">
        <v>145</v>
      </c>
      <c r="C3" s="144" t="s">
        <v>146</v>
      </c>
      <c r="D3" s="80" t="s">
        <v>20</v>
      </c>
      <c r="E3" s="81">
        <v>102000</v>
      </c>
      <c r="F3" s="88">
        <f t="shared" ref="F3:M3" si="0">E3</f>
        <v>102000</v>
      </c>
      <c r="G3" s="88">
        <f t="shared" si="0"/>
        <v>102000</v>
      </c>
      <c r="H3" s="88">
        <f t="shared" si="0"/>
        <v>102000</v>
      </c>
      <c r="I3" s="88">
        <f t="shared" si="0"/>
        <v>102000</v>
      </c>
      <c r="J3" s="88">
        <f t="shared" si="0"/>
        <v>102000</v>
      </c>
      <c r="K3" s="88">
        <f t="shared" si="0"/>
        <v>102000</v>
      </c>
      <c r="L3" s="88">
        <f t="shared" si="0"/>
        <v>102000</v>
      </c>
      <c r="M3" s="88">
        <f t="shared" si="0"/>
        <v>102000</v>
      </c>
      <c r="N3" s="81">
        <v>90000</v>
      </c>
      <c r="O3" s="88">
        <f t="shared" ref="O3:AC3" si="1">N3</f>
        <v>90000</v>
      </c>
      <c r="P3" s="88">
        <f t="shared" si="1"/>
        <v>90000</v>
      </c>
      <c r="Q3" s="88">
        <f t="shared" si="1"/>
        <v>90000</v>
      </c>
      <c r="R3" s="88">
        <f t="shared" si="1"/>
        <v>90000</v>
      </c>
      <c r="S3" s="88">
        <f t="shared" si="1"/>
        <v>90000</v>
      </c>
      <c r="T3" s="88">
        <f t="shared" si="1"/>
        <v>90000</v>
      </c>
      <c r="U3" s="88">
        <f t="shared" si="1"/>
        <v>90000</v>
      </c>
      <c r="V3" s="88">
        <f t="shared" si="1"/>
        <v>90000</v>
      </c>
      <c r="W3" s="88">
        <f t="shared" si="1"/>
        <v>90000</v>
      </c>
      <c r="X3" s="88">
        <f t="shared" si="1"/>
        <v>90000</v>
      </c>
      <c r="Y3" s="88">
        <f t="shared" si="1"/>
        <v>90000</v>
      </c>
      <c r="Z3" s="88">
        <f t="shared" si="1"/>
        <v>90000</v>
      </c>
      <c r="AA3" s="88">
        <f t="shared" si="1"/>
        <v>90000</v>
      </c>
      <c r="AB3" s="88">
        <f t="shared" si="1"/>
        <v>90000</v>
      </c>
      <c r="AC3" s="88">
        <f t="shared" si="1"/>
        <v>90000</v>
      </c>
    </row>
    <row r="4" spans="1:29" x14ac:dyDescent="0.25">
      <c r="A4" s="302"/>
      <c r="B4" s="90" t="s">
        <v>147</v>
      </c>
      <c r="C4" s="91" t="s">
        <v>27</v>
      </c>
      <c r="D4" s="92" t="s">
        <v>28</v>
      </c>
      <c r="E4" s="93">
        <v>50000</v>
      </c>
      <c r="F4" s="88">
        <f t="shared" ref="F4:AC4" si="2">E4</f>
        <v>50000</v>
      </c>
      <c r="G4" s="88">
        <f t="shared" si="2"/>
        <v>50000</v>
      </c>
      <c r="H4" s="88">
        <f t="shared" si="2"/>
        <v>50000</v>
      </c>
      <c r="I4" s="88">
        <f t="shared" si="2"/>
        <v>50000</v>
      </c>
      <c r="J4" s="88">
        <f t="shared" si="2"/>
        <v>50000</v>
      </c>
      <c r="K4" s="88">
        <f t="shared" si="2"/>
        <v>50000</v>
      </c>
      <c r="L4" s="88">
        <f t="shared" si="2"/>
        <v>50000</v>
      </c>
      <c r="M4" s="88">
        <f t="shared" si="2"/>
        <v>50000</v>
      </c>
      <c r="N4" s="88">
        <f t="shared" si="2"/>
        <v>50000</v>
      </c>
      <c r="O4" s="88">
        <f t="shared" si="2"/>
        <v>50000</v>
      </c>
      <c r="P4" s="88">
        <f t="shared" si="2"/>
        <v>50000</v>
      </c>
      <c r="Q4" s="88">
        <f t="shared" si="2"/>
        <v>50000</v>
      </c>
      <c r="R4" s="88">
        <f t="shared" si="2"/>
        <v>50000</v>
      </c>
      <c r="S4" s="88">
        <f t="shared" si="2"/>
        <v>50000</v>
      </c>
      <c r="T4" s="88">
        <f t="shared" si="2"/>
        <v>50000</v>
      </c>
      <c r="U4" s="88">
        <f t="shared" si="2"/>
        <v>50000</v>
      </c>
      <c r="V4" s="88">
        <f t="shared" si="2"/>
        <v>50000</v>
      </c>
      <c r="W4" s="88">
        <f t="shared" si="2"/>
        <v>50000</v>
      </c>
      <c r="X4" s="88">
        <f t="shared" si="2"/>
        <v>50000</v>
      </c>
      <c r="Y4" s="88">
        <f t="shared" si="2"/>
        <v>50000</v>
      </c>
      <c r="Z4" s="88">
        <f t="shared" si="2"/>
        <v>50000</v>
      </c>
      <c r="AA4" s="88">
        <f t="shared" si="2"/>
        <v>50000</v>
      </c>
      <c r="AB4" s="88">
        <f t="shared" si="2"/>
        <v>50000</v>
      </c>
      <c r="AC4" s="88">
        <f t="shared" si="2"/>
        <v>50000</v>
      </c>
    </row>
    <row r="5" spans="1:29" x14ac:dyDescent="0.25">
      <c r="A5" s="95"/>
      <c r="B5" s="67" t="s">
        <v>29</v>
      </c>
      <c r="C5" s="67"/>
      <c r="D5" s="68"/>
      <c r="E5" s="97">
        <f t="shared" ref="E5:AC5" si="3">SUM(E3:E4)</f>
        <v>152000</v>
      </c>
      <c r="F5" s="97">
        <f t="shared" si="3"/>
        <v>152000</v>
      </c>
      <c r="G5" s="97">
        <f t="shared" si="3"/>
        <v>152000</v>
      </c>
      <c r="H5" s="97">
        <f t="shared" si="3"/>
        <v>152000</v>
      </c>
      <c r="I5" s="97">
        <f t="shared" si="3"/>
        <v>152000</v>
      </c>
      <c r="J5" s="97">
        <f t="shared" si="3"/>
        <v>152000</v>
      </c>
      <c r="K5" s="97">
        <f t="shared" si="3"/>
        <v>152000</v>
      </c>
      <c r="L5" s="97">
        <f t="shared" si="3"/>
        <v>152000</v>
      </c>
      <c r="M5" s="97">
        <f t="shared" si="3"/>
        <v>152000</v>
      </c>
      <c r="N5" s="97">
        <f t="shared" si="3"/>
        <v>140000</v>
      </c>
      <c r="O5" s="97">
        <f t="shared" si="3"/>
        <v>140000</v>
      </c>
      <c r="P5" s="97">
        <f t="shared" si="3"/>
        <v>140000</v>
      </c>
      <c r="Q5" s="97">
        <f t="shared" si="3"/>
        <v>140000</v>
      </c>
      <c r="R5" s="97">
        <f t="shared" si="3"/>
        <v>140000</v>
      </c>
      <c r="S5" s="97">
        <f t="shared" si="3"/>
        <v>140000</v>
      </c>
      <c r="T5" s="97">
        <f t="shared" si="3"/>
        <v>140000</v>
      </c>
      <c r="U5" s="97">
        <f t="shared" si="3"/>
        <v>140000</v>
      </c>
      <c r="V5" s="97">
        <f t="shared" si="3"/>
        <v>140000</v>
      </c>
      <c r="W5" s="97">
        <f t="shared" si="3"/>
        <v>140000</v>
      </c>
      <c r="X5" s="97">
        <f t="shared" si="3"/>
        <v>140000</v>
      </c>
      <c r="Y5" s="97">
        <f t="shared" si="3"/>
        <v>140000</v>
      </c>
      <c r="Z5" s="97">
        <f t="shared" si="3"/>
        <v>140000</v>
      </c>
      <c r="AA5" s="97">
        <f t="shared" si="3"/>
        <v>140000</v>
      </c>
      <c r="AB5" s="97">
        <f t="shared" si="3"/>
        <v>140000</v>
      </c>
      <c r="AC5" s="97">
        <f t="shared" si="3"/>
        <v>140000</v>
      </c>
    </row>
    <row r="6" spans="1:29" x14ac:dyDescent="0.25">
      <c r="A6" s="21"/>
      <c r="B6" s="99"/>
      <c r="C6" s="113"/>
      <c r="D6" s="113"/>
      <c r="E6" s="123"/>
      <c r="F6" s="123"/>
      <c r="G6" s="124"/>
      <c r="H6" s="124"/>
    </row>
    <row r="7" spans="1:29" ht="30" x14ac:dyDescent="0.25">
      <c r="A7" s="1" t="s">
        <v>0</v>
      </c>
      <c r="B7" s="1" t="s">
        <v>1</v>
      </c>
      <c r="C7" s="1" t="s">
        <v>2</v>
      </c>
      <c r="D7" s="1" t="s">
        <v>3</v>
      </c>
      <c r="E7" s="125">
        <v>190000</v>
      </c>
      <c r="F7" s="2">
        <v>90000</v>
      </c>
      <c r="G7" s="3">
        <v>320000</v>
      </c>
      <c r="H7" s="265" t="s">
        <v>89</v>
      </c>
      <c r="I7" s="254"/>
      <c r="J7" s="4">
        <v>110000</v>
      </c>
      <c r="K7" s="219" t="s">
        <v>46</v>
      </c>
      <c r="L7" s="126"/>
      <c r="M7" s="76"/>
      <c r="N7" s="76"/>
      <c r="O7" s="127">
        <v>100000</v>
      </c>
      <c r="P7" s="76">
        <v>90000</v>
      </c>
      <c r="Q7" s="214"/>
      <c r="R7" s="6"/>
      <c r="S7" s="6"/>
      <c r="T7" s="6"/>
      <c r="U7" s="6"/>
      <c r="V7" s="6"/>
      <c r="W7" s="6">
        <v>60000</v>
      </c>
      <c r="X7" s="216"/>
      <c r="Y7" s="216"/>
      <c r="Z7" s="216"/>
      <c r="AA7" s="216"/>
      <c r="AB7" s="217"/>
      <c r="AC7" s="221">
        <v>50000</v>
      </c>
    </row>
    <row r="8" spans="1:29" ht="30" x14ac:dyDescent="0.25">
      <c r="A8" s="298" t="s">
        <v>148</v>
      </c>
      <c r="B8" s="235" t="s">
        <v>149</v>
      </c>
      <c r="C8" s="128" t="s">
        <v>150</v>
      </c>
      <c r="D8" s="129" t="s">
        <v>13</v>
      </c>
      <c r="E8" s="130">
        <f>$E$7/E2</f>
        <v>190000</v>
      </c>
      <c r="F8" s="29">
        <f>$G$7/F2</f>
        <v>160000</v>
      </c>
      <c r="G8" s="29">
        <f>$G$7/F2</f>
        <v>160000</v>
      </c>
      <c r="H8" s="29">
        <f>J7</f>
        <v>110000</v>
      </c>
      <c r="I8" s="29">
        <f>J7</f>
        <v>110000</v>
      </c>
      <c r="J8" s="29">
        <f>J7</f>
        <v>110000</v>
      </c>
      <c r="K8" s="29">
        <f>P7</f>
        <v>90000</v>
      </c>
      <c r="L8" s="29">
        <f>P7</f>
        <v>90000</v>
      </c>
      <c r="M8" s="29">
        <f>P7</f>
        <v>90000</v>
      </c>
      <c r="N8" s="29">
        <f>P7</f>
        <v>90000</v>
      </c>
      <c r="O8" s="29">
        <f>P7</f>
        <v>90000</v>
      </c>
      <c r="P8" s="29">
        <f>P7</f>
        <v>90000</v>
      </c>
      <c r="Q8" s="29">
        <f>W7</f>
        <v>60000</v>
      </c>
      <c r="R8" s="29">
        <f>W7</f>
        <v>60000</v>
      </c>
      <c r="S8" s="29">
        <f>W7</f>
        <v>60000</v>
      </c>
      <c r="T8" s="29">
        <f>W7</f>
        <v>60000</v>
      </c>
      <c r="U8" s="29">
        <f>W7</f>
        <v>60000</v>
      </c>
      <c r="V8" s="29">
        <f>W7</f>
        <v>60000</v>
      </c>
      <c r="W8" s="29">
        <f>W7</f>
        <v>60000</v>
      </c>
      <c r="X8" s="82">
        <f>AC7</f>
        <v>50000</v>
      </c>
      <c r="Y8" s="82">
        <f>AC7</f>
        <v>50000</v>
      </c>
      <c r="Z8" s="82">
        <f>AC7</f>
        <v>50000</v>
      </c>
      <c r="AA8" s="82">
        <f>AC7</f>
        <v>50000</v>
      </c>
      <c r="AB8" s="82">
        <f>AC7</f>
        <v>50000</v>
      </c>
      <c r="AC8" s="82">
        <f>AC7</f>
        <v>50000</v>
      </c>
    </row>
    <row r="9" spans="1:29" x14ac:dyDescent="0.25">
      <c r="A9" s="299"/>
      <c r="B9" s="131" t="s">
        <v>151</v>
      </c>
      <c r="C9" s="132" t="s">
        <v>16</v>
      </c>
      <c r="D9" s="133" t="s">
        <v>16</v>
      </c>
      <c r="E9" s="29">
        <f t="shared" ref="E9:N9" si="4">$F$7/E2</f>
        <v>90000</v>
      </c>
      <c r="F9" s="29">
        <f t="shared" si="4"/>
        <v>45000</v>
      </c>
      <c r="G9" s="29">
        <f t="shared" si="4"/>
        <v>30000</v>
      </c>
      <c r="H9" s="29">
        <f t="shared" si="4"/>
        <v>22500</v>
      </c>
      <c r="I9" s="29">
        <f t="shared" si="4"/>
        <v>18000</v>
      </c>
      <c r="J9" s="29">
        <f t="shared" si="4"/>
        <v>15000</v>
      </c>
      <c r="K9" s="29">
        <f t="shared" si="4"/>
        <v>12857.142857142857</v>
      </c>
      <c r="L9" s="29">
        <f t="shared" si="4"/>
        <v>11250</v>
      </c>
      <c r="M9" s="29">
        <f t="shared" si="4"/>
        <v>10000</v>
      </c>
      <c r="N9" s="29">
        <f t="shared" si="4"/>
        <v>9000</v>
      </c>
      <c r="O9" s="29">
        <f t="shared" ref="O9:T9" si="5">$O$7/O2</f>
        <v>9090.9090909090901</v>
      </c>
      <c r="P9" s="29">
        <f t="shared" si="5"/>
        <v>8333.3333333333339</v>
      </c>
      <c r="Q9" s="29">
        <f t="shared" si="5"/>
        <v>7692.3076923076924</v>
      </c>
      <c r="R9" s="29">
        <f t="shared" si="5"/>
        <v>7142.8571428571431</v>
      </c>
      <c r="S9" s="29">
        <f t="shared" si="5"/>
        <v>6666.666666666667</v>
      </c>
      <c r="T9" s="29">
        <f t="shared" si="5"/>
        <v>6250</v>
      </c>
      <c r="U9" s="29">
        <f t="shared" ref="U9:X9" si="6">$U$1/U2</f>
        <v>8235.2941176470595</v>
      </c>
      <c r="V9" s="29">
        <f t="shared" si="6"/>
        <v>7777.7777777777774</v>
      </c>
      <c r="W9" s="29">
        <f t="shared" si="6"/>
        <v>7368.4210526315792</v>
      </c>
      <c r="X9" s="29">
        <f t="shared" si="6"/>
        <v>7000</v>
      </c>
      <c r="Y9" s="134">
        <f t="shared" ref="Y9:AC9" si="7">$Y$1/Y2</f>
        <v>9523.8095238095229</v>
      </c>
      <c r="Z9" s="134">
        <f t="shared" si="7"/>
        <v>9090.9090909090901</v>
      </c>
      <c r="AA9" s="134">
        <f t="shared" si="7"/>
        <v>8695.652173913044</v>
      </c>
      <c r="AB9" s="134">
        <f t="shared" si="7"/>
        <v>8333.3333333333339</v>
      </c>
      <c r="AC9" s="134">
        <f t="shared" si="7"/>
        <v>8000</v>
      </c>
    </row>
    <row r="10" spans="1:29" ht="30" x14ac:dyDescent="0.25">
      <c r="A10" s="299"/>
      <c r="B10" s="135" t="s">
        <v>152</v>
      </c>
      <c r="C10" s="136" t="s">
        <v>153</v>
      </c>
      <c r="D10" s="137" t="s">
        <v>13</v>
      </c>
      <c r="E10" s="138">
        <v>9000</v>
      </c>
      <c r="F10" s="88">
        <f t="shared" ref="F10:AC10" si="8">E10</f>
        <v>9000</v>
      </c>
      <c r="G10" s="88">
        <f t="shared" si="8"/>
        <v>9000</v>
      </c>
      <c r="H10" s="88">
        <f t="shared" si="8"/>
        <v>9000</v>
      </c>
      <c r="I10" s="88">
        <f t="shared" si="8"/>
        <v>9000</v>
      </c>
      <c r="J10" s="88">
        <f t="shared" si="8"/>
        <v>9000</v>
      </c>
      <c r="K10" s="88">
        <f t="shared" si="8"/>
        <v>9000</v>
      </c>
      <c r="L10" s="88">
        <f t="shared" si="8"/>
        <v>9000</v>
      </c>
      <c r="M10" s="88">
        <f t="shared" si="8"/>
        <v>9000</v>
      </c>
      <c r="N10" s="88">
        <f t="shared" si="8"/>
        <v>9000</v>
      </c>
      <c r="O10" s="88">
        <f t="shared" si="8"/>
        <v>9000</v>
      </c>
      <c r="P10" s="88">
        <f t="shared" si="8"/>
        <v>9000</v>
      </c>
      <c r="Q10" s="88">
        <f t="shared" si="8"/>
        <v>9000</v>
      </c>
      <c r="R10" s="88">
        <f t="shared" si="8"/>
        <v>9000</v>
      </c>
      <c r="S10" s="88">
        <f t="shared" si="8"/>
        <v>9000</v>
      </c>
      <c r="T10" s="88">
        <f t="shared" si="8"/>
        <v>9000</v>
      </c>
      <c r="U10" s="88">
        <f t="shared" si="8"/>
        <v>9000</v>
      </c>
      <c r="V10" s="88">
        <f t="shared" si="8"/>
        <v>9000</v>
      </c>
      <c r="W10" s="88">
        <f t="shared" si="8"/>
        <v>9000</v>
      </c>
      <c r="X10" s="88">
        <f t="shared" si="8"/>
        <v>9000</v>
      </c>
      <c r="Y10" s="88">
        <f t="shared" si="8"/>
        <v>9000</v>
      </c>
      <c r="Z10" s="88">
        <f t="shared" si="8"/>
        <v>9000</v>
      </c>
      <c r="AA10" s="88">
        <f t="shared" si="8"/>
        <v>9000</v>
      </c>
      <c r="AB10" s="88">
        <f t="shared" si="8"/>
        <v>9000</v>
      </c>
      <c r="AC10" s="88">
        <f t="shared" si="8"/>
        <v>9000</v>
      </c>
    </row>
    <row r="11" spans="1:29" x14ac:dyDescent="0.25">
      <c r="A11" s="300"/>
      <c r="B11" s="67" t="s">
        <v>29</v>
      </c>
      <c r="C11" s="67"/>
      <c r="D11" s="67"/>
      <c r="E11" s="139">
        <f t="shared" ref="E11:AC11" si="9">SUM(E8:E10)</f>
        <v>289000</v>
      </c>
      <c r="F11" s="139">
        <f t="shared" si="9"/>
        <v>214000</v>
      </c>
      <c r="G11" s="139">
        <f t="shared" si="9"/>
        <v>199000</v>
      </c>
      <c r="H11" s="139">
        <f t="shared" si="9"/>
        <v>141500</v>
      </c>
      <c r="I11" s="139">
        <f t="shared" si="9"/>
        <v>137000</v>
      </c>
      <c r="J11" s="139">
        <f t="shared" si="9"/>
        <v>134000</v>
      </c>
      <c r="K11" s="139">
        <f t="shared" si="9"/>
        <v>111857.14285714286</v>
      </c>
      <c r="L11" s="139">
        <f t="shared" si="9"/>
        <v>110250</v>
      </c>
      <c r="M11" s="139">
        <f t="shared" si="9"/>
        <v>109000</v>
      </c>
      <c r="N11" s="139">
        <f t="shared" si="9"/>
        <v>108000</v>
      </c>
      <c r="O11" s="139">
        <f t="shared" si="9"/>
        <v>108090.90909090909</v>
      </c>
      <c r="P11" s="139">
        <f t="shared" si="9"/>
        <v>107333.33333333333</v>
      </c>
      <c r="Q11" s="139">
        <f t="shared" si="9"/>
        <v>76692.307692307688</v>
      </c>
      <c r="R11" s="139">
        <f t="shared" si="9"/>
        <v>76142.857142857145</v>
      </c>
      <c r="S11" s="139">
        <f t="shared" si="9"/>
        <v>75666.666666666672</v>
      </c>
      <c r="T11" s="139">
        <f t="shared" si="9"/>
        <v>75250</v>
      </c>
      <c r="U11" s="139">
        <f t="shared" si="9"/>
        <v>77235.294117647063</v>
      </c>
      <c r="V11" s="139">
        <f t="shared" si="9"/>
        <v>76777.777777777781</v>
      </c>
      <c r="W11" s="139">
        <f t="shared" si="9"/>
        <v>76368.421052631573</v>
      </c>
      <c r="X11" s="139">
        <f t="shared" si="9"/>
        <v>66000</v>
      </c>
      <c r="Y11" s="139">
        <f t="shared" si="9"/>
        <v>68523.809523809527</v>
      </c>
      <c r="Z11" s="139">
        <f t="shared" si="9"/>
        <v>68090.909090909088</v>
      </c>
      <c r="AA11" s="139">
        <f t="shared" si="9"/>
        <v>67695.65217391304</v>
      </c>
      <c r="AB11" s="139">
        <f t="shared" si="9"/>
        <v>67333.333333333343</v>
      </c>
      <c r="AC11" s="139">
        <f t="shared" si="9"/>
        <v>67000</v>
      </c>
    </row>
    <row r="12" spans="1:29" x14ac:dyDescent="0.25">
      <c r="A12" s="140"/>
      <c r="B12" s="113"/>
      <c r="C12" s="113"/>
      <c r="D12" s="113"/>
      <c r="E12" s="141"/>
      <c r="F12" s="141"/>
      <c r="G12" s="142"/>
      <c r="H12" s="142"/>
    </row>
    <row r="13" spans="1:29" ht="30" x14ac:dyDescent="0.25">
      <c r="A13" s="143" t="s">
        <v>0</v>
      </c>
      <c r="B13" s="1" t="s">
        <v>1</v>
      </c>
      <c r="C13" s="1" t="s">
        <v>2</v>
      </c>
      <c r="D13" s="1" t="s">
        <v>3</v>
      </c>
      <c r="E13" s="211" t="s">
        <v>4</v>
      </c>
      <c r="F13" s="2">
        <v>180000</v>
      </c>
      <c r="G13" s="3">
        <f>38000*3</f>
        <v>114000</v>
      </c>
      <c r="H13" s="265" t="s">
        <v>89</v>
      </c>
      <c r="I13" s="254"/>
      <c r="J13" s="4">
        <f>72000*3</f>
        <v>216000</v>
      </c>
      <c r="K13" s="304" t="s">
        <v>5</v>
      </c>
      <c r="L13" s="254"/>
      <c r="M13" s="76">
        <f>65000*3</f>
        <v>195000</v>
      </c>
      <c r="N13" s="259" t="s">
        <v>104</v>
      </c>
      <c r="O13" s="258"/>
      <c r="P13" s="258"/>
      <c r="Q13" s="258"/>
      <c r="R13" s="6">
        <f>79000*3</f>
        <v>237000</v>
      </c>
      <c r="S13" s="257" t="s">
        <v>36</v>
      </c>
      <c r="T13" s="258"/>
      <c r="U13" s="258"/>
      <c r="V13" s="258"/>
      <c r="W13" s="258"/>
      <c r="X13" s="258"/>
      <c r="Y13" s="258"/>
      <c r="Z13" s="258"/>
      <c r="AA13" s="258"/>
      <c r="AB13" s="254"/>
      <c r="AC13" s="221">
        <f>200000*3</f>
        <v>600000</v>
      </c>
    </row>
    <row r="14" spans="1:29" ht="25.5" x14ac:dyDescent="0.25">
      <c r="A14" s="298" t="s">
        <v>154</v>
      </c>
      <c r="B14" s="131" t="s">
        <v>145</v>
      </c>
      <c r="C14" s="144" t="s">
        <v>155</v>
      </c>
      <c r="D14" s="145" t="s">
        <v>13</v>
      </c>
      <c r="E14" s="146">
        <f>G12</f>
        <v>0</v>
      </c>
      <c r="F14" s="29">
        <f>G12/2</f>
        <v>0</v>
      </c>
      <c r="G14" s="29">
        <f>G12/3</f>
        <v>0</v>
      </c>
      <c r="H14" s="29">
        <f>J12/4</f>
        <v>0</v>
      </c>
      <c r="I14" s="29">
        <f>J12/5</f>
        <v>0</v>
      </c>
      <c r="J14" s="29">
        <f>J12/6</f>
        <v>0</v>
      </c>
      <c r="K14" s="29">
        <f>M12/7</f>
        <v>0</v>
      </c>
      <c r="L14" s="29">
        <f>M12/8</f>
        <v>0</v>
      </c>
      <c r="M14" s="29">
        <f>M12/9</f>
        <v>0</v>
      </c>
      <c r="N14" s="29">
        <f>R12/10</f>
        <v>0</v>
      </c>
      <c r="O14" s="29">
        <f>R12/11</f>
        <v>0</v>
      </c>
      <c r="P14" s="29">
        <f>R12/12</f>
        <v>0</v>
      </c>
      <c r="Q14" s="29">
        <f>R12/13</f>
        <v>0</v>
      </c>
      <c r="R14" s="29">
        <f>R12/14</f>
        <v>0</v>
      </c>
      <c r="S14" s="29">
        <f>AC12/15</f>
        <v>0</v>
      </c>
      <c r="T14" s="29">
        <f>AC12/16</f>
        <v>0</v>
      </c>
      <c r="U14" s="29">
        <f>AC12/17</f>
        <v>0</v>
      </c>
      <c r="V14" s="29">
        <f>AC12/18</f>
        <v>0</v>
      </c>
      <c r="W14" s="29">
        <f>AC12/19</f>
        <v>0</v>
      </c>
      <c r="X14" s="82">
        <f>AC12/20</f>
        <v>0</v>
      </c>
      <c r="Y14" s="82">
        <f>AC12/21</f>
        <v>0</v>
      </c>
      <c r="Z14" s="82">
        <f>AC12/22</f>
        <v>0</v>
      </c>
      <c r="AA14" s="82">
        <f>AC12/23</f>
        <v>0</v>
      </c>
      <c r="AB14" s="82">
        <f>AC12/24</f>
        <v>0</v>
      </c>
      <c r="AC14" s="82">
        <f>AC12/25</f>
        <v>0</v>
      </c>
    </row>
    <row r="15" spans="1:29" x14ac:dyDescent="0.25">
      <c r="A15" s="299"/>
      <c r="B15" s="135" t="s">
        <v>151</v>
      </c>
      <c r="C15" s="91" t="s">
        <v>16</v>
      </c>
      <c r="D15" s="147" t="s">
        <v>16</v>
      </c>
      <c r="E15" s="29">
        <f t="shared" ref="E15:AC15" si="10">$F$13/E2</f>
        <v>180000</v>
      </c>
      <c r="F15" s="29">
        <f t="shared" si="10"/>
        <v>90000</v>
      </c>
      <c r="G15" s="29">
        <f t="shared" si="10"/>
        <v>60000</v>
      </c>
      <c r="H15" s="29">
        <f t="shared" si="10"/>
        <v>45000</v>
      </c>
      <c r="I15" s="29">
        <f t="shared" si="10"/>
        <v>36000</v>
      </c>
      <c r="J15" s="29">
        <f t="shared" si="10"/>
        <v>30000</v>
      </c>
      <c r="K15" s="29">
        <f t="shared" si="10"/>
        <v>25714.285714285714</v>
      </c>
      <c r="L15" s="29">
        <f t="shared" si="10"/>
        <v>22500</v>
      </c>
      <c r="M15" s="29">
        <f t="shared" si="10"/>
        <v>20000</v>
      </c>
      <c r="N15" s="29">
        <f t="shared" si="10"/>
        <v>18000</v>
      </c>
      <c r="O15" s="29">
        <f t="shared" si="10"/>
        <v>16363.636363636364</v>
      </c>
      <c r="P15" s="29">
        <f t="shared" si="10"/>
        <v>15000</v>
      </c>
      <c r="Q15" s="29">
        <f t="shared" si="10"/>
        <v>13846.153846153846</v>
      </c>
      <c r="R15" s="29">
        <f t="shared" si="10"/>
        <v>12857.142857142857</v>
      </c>
      <c r="S15" s="29">
        <f t="shared" si="10"/>
        <v>12000</v>
      </c>
      <c r="T15" s="29">
        <f t="shared" si="10"/>
        <v>11250</v>
      </c>
      <c r="U15" s="29">
        <f t="shared" si="10"/>
        <v>10588.235294117647</v>
      </c>
      <c r="V15" s="29">
        <f t="shared" si="10"/>
        <v>10000</v>
      </c>
      <c r="W15" s="29">
        <f t="shared" si="10"/>
        <v>9473.6842105263149</v>
      </c>
      <c r="X15" s="29">
        <f t="shared" si="10"/>
        <v>9000</v>
      </c>
      <c r="Y15" s="29">
        <f t="shared" si="10"/>
        <v>8571.4285714285706</v>
      </c>
      <c r="Z15" s="29">
        <f t="shared" si="10"/>
        <v>8181.818181818182</v>
      </c>
      <c r="AA15" s="29">
        <f t="shared" si="10"/>
        <v>7826.086956521739</v>
      </c>
      <c r="AB15" s="29">
        <f t="shared" si="10"/>
        <v>7500</v>
      </c>
      <c r="AC15" s="29">
        <f t="shared" si="10"/>
        <v>7200</v>
      </c>
    </row>
    <row r="16" spans="1:29" ht="30" x14ac:dyDescent="0.25">
      <c r="A16" s="299"/>
      <c r="B16" s="236" t="s">
        <v>156</v>
      </c>
      <c r="C16" s="144" t="s">
        <v>157</v>
      </c>
      <c r="D16" s="80" t="s">
        <v>20</v>
      </c>
      <c r="E16" s="81">
        <v>65000</v>
      </c>
      <c r="F16" s="88">
        <f t="shared" ref="F16:AC16" si="11">E16</f>
        <v>65000</v>
      </c>
      <c r="G16" s="88">
        <f t="shared" si="11"/>
        <v>65000</v>
      </c>
      <c r="H16" s="88">
        <f t="shared" si="11"/>
        <v>65000</v>
      </c>
      <c r="I16" s="88">
        <f t="shared" si="11"/>
        <v>65000</v>
      </c>
      <c r="J16" s="88">
        <f t="shared" si="11"/>
        <v>65000</v>
      </c>
      <c r="K16" s="88">
        <f t="shared" si="11"/>
        <v>65000</v>
      </c>
      <c r="L16" s="88">
        <f t="shared" si="11"/>
        <v>65000</v>
      </c>
      <c r="M16" s="88">
        <f t="shared" si="11"/>
        <v>65000</v>
      </c>
      <c r="N16" s="88">
        <f t="shared" si="11"/>
        <v>65000</v>
      </c>
      <c r="O16" s="88">
        <f t="shared" si="11"/>
        <v>65000</v>
      </c>
      <c r="P16" s="88">
        <f t="shared" si="11"/>
        <v>65000</v>
      </c>
      <c r="Q16" s="88">
        <f t="shared" si="11"/>
        <v>65000</v>
      </c>
      <c r="R16" s="88">
        <f t="shared" si="11"/>
        <v>65000</v>
      </c>
      <c r="S16" s="88">
        <f t="shared" si="11"/>
        <v>65000</v>
      </c>
      <c r="T16" s="88">
        <f t="shared" si="11"/>
        <v>65000</v>
      </c>
      <c r="U16" s="88">
        <f t="shared" si="11"/>
        <v>65000</v>
      </c>
      <c r="V16" s="88">
        <f t="shared" si="11"/>
        <v>65000</v>
      </c>
      <c r="W16" s="88">
        <f t="shared" si="11"/>
        <v>65000</v>
      </c>
      <c r="X16" s="88">
        <f t="shared" si="11"/>
        <v>65000</v>
      </c>
      <c r="Y16" s="88">
        <f t="shared" si="11"/>
        <v>65000</v>
      </c>
      <c r="Z16" s="88">
        <f t="shared" si="11"/>
        <v>65000</v>
      </c>
      <c r="AA16" s="88">
        <f t="shared" si="11"/>
        <v>65000</v>
      </c>
      <c r="AB16" s="88">
        <f t="shared" si="11"/>
        <v>65000</v>
      </c>
      <c r="AC16" s="88">
        <f t="shared" si="11"/>
        <v>65000</v>
      </c>
    </row>
    <row r="17" spans="1:29" x14ac:dyDescent="0.25">
      <c r="A17" s="303"/>
      <c r="B17" s="67" t="s">
        <v>29</v>
      </c>
      <c r="C17" s="67"/>
      <c r="D17" s="67"/>
      <c r="E17" s="139">
        <v>463000</v>
      </c>
      <c r="F17" s="139">
        <v>264000</v>
      </c>
      <c r="G17" s="139">
        <v>197667</v>
      </c>
      <c r="H17" s="139">
        <v>177667</v>
      </c>
      <c r="I17" s="139">
        <v>177667</v>
      </c>
      <c r="J17" s="139">
        <v>177667</v>
      </c>
      <c r="K17" s="139">
        <v>177667</v>
      </c>
      <c r="L17" s="139">
        <v>177667</v>
      </c>
      <c r="M17" s="139">
        <v>177667</v>
      </c>
      <c r="N17" s="139">
        <v>177667</v>
      </c>
      <c r="O17" s="139">
        <v>177667</v>
      </c>
      <c r="P17" s="139">
        <v>177667</v>
      </c>
      <c r="Q17" s="139">
        <v>177667</v>
      </c>
      <c r="R17" s="139">
        <v>177667</v>
      </c>
      <c r="S17" s="139">
        <v>177667</v>
      </c>
      <c r="T17" s="139">
        <v>177667</v>
      </c>
      <c r="U17" s="139">
        <v>177667</v>
      </c>
      <c r="V17" s="139">
        <v>177667</v>
      </c>
      <c r="W17" s="139">
        <v>177667</v>
      </c>
      <c r="X17" s="139">
        <v>177667</v>
      </c>
      <c r="Y17" s="139">
        <v>177667</v>
      </c>
      <c r="Z17" s="139">
        <v>177667</v>
      </c>
      <c r="AA17" s="139">
        <v>177667</v>
      </c>
      <c r="AB17" s="139">
        <v>177667</v>
      </c>
      <c r="AC17" s="139">
        <v>177667</v>
      </c>
    </row>
    <row r="19" spans="1:29" x14ac:dyDescent="0.25">
      <c r="A19" s="143" t="s">
        <v>0</v>
      </c>
      <c r="B19" s="1" t="s">
        <v>1</v>
      </c>
      <c r="C19" s="1" t="s">
        <v>2</v>
      </c>
      <c r="D19" s="1" t="s">
        <v>3</v>
      </c>
      <c r="E19" s="48">
        <v>340000</v>
      </c>
      <c r="F19" s="2">
        <v>90000</v>
      </c>
      <c r="G19" s="3">
        <v>190000</v>
      </c>
      <c r="H19" s="265" t="s">
        <v>89</v>
      </c>
      <c r="I19" s="254"/>
      <c r="J19" s="4">
        <v>150000</v>
      </c>
      <c r="K19" s="304" t="s">
        <v>46</v>
      </c>
      <c r="L19" s="258"/>
      <c r="M19" s="258"/>
      <c r="N19" s="258"/>
      <c r="O19" s="254"/>
      <c r="P19" s="76">
        <v>130000</v>
      </c>
      <c r="Q19" s="261" t="s">
        <v>35</v>
      </c>
      <c r="R19" s="258"/>
      <c r="S19" s="258"/>
      <c r="T19" s="258"/>
      <c r="U19" s="258"/>
      <c r="V19" s="254"/>
      <c r="W19" s="6">
        <v>100000</v>
      </c>
      <c r="X19" s="275" t="s">
        <v>36</v>
      </c>
      <c r="Y19" s="258"/>
      <c r="Z19" s="258"/>
      <c r="AA19" s="258"/>
      <c r="AB19" s="254"/>
      <c r="AC19" s="221">
        <v>90000</v>
      </c>
    </row>
    <row r="20" spans="1:29" ht="30" x14ac:dyDescent="0.25">
      <c r="A20" s="298" t="s">
        <v>158</v>
      </c>
      <c r="B20" s="235" t="s">
        <v>149</v>
      </c>
      <c r="C20" s="128" t="s">
        <v>159</v>
      </c>
      <c r="D20" s="145" t="s">
        <v>13</v>
      </c>
      <c r="E20" s="146">
        <f>$E$19/E2</f>
        <v>340000</v>
      </c>
      <c r="F20" s="29">
        <f>G19</f>
        <v>190000</v>
      </c>
      <c r="G20" s="29">
        <f>G19</f>
        <v>190000</v>
      </c>
      <c r="H20" s="29">
        <f>J19</f>
        <v>150000</v>
      </c>
      <c r="I20" s="29">
        <f>J19</f>
        <v>150000</v>
      </c>
      <c r="J20" s="29">
        <f>J19</f>
        <v>150000</v>
      </c>
      <c r="K20" s="29">
        <f>P19</f>
        <v>130000</v>
      </c>
      <c r="L20" s="29">
        <f>P19</f>
        <v>130000</v>
      </c>
      <c r="M20" s="29">
        <f>P19</f>
        <v>130000</v>
      </c>
      <c r="N20" s="29">
        <f>P19</f>
        <v>130000</v>
      </c>
      <c r="O20" s="29">
        <f>P19</f>
        <v>130000</v>
      </c>
      <c r="P20" s="29">
        <f>P19</f>
        <v>130000</v>
      </c>
      <c r="Q20" s="29">
        <f>W19</f>
        <v>100000</v>
      </c>
      <c r="R20" s="29">
        <f>W19</f>
        <v>100000</v>
      </c>
      <c r="S20" s="29">
        <f>W19</f>
        <v>100000</v>
      </c>
      <c r="T20" s="29">
        <f>W19</f>
        <v>100000</v>
      </c>
      <c r="U20" s="29">
        <f>W19</f>
        <v>100000</v>
      </c>
      <c r="V20" s="29">
        <f>W19</f>
        <v>100000</v>
      </c>
      <c r="W20" s="29">
        <f>W19</f>
        <v>100000</v>
      </c>
      <c r="X20" s="82">
        <f>AC19</f>
        <v>90000</v>
      </c>
      <c r="Y20" s="82">
        <f>AC19</f>
        <v>90000</v>
      </c>
      <c r="Z20" s="82">
        <f>AC19</f>
        <v>90000</v>
      </c>
      <c r="AA20" s="82">
        <f>AC19</f>
        <v>90000</v>
      </c>
      <c r="AB20" s="82">
        <f>AC19</f>
        <v>90000</v>
      </c>
      <c r="AC20" s="82">
        <f>AC19</f>
        <v>90000</v>
      </c>
    </row>
    <row r="21" spans="1:29" x14ac:dyDescent="0.25">
      <c r="A21" s="299"/>
      <c r="B21" s="131" t="s">
        <v>151</v>
      </c>
      <c r="C21" s="132" t="s">
        <v>16</v>
      </c>
      <c r="D21" s="133" t="s">
        <v>16</v>
      </c>
      <c r="E21" s="29">
        <f t="shared" ref="E21:AC21" si="12">$F$19/E2</f>
        <v>90000</v>
      </c>
      <c r="F21" s="29">
        <f t="shared" si="12"/>
        <v>45000</v>
      </c>
      <c r="G21" s="29">
        <f t="shared" si="12"/>
        <v>30000</v>
      </c>
      <c r="H21" s="29">
        <f t="shared" si="12"/>
        <v>22500</v>
      </c>
      <c r="I21" s="29">
        <f t="shared" si="12"/>
        <v>18000</v>
      </c>
      <c r="J21" s="29">
        <f t="shared" si="12"/>
        <v>15000</v>
      </c>
      <c r="K21" s="29">
        <f t="shared" si="12"/>
        <v>12857.142857142857</v>
      </c>
      <c r="L21" s="29">
        <f t="shared" si="12"/>
        <v>11250</v>
      </c>
      <c r="M21" s="29">
        <f t="shared" si="12"/>
        <v>10000</v>
      </c>
      <c r="N21" s="29">
        <f t="shared" si="12"/>
        <v>9000</v>
      </c>
      <c r="O21" s="29">
        <f t="shared" si="12"/>
        <v>8181.818181818182</v>
      </c>
      <c r="P21" s="29">
        <f t="shared" si="12"/>
        <v>7500</v>
      </c>
      <c r="Q21" s="29">
        <f t="shared" si="12"/>
        <v>6923.0769230769229</v>
      </c>
      <c r="R21" s="29">
        <f t="shared" si="12"/>
        <v>6428.5714285714284</v>
      </c>
      <c r="S21" s="29">
        <f t="shared" si="12"/>
        <v>6000</v>
      </c>
      <c r="T21" s="29">
        <f t="shared" si="12"/>
        <v>5625</v>
      </c>
      <c r="U21" s="29">
        <f t="shared" si="12"/>
        <v>5294.1176470588234</v>
      </c>
      <c r="V21" s="29">
        <f t="shared" si="12"/>
        <v>5000</v>
      </c>
      <c r="W21" s="29">
        <f t="shared" si="12"/>
        <v>4736.8421052631575</v>
      </c>
      <c r="X21" s="29">
        <f t="shared" si="12"/>
        <v>4500</v>
      </c>
      <c r="Y21" s="29">
        <f t="shared" si="12"/>
        <v>4285.7142857142853</v>
      </c>
      <c r="Z21" s="29">
        <f t="shared" si="12"/>
        <v>4090.909090909091</v>
      </c>
      <c r="AA21" s="29">
        <f t="shared" si="12"/>
        <v>3913.0434782608695</v>
      </c>
      <c r="AB21" s="29">
        <f t="shared" si="12"/>
        <v>3750</v>
      </c>
      <c r="AC21" s="29">
        <f t="shared" si="12"/>
        <v>3600</v>
      </c>
    </row>
    <row r="22" spans="1:29" x14ac:dyDescent="0.25">
      <c r="A22" s="300"/>
      <c r="B22" s="148" t="s">
        <v>29</v>
      </c>
      <c r="C22" s="67"/>
      <c r="D22" s="68"/>
      <c r="E22" s="97">
        <f t="shared" ref="E22:AC22" si="13">SUM(E20:E21)</f>
        <v>430000</v>
      </c>
      <c r="F22" s="97">
        <f t="shared" si="13"/>
        <v>235000</v>
      </c>
      <c r="G22" s="97">
        <f t="shared" si="13"/>
        <v>220000</v>
      </c>
      <c r="H22" s="97">
        <f t="shared" si="13"/>
        <v>172500</v>
      </c>
      <c r="I22" s="97">
        <f t="shared" si="13"/>
        <v>168000</v>
      </c>
      <c r="J22" s="97">
        <f t="shared" si="13"/>
        <v>165000</v>
      </c>
      <c r="K22" s="97">
        <f t="shared" si="13"/>
        <v>142857.14285714287</v>
      </c>
      <c r="L22" s="97">
        <f t="shared" si="13"/>
        <v>141250</v>
      </c>
      <c r="M22" s="97">
        <f t="shared" si="13"/>
        <v>140000</v>
      </c>
      <c r="N22" s="97">
        <f t="shared" si="13"/>
        <v>139000</v>
      </c>
      <c r="O22" s="97">
        <f t="shared" si="13"/>
        <v>138181.81818181818</v>
      </c>
      <c r="P22" s="97">
        <f t="shared" si="13"/>
        <v>137500</v>
      </c>
      <c r="Q22" s="97">
        <f t="shared" si="13"/>
        <v>106923.07692307692</v>
      </c>
      <c r="R22" s="97">
        <f t="shared" si="13"/>
        <v>106428.57142857143</v>
      </c>
      <c r="S22" s="97">
        <f t="shared" si="13"/>
        <v>106000</v>
      </c>
      <c r="T22" s="97">
        <f t="shared" si="13"/>
        <v>105625</v>
      </c>
      <c r="U22" s="97">
        <f t="shared" si="13"/>
        <v>105294.11764705883</v>
      </c>
      <c r="V22" s="97">
        <f t="shared" si="13"/>
        <v>105000</v>
      </c>
      <c r="W22" s="97">
        <f t="shared" si="13"/>
        <v>104736.84210526316</v>
      </c>
      <c r="X22" s="97">
        <f t="shared" si="13"/>
        <v>94500</v>
      </c>
      <c r="Y22" s="97">
        <f t="shared" si="13"/>
        <v>94285.71428571429</v>
      </c>
      <c r="Z22" s="97">
        <f t="shared" si="13"/>
        <v>94090.909090909088</v>
      </c>
      <c r="AA22" s="97">
        <f t="shared" si="13"/>
        <v>93913.043478260865</v>
      </c>
      <c r="AB22" s="97">
        <f t="shared" si="13"/>
        <v>93750</v>
      </c>
      <c r="AC22" s="97">
        <f t="shared" si="13"/>
        <v>93600</v>
      </c>
    </row>
    <row r="24" spans="1:29" ht="15.75" customHeight="1" x14ac:dyDescent="0.25">
      <c r="A24" s="223" t="s">
        <v>52</v>
      </c>
      <c r="B24" s="23" t="s">
        <v>53</v>
      </c>
    </row>
    <row r="25" spans="1:29" ht="15.75" customHeight="1" x14ac:dyDescent="0.25">
      <c r="A25" s="224" t="s">
        <v>54</v>
      </c>
      <c r="B25" s="23" t="s">
        <v>55</v>
      </c>
    </row>
    <row r="26" spans="1:29" ht="15.75" customHeight="1" x14ac:dyDescent="0.25">
      <c r="A26" s="225" t="s">
        <v>56</v>
      </c>
      <c r="B26" s="23" t="s">
        <v>57</v>
      </c>
    </row>
    <row r="27" spans="1:29" ht="15.75" customHeight="1" x14ac:dyDescent="0.25">
      <c r="A27" s="226" t="s">
        <v>58</v>
      </c>
      <c r="B27" s="23" t="s">
        <v>59</v>
      </c>
    </row>
    <row r="28" spans="1:29" ht="15.75" customHeight="1" x14ac:dyDescent="0.25"/>
    <row r="29" spans="1:29" ht="15.75" customHeight="1" x14ac:dyDescent="0.25"/>
    <row r="30" spans="1:29" ht="15.75" customHeight="1" x14ac:dyDescent="0.25"/>
    <row r="31" spans="1:29" ht="15.75" customHeight="1" x14ac:dyDescent="0.25"/>
    <row r="32" spans="1:2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7">
    <mergeCell ref="H7:I7"/>
    <mergeCell ref="X19:AB19"/>
    <mergeCell ref="S13:AB13"/>
    <mergeCell ref="H13:I13"/>
    <mergeCell ref="H1:I1"/>
    <mergeCell ref="N1:Q1"/>
    <mergeCell ref="K1:L1"/>
    <mergeCell ref="H19:I19"/>
    <mergeCell ref="K19:O19"/>
    <mergeCell ref="N13:Q13"/>
    <mergeCell ref="K13:L13"/>
    <mergeCell ref="Q19:V19"/>
    <mergeCell ref="A8:A11"/>
    <mergeCell ref="A3:A4"/>
    <mergeCell ref="A14:A17"/>
    <mergeCell ref="A20:A22"/>
    <mergeCell ref="E1:F1"/>
  </mergeCells>
  <hyperlinks>
    <hyperlink ref="B3" r:id="rId1" xr:uid="{00000000-0004-0000-0300-000000000000}"/>
    <hyperlink ref="B16" r:id="rId2" xr:uid="{00000000-0004-0000-03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27:B30"/>
  <sheetViews>
    <sheetView workbookViewId="0">
      <selection activeCell="I18" sqref="I18"/>
    </sheetView>
  </sheetViews>
  <sheetFormatPr baseColWidth="10" defaultColWidth="14.42578125" defaultRowHeight="15" customHeight="1" x14ac:dyDescent="0.25"/>
  <sheetData>
    <row r="27" spans="1:2" x14ac:dyDescent="0.25">
      <c r="A27" s="223" t="s">
        <v>52</v>
      </c>
      <c r="B27" s="23" t="s">
        <v>53</v>
      </c>
    </row>
    <row r="28" spans="1:2" x14ac:dyDescent="0.25">
      <c r="A28" s="224" t="s">
        <v>54</v>
      </c>
      <c r="B28" s="23" t="s">
        <v>55</v>
      </c>
    </row>
    <row r="29" spans="1:2" x14ac:dyDescent="0.25">
      <c r="A29" s="225" t="s">
        <v>56</v>
      </c>
      <c r="B29" s="23" t="s">
        <v>57</v>
      </c>
    </row>
    <row r="30" spans="1:2" x14ac:dyDescent="0.25">
      <c r="A30" s="226" t="s">
        <v>58</v>
      </c>
      <c r="B30" s="23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C26"/>
  <sheetViews>
    <sheetView workbookViewId="0"/>
  </sheetViews>
  <sheetFormatPr baseColWidth="10" defaultColWidth="14.42578125" defaultRowHeight="15" customHeight="1" x14ac:dyDescent="0.25"/>
  <cols>
    <col min="1" max="1" width="10" customWidth="1"/>
    <col min="2" max="2" width="11.7109375" customWidth="1"/>
    <col min="4" max="4" width="11.42578125" customWidth="1"/>
    <col min="5" max="5" width="9.5703125" customWidth="1"/>
    <col min="6" max="6" width="9.42578125" customWidth="1"/>
    <col min="7" max="7" width="9.7109375" customWidth="1"/>
    <col min="8" max="8" width="9.28515625" customWidth="1"/>
    <col min="9" max="11" width="8.28515625" customWidth="1"/>
    <col min="12" max="12" width="8.5703125" customWidth="1"/>
    <col min="13" max="14" width="8.28515625" customWidth="1"/>
    <col min="15" max="15" width="9" customWidth="1"/>
    <col min="16" max="18" width="8.28515625" customWidth="1"/>
    <col min="19" max="19" width="8" customWidth="1"/>
    <col min="20" max="24" width="8.28515625" customWidth="1"/>
    <col min="25" max="25" width="8.42578125" customWidth="1"/>
    <col min="26" max="29" width="8.28515625" customWidth="1"/>
  </cols>
  <sheetData>
    <row r="2" spans="1:29" x14ac:dyDescent="0.25">
      <c r="A2" s="1" t="s">
        <v>0</v>
      </c>
      <c r="B2" s="1" t="s">
        <v>1</v>
      </c>
      <c r="C2" s="1" t="s">
        <v>2</v>
      </c>
      <c r="D2" s="1" t="s">
        <v>3</v>
      </c>
      <c r="E2" s="211" t="s">
        <v>4</v>
      </c>
      <c r="F2" s="2">
        <v>80000</v>
      </c>
      <c r="G2" s="3">
        <f>120000*2</f>
        <v>240000</v>
      </c>
      <c r="H2" s="265" t="s">
        <v>89</v>
      </c>
      <c r="I2" s="258"/>
      <c r="J2" s="254"/>
      <c r="K2" s="4">
        <f>200000*2</f>
        <v>400000</v>
      </c>
      <c r="L2" s="304" t="s">
        <v>160</v>
      </c>
      <c r="M2" s="254"/>
      <c r="N2" s="76">
        <f>250000*2</f>
        <v>500000</v>
      </c>
      <c r="O2" s="261" t="s">
        <v>104</v>
      </c>
      <c r="P2" s="258"/>
      <c r="Q2" s="258"/>
      <c r="R2" s="6">
        <f>280000*2</f>
        <v>560000</v>
      </c>
      <c r="S2" s="307" t="s">
        <v>161</v>
      </c>
      <c r="T2" s="258"/>
      <c r="U2" s="258"/>
      <c r="V2" s="258"/>
      <c r="W2" s="254"/>
      <c r="X2" s="100">
        <f>300000*2</f>
        <v>600000</v>
      </c>
      <c r="Y2" s="257" t="s">
        <v>36</v>
      </c>
      <c r="Z2" s="258"/>
      <c r="AA2" s="258"/>
      <c r="AB2" s="258"/>
      <c r="AC2" s="237">
        <f>400000*2</f>
        <v>800000</v>
      </c>
    </row>
    <row r="3" spans="1:29" x14ac:dyDescent="0.25">
      <c r="A3" s="218" t="s">
        <v>162</v>
      </c>
      <c r="B3" s="190"/>
      <c r="C3" s="101"/>
      <c r="D3" s="102"/>
      <c r="E3" s="7" t="s">
        <v>9</v>
      </c>
      <c r="F3" s="7" t="s">
        <v>62</v>
      </c>
      <c r="G3" s="7" t="s">
        <v>63</v>
      </c>
      <c r="H3" s="7" t="s">
        <v>64</v>
      </c>
      <c r="I3" s="7" t="s">
        <v>65</v>
      </c>
      <c r="J3" s="7" t="s">
        <v>66</v>
      </c>
      <c r="K3" s="7" t="s">
        <v>67</v>
      </c>
      <c r="L3" s="7" t="s">
        <v>68</v>
      </c>
      <c r="M3" s="7" t="s">
        <v>69</v>
      </c>
      <c r="N3" s="7" t="s">
        <v>70</v>
      </c>
      <c r="O3" s="7" t="s">
        <v>71</v>
      </c>
      <c r="P3" s="7" t="s">
        <v>72</v>
      </c>
      <c r="Q3" s="7" t="s">
        <v>73</v>
      </c>
      <c r="R3" s="7" t="s">
        <v>74</v>
      </c>
      <c r="S3" s="7" t="s">
        <v>75</v>
      </c>
      <c r="T3" s="7" t="s">
        <v>76</v>
      </c>
      <c r="U3" s="7" t="s">
        <v>77</v>
      </c>
      <c r="V3" s="7" t="s">
        <v>78</v>
      </c>
      <c r="W3" s="7" t="s">
        <v>79</v>
      </c>
      <c r="X3" s="7" t="s">
        <v>80</v>
      </c>
      <c r="Y3" s="7" t="s">
        <v>81</v>
      </c>
      <c r="Z3" s="7" t="s">
        <v>82</v>
      </c>
      <c r="AA3" s="7" t="s">
        <v>83</v>
      </c>
      <c r="AB3" s="7" t="s">
        <v>84</v>
      </c>
      <c r="AC3" s="7" t="s">
        <v>85</v>
      </c>
    </row>
    <row r="4" spans="1:29" x14ac:dyDescent="0.25">
      <c r="A4" s="277" t="s">
        <v>163</v>
      </c>
      <c r="B4" s="190" t="s">
        <v>164</v>
      </c>
      <c r="C4" s="101" t="s">
        <v>165</v>
      </c>
      <c r="D4" s="9" t="s">
        <v>13</v>
      </c>
      <c r="E4" s="29">
        <f t="shared" ref="E4:G4" si="0">$G$2/E3</f>
        <v>240000</v>
      </c>
      <c r="F4" s="29">
        <f t="shared" si="0"/>
        <v>120000</v>
      </c>
      <c r="G4" s="29">
        <f t="shared" si="0"/>
        <v>80000</v>
      </c>
      <c r="H4" s="29">
        <f t="shared" ref="H4:K4" si="1">$K$2/H3</f>
        <v>100000</v>
      </c>
      <c r="I4" s="29">
        <f t="shared" si="1"/>
        <v>80000</v>
      </c>
      <c r="J4" s="29">
        <f t="shared" si="1"/>
        <v>66666.666666666672</v>
      </c>
      <c r="K4" s="29">
        <f t="shared" si="1"/>
        <v>57142.857142857145</v>
      </c>
      <c r="L4" s="29">
        <f t="shared" ref="L4:N4" si="2">$N$2/L3</f>
        <v>62500</v>
      </c>
      <c r="M4" s="29">
        <f t="shared" si="2"/>
        <v>55555.555555555555</v>
      </c>
      <c r="N4" s="29">
        <f t="shared" si="2"/>
        <v>50000</v>
      </c>
      <c r="O4" s="29">
        <f t="shared" ref="O4:R4" si="3">$R$2/O3</f>
        <v>50909.090909090912</v>
      </c>
      <c r="P4" s="29">
        <f t="shared" si="3"/>
        <v>46666.666666666664</v>
      </c>
      <c r="Q4" s="29">
        <f t="shared" si="3"/>
        <v>43076.923076923078</v>
      </c>
      <c r="R4" s="29">
        <f t="shared" si="3"/>
        <v>40000</v>
      </c>
      <c r="S4" s="29">
        <f t="shared" ref="S4:X4" si="4">$X$2/S3</f>
        <v>40000</v>
      </c>
      <c r="T4" s="29">
        <f t="shared" si="4"/>
        <v>37500</v>
      </c>
      <c r="U4" s="29">
        <f t="shared" si="4"/>
        <v>35294.117647058825</v>
      </c>
      <c r="V4" s="29">
        <f t="shared" si="4"/>
        <v>33333.333333333336</v>
      </c>
      <c r="W4" s="29">
        <f t="shared" si="4"/>
        <v>31578.947368421053</v>
      </c>
      <c r="X4" s="29">
        <f t="shared" si="4"/>
        <v>30000</v>
      </c>
      <c r="Y4" s="82">
        <f t="shared" ref="Y4:AC4" si="5">$AC$2/Y3</f>
        <v>38095.238095238092</v>
      </c>
      <c r="Z4" s="82">
        <f t="shared" si="5"/>
        <v>36363.63636363636</v>
      </c>
      <c r="AA4" s="82">
        <f t="shared" si="5"/>
        <v>34782.608695652176</v>
      </c>
      <c r="AB4" s="82">
        <f t="shared" si="5"/>
        <v>33333.333333333336</v>
      </c>
      <c r="AC4" s="82">
        <f t="shared" si="5"/>
        <v>32000</v>
      </c>
    </row>
    <row r="5" spans="1:29" x14ac:dyDescent="0.25">
      <c r="A5" s="278"/>
      <c r="B5" s="102" t="s">
        <v>166</v>
      </c>
      <c r="C5" s="101" t="s">
        <v>167</v>
      </c>
      <c r="D5" s="10" t="s">
        <v>16</v>
      </c>
      <c r="E5" s="29">
        <f t="shared" ref="E5:AC5" si="6">$F$2/E3</f>
        <v>80000</v>
      </c>
      <c r="F5" s="29">
        <f t="shared" si="6"/>
        <v>40000</v>
      </c>
      <c r="G5" s="29">
        <f t="shared" si="6"/>
        <v>26666.666666666668</v>
      </c>
      <c r="H5" s="29">
        <f t="shared" si="6"/>
        <v>20000</v>
      </c>
      <c r="I5" s="29">
        <f t="shared" si="6"/>
        <v>16000</v>
      </c>
      <c r="J5" s="29">
        <f t="shared" si="6"/>
        <v>13333.333333333334</v>
      </c>
      <c r="K5" s="29">
        <f t="shared" si="6"/>
        <v>11428.571428571429</v>
      </c>
      <c r="L5" s="29">
        <f t="shared" si="6"/>
        <v>10000</v>
      </c>
      <c r="M5" s="29">
        <f t="shared" si="6"/>
        <v>8888.8888888888887</v>
      </c>
      <c r="N5" s="29">
        <f t="shared" si="6"/>
        <v>8000</v>
      </c>
      <c r="O5" s="29">
        <f t="shared" si="6"/>
        <v>7272.727272727273</v>
      </c>
      <c r="P5" s="29">
        <f t="shared" si="6"/>
        <v>6666.666666666667</v>
      </c>
      <c r="Q5" s="29">
        <f t="shared" si="6"/>
        <v>6153.8461538461543</v>
      </c>
      <c r="R5" s="29">
        <f t="shared" si="6"/>
        <v>5714.2857142857147</v>
      </c>
      <c r="S5" s="29">
        <f t="shared" si="6"/>
        <v>5333.333333333333</v>
      </c>
      <c r="T5" s="29">
        <f t="shared" si="6"/>
        <v>5000</v>
      </c>
      <c r="U5" s="29">
        <f t="shared" si="6"/>
        <v>4705.8823529411766</v>
      </c>
      <c r="V5" s="29">
        <f t="shared" si="6"/>
        <v>4444.4444444444443</v>
      </c>
      <c r="W5" s="29">
        <f t="shared" si="6"/>
        <v>4210.5263157894733</v>
      </c>
      <c r="X5" s="29">
        <f t="shared" si="6"/>
        <v>4000</v>
      </c>
      <c r="Y5" s="29">
        <f t="shared" si="6"/>
        <v>3809.5238095238096</v>
      </c>
      <c r="Z5" s="29">
        <f t="shared" si="6"/>
        <v>3636.3636363636365</v>
      </c>
      <c r="AA5" s="29">
        <f t="shared" si="6"/>
        <v>3478.2608695652175</v>
      </c>
      <c r="AB5" s="29">
        <f t="shared" si="6"/>
        <v>3333.3333333333335</v>
      </c>
      <c r="AC5" s="29">
        <f t="shared" si="6"/>
        <v>3200</v>
      </c>
    </row>
    <row r="6" spans="1:29" x14ac:dyDescent="0.25">
      <c r="A6" s="279"/>
      <c r="B6" s="18" t="s">
        <v>29</v>
      </c>
      <c r="C6" s="18"/>
      <c r="D6" s="18"/>
      <c r="E6" s="73">
        <f t="shared" ref="E6:AC6" si="7">SUM(E4:E5)</f>
        <v>320000</v>
      </c>
      <c r="F6" s="73">
        <f t="shared" si="7"/>
        <v>160000</v>
      </c>
      <c r="G6" s="73">
        <f t="shared" si="7"/>
        <v>106666.66666666667</v>
      </c>
      <c r="H6" s="73">
        <f t="shared" si="7"/>
        <v>120000</v>
      </c>
      <c r="I6" s="73">
        <f t="shared" si="7"/>
        <v>96000</v>
      </c>
      <c r="J6" s="73">
        <f t="shared" si="7"/>
        <v>80000</v>
      </c>
      <c r="K6" s="73">
        <f t="shared" si="7"/>
        <v>68571.42857142858</v>
      </c>
      <c r="L6" s="73">
        <f t="shared" si="7"/>
        <v>72500</v>
      </c>
      <c r="M6" s="73">
        <f t="shared" si="7"/>
        <v>64444.444444444445</v>
      </c>
      <c r="N6" s="73">
        <f t="shared" si="7"/>
        <v>58000</v>
      </c>
      <c r="O6" s="73">
        <f t="shared" si="7"/>
        <v>58181.818181818184</v>
      </c>
      <c r="P6" s="73">
        <f t="shared" si="7"/>
        <v>53333.333333333328</v>
      </c>
      <c r="Q6" s="73">
        <f t="shared" si="7"/>
        <v>49230.769230769234</v>
      </c>
      <c r="R6" s="73">
        <f t="shared" si="7"/>
        <v>45714.285714285717</v>
      </c>
      <c r="S6" s="73">
        <f t="shared" si="7"/>
        <v>45333.333333333336</v>
      </c>
      <c r="T6" s="73">
        <f t="shared" si="7"/>
        <v>42500</v>
      </c>
      <c r="U6" s="73">
        <f t="shared" si="7"/>
        <v>40000</v>
      </c>
      <c r="V6" s="73">
        <f t="shared" si="7"/>
        <v>37777.777777777781</v>
      </c>
      <c r="W6" s="73">
        <f t="shared" si="7"/>
        <v>35789.473684210527</v>
      </c>
      <c r="X6" s="73">
        <f t="shared" si="7"/>
        <v>34000</v>
      </c>
      <c r="Y6" s="73">
        <f t="shared" si="7"/>
        <v>41904.761904761901</v>
      </c>
      <c r="Z6" s="73">
        <f t="shared" si="7"/>
        <v>40000</v>
      </c>
      <c r="AA6" s="73">
        <f t="shared" si="7"/>
        <v>38260.869565217392</v>
      </c>
      <c r="AB6" s="73">
        <f t="shared" si="7"/>
        <v>36666.666666666672</v>
      </c>
      <c r="AC6" s="73">
        <f t="shared" si="7"/>
        <v>35200</v>
      </c>
    </row>
    <row r="8" spans="1:29" x14ac:dyDescent="0.25">
      <c r="A8" s="238"/>
      <c r="B8" s="238"/>
      <c r="C8" s="238"/>
      <c r="D8" s="238"/>
      <c r="E8" s="238"/>
      <c r="F8" s="238"/>
      <c r="G8" s="238"/>
      <c r="H8" s="238"/>
    </row>
    <row r="9" spans="1:29" x14ac:dyDescent="0.25">
      <c r="A9" s="103" t="s">
        <v>0</v>
      </c>
      <c r="B9" s="104" t="s">
        <v>1</v>
      </c>
      <c r="C9" s="105" t="s">
        <v>2</v>
      </c>
      <c r="D9" s="105" t="s">
        <v>3</v>
      </c>
      <c r="E9" s="106" t="s">
        <v>168</v>
      </c>
      <c r="F9" s="104" t="s">
        <v>169</v>
      </c>
      <c r="G9" s="107" t="s">
        <v>170</v>
      </c>
      <c r="H9" s="108" t="s">
        <v>171</v>
      </c>
    </row>
    <row r="10" spans="1:29" x14ac:dyDescent="0.25">
      <c r="A10" s="103" t="s">
        <v>172</v>
      </c>
      <c r="B10" s="104" t="s">
        <v>173</v>
      </c>
      <c r="C10" s="105" t="s">
        <v>174</v>
      </c>
      <c r="D10" s="105" t="s">
        <v>13</v>
      </c>
      <c r="E10" s="109">
        <f>300000/20</f>
        <v>15000</v>
      </c>
      <c r="F10" s="110">
        <v>2</v>
      </c>
      <c r="G10" s="111">
        <f t="shared" ref="G10:G15" si="8">E10*F10</f>
        <v>30000</v>
      </c>
      <c r="H10" s="120">
        <f>G10/C21</f>
        <v>11.538461538461538</v>
      </c>
    </row>
    <row r="11" spans="1:29" x14ac:dyDescent="0.25">
      <c r="A11" s="239"/>
      <c r="B11" s="104" t="s">
        <v>175</v>
      </c>
      <c r="C11" s="105" t="s">
        <v>176</v>
      </c>
      <c r="D11" s="105" t="s">
        <v>20</v>
      </c>
      <c r="E11" s="111">
        <v>2500</v>
      </c>
      <c r="F11" s="110">
        <v>1</v>
      </c>
      <c r="G11" s="111">
        <f t="shared" si="8"/>
        <v>2500</v>
      </c>
      <c r="H11" s="120">
        <f>G11/C21</f>
        <v>0.96153846153846156</v>
      </c>
    </row>
    <row r="12" spans="1:29" x14ac:dyDescent="0.25">
      <c r="A12" s="239"/>
      <c r="B12" s="104" t="s">
        <v>177</v>
      </c>
      <c r="C12" s="105" t="s">
        <v>178</v>
      </c>
      <c r="D12" s="105" t="s">
        <v>20</v>
      </c>
      <c r="E12" s="111">
        <v>5000</v>
      </c>
      <c r="F12" s="110">
        <v>1</v>
      </c>
      <c r="G12" s="111">
        <f t="shared" si="8"/>
        <v>5000</v>
      </c>
      <c r="H12" s="120">
        <f>G12/C21</f>
        <v>1.9230769230769231</v>
      </c>
    </row>
    <row r="13" spans="1:29" x14ac:dyDescent="0.25">
      <c r="A13" s="239"/>
      <c r="B13" s="104" t="s">
        <v>177</v>
      </c>
      <c r="C13" s="105" t="s">
        <v>179</v>
      </c>
      <c r="D13" s="105" t="s">
        <v>180</v>
      </c>
      <c r="E13" s="111">
        <f>200000/20</f>
        <v>10000</v>
      </c>
      <c r="F13" s="110">
        <v>1</v>
      </c>
      <c r="G13" s="111">
        <f t="shared" si="8"/>
        <v>10000</v>
      </c>
      <c r="H13" s="120">
        <f>G13/C21</f>
        <v>3.8461538461538463</v>
      </c>
    </row>
    <row r="14" spans="1:29" x14ac:dyDescent="0.25">
      <c r="A14" s="239"/>
      <c r="B14" s="104" t="s">
        <v>181</v>
      </c>
      <c r="C14" s="105" t="s">
        <v>182</v>
      </c>
      <c r="D14" s="105" t="s">
        <v>28</v>
      </c>
      <c r="E14" s="111">
        <v>18000</v>
      </c>
      <c r="F14" s="110">
        <v>1</v>
      </c>
      <c r="G14" s="111">
        <f t="shared" si="8"/>
        <v>18000</v>
      </c>
      <c r="H14" s="120">
        <f>G14/C21</f>
        <v>6.9230769230769234</v>
      </c>
    </row>
    <row r="15" spans="1:29" x14ac:dyDescent="0.25">
      <c r="A15" s="239"/>
      <c r="B15" s="104" t="s">
        <v>183</v>
      </c>
      <c r="C15" s="105" t="s">
        <v>184</v>
      </c>
      <c r="D15" s="105" t="s">
        <v>185</v>
      </c>
      <c r="E15" s="111">
        <v>1700</v>
      </c>
      <c r="F15" s="110">
        <v>1</v>
      </c>
      <c r="G15" s="111">
        <f t="shared" si="8"/>
        <v>1700</v>
      </c>
      <c r="H15" s="111">
        <v>4</v>
      </c>
    </row>
    <row r="16" spans="1:29" x14ac:dyDescent="0.25">
      <c r="A16" s="239"/>
      <c r="B16" s="240"/>
      <c r="C16" s="112" t="s">
        <v>186</v>
      </c>
      <c r="D16" s="241"/>
      <c r="E16" s="241"/>
      <c r="F16" s="240"/>
      <c r="G16" s="111">
        <f t="shared" ref="G16:H16" si="9">SUM(G10:G15)</f>
        <v>67200</v>
      </c>
      <c r="H16" s="242">
        <f t="shared" si="9"/>
        <v>29.192307692307693</v>
      </c>
    </row>
    <row r="17" spans="1:8" x14ac:dyDescent="0.25">
      <c r="A17" s="239"/>
      <c r="B17" s="240"/>
      <c r="C17" s="121" t="s">
        <v>187</v>
      </c>
      <c r="D17" s="243"/>
      <c r="E17" s="117">
        <v>0.78</v>
      </c>
      <c r="F17" s="244"/>
      <c r="G17" s="118">
        <f>G16/E17</f>
        <v>86153.846153846156</v>
      </c>
      <c r="H17" s="118">
        <f>H16/E17</f>
        <v>37.426035502958577</v>
      </c>
    </row>
    <row r="18" spans="1:8" x14ac:dyDescent="0.25">
      <c r="A18" s="239"/>
      <c r="B18" s="104" t="s">
        <v>188</v>
      </c>
      <c r="C18" s="112" t="s">
        <v>189</v>
      </c>
      <c r="D18" s="241"/>
      <c r="E18" s="119">
        <v>0.19</v>
      </c>
      <c r="F18" s="245">
        <v>0.02</v>
      </c>
      <c r="G18" s="120"/>
      <c r="H18" s="120">
        <f>H17*F18</f>
        <v>0.74852071005917153</v>
      </c>
    </row>
    <row r="19" spans="1:8" x14ac:dyDescent="0.25">
      <c r="A19" s="239"/>
      <c r="B19" s="104" t="s">
        <v>190</v>
      </c>
      <c r="C19" s="305" t="s">
        <v>191</v>
      </c>
      <c r="D19" s="306"/>
      <c r="E19" s="105"/>
      <c r="F19" s="240"/>
      <c r="G19" s="246">
        <f>E19*F19</f>
        <v>0</v>
      </c>
      <c r="H19" s="246">
        <f>G19</f>
        <v>0</v>
      </c>
    </row>
    <row r="20" spans="1:8" x14ac:dyDescent="0.25">
      <c r="A20" s="239"/>
      <c r="B20" s="240"/>
      <c r="C20" s="121" t="s">
        <v>192</v>
      </c>
      <c r="D20" s="243"/>
      <c r="E20" s="243"/>
      <c r="F20" s="244"/>
      <c r="G20" s="118">
        <f t="shared" ref="G20:H20" si="10">G17+G18</f>
        <v>86153.846153846156</v>
      </c>
      <c r="H20" s="247">
        <f t="shared" si="10"/>
        <v>38.174556213017752</v>
      </c>
    </row>
    <row r="21" spans="1:8" x14ac:dyDescent="0.25">
      <c r="A21" s="239"/>
      <c r="B21" s="104" t="s">
        <v>193</v>
      </c>
      <c r="C21" s="111">
        <v>2600</v>
      </c>
      <c r="D21" s="241"/>
      <c r="E21" s="241"/>
      <c r="F21" s="240"/>
      <c r="G21" s="122">
        <v>86000</v>
      </c>
      <c r="H21" s="248">
        <f>H20</f>
        <v>38.174556213017752</v>
      </c>
    </row>
    <row r="23" spans="1:8" x14ac:dyDescent="0.25">
      <c r="A23" s="223" t="s">
        <v>52</v>
      </c>
      <c r="B23" s="23" t="s">
        <v>53</v>
      </c>
    </row>
    <row r="24" spans="1:8" x14ac:dyDescent="0.25">
      <c r="A24" s="224" t="s">
        <v>54</v>
      </c>
      <c r="B24" s="23" t="s">
        <v>55</v>
      </c>
    </row>
    <row r="25" spans="1:8" x14ac:dyDescent="0.25">
      <c r="A25" s="225" t="s">
        <v>56</v>
      </c>
      <c r="B25" s="23" t="s">
        <v>57</v>
      </c>
    </row>
    <row r="26" spans="1:8" x14ac:dyDescent="0.25">
      <c r="A26" s="226" t="s">
        <v>58</v>
      </c>
      <c r="B26" s="23" t="s">
        <v>59</v>
      </c>
    </row>
  </sheetData>
  <mergeCells count="7">
    <mergeCell ref="C19:D19"/>
    <mergeCell ref="A4:A6"/>
    <mergeCell ref="Y2:AB2"/>
    <mergeCell ref="H2:J2"/>
    <mergeCell ref="L2:M2"/>
    <mergeCell ref="O2:Q2"/>
    <mergeCell ref="S2:W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MEDELLIN</vt:lpstr>
      <vt:lpstr>BOGOTA</vt:lpstr>
      <vt:lpstr>CARTAGENA</vt:lpstr>
      <vt:lpstr>SANTA MARTA</vt:lpstr>
      <vt:lpstr>SAN ANDRES</vt:lpstr>
      <vt:lpstr>EJE CAFETERO</vt:lpstr>
      <vt:lpstr>BUCARAMANGA</vt:lpstr>
      <vt:lpstr>TATACOA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Elver Ramírez</cp:lastModifiedBy>
  <cp:revision/>
  <dcterms:created xsi:type="dcterms:W3CDTF">2020-01-09T22:35:11Z</dcterms:created>
  <dcterms:modified xsi:type="dcterms:W3CDTF">2020-01-27T14:43:23Z</dcterms:modified>
  <cp:category/>
  <cp:contentStatus/>
</cp:coreProperties>
</file>