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Elver Ramirez\OneDrive\COSTEOS\3.  CIRCUITOS\"/>
    </mc:Choice>
  </mc:AlternateContent>
  <xr:revisionPtr revIDLastSave="347" documentId="114_{588F5ABB-D6ED-419B-8717-54EA67B4DB94}" xr6:coauthVersionLast="45" xr6:coauthVersionMax="45" xr10:uidLastSave="{D20B7BB2-FDD5-4169-B988-1F6A3A061280}"/>
  <bookViews>
    <workbookView xWindow="-120" yWindow="-120" windowWidth="20730" windowHeight="11160" firstSheet="1" activeTab="3" xr2:uid="{00000000-000D-0000-FFFF-FFFF00000000}"/>
  </bookViews>
  <sheets>
    <sheet name="Hoja1" sheetId="1" r:id="rId1"/>
    <sheet name="Circuito DiverWorld" sheetId="4" r:id="rId2"/>
    <sheet name="Circuito Jaymar Travel 16" sheetId="10" r:id="rId3"/>
    <sheet name="Circuito Jaymar 12" sheetId="15" r:id="rId4"/>
    <sheet name="Circuito Jaymar Travel (2)" sheetId="12" r:id="rId5"/>
    <sheet name="Circuito Sofia Travel Definitiv" sheetId="9" r:id="rId6"/>
    <sheet name="Circuito Sofia Travel Defin (2)" sheetId="13" r:id="rId7"/>
    <sheet name="Circuito Sofia Travel Defin (3)" sheetId="14" r:id="rId8"/>
    <sheet name=" Circuito Sofia Travel (2)" sheetId="3" r:id="rId9"/>
    <sheet name="Circuito De los andes al Caribe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15" l="1"/>
  <c r="G117" i="15" s="1"/>
  <c r="G118" i="15" s="1"/>
  <c r="E30" i="15" s="1"/>
  <c r="E109" i="15"/>
  <c r="E108" i="15"/>
  <c r="E105" i="15"/>
  <c r="H105" i="15" s="1"/>
  <c r="E104" i="15"/>
  <c r="E107" i="15" s="1"/>
  <c r="C27" i="15" s="1"/>
  <c r="C25" i="15"/>
  <c r="C26" i="15"/>
  <c r="F26" i="15" s="1"/>
  <c r="D25" i="15"/>
  <c r="C24" i="15"/>
  <c r="E99" i="15"/>
  <c r="H99" i="15" s="1"/>
  <c r="H102" i="15" s="1"/>
  <c r="F23" i="15" s="1"/>
  <c r="E96" i="15"/>
  <c r="E98" i="15" s="1"/>
  <c r="C22" i="15" s="1"/>
  <c r="E92" i="15"/>
  <c r="E91" i="15"/>
  <c r="G91" i="15" s="1"/>
  <c r="C20" i="15"/>
  <c r="E83" i="15"/>
  <c r="E85" i="15" s="1"/>
  <c r="C18" i="15" s="1"/>
  <c r="E82" i="15"/>
  <c r="G82" i="15" s="1"/>
  <c r="C16" i="15"/>
  <c r="C15" i="15"/>
  <c r="E73" i="15"/>
  <c r="E72" i="15"/>
  <c r="E68" i="15"/>
  <c r="E67" i="15"/>
  <c r="G67" i="15" s="1"/>
  <c r="E64" i="15"/>
  <c r="H64" i="15" s="1"/>
  <c r="H66" i="15" s="1"/>
  <c r="F11" i="15" s="1"/>
  <c r="C10" i="15"/>
  <c r="C9" i="15"/>
  <c r="D9" i="15" s="1"/>
  <c r="E118" i="15"/>
  <c r="C30" i="15" s="1"/>
  <c r="H117" i="15"/>
  <c r="H118" i="15" s="1"/>
  <c r="F30" i="15" s="1"/>
  <c r="G116" i="15"/>
  <c r="F116" i="15"/>
  <c r="G115" i="15"/>
  <c r="E29" i="15" s="1"/>
  <c r="E115" i="15"/>
  <c r="C29" i="15" s="1"/>
  <c r="H114" i="15"/>
  <c r="H115" i="15" s="1"/>
  <c r="E114" i="15"/>
  <c r="G114" i="15" s="1"/>
  <c r="G113" i="15"/>
  <c r="F113" i="15"/>
  <c r="G111" i="15"/>
  <c r="F111" i="15"/>
  <c r="G110" i="15"/>
  <c r="F110" i="15"/>
  <c r="H109" i="15"/>
  <c r="G109" i="15"/>
  <c r="F109" i="15"/>
  <c r="H106" i="15"/>
  <c r="G106" i="15"/>
  <c r="F106" i="15"/>
  <c r="H101" i="15"/>
  <c r="G101" i="15"/>
  <c r="F101" i="15"/>
  <c r="H100" i="15"/>
  <c r="G100" i="15"/>
  <c r="F100" i="15"/>
  <c r="G97" i="15"/>
  <c r="F97" i="15"/>
  <c r="G96" i="15"/>
  <c r="G98" i="15" s="1"/>
  <c r="E22" i="15" s="1"/>
  <c r="F96" i="15"/>
  <c r="G94" i="15"/>
  <c r="F94" i="15"/>
  <c r="H93" i="15"/>
  <c r="G93" i="15"/>
  <c r="F93" i="15"/>
  <c r="H92" i="15"/>
  <c r="G89" i="15"/>
  <c r="F89" i="15"/>
  <c r="E89" i="15"/>
  <c r="C19" i="15" s="1"/>
  <c r="H88" i="15"/>
  <c r="H89" i="15" s="1"/>
  <c r="G88" i="15"/>
  <c r="F88" i="15"/>
  <c r="G87" i="15"/>
  <c r="F87" i="15"/>
  <c r="F84" i="15"/>
  <c r="H84" i="15" s="1"/>
  <c r="G83" i="15"/>
  <c r="H83" i="15"/>
  <c r="H82" i="15"/>
  <c r="H81" i="15"/>
  <c r="G81" i="15"/>
  <c r="F81" i="15"/>
  <c r="D17" i="15" s="1"/>
  <c r="E81" i="15"/>
  <c r="C17" i="15" s="1"/>
  <c r="G80" i="15"/>
  <c r="F80" i="15"/>
  <c r="H79" i="15"/>
  <c r="G79" i="15"/>
  <c r="F79" i="15"/>
  <c r="G76" i="15"/>
  <c r="F76" i="15"/>
  <c r="G75" i="15"/>
  <c r="F75" i="15"/>
  <c r="H75" i="15" s="1"/>
  <c r="G74" i="15"/>
  <c r="F74" i="15"/>
  <c r="H73" i="15"/>
  <c r="G73" i="15"/>
  <c r="H72" i="15"/>
  <c r="H77" i="15" s="1"/>
  <c r="F14" i="15" s="1"/>
  <c r="G70" i="15"/>
  <c r="F70" i="15"/>
  <c r="G69" i="15"/>
  <c r="F69" i="15"/>
  <c r="H68" i="15"/>
  <c r="G68" i="15"/>
  <c r="E66" i="15"/>
  <c r="H65" i="15"/>
  <c r="G65" i="15"/>
  <c r="F65" i="15"/>
  <c r="G64" i="15"/>
  <c r="G66" i="15" s="1"/>
  <c r="E11" i="15" s="1"/>
  <c r="E60" i="15"/>
  <c r="E59" i="15"/>
  <c r="E58" i="15"/>
  <c r="E57" i="15"/>
  <c r="D56" i="15"/>
  <c r="E54" i="15"/>
  <c r="E8" i="15" s="1"/>
  <c r="C54" i="15"/>
  <c r="C53" i="15"/>
  <c r="E53" i="15" s="1"/>
  <c r="C52" i="15"/>
  <c r="E52" i="15" s="1"/>
  <c r="E6" i="15" s="1"/>
  <c r="E51" i="15"/>
  <c r="E5" i="15" s="1"/>
  <c r="C51" i="15"/>
  <c r="D50" i="15"/>
  <c r="C48" i="15"/>
  <c r="E48" i="15" s="1"/>
  <c r="D8" i="15" s="1"/>
  <c r="C47" i="15"/>
  <c r="E47" i="15" s="1"/>
  <c r="D7" i="15" s="1"/>
  <c r="E46" i="15"/>
  <c r="D6" i="15" s="1"/>
  <c r="C46" i="15"/>
  <c r="C45" i="15"/>
  <c r="E45" i="15" s="1"/>
  <c r="D5" i="15" s="1"/>
  <c r="D44" i="15"/>
  <c r="E42" i="15"/>
  <c r="E41" i="15"/>
  <c r="E40" i="15"/>
  <c r="C6" i="15" s="1"/>
  <c r="E39" i="15"/>
  <c r="D38" i="15"/>
  <c r="F29" i="15"/>
  <c r="F25" i="15"/>
  <c r="E25" i="15"/>
  <c r="F24" i="15"/>
  <c r="D20" i="15"/>
  <c r="F19" i="15"/>
  <c r="E19" i="15"/>
  <c r="D19" i="15"/>
  <c r="F17" i="15"/>
  <c r="E17" i="15"/>
  <c r="F15" i="15"/>
  <c r="E15" i="15"/>
  <c r="D15" i="15"/>
  <c r="E12" i="15"/>
  <c r="D12" i="15"/>
  <c r="C11" i="15"/>
  <c r="F10" i="15"/>
  <c r="E10" i="15"/>
  <c r="F8" i="15"/>
  <c r="C8" i="15"/>
  <c r="F7" i="15"/>
  <c r="E7" i="15"/>
  <c r="C7" i="15"/>
  <c r="F6" i="15"/>
  <c r="F5" i="15"/>
  <c r="C5" i="15"/>
  <c r="F117" i="15" l="1"/>
  <c r="F118" i="15" s="1"/>
  <c r="D30" i="15" s="1"/>
  <c r="G105" i="15"/>
  <c r="F99" i="15"/>
  <c r="F102" i="15" s="1"/>
  <c r="D23" i="15" s="1"/>
  <c r="G99" i="15"/>
  <c r="G102" i="15" s="1"/>
  <c r="E23" i="15" s="1"/>
  <c r="E102" i="15"/>
  <c r="C23" i="15" s="1"/>
  <c r="H91" i="15"/>
  <c r="E95" i="15"/>
  <c r="C21" i="15" s="1"/>
  <c r="H85" i="15"/>
  <c r="F18" i="15" s="1"/>
  <c r="F67" i="15"/>
  <c r="F64" i="15"/>
  <c r="F66" i="15" s="1"/>
  <c r="D11" i="15" s="1"/>
  <c r="F20" i="15"/>
  <c r="E20" i="15"/>
  <c r="D26" i="15"/>
  <c r="E71" i="15"/>
  <c r="C13" i="15" s="1"/>
  <c r="H67" i="15"/>
  <c r="H71" i="15" s="1"/>
  <c r="F13" i="15" s="1"/>
  <c r="G92" i="15"/>
  <c r="G95" i="15" s="1"/>
  <c r="E21" i="15" s="1"/>
  <c r="F98" i="15"/>
  <c r="D22" i="15" s="1"/>
  <c r="E26" i="15"/>
  <c r="F16" i="15"/>
  <c r="E16" i="15"/>
  <c r="G71" i="15"/>
  <c r="E13" i="15" s="1"/>
  <c r="D16" i="15"/>
  <c r="E9" i="15"/>
  <c r="E24" i="15"/>
  <c r="F72" i="15"/>
  <c r="F92" i="15"/>
  <c r="F9" i="15"/>
  <c r="G72" i="15"/>
  <c r="G77" i="15" s="1"/>
  <c r="E14" i="15" s="1"/>
  <c r="F105" i="15"/>
  <c r="D24" i="15"/>
  <c r="E77" i="15"/>
  <c r="C14" i="15" s="1"/>
  <c r="F83" i="15"/>
  <c r="H95" i="15"/>
  <c r="F21" i="15" s="1"/>
  <c r="E112" i="15"/>
  <c r="C28" i="15" s="1"/>
  <c r="H108" i="15"/>
  <c r="H112" i="15" s="1"/>
  <c r="F28" i="15" s="1"/>
  <c r="G108" i="15"/>
  <c r="G112" i="15" s="1"/>
  <c r="E28" i="15" s="1"/>
  <c r="F108" i="15"/>
  <c r="F112" i="15" s="1"/>
  <c r="D28" i="15" s="1"/>
  <c r="F104" i="15"/>
  <c r="D10" i="15"/>
  <c r="F68" i="15"/>
  <c r="F73" i="15"/>
  <c r="F82" i="15"/>
  <c r="G84" i="15"/>
  <c r="G85" i="15" s="1"/>
  <c r="E18" i="15" s="1"/>
  <c r="F91" i="15"/>
  <c r="G104" i="15"/>
  <c r="F114" i="15"/>
  <c r="F115" i="15" s="1"/>
  <c r="D29" i="15" s="1"/>
  <c r="H104" i="15"/>
  <c r="H107" i="15" s="1"/>
  <c r="F27" i="15" s="1"/>
  <c r="C54" i="10"/>
  <c r="C48" i="10"/>
  <c r="C46" i="10"/>
  <c r="C51" i="10"/>
  <c r="C45" i="10"/>
  <c r="G107" i="15" l="1"/>
  <c r="E27" i="15" s="1"/>
  <c r="F95" i="15"/>
  <c r="D21" i="15" s="1"/>
  <c r="C32" i="15"/>
  <c r="C33" i="15" s="1"/>
  <c r="C34" i="15" s="1"/>
  <c r="F77" i="15"/>
  <c r="D14" i="15" s="1"/>
  <c r="F32" i="15"/>
  <c r="F33" i="15" s="1"/>
  <c r="F34" i="15" s="1"/>
  <c r="F71" i="15"/>
  <c r="D13" i="15" s="1"/>
  <c r="E32" i="15"/>
  <c r="E33" i="15" s="1"/>
  <c r="E34" i="15" s="1"/>
  <c r="F85" i="15"/>
  <c r="D18" i="15" s="1"/>
  <c r="F107" i="15"/>
  <c r="D27" i="15" s="1"/>
  <c r="C60" i="13"/>
  <c r="C54" i="13"/>
  <c r="C60" i="9"/>
  <c r="C54" i="9"/>
  <c r="E76" i="9"/>
  <c r="D32" i="15" l="1"/>
  <c r="D33" i="15" s="1"/>
  <c r="D34" i="15" s="1"/>
  <c r="F108" i="13"/>
  <c r="G108" i="13"/>
  <c r="H108" i="13"/>
  <c r="E108" i="13"/>
  <c r="C25" i="13" s="1"/>
  <c r="F108" i="9"/>
  <c r="G108" i="9"/>
  <c r="H108" i="9"/>
  <c r="E108" i="9"/>
  <c r="C35" i="13"/>
  <c r="F35" i="13" s="1"/>
  <c r="C29" i="13"/>
  <c r="C23" i="13"/>
  <c r="C15" i="13"/>
  <c r="C35" i="9"/>
  <c r="C29" i="9"/>
  <c r="C23" i="9"/>
  <c r="C15" i="9"/>
  <c r="E128" i="14"/>
  <c r="H128" i="14" s="1"/>
  <c r="H129" i="14" s="1"/>
  <c r="F34" i="14" s="1"/>
  <c r="G127" i="14"/>
  <c r="F127" i="14"/>
  <c r="H126" i="14"/>
  <c r="G126" i="14"/>
  <c r="E126" i="14"/>
  <c r="G125" i="14"/>
  <c r="F125" i="14"/>
  <c r="F126" i="14" s="1"/>
  <c r="D36" i="14" s="1"/>
  <c r="G123" i="14"/>
  <c r="F123" i="14"/>
  <c r="G122" i="14"/>
  <c r="F122" i="14"/>
  <c r="E121" i="14"/>
  <c r="H121" i="14" s="1"/>
  <c r="E120" i="14"/>
  <c r="H120" i="14" s="1"/>
  <c r="H118" i="14"/>
  <c r="G118" i="14"/>
  <c r="F118" i="14"/>
  <c r="E118" i="14"/>
  <c r="G115" i="14"/>
  <c r="F115" i="14"/>
  <c r="E114" i="14"/>
  <c r="G114" i="14" s="1"/>
  <c r="G116" i="14" s="1"/>
  <c r="E26" i="14" s="1"/>
  <c r="E110" i="14"/>
  <c r="H110" i="14" s="1"/>
  <c r="E109" i="14"/>
  <c r="H109" i="14" s="1"/>
  <c r="H113" i="14" s="1"/>
  <c r="F27" i="14" s="1"/>
  <c r="E108" i="14"/>
  <c r="G107" i="14"/>
  <c r="F107" i="14"/>
  <c r="G106" i="14"/>
  <c r="F106" i="14"/>
  <c r="H105" i="14"/>
  <c r="G105" i="14"/>
  <c r="G108" i="14" s="1"/>
  <c r="E25" i="14" s="1"/>
  <c r="F105" i="14"/>
  <c r="H104" i="14"/>
  <c r="G104" i="14"/>
  <c r="F104" i="14"/>
  <c r="E104" i="14"/>
  <c r="H103" i="14"/>
  <c r="H108" i="14" s="1"/>
  <c r="F25" i="14" s="1"/>
  <c r="G103" i="14"/>
  <c r="F103" i="14"/>
  <c r="F108" i="14" s="1"/>
  <c r="D25" i="14" s="1"/>
  <c r="E103" i="14"/>
  <c r="G100" i="14"/>
  <c r="F100" i="14"/>
  <c r="F99" i="14"/>
  <c r="H99" i="14" s="1"/>
  <c r="E98" i="14"/>
  <c r="H98" i="14" s="1"/>
  <c r="E97" i="14"/>
  <c r="H97" i="14" s="1"/>
  <c r="H101" i="14" s="1"/>
  <c r="F22" i="14" s="1"/>
  <c r="E96" i="14"/>
  <c r="H95" i="14"/>
  <c r="G95" i="14"/>
  <c r="G96" i="14" s="1"/>
  <c r="E21" i="14" s="1"/>
  <c r="F95" i="14"/>
  <c r="H94" i="14"/>
  <c r="H96" i="14" s="1"/>
  <c r="F21" i="14" s="1"/>
  <c r="G94" i="14"/>
  <c r="F94" i="14"/>
  <c r="F96" i="14" s="1"/>
  <c r="D21" i="14" s="1"/>
  <c r="E94" i="14"/>
  <c r="H93" i="14"/>
  <c r="F20" i="14" s="1"/>
  <c r="F93" i="14"/>
  <c r="E93" i="14"/>
  <c r="G92" i="14"/>
  <c r="G93" i="14" s="1"/>
  <c r="E20" i="14" s="1"/>
  <c r="F92" i="14"/>
  <c r="F91" i="14"/>
  <c r="E91" i="14"/>
  <c r="G90" i="14"/>
  <c r="F90" i="14"/>
  <c r="H89" i="14"/>
  <c r="G89" i="14"/>
  <c r="F89" i="14"/>
  <c r="E89" i="14"/>
  <c r="H88" i="14"/>
  <c r="H91" i="14" s="1"/>
  <c r="F19" i="14" s="1"/>
  <c r="G88" i="14"/>
  <c r="G91" i="14" s="1"/>
  <c r="E19" i="14" s="1"/>
  <c r="F88" i="14"/>
  <c r="E88" i="14"/>
  <c r="G85" i="14"/>
  <c r="F85" i="14"/>
  <c r="F83" i="14"/>
  <c r="E83" i="14"/>
  <c r="H83" i="14" s="1"/>
  <c r="F82" i="14"/>
  <c r="F86" i="14" s="1"/>
  <c r="D16" i="14" s="1"/>
  <c r="E82" i="14"/>
  <c r="H82" i="14" s="1"/>
  <c r="H86" i="14" s="1"/>
  <c r="F16" i="14" s="1"/>
  <c r="F77" i="14"/>
  <c r="E77" i="14"/>
  <c r="H77" i="14" s="1"/>
  <c r="F76" i="14"/>
  <c r="F80" i="14" s="1"/>
  <c r="D14" i="14" s="1"/>
  <c r="E76" i="14"/>
  <c r="E80" i="14" s="1"/>
  <c r="C14" i="14" s="1"/>
  <c r="G74" i="14"/>
  <c r="F74" i="14"/>
  <c r="H73" i="14"/>
  <c r="G73" i="14"/>
  <c r="F73" i="14"/>
  <c r="G72" i="14"/>
  <c r="F72" i="14"/>
  <c r="E71" i="14"/>
  <c r="H71" i="14" s="1"/>
  <c r="E70" i="14"/>
  <c r="E75" i="14" s="1"/>
  <c r="C13" i="14" s="1"/>
  <c r="E66" i="14"/>
  <c r="F8" i="14" s="1"/>
  <c r="E65" i="14"/>
  <c r="F7" i="14" s="1"/>
  <c r="E64" i="14"/>
  <c r="E63" i="14"/>
  <c r="F5" i="14" s="1"/>
  <c r="F9" i="14" s="1"/>
  <c r="D62" i="14"/>
  <c r="E60" i="14"/>
  <c r="C59" i="14"/>
  <c r="E59" i="14" s="1"/>
  <c r="E7" i="14" s="1"/>
  <c r="E58" i="14"/>
  <c r="C58" i="14"/>
  <c r="C57" i="14"/>
  <c r="E57" i="14" s="1"/>
  <c r="E5" i="14" s="1"/>
  <c r="D56" i="14"/>
  <c r="E54" i="14"/>
  <c r="C54" i="14"/>
  <c r="E53" i="14"/>
  <c r="C53" i="14"/>
  <c r="E52" i="14"/>
  <c r="C52" i="14"/>
  <c r="E51" i="14"/>
  <c r="C51" i="14"/>
  <c r="D50" i="14"/>
  <c r="E48" i="14"/>
  <c r="E47" i="14"/>
  <c r="E46" i="14"/>
  <c r="C6" i="14" s="1"/>
  <c r="E45" i="14"/>
  <c r="D44" i="14"/>
  <c r="F36" i="14"/>
  <c r="E36" i="14"/>
  <c r="C36" i="14"/>
  <c r="F35" i="14"/>
  <c r="E35" i="14"/>
  <c r="D35" i="14"/>
  <c r="C35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C25" i="14"/>
  <c r="E24" i="14"/>
  <c r="D24" i="14"/>
  <c r="C24" i="14"/>
  <c r="F24" i="14" s="1"/>
  <c r="E23" i="14"/>
  <c r="D23" i="14"/>
  <c r="C23" i="14"/>
  <c r="F23" i="14" s="1"/>
  <c r="C21" i="14"/>
  <c r="D20" i="14"/>
  <c r="C20" i="14"/>
  <c r="D19" i="14"/>
  <c r="C19" i="14"/>
  <c r="E18" i="14"/>
  <c r="D18" i="14"/>
  <c r="C18" i="14"/>
  <c r="F18" i="14" s="1"/>
  <c r="E17" i="14"/>
  <c r="D17" i="14"/>
  <c r="C17" i="14"/>
  <c r="F17" i="14" s="1"/>
  <c r="E15" i="14"/>
  <c r="D15" i="14"/>
  <c r="C15" i="14"/>
  <c r="F15" i="14" s="1"/>
  <c r="E11" i="14"/>
  <c r="D11" i="14"/>
  <c r="C11" i="14"/>
  <c r="F11" i="14" s="1"/>
  <c r="E10" i="14"/>
  <c r="D10" i="14"/>
  <c r="C10" i="14"/>
  <c r="F10" i="14" s="1"/>
  <c r="E8" i="14"/>
  <c r="D8" i="14"/>
  <c r="C8" i="14"/>
  <c r="D7" i="14"/>
  <c r="C7" i="14"/>
  <c r="F6" i="14"/>
  <c r="E6" i="14"/>
  <c r="D6" i="14"/>
  <c r="D5" i="14"/>
  <c r="D9" i="14" s="1"/>
  <c r="C5" i="14"/>
  <c r="E29" i="13"/>
  <c r="D35" i="13"/>
  <c r="E54" i="13"/>
  <c r="D8" i="13" s="1"/>
  <c r="E19" i="13"/>
  <c r="D19" i="13"/>
  <c r="G128" i="13"/>
  <c r="G129" i="13" s="1"/>
  <c r="E128" i="13"/>
  <c r="H128" i="13" s="1"/>
  <c r="H129" i="13" s="1"/>
  <c r="F34" i="13" s="1"/>
  <c r="G127" i="13"/>
  <c r="F127" i="13"/>
  <c r="H126" i="13"/>
  <c r="G126" i="13"/>
  <c r="E36" i="13" s="1"/>
  <c r="E126" i="13"/>
  <c r="C36" i="13" s="1"/>
  <c r="G125" i="13"/>
  <c r="F125" i="13"/>
  <c r="F126" i="13" s="1"/>
  <c r="D36" i="13" s="1"/>
  <c r="G123" i="13"/>
  <c r="F123" i="13"/>
  <c r="G122" i="13"/>
  <c r="F122" i="13"/>
  <c r="G121" i="13"/>
  <c r="E121" i="13"/>
  <c r="H121" i="13" s="1"/>
  <c r="G120" i="13"/>
  <c r="G124" i="13" s="1"/>
  <c r="E33" i="13" s="1"/>
  <c r="E120" i="13"/>
  <c r="H120" i="13" s="1"/>
  <c r="H118" i="13"/>
  <c r="G118" i="13"/>
  <c r="F118" i="13"/>
  <c r="E118" i="13"/>
  <c r="G115" i="13"/>
  <c r="F115" i="13"/>
  <c r="G114" i="13"/>
  <c r="G116" i="13" s="1"/>
  <c r="E26" i="13" s="1"/>
  <c r="E114" i="13"/>
  <c r="E116" i="13" s="1"/>
  <c r="C26" i="13" s="1"/>
  <c r="G110" i="13"/>
  <c r="E110" i="13"/>
  <c r="H110" i="13" s="1"/>
  <c r="G109" i="13"/>
  <c r="G113" i="13" s="1"/>
  <c r="E27" i="13" s="1"/>
  <c r="E109" i="13"/>
  <c r="H109" i="13" s="1"/>
  <c r="H113" i="13" s="1"/>
  <c r="F27" i="13" s="1"/>
  <c r="G107" i="13"/>
  <c r="F107" i="13"/>
  <c r="G106" i="13"/>
  <c r="F106" i="13"/>
  <c r="H105" i="13"/>
  <c r="G105" i="13"/>
  <c r="F105" i="13"/>
  <c r="H104" i="13"/>
  <c r="G104" i="13"/>
  <c r="F104" i="13"/>
  <c r="E104" i="13"/>
  <c r="H103" i="13"/>
  <c r="F25" i="13" s="1"/>
  <c r="G103" i="13"/>
  <c r="F103" i="13"/>
  <c r="E103" i="13"/>
  <c r="G100" i="13"/>
  <c r="F100" i="13"/>
  <c r="H99" i="13"/>
  <c r="F99" i="13"/>
  <c r="G99" i="13" s="1"/>
  <c r="G98" i="13"/>
  <c r="E98" i="13"/>
  <c r="H98" i="13" s="1"/>
  <c r="G97" i="13"/>
  <c r="G101" i="13" s="1"/>
  <c r="E22" i="13" s="1"/>
  <c r="E97" i="13"/>
  <c r="H97" i="13" s="1"/>
  <c r="H101" i="13" s="1"/>
  <c r="F22" i="13" s="1"/>
  <c r="E96" i="13"/>
  <c r="H95" i="13"/>
  <c r="G95" i="13"/>
  <c r="G96" i="13" s="1"/>
  <c r="E21" i="13" s="1"/>
  <c r="F95" i="13"/>
  <c r="H94" i="13"/>
  <c r="H96" i="13" s="1"/>
  <c r="F21" i="13" s="1"/>
  <c r="G94" i="13"/>
  <c r="F94" i="13"/>
  <c r="F96" i="13" s="1"/>
  <c r="D21" i="13" s="1"/>
  <c r="E94" i="13"/>
  <c r="F20" i="13"/>
  <c r="D20" i="13"/>
  <c r="G92" i="13"/>
  <c r="E20" i="13" s="1"/>
  <c r="F92" i="13"/>
  <c r="G90" i="13"/>
  <c r="F90" i="13"/>
  <c r="H89" i="13"/>
  <c r="G89" i="13"/>
  <c r="F89" i="13"/>
  <c r="E89" i="13"/>
  <c r="H88" i="13"/>
  <c r="G88" i="13"/>
  <c r="F88" i="13"/>
  <c r="E88" i="13"/>
  <c r="D16" i="13"/>
  <c r="G85" i="13"/>
  <c r="F85" i="13"/>
  <c r="H83" i="13"/>
  <c r="F83" i="13"/>
  <c r="E83" i="13"/>
  <c r="G83" i="13" s="1"/>
  <c r="H82" i="13"/>
  <c r="F16" i="13" s="1"/>
  <c r="F82" i="13"/>
  <c r="E82" i="13"/>
  <c r="C16" i="13" s="1"/>
  <c r="H77" i="13"/>
  <c r="F77" i="13"/>
  <c r="E77" i="13"/>
  <c r="G77" i="13" s="1"/>
  <c r="H76" i="13"/>
  <c r="H80" i="13" s="1"/>
  <c r="F14" i="13" s="1"/>
  <c r="F76" i="13"/>
  <c r="F80" i="13" s="1"/>
  <c r="D14" i="13" s="1"/>
  <c r="E76" i="13"/>
  <c r="E80" i="13" s="1"/>
  <c r="C14" i="13" s="1"/>
  <c r="G74" i="13"/>
  <c r="F74" i="13"/>
  <c r="G73" i="13"/>
  <c r="F73" i="13"/>
  <c r="H73" i="13" s="1"/>
  <c r="G72" i="13"/>
  <c r="F72" i="13"/>
  <c r="G71" i="13"/>
  <c r="E71" i="13"/>
  <c r="H71" i="13" s="1"/>
  <c r="G70" i="13"/>
  <c r="G75" i="13" s="1"/>
  <c r="E13" i="13" s="1"/>
  <c r="E70" i="13"/>
  <c r="E75" i="13" s="1"/>
  <c r="C13" i="13" s="1"/>
  <c r="E66" i="13"/>
  <c r="F8" i="13" s="1"/>
  <c r="E65" i="13"/>
  <c r="F7" i="13" s="1"/>
  <c r="E64" i="13"/>
  <c r="F6" i="13" s="1"/>
  <c r="E63" i="13"/>
  <c r="F5" i="13" s="1"/>
  <c r="D62" i="13"/>
  <c r="E60" i="13"/>
  <c r="E8" i="13" s="1"/>
  <c r="C59" i="13"/>
  <c r="E59" i="13" s="1"/>
  <c r="E7" i="13" s="1"/>
  <c r="C58" i="13"/>
  <c r="E58" i="13" s="1"/>
  <c r="E6" i="13" s="1"/>
  <c r="C57" i="13"/>
  <c r="E57" i="13" s="1"/>
  <c r="E5" i="13" s="1"/>
  <c r="D56" i="13"/>
  <c r="E53" i="13"/>
  <c r="D7" i="13" s="1"/>
  <c r="C53" i="13"/>
  <c r="E52" i="13"/>
  <c r="D6" i="13" s="1"/>
  <c r="C52" i="13"/>
  <c r="E51" i="13"/>
  <c r="D5" i="13" s="1"/>
  <c r="C51" i="13"/>
  <c r="D50" i="13"/>
  <c r="E48" i="13"/>
  <c r="C8" i="13" s="1"/>
  <c r="E47" i="13"/>
  <c r="C7" i="13" s="1"/>
  <c r="E46" i="13"/>
  <c r="C6" i="13" s="1"/>
  <c r="E45" i="13"/>
  <c r="D44" i="13"/>
  <c r="F36" i="13"/>
  <c r="E35" i="13"/>
  <c r="F31" i="13"/>
  <c r="E31" i="13"/>
  <c r="D31" i="13"/>
  <c r="C31" i="13"/>
  <c r="F30" i="13"/>
  <c r="E30" i="13"/>
  <c r="D30" i="13"/>
  <c r="C30" i="13"/>
  <c r="F28" i="13"/>
  <c r="E28" i="13"/>
  <c r="D28" i="13"/>
  <c r="C28" i="13"/>
  <c r="C24" i="13"/>
  <c r="D24" i="13" s="1"/>
  <c r="D23" i="13"/>
  <c r="C21" i="13"/>
  <c r="C20" i="13"/>
  <c r="C18" i="13"/>
  <c r="D18" i="13" s="1"/>
  <c r="C17" i="13"/>
  <c r="D17" i="13" s="1"/>
  <c r="D15" i="13"/>
  <c r="C11" i="13"/>
  <c r="C10" i="13"/>
  <c r="C5" i="13"/>
  <c r="D25" i="13" l="1"/>
  <c r="E25" i="13"/>
  <c r="C9" i="14"/>
  <c r="E9" i="14"/>
  <c r="H124" i="14"/>
  <c r="F33" i="14" s="1"/>
  <c r="E113" i="14"/>
  <c r="C27" i="14" s="1"/>
  <c r="E124" i="14"/>
  <c r="C33" i="14" s="1"/>
  <c r="E129" i="14"/>
  <c r="C34" i="14" s="1"/>
  <c r="F70" i="14"/>
  <c r="F71" i="14"/>
  <c r="G76" i="14"/>
  <c r="G80" i="14" s="1"/>
  <c r="E14" i="14" s="1"/>
  <c r="G77" i="14"/>
  <c r="G82" i="14"/>
  <c r="G83" i="14"/>
  <c r="E86" i="14"/>
  <c r="C16" i="14" s="1"/>
  <c r="F97" i="14"/>
  <c r="F98" i="14"/>
  <c r="G99" i="14"/>
  <c r="E101" i="14"/>
  <c r="C22" i="14" s="1"/>
  <c r="F109" i="14"/>
  <c r="F110" i="14"/>
  <c r="F114" i="14"/>
  <c r="F116" i="14" s="1"/>
  <c r="D26" i="14" s="1"/>
  <c r="E116" i="14"/>
  <c r="C26" i="14" s="1"/>
  <c r="F120" i="14"/>
  <c r="F121" i="14"/>
  <c r="F128" i="14"/>
  <c r="F129" i="14" s="1"/>
  <c r="G70" i="14"/>
  <c r="G75" i="14" s="1"/>
  <c r="E13" i="14" s="1"/>
  <c r="G71" i="14"/>
  <c r="H76" i="14"/>
  <c r="H80" i="14" s="1"/>
  <c r="F14" i="14" s="1"/>
  <c r="G97" i="14"/>
  <c r="G101" i="14" s="1"/>
  <c r="E22" i="14" s="1"/>
  <c r="G98" i="14"/>
  <c r="G109" i="14"/>
  <c r="G110" i="14"/>
  <c r="G120" i="14"/>
  <c r="G124" i="14" s="1"/>
  <c r="E33" i="14" s="1"/>
  <c r="G121" i="14"/>
  <c r="G128" i="14"/>
  <c r="G129" i="14" s="1"/>
  <c r="H70" i="14"/>
  <c r="H75" i="14" s="1"/>
  <c r="F13" i="14" s="1"/>
  <c r="F38" i="14" s="1"/>
  <c r="F39" i="14" s="1"/>
  <c r="F40" i="14" s="1"/>
  <c r="F29" i="13"/>
  <c r="D29" i="13"/>
  <c r="E9" i="13"/>
  <c r="D9" i="13"/>
  <c r="C9" i="13"/>
  <c r="C38" i="13" s="1"/>
  <c r="F129" i="13"/>
  <c r="D10" i="13"/>
  <c r="F10" i="13"/>
  <c r="E10" i="13"/>
  <c r="F9" i="13"/>
  <c r="F38" i="13" s="1"/>
  <c r="D11" i="13"/>
  <c r="F11" i="13"/>
  <c r="E11" i="13"/>
  <c r="H124" i="13"/>
  <c r="F33" i="13" s="1"/>
  <c r="E15" i="13"/>
  <c r="E17" i="13"/>
  <c r="E18" i="13"/>
  <c r="E23" i="13"/>
  <c r="E24" i="13"/>
  <c r="E113" i="13"/>
  <c r="C27" i="13" s="1"/>
  <c r="E124" i="13"/>
  <c r="C33" i="13" s="1"/>
  <c r="E129" i="13"/>
  <c r="C34" i="13" s="1"/>
  <c r="F15" i="13"/>
  <c r="F17" i="13"/>
  <c r="F18" i="13"/>
  <c r="F23" i="13"/>
  <c r="F24" i="13"/>
  <c r="F70" i="13"/>
  <c r="F71" i="13"/>
  <c r="G76" i="13"/>
  <c r="G80" i="13" s="1"/>
  <c r="E14" i="13" s="1"/>
  <c r="G82" i="13"/>
  <c r="E16" i="13" s="1"/>
  <c r="F97" i="13"/>
  <c r="F98" i="13"/>
  <c r="E101" i="13"/>
  <c r="C22" i="13" s="1"/>
  <c r="F109" i="13"/>
  <c r="F110" i="13"/>
  <c r="F114" i="13"/>
  <c r="F116" i="13" s="1"/>
  <c r="D26" i="13" s="1"/>
  <c r="F120" i="13"/>
  <c r="F124" i="13" s="1"/>
  <c r="D33" i="13" s="1"/>
  <c r="F121" i="13"/>
  <c r="F128" i="13"/>
  <c r="H70" i="13"/>
  <c r="H75" i="13" s="1"/>
  <c r="F13" i="13" s="1"/>
  <c r="F34" i="9"/>
  <c r="C34" i="9"/>
  <c r="F36" i="9"/>
  <c r="E36" i="9"/>
  <c r="D36" i="9"/>
  <c r="C36" i="9"/>
  <c r="E128" i="9"/>
  <c r="E121" i="9"/>
  <c r="E120" i="9"/>
  <c r="C31" i="9"/>
  <c r="C30" i="9"/>
  <c r="E114" i="9"/>
  <c r="E110" i="9"/>
  <c r="E109" i="9"/>
  <c r="E104" i="9"/>
  <c r="E103" i="9"/>
  <c r="C24" i="9"/>
  <c r="E98" i="9"/>
  <c r="E97" i="9"/>
  <c r="E94" i="9"/>
  <c r="G90" i="9"/>
  <c r="F90" i="9"/>
  <c r="E89" i="9"/>
  <c r="E88" i="9"/>
  <c r="C18" i="9"/>
  <c r="C17" i="9"/>
  <c r="E83" i="9"/>
  <c r="E82" i="9"/>
  <c r="E77" i="9"/>
  <c r="E71" i="9"/>
  <c r="E70" i="9"/>
  <c r="C11" i="9"/>
  <c r="C10" i="9"/>
  <c r="D38" i="13" l="1"/>
  <c r="E38" i="13"/>
  <c r="E39" i="13" s="1"/>
  <c r="E40" i="13" s="1"/>
  <c r="C38" i="14"/>
  <c r="C39" i="14" s="1"/>
  <c r="C40" i="14" s="1"/>
  <c r="G86" i="14"/>
  <c r="E16" i="14" s="1"/>
  <c r="E38" i="14" s="1"/>
  <c r="E39" i="14" s="1"/>
  <c r="E40" i="14" s="1"/>
  <c r="F75" i="14"/>
  <c r="D13" i="14" s="1"/>
  <c r="G113" i="14"/>
  <c r="E27" i="14" s="1"/>
  <c r="F124" i="14"/>
  <c r="D33" i="14" s="1"/>
  <c r="F113" i="14"/>
  <c r="D27" i="14" s="1"/>
  <c r="F101" i="14"/>
  <c r="D22" i="14" s="1"/>
  <c r="E34" i="14"/>
  <c r="D34" i="14"/>
  <c r="C39" i="13"/>
  <c r="C40" i="13" s="1"/>
  <c r="F101" i="13"/>
  <c r="D22" i="13" s="1"/>
  <c r="E34" i="13"/>
  <c r="D34" i="13"/>
  <c r="F39" i="13"/>
  <c r="F40" i="13" s="1"/>
  <c r="F75" i="13"/>
  <c r="D13" i="13" s="1"/>
  <c r="F113" i="13"/>
  <c r="D27" i="13" s="1"/>
  <c r="C56" i="4"/>
  <c r="C50" i="4"/>
  <c r="C54" i="4"/>
  <c r="D39" i="13" l="1"/>
  <c r="D40" i="13" s="1"/>
  <c r="D38" i="14"/>
  <c r="D39" i="14" s="1"/>
  <c r="D40" i="14" s="1"/>
  <c r="C53" i="4"/>
  <c r="C47" i="4"/>
  <c r="H103" i="2"/>
  <c r="H104" i="2" s="1"/>
  <c r="F25" i="2" s="1"/>
  <c r="G103" i="2"/>
  <c r="F103" i="2"/>
  <c r="E103" i="2"/>
  <c r="E104" i="2" s="1"/>
  <c r="C25" i="2" s="1"/>
  <c r="G102" i="2"/>
  <c r="G104" i="2" s="1"/>
  <c r="E25" i="2" s="1"/>
  <c r="F102" i="2"/>
  <c r="F104" i="2" s="1"/>
  <c r="D25" i="2" s="1"/>
  <c r="G100" i="2"/>
  <c r="G101" i="2" s="1"/>
  <c r="E24" i="2" s="1"/>
  <c r="F100" i="2"/>
  <c r="F101" i="2" s="1"/>
  <c r="D24" i="2" s="1"/>
  <c r="E100" i="2"/>
  <c r="E101" i="2" s="1"/>
  <c r="C24" i="2" s="1"/>
  <c r="G99" i="2"/>
  <c r="F99" i="2"/>
  <c r="G97" i="2"/>
  <c r="F97" i="2"/>
  <c r="G96" i="2"/>
  <c r="F96" i="2"/>
  <c r="H95" i="2"/>
  <c r="E95" i="2"/>
  <c r="G95" i="2" s="1"/>
  <c r="H94" i="2"/>
  <c r="H98" i="2" s="1"/>
  <c r="F23" i="2" s="1"/>
  <c r="E94" i="2"/>
  <c r="G94" i="2" s="1"/>
  <c r="E93" i="2"/>
  <c r="G92" i="2"/>
  <c r="F92" i="2"/>
  <c r="G91" i="2"/>
  <c r="F91" i="2"/>
  <c r="E91" i="2"/>
  <c r="H91" i="2" s="1"/>
  <c r="G90" i="2"/>
  <c r="G93" i="2" s="1"/>
  <c r="E22" i="2" s="1"/>
  <c r="F90" i="2"/>
  <c r="F93" i="2" s="1"/>
  <c r="D22" i="2" s="1"/>
  <c r="E90" i="2"/>
  <c r="H90" i="2" s="1"/>
  <c r="H93" i="2" s="1"/>
  <c r="F22" i="2" s="1"/>
  <c r="G87" i="2"/>
  <c r="F87" i="2"/>
  <c r="E87" i="2"/>
  <c r="H87" i="2" s="1"/>
  <c r="G86" i="2"/>
  <c r="F86" i="2"/>
  <c r="H85" i="2"/>
  <c r="H88" i="2" s="1"/>
  <c r="F19" i="2" s="1"/>
  <c r="E85" i="2"/>
  <c r="E88" i="2" s="1"/>
  <c r="C19" i="2" s="1"/>
  <c r="E84" i="2"/>
  <c r="H83" i="2"/>
  <c r="H84" i="2" s="1"/>
  <c r="F18" i="2" s="1"/>
  <c r="G83" i="2"/>
  <c r="F83" i="2"/>
  <c r="H82" i="2"/>
  <c r="G82" i="2"/>
  <c r="F82" i="2"/>
  <c r="E82" i="2"/>
  <c r="H81" i="2"/>
  <c r="G81" i="2"/>
  <c r="G84" i="2" s="1"/>
  <c r="E18" i="2" s="1"/>
  <c r="F81" i="2"/>
  <c r="F84" i="2" s="1"/>
  <c r="D18" i="2" s="1"/>
  <c r="E81" i="2"/>
  <c r="H80" i="2"/>
  <c r="G80" i="2"/>
  <c r="E17" i="2" s="1"/>
  <c r="E80" i="2"/>
  <c r="G79" i="2"/>
  <c r="F79" i="2"/>
  <c r="F80" i="2" s="1"/>
  <c r="D17" i="2" s="1"/>
  <c r="G78" i="2"/>
  <c r="F78" i="2"/>
  <c r="H75" i="2"/>
  <c r="G75" i="2"/>
  <c r="F75" i="2"/>
  <c r="E75" i="2"/>
  <c r="H74" i="2"/>
  <c r="H77" i="2" s="1"/>
  <c r="F16" i="2" s="1"/>
  <c r="G74" i="2"/>
  <c r="G77" i="2" s="1"/>
  <c r="E16" i="2" s="1"/>
  <c r="F74" i="2"/>
  <c r="F77" i="2" s="1"/>
  <c r="D16" i="2" s="1"/>
  <c r="E74" i="2"/>
  <c r="E77" i="2" s="1"/>
  <c r="C16" i="2" s="1"/>
  <c r="G71" i="2"/>
  <c r="F71" i="2"/>
  <c r="G70" i="2"/>
  <c r="F70" i="2"/>
  <c r="H70" i="2" s="1"/>
  <c r="G69" i="2"/>
  <c r="G72" i="2" s="1"/>
  <c r="E13" i="2" s="1"/>
  <c r="F69" i="2"/>
  <c r="G68" i="2"/>
  <c r="F68" i="2"/>
  <c r="E68" i="2"/>
  <c r="H68" i="2" s="1"/>
  <c r="G67" i="2"/>
  <c r="F67" i="2"/>
  <c r="F72" i="2" s="1"/>
  <c r="D13" i="2" s="1"/>
  <c r="E67" i="2"/>
  <c r="E72" i="2" s="1"/>
  <c r="C13" i="2" s="1"/>
  <c r="G63" i="2"/>
  <c r="F63" i="2"/>
  <c r="E63" i="2"/>
  <c r="H63" i="2" s="1"/>
  <c r="G62" i="2"/>
  <c r="G66" i="2" s="1"/>
  <c r="E12" i="2" s="1"/>
  <c r="F62" i="2"/>
  <c r="F66" i="2" s="1"/>
  <c r="D12" i="2" s="1"/>
  <c r="E62" i="2"/>
  <c r="E66" i="2" s="1"/>
  <c r="C12" i="2" s="1"/>
  <c r="G59" i="2"/>
  <c r="G61" i="2" s="1"/>
  <c r="E10" i="2" s="1"/>
  <c r="F59" i="2"/>
  <c r="F61" i="2" s="1"/>
  <c r="D10" i="2" s="1"/>
  <c r="E59" i="2"/>
  <c r="E61" i="2" s="1"/>
  <c r="C10" i="2" s="1"/>
  <c r="E55" i="2"/>
  <c r="E54" i="2"/>
  <c r="E53" i="2"/>
  <c r="F6" i="2" s="1"/>
  <c r="E52" i="2"/>
  <c r="C49" i="2"/>
  <c r="E49" i="2" s="1"/>
  <c r="E7" i="2" s="1"/>
  <c r="E48" i="2"/>
  <c r="E47" i="2"/>
  <c r="C46" i="2"/>
  <c r="E46" i="2" s="1"/>
  <c r="E5" i="2" s="1"/>
  <c r="E43" i="2"/>
  <c r="D7" i="2" s="1"/>
  <c r="C43" i="2"/>
  <c r="E42" i="2"/>
  <c r="E41" i="2"/>
  <c r="E40" i="2"/>
  <c r="D5" i="2" s="1"/>
  <c r="E37" i="2"/>
  <c r="E36" i="2"/>
  <c r="E35" i="2"/>
  <c r="E34" i="2"/>
  <c r="C22" i="2"/>
  <c r="C21" i="2"/>
  <c r="F21" i="2" s="1"/>
  <c r="C20" i="2"/>
  <c r="F20" i="2" s="1"/>
  <c r="C18" i="2"/>
  <c r="F17" i="2"/>
  <c r="C17" i="2"/>
  <c r="C15" i="2"/>
  <c r="F15" i="2" s="1"/>
  <c r="C14" i="2"/>
  <c r="F14" i="2" s="1"/>
  <c r="C9" i="2"/>
  <c r="F9" i="2" s="1"/>
  <c r="C8" i="2"/>
  <c r="F8" i="2" s="1"/>
  <c r="F7" i="2"/>
  <c r="C7" i="2"/>
  <c r="E6" i="2"/>
  <c r="D6" i="2"/>
  <c r="C6" i="2"/>
  <c r="F5" i="2"/>
  <c r="C5" i="2"/>
  <c r="G127" i="3"/>
  <c r="F127" i="3"/>
  <c r="G126" i="3"/>
  <c r="F126" i="3"/>
  <c r="E125" i="3"/>
  <c r="H125" i="3" s="1"/>
  <c r="E124" i="3"/>
  <c r="E128" i="3" s="1"/>
  <c r="C34" i="3" s="1"/>
  <c r="H122" i="3"/>
  <c r="G122" i="3"/>
  <c r="F122" i="3"/>
  <c r="E122" i="3"/>
  <c r="G119" i="3"/>
  <c r="F119" i="3"/>
  <c r="E118" i="3"/>
  <c r="G118" i="3" s="1"/>
  <c r="G120" i="3" s="1"/>
  <c r="E28" i="3" s="1"/>
  <c r="E114" i="3"/>
  <c r="H114" i="3" s="1"/>
  <c r="E113" i="3"/>
  <c r="E117" i="3" s="1"/>
  <c r="C29" i="3" s="1"/>
  <c r="E112" i="3"/>
  <c r="G111" i="3"/>
  <c r="F111" i="3"/>
  <c r="G110" i="3"/>
  <c r="F110" i="3"/>
  <c r="H109" i="3"/>
  <c r="G109" i="3"/>
  <c r="F109" i="3"/>
  <c r="H108" i="3"/>
  <c r="E108" i="3"/>
  <c r="G108" i="3" s="1"/>
  <c r="H107" i="3"/>
  <c r="H112" i="3" s="1"/>
  <c r="F27" i="3" s="1"/>
  <c r="E107" i="3"/>
  <c r="G107" i="3" s="1"/>
  <c r="E105" i="3"/>
  <c r="H104" i="3"/>
  <c r="H105" i="3" s="1"/>
  <c r="F24" i="3" s="1"/>
  <c r="F104" i="3"/>
  <c r="G104" i="3" s="1"/>
  <c r="H103" i="3"/>
  <c r="G103" i="3"/>
  <c r="E103" i="3"/>
  <c r="F103" i="3" s="1"/>
  <c r="H102" i="3"/>
  <c r="G102" i="3"/>
  <c r="G105" i="3" s="1"/>
  <c r="E24" i="3" s="1"/>
  <c r="E102" i="3"/>
  <c r="F102" i="3" s="1"/>
  <c r="E101" i="3"/>
  <c r="H100" i="3"/>
  <c r="H101" i="3" s="1"/>
  <c r="G100" i="3"/>
  <c r="G101" i="3" s="1"/>
  <c r="F100" i="3"/>
  <c r="H99" i="3"/>
  <c r="G99" i="3"/>
  <c r="F99" i="3"/>
  <c r="F101" i="3" s="1"/>
  <c r="D23" i="3" s="1"/>
  <c r="E99" i="3"/>
  <c r="H98" i="3"/>
  <c r="G98" i="3"/>
  <c r="F98" i="3"/>
  <c r="D22" i="3" s="1"/>
  <c r="E98" i="3"/>
  <c r="G97" i="3"/>
  <c r="F97" i="3"/>
  <c r="H94" i="3"/>
  <c r="G94" i="3"/>
  <c r="F94" i="3"/>
  <c r="E94" i="3"/>
  <c r="H93" i="3"/>
  <c r="H96" i="3" s="1"/>
  <c r="F21" i="3" s="1"/>
  <c r="E93" i="3"/>
  <c r="G93" i="3" s="1"/>
  <c r="G96" i="3" s="1"/>
  <c r="H91" i="3"/>
  <c r="E91" i="3"/>
  <c r="G89" i="3"/>
  <c r="F89" i="3"/>
  <c r="H86" i="3"/>
  <c r="G86" i="3"/>
  <c r="F86" i="3"/>
  <c r="E86" i="3"/>
  <c r="H85" i="3"/>
  <c r="G85" i="3"/>
  <c r="F85" i="3"/>
  <c r="F91" i="3" s="1"/>
  <c r="D17" i="3" s="1"/>
  <c r="E85" i="3"/>
  <c r="G82" i="3"/>
  <c r="F82" i="3"/>
  <c r="H81" i="3"/>
  <c r="G81" i="3"/>
  <c r="F81" i="3"/>
  <c r="G80" i="3"/>
  <c r="F80" i="3"/>
  <c r="E79" i="3"/>
  <c r="E78" i="3"/>
  <c r="E74" i="3"/>
  <c r="E73" i="3"/>
  <c r="E72" i="3"/>
  <c r="E71" i="3"/>
  <c r="C70" i="3"/>
  <c r="E70" i="3" s="1"/>
  <c r="F6" i="3" s="1"/>
  <c r="F11" i="3" s="1"/>
  <c r="E69" i="3"/>
  <c r="D68" i="3"/>
  <c r="C66" i="3"/>
  <c r="E66" i="3" s="1"/>
  <c r="C65" i="3"/>
  <c r="E65" i="3" s="1"/>
  <c r="E9" i="3" s="1"/>
  <c r="C64" i="3"/>
  <c r="E64" i="3" s="1"/>
  <c r="C63" i="3"/>
  <c r="E63" i="3" s="1"/>
  <c r="E7" i="3" s="1"/>
  <c r="C62" i="3"/>
  <c r="E62" i="3" s="1"/>
  <c r="C61" i="3"/>
  <c r="E61" i="3" s="1"/>
  <c r="D60" i="3"/>
  <c r="C58" i="3"/>
  <c r="E58" i="3" s="1"/>
  <c r="D10" i="3" s="1"/>
  <c r="E57" i="3"/>
  <c r="C57" i="3"/>
  <c r="C56" i="3"/>
  <c r="E56" i="3" s="1"/>
  <c r="E55" i="3"/>
  <c r="C55" i="3"/>
  <c r="C54" i="3"/>
  <c r="E54" i="3" s="1"/>
  <c r="D6" i="3" s="1"/>
  <c r="E53" i="3"/>
  <c r="C53" i="3"/>
  <c r="D52" i="3"/>
  <c r="E50" i="3"/>
  <c r="E49" i="3"/>
  <c r="E48" i="3"/>
  <c r="E47" i="3"/>
  <c r="E46" i="3"/>
  <c r="E45" i="3"/>
  <c r="D44" i="3"/>
  <c r="F36" i="3"/>
  <c r="E36" i="3"/>
  <c r="D36" i="3"/>
  <c r="C36" i="3"/>
  <c r="E35" i="3"/>
  <c r="D35" i="3"/>
  <c r="F33" i="3"/>
  <c r="C33" i="3"/>
  <c r="E33" i="3" s="1"/>
  <c r="F32" i="3"/>
  <c r="C32" i="3"/>
  <c r="E32" i="3" s="1"/>
  <c r="F31" i="3"/>
  <c r="C31" i="3"/>
  <c r="E31" i="3" s="1"/>
  <c r="F30" i="3"/>
  <c r="E30" i="3"/>
  <c r="D30" i="3"/>
  <c r="C30" i="3"/>
  <c r="C27" i="3"/>
  <c r="C26" i="3"/>
  <c r="F25" i="3"/>
  <c r="E25" i="3"/>
  <c r="C25" i="3"/>
  <c r="D25" i="3" s="1"/>
  <c r="C24" i="3"/>
  <c r="F23" i="3"/>
  <c r="E23" i="3"/>
  <c r="C23" i="3"/>
  <c r="F22" i="3"/>
  <c r="E22" i="3"/>
  <c r="C22" i="3"/>
  <c r="E21" i="3"/>
  <c r="F20" i="3"/>
  <c r="E20" i="3"/>
  <c r="C20" i="3"/>
  <c r="D20" i="3" s="1"/>
  <c r="E19" i="3"/>
  <c r="C19" i="3"/>
  <c r="F18" i="3"/>
  <c r="C18" i="3"/>
  <c r="F17" i="3"/>
  <c r="C17" i="3"/>
  <c r="E16" i="3"/>
  <c r="C16" i="3"/>
  <c r="D16" i="3" s="1"/>
  <c r="F13" i="3"/>
  <c r="C13" i="3"/>
  <c r="F12" i="3"/>
  <c r="E12" i="3"/>
  <c r="C12" i="3"/>
  <c r="D12" i="3" s="1"/>
  <c r="E11" i="3"/>
  <c r="F10" i="3"/>
  <c r="E10" i="3"/>
  <c r="C10" i="3"/>
  <c r="F9" i="3"/>
  <c r="D9" i="3"/>
  <c r="C9" i="3"/>
  <c r="F8" i="3"/>
  <c r="E8" i="3"/>
  <c r="D8" i="3"/>
  <c r="C8" i="3"/>
  <c r="F7" i="3"/>
  <c r="D7" i="3"/>
  <c r="C7" i="3"/>
  <c r="E6" i="3"/>
  <c r="C6" i="3"/>
  <c r="F5" i="3"/>
  <c r="E5" i="3"/>
  <c r="D5" i="3"/>
  <c r="C5" i="3"/>
  <c r="C11" i="3" s="1"/>
  <c r="G128" i="9"/>
  <c r="H128" i="9"/>
  <c r="H129" i="9" s="1"/>
  <c r="G127" i="9"/>
  <c r="F127" i="9"/>
  <c r="H126" i="9"/>
  <c r="E126" i="9"/>
  <c r="G125" i="9"/>
  <c r="G126" i="9" s="1"/>
  <c r="F125" i="9"/>
  <c r="F126" i="9" s="1"/>
  <c r="E124" i="9"/>
  <c r="C33" i="9" s="1"/>
  <c r="G123" i="9"/>
  <c r="F123" i="9"/>
  <c r="G122" i="9"/>
  <c r="F122" i="9"/>
  <c r="F121" i="9"/>
  <c r="H121" i="9"/>
  <c r="G120" i="9"/>
  <c r="H120" i="9"/>
  <c r="H118" i="9"/>
  <c r="G118" i="9"/>
  <c r="F118" i="9"/>
  <c r="E118" i="9"/>
  <c r="E116" i="9"/>
  <c r="C26" i="9" s="1"/>
  <c r="G115" i="9"/>
  <c r="F115" i="9"/>
  <c r="G114" i="9"/>
  <c r="F114" i="9"/>
  <c r="E113" i="9"/>
  <c r="C27" i="9" s="1"/>
  <c r="F110" i="9"/>
  <c r="H110" i="9"/>
  <c r="G109" i="9"/>
  <c r="H109" i="9"/>
  <c r="G107" i="9"/>
  <c r="F107" i="9"/>
  <c r="G106" i="9"/>
  <c r="F106" i="9"/>
  <c r="H105" i="9"/>
  <c r="G105" i="9"/>
  <c r="F105" i="9"/>
  <c r="F104" i="9"/>
  <c r="G104" i="9"/>
  <c r="H103" i="9"/>
  <c r="G103" i="9"/>
  <c r="E25" i="9" s="1"/>
  <c r="G100" i="9"/>
  <c r="F100" i="9"/>
  <c r="F99" i="9"/>
  <c r="G99" i="9" s="1"/>
  <c r="G98" i="9"/>
  <c r="F98" i="9"/>
  <c r="H98" i="9"/>
  <c r="E96" i="9"/>
  <c r="C21" i="9" s="1"/>
  <c r="H95" i="9"/>
  <c r="G95" i="9"/>
  <c r="F95" i="9"/>
  <c r="H94" i="9"/>
  <c r="F94" i="9"/>
  <c r="G94" i="9"/>
  <c r="G96" i="9" s="1"/>
  <c r="E21" i="9" s="1"/>
  <c r="H93" i="9"/>
  <c r="E93" i="9"/>
  <c r="C20" i="9" s="1"/>
  <c r="G92" i="9"/>
  <c r="G93" i="9" s="1"/>
  <c r="E20" i="9" s="1"/>
  <c r="F92" i="9"/>
  <c r="F93" i="9" s="1"/>
  <c r="D20" i="9" s="1"/>
  <c r="H89" i="9"/>
  <c r="G89" i="9"/>
  <c r="F89" i="9"/>
  <c r="H88" i="9"/>
  <c r="G88" i="9"/>
  <c r="F88" i="9"/>
  <c r="E91" i="9"/>
  <c r="C19" i="9" s="1"/>
  <c r="G85" i="9"/>
  <c r="F85" i="9"/>
  <c r="H83" i="9"/>
  <c r="F83" i="9"/>
  <c r="G83" i="9"/>
  <c r="H77" i="9"/>
  <c r="G77" i="9"/>
  <c r="H76" i="9"/>
  <c r="F76" i="9"/>
  <c r="G76" i="9"/>
  <c r="E75" i="9"/>
  <c r="C13" i="9" s="1"/>
  <c r="G74" i="9"/>
  <c r="F74" i="9"/>
  <c r="G73" i="9"/>
  <c r="F73" i="9"/>
  <c r="H73" i="9" s="1"/>
  <c r="G72" i="9"/>
  <c r="F72" i="9"/>
  <c r="H71" i="9"/>
  <c r="F71" i="9"/>
  <c r="H70" i="9"/>
  <c r="G70" i="9"/>
  <c r="F70" i="9"/>
  <c r="E66" i="9"/>
  <c r="F8" i="9" s="1"/>
  <c r="E65" i="9"/>
  <c r="F7" i="9" s="1"/>
  <c r="E64" i="9"/>
  <c r="F6" i="9" s="1"/>
  <c r="E63" i="9"/>
  <c r="F5" i="9" s="1"/>
  <c r="D62" i="9"/>
  <c r="E60" i="9"/>
  <c r="E8" i="9" s="1"/>
  <c r="C59" i="9"/>
  <c r="E59" i="9" s="1"/>
  <c r="E7" i="9" s="1"/>
  <c r="C58" i="9"/>
  <c r="E58" i="9" s="1"/>
  <c r="E6" i="9" s="1"/>
  <c r="C57" i="9"/>
  <c r="E57" i="9" s="1"/>
  <c r="E5" i="9" s="1"/>
  <c r="D56" i="9"/>
  <c r="E54" i="9"/>
  <c r="D8" i="9" s="1"/>
  <c r="C53" i="9"/>
  <c r="E53" i="9" s="1"/>
  <c r="D7" i="9" s="1"/>
  <c r="C52" i="9"/>
  <c r="E52" i="9" s="1"/>
  <c r="D6" i="9" s="1"/>
  <c r="C51" i="9"/>
  <c r="E51" i="9" s="1"/>
  <c r="D5" i="9" s="1"/>
  <c r="D50" i="9"/>
  <c r="E48" i="9"/>
  <c r="C8" i="9" s="1"/>
  <c r="E47" i="9"/>
  <c r="C7" i="9" s="1"/>
  <c r="E46" i="9"/>
  <c r="C6" i="9" s="1"/>
  <c r="E45" i="9"/>
  <c r="C5" i="9" s="1"/>
  <c r="D44" i="9"/>
  <c r="D35" i="9"/>
  <c r="E34" i="9"/>
  <c r="D34" i="9"/>
  <c r="D31" i="9"/>
  <c r="F31" i="9"/>
  <c r="E30" i="9"/>
  <c r="F30" i="9"/>
  <c r="E29" i="9"/>
  <c r="D29" i="9"/>
  <c r="F29" i="9"/>
  <c r="F28" i="9"/>
  <c r="E28" i="9"/>
  <c r="D28" i="9"/>
  <c r="C28" i="9"/>
  <c r="D23" i="9"/>
  <c r="E23" i="9"/>
  <c r="F20" i="9"/>
  <c r="F18" i="9"/>
  <c r="E18" i="9"/>
  <c r="F17" i="9"/>
  <c r="D17" i="9"/>
  <c r="E17" i="9"/>
  <c r="D15" i="9"/>
  <c r="E15" i="9"/>
  <c r="D10" i="9"/>
  <c r="E10" i="9"/>
  <c r="E125" i="12"/>
  <c r="G124" i="12"/>
  <c r="F124" i="12"/>
  <c r="H122" i="12"/>
  <c r="G122" i="12"/>
  <c r="F122" i="12"/>
  <c r="E122" i="12"/>
  <c r="G121" i="12"/>
  <c r="F121" i="12"/>
  <c r="G119" i="12"/>
  <c r="F119" i="12"/>
  <c r="G118" i="12"/>
  <c r="F118" i="12"/>
  <c r="F117" i="12"/>
  <c r="E117" i="12"/>
  <c r="G117" i="12" s="1"/>
  <c r="H116" i="12"/>
  <c r="E116" i="12"/>
  <c r="G116" i="12" s="1"/>
  <c r="H114" i="12"/>
  <c r="G114" i="12"/>
  <c r="F114" i="12"/>
  <c r="E113" i="12"/>
  <c r="G112" i="12"/>
  <c r="E112" i="12"/>
  <c r="F112" i="12" s="1"/>
  <c r="H110" i="12"/>
  <c r="E110" i="12"/>
  <c r="H109" i="12"/>
  <c r="G109" i="12"/>
  <c r="F109" i="12"/>
  <c r="H108" i="12"/>
  <c r="G108" i="12"/>
  <c r="F108" i="12"/>
  <c r="F107" i="12"/>
  <c r="E107" i="12"/>
  <c r="H107" i="12" s="1"/>
  <c r="G105" i="12"/>
  <c r="F105" i="12"/>
  <c r="G104" i="12"/>
  <c r="G106" i="12" s="1"/>
  <c r="E104" i="12"/>
  <c r="E106" i="12" s="1"/>
  <c r="C23" i="12" s="1"/>
  <c r="F103" i="12"/>
  <c r="D22" i="12" s="1"/>
  <c r="E103" i="12"/>
  <c r="G102" i="12"/>
  <c r="F102" i="12"/>
  <c r="H101" i="12"/>
  <c r="G101" i="12"/>
  <c r="F101" i="12"/>
  <c r="H100" i="12"/>
  <c r="G100" i="12"/>
  <c r="F100" i="12"/>
  <c r="E100" i="12"/>
  <c r="H99" i="12"/>
  <c r="G99" i="12"/>
  <c r="G103" i="12" s="1"/>
  <c r="F99" i="12"/>
  <c r="E99" i="12"/>
  <c r="G97" i="12"/>
  <c r="E97" i="12"/>
  <c r="H96" i="12"/>
  <c r="H97" i="12" s="1"/>
  <c r="F20" i="12" s="1"/>
  <c r="G96" i="12"/>
  <c r="F96" i="12"/>
  <c r="G95" i="12"/>
  <c r="F95" i="12"/>
  <c r="F97" i="12" s="1"/>
  <c r="D20" i="12" s="1"/>
  <c r="H93" i="12"/>
  <c r="F19" i="12" s="1"/>
  <c r="E93" i="12"/>
  <c r="H92" i="12"/>
  <c r="G92" i="12"/>
  <c r="F92" i="12"/>
  <c r="H91" i="12"/>
  <c r="G91" i="12"/>
  <c r="F91" i="12"/>
  <c r="E91" i="12"/>
  <c r="H90" i="12"/>
  <c r="G90" i="12"/>
  <c r="F90" i="12"/>
  <c r="F93" i="12" s="1"/>
  <c r="D19" i="12" s="1"/>
  <c r="E90" i="12"/>
  <c r="F89" i="12"/>
  <c r="D18" i="12" s="1"/>
  <c r="E89" i="12"/>
  <c r="G88" i="12"/>
  <c r="G89" i="12" s="1"/>
  <c r="E18" i="12" s="1"/>
  <c r="F88" i="12"/>
  <c r="H87" i="12"/>
  <c r="H89" i="12" s="1"/>
  <c r="F18" i="12" s="1"/>
  <c r="G87" i="12"/>
  <c r="F87" i="12"/>
  <c r="G84" i="12"/>
  <c r="F84" i="12"/>
  <c r="H83" i="12"/>
  <c r="G83" i="12"/>
  <c r="F83" i="12"/>
  <c r="G82" i="12"/>
  <c r="F82" i="12"/>
  <c r="E81" i="12"/>
  <c r="E80" i="12"/>
  <c r="G78" i="12"/>
  <c r="F78" i="12"/>
  <c r="G77" i="12"/>
  <c r="F77" i="12"/>
  <c r="E76" i="12"/>
  <c r="E75" i="12"/>
  <c r="E74" i="12"/>
  <c r="H73" i="12"/>
  <c r="G73" i="12"/>
  <c r="F73" i="12"/>
  <c r="H72" i="12"/>
  <c r="H74" i="12" s="1"/>
  <c r="F12" i="12" s="1"/>
  <c r="F72" i="12"/>
  <c r="F74" i="12" s="1"/>
  <c r="D12" i="12" s="1"/>
  <c r="E72" i="12"/>
  <c r="G72" i="12" s="1"/>
  <c r="G74" i="12" s="1"/>
  <c r="E12" i="12" s="1"/>
  <c r="E68" i="12"/>
  <c r="F9" i="12" s="1"/>
  <c r="E67" i="12"/>
  <c r="E66" i="12"/>
  <c r="F7" i="12" s="1"/>
  <c r="E65" i="12"/>
  <c r="F6" i="12" s="1"/>
  <c r="E64" i="12"/>
  <c r="F5" i="12" s="1"/>
  <c r="D63" i="12"/>
  <c r="E61" i="12"/>
  <c r="C61" i="12"/>
  <c r="E60" i="12"/>
  <c r="E8" i="12" s="1"/>
  <c r="C60" i="12"/>
  <c r="E59" i="12"/>
  <c r="C59" i="12"/>
  <c r="E58" i="12"/>
  <c r="E6" i="12" s="1"/>
  <c r="C58" i="12"/>
  <c r="E57" i="12"/>
  <c r="C57" i="12"/>
  <c r="D56" i="12"/>
  <c r="C54" i="12"/>
  <c r="E54" i="12" s="1"/>
  <c r="D9" i="12" s="1"/>
  <c r="C53" i="12"/>
  <c r="E53" i="12" s="1"/>
  <c r="D8" i="12" s="1"/>
  <c r="C52" i="12"/>
  <c r="E52" i="12" s="1"/>
  <c r="D7" i="12" s="1"/>
  <c r="C51" i="12"/>
  <c r="E51" i="12" s="1"/>
  <c r="D6" i="12" s="1"/>
  <c r="E50" i="12"/>
  <c r="D49" i="12"/>
  <c r="E47" i="12"/>
  <c r="E46" i="12"/>
  <c r="E45" i="12"/>
  <c r="E44" i="12"/>
  <c r="E43" i="12"/>
  <c r="D42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C30" i="12"/>
  <c r="F29" i="12"/>
  <c r="E29" i="12"/>
  <c r="D29" i="12"/>
  <c r="F27" i="12"/>
  <c r="D27" i="12"/>
  <c r="C27" i="12"/>
  <c r="E27" i="12" s="1"/>
  <c r="F26" i="12"/>
  <c r="D26" i="12"/>
  <c r="C26" i="12"/>
  <c r="E26" i="12" s="1"/>
  <c r="F25" i="12"/>
  <c r="D25" i="12"/>
  <c r="C25" i="12"/>
  <c r="E25" i="12" s="1"/>
  <c r="F24" i="12"/>
  <c r="C24" i="12"/>
  <c r="E23" i="12"/>
  <c r="E22" i="12"/>
  <c r="C22" i="12"/>
  <c r="E21" i="12"/>
  <c r="C21" i="12"/>
  <c r="F21" i="12" s="1"/>
  <c r="E20" i="12"/>
  <c r="C20" i="12"/>
  <c r="C19" i="12"/>
  <c r="C18" i="12"/>
  <c r="E17" i="12"/>
  <c r="C17" i="12"/>
  <c r="F17" i="12" s="1"/>
  <c r="E16" i="12"/>
  <c r="C16" i="12"/>
  <c r="F16" i="12" s="1"/>
  <c r="E13" i="12"/>
  <c r="D13" i="12"/>
  <c r="C12" i="12"/>
  <c r="C11" i="12"/>
  <c r="C10" i="12"/>
  <c r="E9" i="12"/>
  <c r="C9" i="12"/>
  <c r="F8" i="12"/>
  <c r="C8" i="12"/>
  <c r="E7" i="12"/>
  <c r="C7" i="12"/>
  <c r="C6" i="12"/>
  <c r="E5" i="12"/>
  <c r="D5" i="12"/>
  <c r="C5" i="12"/>
  <c r="E117" i="10"/>
  <c r="G116" i="10"/>
  <c r="F116" i="10"/>
  <c r="G114" i="10"/>
  <c r="G115" i="10" s="1"/>
  <c r="E29" i="10" s="1"/>
  <c r="E114" i="10"/>
  <c r="H114" i="10" s="1"/>
  <c r="H115" i="10" s="1"/>
  <c r="F29" i="10" s="1"/>
  <c r="G113" i="10"/>
  <c r="F113" i="10"/>
  <c r="G111" i="10"/>
  <c r="F111" i="10"/>
  <c r="G110" i="10"/>
  <c r="F110" i="10"/>
  <c r="E109" i="10"/>
  <c r="E108" i="10"/>
  <c r="E107" i="10"/>
  <c r="H106" i="10"/>
  <c r="G106" i="10"/>
  <c r="F106" i="10"/>
  <c r="H105" i="10"/>
  <c r="F105" i="10"/>
  <c r="E105" i="10"/>
  <c r="G105" i="10" s="1"/>
  <c r="H104" i="10"/>
  <c r="F104" i="10"/>
  <c r="F107" i="10" s="1"/>
  <c r="E104" i="10"/>
  <c r="G104" i="10" s="1"/>
  <c r="H102" i="10"/>
  <c r="F23" i="10" s="1"/>
  <c r="E102" i="10"/>
  <c r="H101" i="10"/>
  <c r="G101" i="10"/>
  <c r="F101" i="10"/>
  <c r="H100" i="10"/>
  <c r="G100" i="10"/>
  <c r="F100" i="10"/>
  <c r="H99" i="10"/>
  <c r="G99" i="10"/>
  <c r="F99" i="10"/>
  <c r="F102" i="10" s="1"/>
  <c r="E99" i="10"/>
  <c r="G98" i="10"/>
  <c r="E22" i="10" s="1"/>
  <c r="E98" i="10"/>
  <c r="G97" i="10"/>
  <c r="F97" i="10"/>
  <c r="G96" i="10"/>
  <c r="F96" i="10"/>
  <c r="F98" i="10" s="1"/>
  <c r="E96" i="10"/>
  <c r="G94" i="10"/>
  <c r="F94" i="10"/>
  <c r="H93" i="10"/>
  <c r="G93" i="10"/>
  <c r="F93" i="10"/>
  <c r="E92" i="10"/>
  <c r="G92" i="10" s="1"/>
  <c r="E91" i="10"/>
  <c r="E89" i="10"/>
  <c r="H88" i="10"/>
  <c r="H89" i="10" s="1"/>
  <c r="G88" i="10"/>
  <c r="F88" i="10"/>
  <c r="G87" i="10"/>
  <c r="F87" i="10"/>
  <c r="F89" i="10" s="1"/>
  <c r="F84" i="10"/>
  <c r="G84" i="10" s="1"/>
  <c r="G83" i="10"/>
  <c r="E83" i="10"/>
  <c r="E82" i="10"/>
  <c r="H81" i="10"/>
  <c r="E81" i="10"/>
  <c r="G80" i="10"/>
  <c r="F80" i="10"/>
  <c r="H79" i="10"/>
  <c r="G79" i="10"/>
  <c r="G81" i="10" s="1"/>
  <c r="E17" i="10" s="1"/>
  <c r="F79" i="10"/>
  <c r="G76" i="10"/>
  <c r="F76" i="10"/>
  <c r="H75" i="10"/>
  <c r="G75" i="10"/>
  <c r="F75" i="10"/>
  <c r="G74" i="10"/>
  <c r="F74" i="10"/>
  <c r="E73" i="10"/>
  <c r="G73" i="10" s="1"/>
  <c r="H72" i="10"/>
  <c r="G72" i="10"/>
  <c r="E72" i="10"/>
  <c r="E71" i="10"/>
  <c r="G70" i="10"/>
  <c r="F70" i="10"/>
  <c r="G69" i="10"/>
  <c r="F69" i="10"/>
  <c r="E68" i="10"/>
  <c r="F68" i="10" s="1"/>
  <c r="H67" i="10"/>
  <c r="E67" i="10"/>
  <c r="F67" i="10" s="1"/>
  <c r="H66" i="10"/>
  <c r="F11" i="10" s="1"/>
  <c r="G66" i="10"/>
  <c r="E66" i="10"/>
  <c r="C11" i="10" s="1"/>
  <c r="H65" i="10"/>
  <c r="G65" i="10"/>
  <c r="F65" i="10"/>
  <c r="H64" i="10"/>
  <c r="G64" i="10"/>
  <c r="F64" i="10"/>
  <c r="F66" i="10" s="1"/>
  <c r="E64" i="10"/>
  <c r="E60" i="10"/>
  <c r="E59" i="10"/>
  <c r="E58" i="10"/>
  <c r="E57" i="10"/>
  <c r="D56" i="10"/>
  <c r="E54" i="10"/>
  <c r="E8" i="10" s="1"/>
  <c r="C53" i="10"/>
  <c r="E53" i="10" s="1"/>
  <c r="E7" i="10" s="1"/>
  <c r="C52" i="10"/>
  <c r="E52" i="10" s="1"/>
  <c r="E6" i="10" s="1"/>
  <c r="E51" i="10"/>
  <c r="D50" i="10"/>
  <c r="E48" i="10"/>
  <c r="C47" i="10"/>
  <c r="E47" i="10" s="1"/>
  <c r="D7" i="10" s="1"/>
  <c r="E46" i="10"/>
  <c r="D6" i="10" s="1"/>
  <c r="E45" i="10"/>
  <c r="D5" i="10" s="1"/>
  <c r="D44" i="10"/>
  <c r="E42" i="10"/>
  <c r="C8" i="10" s="1"/>
  <c r="E41" i="10"/>
  <c r="E40" i="10"/>
  <c r="C6" i="10" s="1"/>
  <c r="E39" i="10"/>
  <c r="C5" i="10" s="1"/>
  <c r="D38" i="10"/>
  <c r="D27" i="10"/>
  <c r="C27" i="10"/>
  <c r="E26" i="10"/>
  <c r="D26" i="10"/>
  <c r="C26" i="10"/>
  <c r="F26" i="10" s="1"/>
  <c r="C25" i="10"/>
  <c r="C24" i="10"/>
  <c r="F24" i="10" s="1"/>
  <c r="D23" i="10"/>
  <c r="C23" i="10"/>
  <c r="D22" i="10"/>
  <c r="C22" i="10"/>
  <c r="F20" i="10"/>
  <c r="C20" i="10"/>
  <c r="E20" i="10" s="1"/>
  <c r="F19" i="10"/>
  <c r="D19" i="10"/>
  <c r="C19" i="10"/>
  <c r="F17" i="10"/>
  <c r="C17" i="10"/>
  <c r="F16" i="10"/>
  <c r="C16" i="10"/>
  <c r="E16" i="10" s="1"/>
  <c r="F15" i="10"/>
  <c r="D15" i="10"/>
  <c r="C15" i="10"/>
  <c r="E15" i="10" s="1"/>
  <c r="C13" i="10"/>
  <c r="E12" i="10"/>
  <c r="D12" i="10"/>
  <c r="E11" i="10"/>
  <c r="D11" i="10"/>
  <c r="F10" i="10"/>
  <c r="E10" i="10"/>
  <c r="D10" i="10"/>
  <c r="C10" i="10"/>
  <c r="F9" i="10"/>
  <c r="E9" i="10"/>
  <c r="D9" i="10"/>
  <c r="C9" i="10"/>
  <c r="F8" i="10"/>
  <c r="D8" i="10"/>
  <c r="F7" i="10"/>
  <c r="C7" i="10"/>
  <c r="F6" i="10"/>
  <c r="F5" i="10"/>
  <c r="E5" i="10"/>
  <c r="H127" i="4"/>
  <c r="G127" i="4"/>
  <c r="E32" i="4" s="1"/>
  <c r="F127" i="4"/>
  <c r="D32" i="4" s="1"/>
  <c r="H126" i="4"/>
  <c r="G126" i="4"/>
  <c r="F126" i="4"/>
  <c r="E126" i="4"/>
  <c r="E127" i="4" s="1"/>
  <c r="G125" i="4"/>
  <c r="F125" i="4"/>
  <c r="F123" i="4"/>
  <c r="F124" i="4" s="1"/>
  <c r="D31" i="4" s="1"/>
  <c r="E123" i="4"/>
  <c r="G122" i="4"/>
  <c r="F122" i="4"/>
  <c r="H121" i="4"/>
  <c r="G120" i="4"/>
  <c r="F120" i="4"/>
  <c r="G119" i="4"/>
  <c r="F119" i="4"/>
  <c r="H118" i="4"/>
  <c r="G118" i="4"/>
  <c r="F118" i="4"/>
  <c r="E118" i="4"/>
  <c r="H117" i="4"/>
  <c r="G117" i="4"/>
  <c r="G121" i="4" s="1"/>
  <c r="E30" i="4" s="1"/>
  <c r="F117" i="4"/>
  <c r="F121" i="4" s="1"/>
  <c r="D30" i="4" s="1"/>
  <c r="E117" i="4"/>
  <c r="E121" i="4" s="1"/>
  <c r="H115" i="4"/>
  <c r="G115" i="4"/>
  <c r="F115" i="4"/>
  <c r="G114" i="4"/>
  <c r="G116" i="4" s="1"/>
  <c r="E29" i="4" s="1"/>
  <c r="E114" i="4"/>
  <c r="H114" i="4" s="1"/>
  <c r="G113" i="4"/>
  <c r="F113" i="4"/>
  <c r="E113" i="4"/>
  <c r="E111" i="4"/>
  <c r="H110" i="4"/>
  <c r="H111" i="4" s="1"/>
  <c r="G110" i="4"/>
  <c r="G111" i="4" s="1"/>
  <c r="E25" i="4" s="1"/>
  <c r="F110" i="4"/>
  <c r="F111" i="4" s="1"/>
  <c r="D25" i="4" s="1"/>
  <c r="G109" i="4"/>
  <c r="G108" i="4"/>
  <c r="F108" i="4"/>
  <c r="F107" i="4"/>
  <c r="F109" i="4" s="1"/>
  <c r="D24" i="4" s="1"/>
  <c r="E107" i="4"/>
  <c r="G107" i="4" s="1"/>
  <c r="E106" i="4"/>
  <c r="C23" i="4" s="1"/>
  <c r="H105" i="4"/>
  <c r="G105" i="4"/>
  <c r="F105" i="4"/>
  <c r="G104" i="4"/>
  <c r="F104" i="4"/>
  <c r="G103" i="4"/>
  <c r="F103" i="4"/>
  <c r="F106" i="4" s="1"/>
  <c r="D23" i="4" s="1"/>
  <c r="H102" i="4"/>
  <c r="E102" i="4"/>
  <c r="F102" i="4" s="1"/>
  <c r="H101" i="4"/>
  <c r="G101" i="4"/>
  <c r="E101" i="4"/>
  <c r="F101" i="4" s="1"/>
  <c r="G99" i="4"/>
  <c r="F99" i="4"/>
  <c r="H98" i="4"/>
  <c r="G98" i="4"/>
  <c r="F98" i="4"/>
  <c r="E97" i="4"/>
  <c r="E96" i="4"/>
  <c r="E94" i="4"/>
  <c r="H93" i="4"/>
  <c r="H94" i="4" s="1"/>
  <c r="F20" i="4" s="1"/>
  <c r="F93" i="4"/>
  <c r="E93" i="4"/>
  <c r="G93" i="4" s="1"/>
  <c r="G92" i="4"/>
  <c r="G94" i="4" s="1"/>
  <c r="F92" i="4"/>
  <c r="F94" i="4" s="1"/>
  <c r="D20" i="4" s="1"/>
  <c r="E90" i="4"/>
  <c r="C19" i="4" s="1"/>
  <c r="H89" i="4"/>
  <c r="F89" i="4"/>
  <c r="G89" i="4" s="1"/>
  <c r="H88" i="4"/>
  <c r="G88" i="4"/>
  <c r="E88" i="4"/>
  <c r="F88" i="4" s="1"/>
  <c r="H87" i="4"/>
  <c r="H90" i="4" s="1"/>
  <c r="F19" i="4" s="1"/>
  <c r="G87" i="4"/>
  <c r="E87" i="4"/>
  <c r="F87" i="4" s="1"/>
  <c r="H86" i="4"/>
  <c r="F18" i="4" s="1"/>
  <c r="G86" i="4"/>
  <c r="E18" i="4" s="1"/>
  <c r="E86" i="4"/>
  <c r="G85" i="4"/>
  <c r="F85" i="4"/>
  <c r="F86" i="4" s="1"/>
  <c r="D18" i="4" s="1"/>
  <c r="F84" i="4"/>
  <c r="D17" i="4" s="1"/>
  <c r="E84" i="4"/>
  <c r="C17" i="4" s="1"/>
  <c r="G83" i="4"/>
  <c r="F83" i="4"/>
  <c r="H82" i="4"/>
  <c r="G82" i="4"/>
  <c r="E82" i="4"/>
  <c r="F82" i="4" s="1"/>
  <c r="H81" i="4"/>
  <c r="G81" i="4"/>
  <c r="G84" i="4" s="1"/>
  <c r="E17" i="4" s="1"/>
  <c r="E81" i="4"/>
  <c r="F81" i="4" s="1"/>
  <c r="E79" i="4"/>
  <c r="G78" i="4"/>
  <c r="F78" i="4"/>
  <c r="G77" i="4"/>
  <c r="F77" i="4"/>
  <c r="H77" i="4" s="1"/>
  <c r="H79" i="4" s="1"/>
  <c r="F14" i="4" s="1"/>
  <c r="G76" i="4"/>
  <c r="F76" i="4"/>
  <c r="H75" i="4"/>
  <c r="G75" i="4"/>
  <c r="F75" i="4"/>
  <c r="E75" i="4"/>
  <c r="H74" i="4"/>
  <c r="G74" i="4"/>
  <c r="G79" i="4" s="1"/>
  <c r="E14" i="4" s="1"/>
  <c r="F74" i="4"/>
  <c r="E74" i="4"/>
  <c r="G72" i="4"/>
  <c r="F72" i="4"/>
  <c r="H71" i="4"/>
  <c r="G71" i="4"/>
  <c r="F71" i="4"/>
  <c r="H70" i="4"/>
  <c r="G70" i="4"/>
  <c r="G73" i="4" s="1"/>
  <c r="E13" i="4" s="1"/>
  <c r="E70" i="4"/>
  <c r="F70" i="4" s="1"/>
  <c r="H69" i="4"/>
  <c r="G69" i="4"/>
  <c r="E69" i="4"/>
  <c r="E73" i="4" s="1"/>
  <c r="H68" i="4"/>
  <c r="E68" i="4"/>
  <c r="H67" i="4"/>
  <c r="G67" i="4"/>
  <c r="F67" i="4"/>
  <c r="H66" i="4"/>
  <c r="G66" i="4"/>
  <c r="G68" i="4" s="1"/>
  <c r="E12" i="4" s="1"/>
  <c r="F66" i="4"/>
  <c r="F68" i="4" s="1"/>
  <c r="D12" i="4" s="1"/>
  <c r="E66" i="4"/>
  <c r="E62" i="4"/>
  <c r="E61" i="4"/>
  <c r="E60" i="4"/>
  <c r="F6" i="4" s="1"/>
  <c r="E59" i="4"/>
  <c r="E56" i="4"/>
  <c r="E8" i="4" s="1"/>
  <c r="E55" i="4"/>
  <c r="C55" i="4"/>
  <c r="E54" i="4"/>
  <c r="E6" i="4" s="1"/>
  <c r="E53" i="4"/>
  <c r="E5" i="4" s="1"/>
  <c r="E50" i="4"/>
  <c r="D8" i="4" s="1"/>
  <c r="C49" i="4"/>
  <c r="E49" i="4" s="1"/>
  <c r="D7" i="4" s="1"/>
  <c r="E48" i="4"/>
  <c r="D6" i="4" s="1"/>
  <c r="E47" i="4"/>
  <c r="D5" i="4" s="1"/>
  <c r="E44" i="4"/>
  <c r="E43" i="4"/>
  <c r="E42" i="4"/>
  <c r="C6" i="4" s="1"/>
  <c r="E41" i="4"/>
  <c r="C5" i="4" s="1"/>
  <c r="F32" i="4"/>
  <c r="C32" i="4"/>
  <c r="F30" i="4"/>
  <c r="C30" i="4"/>
  <c r="F28" i="4"/>
  <c r="E28" i="4"/>
  <c r="D28" i="4"/>
  <c r="C28" i="4"/>
  <c r="C27" i="4"/>
  <c r="F26" i="4"/>
  <c r="E26" i="4"/>
  <c r="D26" i="4"/>
  <c r="C26" i="4"/>
  <c r="F25" i="4"/>
  <c r="C25" i="4"/>
  <c r="E24" i="4"/>
  <c r="F21" i="4"/>
  <c r="E21" i="4"/>
  <c r="D21" i="4"/>
  <c r="C21" i="4"/>
  <c r="E20" i="4"/>
  <c r="C20" i="4"/>
  <c r="C18" i="4"/>
  <c r="F16" i="4"/>
  <c r="E16" i="4"/>
  <c r="D16" i="4"/>
  <c r="C16" i="4"/>
  <c r="F15" i="4"/>
  <c r="E15" i="4"/>
  <c r="D15" i="4"/>
  <c r="C15" i="4"/>
  <c r="C14" i="4"/>
  <c r="C13" i="4"/>
  <c r="F12" i="4"/>
  <c r="C12" i="4"/>
  <c r="F10" i="4"/>
  <c r="E10" i="4"/>
  <c r="D10" i="4"/>
  <c r="C10" i="4"/>
  <c r="F9" i="4"/>
  <c r="E9" i="4"/>
  <c r="D9" i="4"/>
  <c r="C9" i="4"/>
  <c r="F8" i="4"/>
  <c r="C8" i="4"/>
  <c r="F7" i="4"/>
  <c r="E7" i="4"/>
  <c r="C7" i="4"/>
  <c r="F5" i="4"/>
  <c r="H85" i="1"/>
  <c r="E85" i="1"/>
  <c r="H84" i="1"/>
  <c r="G84" i="1"/>
  <c r="F84" i="1"/>
  <c r="G83" i="1"/>
  <c r="G85" i="1" s="1"/>
  <c r="F83" i="1"/>
  <c r="F85" i="1" s="1"/>
  <c r="H82" i="1"/>
  <c r="E82" i="1"/>
  <c r="G81" i="1"/>
  <c r="F81" i="1"/>
  <c r="G80" i="1"/>
  <c r="F80" i="1"/>
  <c r="H79" i="1"/>
  <c r="G79" i="1"/>
  <c r="F79" i="1"/>
  <c r="H78" i="1"/>
  <c r="G78" i="1"/>
  <c r="F78" i="1"/>
  <c r="F82" i="1" s="1"/>
  <c r="E77" i="1"/>
  <c r="G76" i="1"/>
  <c r="F76" i="1"/>
  <c r="H75" i="1"/>
  <c r="G75" i="1"/>
  <c r="F75" i="1"/>
  <c r="H74" i="1"/>
  <c r="H77" i="1" s="1"/>
  <c r="G74" i="1"/>
  <c r="G77" i="1" s="1"/>
  <c r="F74" i="1"/>
  <c r="F77" i="1" s="1"/>
  <c r="E72" i="1"/>
  <c r="H71" i="1"/>
  <c r="G71" i="1"/>
  <c r="F71" i="1"/>
  <c r="G70" i="1"/>
  <c r="F70" i="1"/>
  <c r="H69" i="1"/>
  <c r="H72" i="1" s="1"/>
  <c r="G69" i="1"/>
  <c r="G72" i="1" s="1"/>
  <c r="F69" i="1"/>
  <c r="F72" i="1" s="1"/>
  <c r="E68" i="1"/>
  <c r="F67" i="1"/>
  <c r="G67" i="1" s="1"/>
  <c r="H66" i="1"/>
  <c r="G66" i="1"/>
  <c r="F66" i="1"/>
  <c r="H65" i="1"/>
  <c r="G65" i="1"/>
  <c r="G68" i="1" s="1"/>
  <c r="F65" i="1"/>
  <c r="H64" i="1"/>
  <c r="F64" i="1"/>
  <c r="E64" i="1"/>
  <c r="G63" i="1"/>
  <c r="F63" i="1"/>
  <c r="G62" i="1"/>
  <c r="G64" i="1" s="1"/>
  <c r="F62" i="1"/>
  <c r="E60" i="1"/>
  <c r="G59" i="1"/>
  <c r="F59" i="1"/>
  <c r="G58" i="1"/>
  <c r="F58" i="1"/>
  <c r="F57" i="1"/>
  <c r="G56" i="1"/>
  <c r="H56" i="1" s="1"/>
  <c r="F56" i="1"/>
  <c r="G55" i="1"/>
  <c r="H55" i="1" s="1"/>
  <c r="H60" i="1" s="1"/>
  <c r="F55" i="1"/>
  <c r="F60" i="1" s="1"/>
  <c r="E54" i="1"/>
  <c r="G51" i="1"/>
  <c r="G54" i="1" s="1"/>
  <c r="F51" i="1"/>
  <c r="F54" i="1" s="1"/>
  <c r="H50" i="1"/>
  <c r="G50" i="1"/>
  <c r="F50" i="1"/>
  <c r="S45" i="1"/>
  <c r="L45" i="1"/>
  <c r="E45" i="1"/>
  <c r="Q44" i="1"/>
  <c r="S44" i="1" s="1"/>
  <c r="T5" i="1" s="1"/>
  <c r="L44" i="1"/>
  <c r="E44" i="1"/>
  <c r="S43" i="1"/>
  <c r="J43" i="1"/>
  <c r="L43" i="1" s="1"/>
  <c r="M4" i="1" s="1"/>
  <c r="E43" i="1"/>
  <c r="Q40" i="1"/>
  <c r="S40" i="1" s="1"/>
  <c r="S6" i="1" s="1"/>
  <c r="L40" i="1"/>
  <c r="J40" i="1"/>
  <c r="C40" i="1"/>
  <c r="E40" i="1" s="1"/>
  <c r="E6" i="1" s="1"/>
  <c r="S39" i="1"/>
  <c r="Q39" i="1"/>
  <c r="L39" i="1"/>
  <c r="C39" i="1"/>
  <c r="E39" i="1" s="1"/>
  <c r="E5" i="1" s="1"/>
  <c r="Q38" i="1"/>
  <c r="S38" i="1" s="1"/>
  <c r="S4" i="1" s="1"/>
  <c r="J38" i="1"/>
  <c r="L38" i="1" s="1"/>
  <c r="L4" i="1" s="1"/>
  <c r="E38" i="1"/>
  <c r="Q35" i="1"/>
  <c r="S35" i="1" s="1"/>
  <c r="R6" i="1" s="1"/>
  <c r="J35" i="1"/>
  <c r="L35" i="1" s="1"/>
  <c r="K6" i="1" s="1"/>
  <c r="C35" i="1"/>
  <c r="E35" i="1" s="1"/>
  <c r="D6" i="1" s="1"/>
  <c r="Q34" i="1"/>
  <c r="S34" i="1" s="1"/>
  <c r="R5" i="1" s="1"/>
  <c r="L34" i="1"/>
  <c r="C34" i="1"/>
  <c r="E34" i="1" s="1"/>
  <c r="D5" i="1" s="1"/>
  <c r="S33" i="1"/>
  <c r="R4" i="1" s="1"/>
  <c r="Q33" i="1"/>
  <c r="J33" i="1"/>
  <c r="L33" i="1" s="1"/>
  <c r="K4" i="1" s="1"/>
  <c r="E33" i="1"/>
  <c r="C33" i="1"/>
  <c r="S30" i="1"/>
  <c r="L30" i="1"/>
  <c r="E30" i="1"/>
  <c r="C6" i="1" s="1"/>
  <c r="S29" i="1"/>
  <c r="L29" i="1"/>
  <c r="E29" i="1"/>
  <c r="S28" i="1"/>
  <c r="Q4" i="1" s="1"/>
  <c r="Q21" i="1" s="1"/>
  <c r="Q22" i="1" s="1"/>
  <c r="L28" i="1"/>
  <c r="E28" i="1"/>
  <c r="T20" i="1"/>
  <c r="R20" i="1"/>
  <c r="Q20" i="1"/>
  <c r="M20" i="1"/>
  <c r="K20" i="1"/>
  <c r="J20" i="1"/>
  <c r="F20" i="1"/>
  <c r="D20" i="1"/>
  <c r="C20" i="1"/>
  <c r="T19" i="1"/>
  <c r="Q19" i="1"/>
  <c r="M19" i="1"/>
  <c r="J19" i="1"/>
  <c r="F19" i="1"/>
  <c r="C19" i="1"/>
  <c r="Q18" i="1"/>
  <c r="J18" i="1"/>
  <c r="C18" i="1"/>
  <c r="T17" i="1"/>
  <c r="S17" i="1"/>
  <c r="R17" i="1"/>
  <c r="M17" i="1"/>
  <c r="L17" i="1"/>
  <c r="K17" i="1"/>
  <c r="F17" i="1"/>
  <c r="E17" i="1"/>
  <c r="D17" i="1"/>
  <c r="T16" i="1"/>
  <c r="S16" i="1"/>
  <c r="R16" i="1"/>
  <c r="M16" i="1"/>
  <c r="L16" i="1"/>
  <c r="K16" i="1"/>
  <c r="F16" i="1"/>
  <c r="E16" i="1"/>
  <c r="D16" i="1"/>
  <c r="Q15" i="1"/>
  <c r="J15" i="1"/>
  <c r="C15" i="1"/>
  <c r="Q14" i="1"/>
  <c r="J14" i="1"/>
  <c r="C14" i="1"/>
  <c r="T13" i="1"/>
  <c r="R13" i="1"/>
  <c r="Q13" i="1"/>
  <c r="M13" i="1"/>
  <c r="K13" i="1"/>
  <c r="J13" i="1"/>
  <c r="F13" i="1"/>
  <c r="D13" i="1"/>
  <c r="C13" i="1"/>
  <c r="Q12" i="1"/>
  <c r="T12" i="1" s="1"/>
  <c r="J12" i="1"/>
  <c r="M12" i="1" s="1"/>
  <c r="C12" i="1"/>
  <c r="F12" i="1" s="1"/>
  <c r="T11" i="1"/>
  <c r="S11" i="1"/>
  <c r="R11" i="1"/>
  <c r="M11" i="1"/>
  <c r="L11" i="1"/>
  <c r="K11" i="1"/>
  <c r="F11" i="1"/>
  <c r="E11" i="1"/>
  <c r="D11" i="1"/>
  <c r="Q10" i="1"/>
  <c r="J10" i="1"/>
  <c r="C10" i="1"/>
  <c r="Q9" i="1"/>
  <c r="J9" i="1"/>
  <c r="C9" i="1"/>
  <c r="T8" i="1"/>
  <c r="S8" i="1"/>
  <c r="R8" i="1"/>
  <c r="Q8" i="1"/>
  <c r="M8" i="1"/>
  <c r="L8" i="1"/>
  <c r="K8" i="1"/>
  <c r="J8" i="1"/>
  <c r="F8" i="1"/>
  <c r="E8" i="1"/>
  <c r="D8" i="1"/>
  <c r="C8" i="1"/>
  <c r="S7" i="1"/>
  <c r="T7" i="1" s="1"/>
  <c r="R7" i="1"/>
  <c r="L7" i="1"/>
  <c r="M7" i="1" s="1"/>
  <c r="K7" i="1"/>
  <c r="F7" i="1"/>
  <c r="E7" i="1"/>
  <c r="D7" i="1"/>
  <c r="T6" i="1"/>
  <c r="Q6" i="1"/>
  <c r="M6" i="1"/>
  <c r="L6" i="1"/>
  <c r="J6" i="1"/>
  <c r="F6" i="1"/>
  <c r="S5" i="1"/>
  <c r="Q5" i="1"/>
  <c r="M5" i="1"/>
  <c r="L5" i="1"/>
  <c r="K5" i="1"/>
  <c r="J5" i="1"/>
  <c r="F5" i="1"/>
  <c r="C5" i="1"/>
  <c r="T4" i="1"/>
  <c r="J4" i="1"/>
  <c r="J21" i="1" s="1"/>
  <c r="J22" i="1" s="1"/>
  <c r="F4" i="1"/>
  <c r="D4" i="1"/>
  <c r="C4" i="1"/>
  <c r="F116" i="9" l="1"/>
  <c r="D26" i="9" s="1"/>
  <c r="C9" i="9"/>
  <c r="G91" i="9"/>
  <c r="E19" i="9" s="1"/>
  <c r="H96" i="9"/>
  <c r="F21" i="9" s="1"/>
  <c r="G116" i="9"/>
  <c r="E26" i="9" s="1"/>
  <c r="H99" i="9"/>
  <c r="E35" i="9"/>
  <c r="H75" i="9"/>
  <c r="F13" i="9" s="1"/>
  <c r="F96" i="9"/>
  <c r="D21" i="9" s="1"/>
  <c r="G129" i="9"/>
  <c r="H124" i="9"/>
  <c r="F33" i="9" s="1"/>
  <c r="H113" i="9"/>
  <c r="F27" i="9" s="1"/>
  <c r="H91" i="9"/>
  <c r="F19" i="9" s="1"/>
  <c r="F91" i="9"/>
  <c r="D19" i="9" s="1"/>
  <c r="H80" i="9"/>
  <c r="F14" i="9" s="1"/>
  <c r="F75" i="9"/>
  <c r="D13" i="9" s="1"/>
  <c r="F9" i="9"/>
  <c r="L9" i="1"/>
  <c r="S9" i="1"/>
  <c r="E9" i="1"/>
  <c r="S14" i="1"/>
  <c r="L14" i="1"/>
  <c r="E14" i="1"/>
  <c r="S15" i="1"/>
  <c r="L15" i="1"/>
  <c r="E15" i="1"/>
  <c r="R18" i="1"/>
  <c r="K18" i="1"/>
  <c r="D18" i="1"/>
  <c r="C21" i="1"/>
  <c r="C22" i="1" s="1"/>
  <c r="E13" i="1"/>
  <c r="S13" i="1"/>
  <c r="L13" i="1"/>
  <c r="H68" i="1"/>
  <c r="T15" i="1"/>
  <c r="M15" i="1"/>
  <c r="F15" i="1"/>
  <c r="E18" i="1"/>
  <c r="S18" i="1"/>
  <c r="L18" i="1"/>
  <c r="R19" i="1"/>
  <c r="K19" i="1"/>
  <c r="D19" i="1"/>
  <c r="S20" i="1"/>
  <c r="E20" i="1"/>
  <c r="L20" i="1"/>
  <c r="K10" i="1"/>
  <c r="D10" i="1"/>
  <c r="R10" i="1"/>
  <c r="F18" i="1"/>
  <c r="T18" i="1"/>
  <c r="M18" i="1"/>
  <c r="D9" i="1"/>
  <c r="K9" i="1"/>
  <c r="R9" i="1"/>
  <c r="M10" i="1"/>
  <c r="T10" i="1"/>
  <c r="F10" i="1"/>
  <c r="K15" i="1"/>
  <c r="R15" i="1"/>
  <c r="D15" i="1"/>
  <c r="H51" i="1"/>
  <c r="H54" i="1" s="1"/>
  <c r="H67" i="1"/>
  <c r="H73" i="4"/>
  <c r="F13" i="4" s="1"/>
  <c r="F79" i="4"/>
  <c r="D14" i="4" s="1"/>
  <c r="G90" i="4"/>
  <c r="E19" i="4" s="1"/>
  <c r="G96" i="4"/>
  <c r="F96" i="4"/>
  <c r="H96" i="4"/>
  <c r="E100" i="4"/>
  <c r="C22" i="4" s="1"/>
  <c r="C34" i="4" s="1"/>
  <c r="C35" i="4" s="1"/>
  <c r="C36" i="4" s="1"/>
  <c r="H106" i="4"/>
  <c r="F23" i="4" s="1"/>
  <c r="G123" i="4"/>
  <c r="G124" i="4" s="1"/>
  <c r="E31" i="4" s="1"/>
  <c r="H123" i="4"/>
  <c r="H124" i="4" s="1"/>
  <c r="F31" i="4" s="1"/>
  <c r="E124" i="4"/>
  <c r="C31" i="4" s="1"/>
  <c r="H91" i="10"/>
  <c r="E95" i="10"/>
  <c r="C21" i="10" s="1"/>
  <c r="F91" i="10"/>
  <c r="G91" i="10"/>
  <c r="G95" i="10" s="1"/>
  <c r="E21" i="10" s="1"/>
  <c r="D12" i="1"/>
  <c r="D27" i="4"/>
  <c r="E27" i="4"/>
  <c r="G97" i="4"/>
  <c r="H97" i="4"/>
  <c r="F109" i="10"/>
  <c r="H109" i="10"/>
  <c r="G109" i="10"/>
  <c r="E112" i="10"/>
  <c r="C28" i="10" s="1"/>
  <c r="K12" i="1"/>
  <c r="S12" i="1"/>
  <c r="G60" i="1"/>
  <c r="F68" i="1"/>
  <c r="G82" i="1"/>
  <c r="F27" i="4"/>
  <c r="H84" i="4"/>
  <c r="F17" i="4" s="1"/>
  <c r="F97" i="4"/>
  <c r="R12" i="1"/>
  <c r="E12" i="1"/>
  <c r="L12" i="1"/>
  <c r="F90" i="4"/>
  <c r="D19" i="4" s="1"/>
  <c r="F25" i="10"/>
  <c r="E25" i="10"/>
  <c r="D25" i="10"/>
  <c r="G77" i="10"/>
  <c r="E14" i="10" s="1"/>
  <c r="G89" i="10"/>
  <c r="E19" i="10" s="1"/>
  <c r="F69" i="4"/>
  <c r="F73" i="4" s="1"/>
  <c r="D13" i="4" s="1"/>
  <c r="G102" i="4"/>
  <c r="G106" i="4" s="1"/>
  <c r="E23" i="4" s="1"/>
  <c r="E109" i="4"/>
  <c r="C24" i="4" s="1"/>
  <c r="E116" i="4"/>
  <c r="C29" i="4" s="1"/>
  <c r="H113" i="4"/>
  <c r="H116" i="4" s="1"/>
  <c r="F29" i="4" s="1"/>
  <c r="F114" i="4"/>
  <c r="F116" i="4" s="1"/>
  <c r="D29" i="4" s="1"/>
  <c r="D16" i="10"/>
  <c r="D20" i="10"/>
  <c r="E24" i="10"/>
  <c r="G67" i="10"/>
  <c r="H68" i="10"/>
  <c r="H71" i="10" s="1"/>
  <c r="F13" i="10" s="1"/>
  <c r="E77" i="10"/>
  <c r="C14" i="10" s="1"/>
  <c r="C32" i="10" s="1"/>
  <c r="C33" i="10" s="1"/>
  <c r="C34" i="10" s="1"/>
  <c r="F72" i="10"/>
  <c r="F77" i="10" s="1"/>
  <c r="D14" i="10" s="1"/>
  <c r="H83" i="10"/>
  <c r="F83" i="10"/>
  <c r="G102" i="10"/>
  <c r="E23" i="10" s="1"/>
  <c r="H107" i="10"/>
  <c r="F27" i="10" s="1"/>
  <c r="F108" i="10"/>
  <c r="H108" i="10"/>
  <c r="H112" i="10" s="1"/>
  <c r="F28" i="10" s="1"/>
  <c r="G108" i="10"/>
  <c r="G112" i="10" s="1"/>
  <c r="E28" i="10" s="1"/>
  <c r="F75" i="12"/>
  <c r="H75" i="12"/>
  <c r="G75" i="12"/>
  <c r="F81" i="12"/>
  <c r="H81" i="12"/>
  <c r="G81" i="12"/>
  <c r="F113" i="12"/>
  <c r="G113" i="12"/>
  <c r="H113" i="12"/>
  <c r="G125" i="12"/>
  <c r="F125" i="12"/>
  <c r="F126" i="12" s="1"/>
  <c r="D28" i="12" s="1"/>
  <c r="E126" i="12"/>
  <c r="C28" i="12" s="1"/>
  <c r="H125" i="12"/>
  <c r="H126" i="12" s="1"/>
  <c r="F28" i="12" s="1"/>
  <c r="E9" i="9"/>
  <c r="F76" i="12"/>
  <c r="H76" i="12"/>
  <c r="G76" i="12"/>
  <c r="E86" i="9"/>
  <c r="C16" i="9" s="1"/>
  <c r="G82" i="9"/>
  <c r="G86" i="9" s="1"/>
  <c r="E16" i="9" s="1"/>
  <c r="F82" i="9"/>
  <c r="F86" i="9" s="1"/>
  <c r="D16" i="9" s="1"/>
  <c r="H82" i="9"/>
  <c r="H86" i="9" s="1"/>
  <c r="F16" i="9" s="1"/>
  <c r="H97" i="9"/>
  <c r="H101" i="9" s="1"/>
  <c r="F22" i="9" s="1"/>
  <c r="F97" i="9"/>
  <c r="F101" i="9" s="1"/>
  <c r="D22" i="9" s="1"/>
  <c r="E101" i="9"/>
  <c r="C22" i="9" s="1"/>
  <c r="G97" i="9"/>
  <c r="G101" i="9" s="1"/>
  <c r="E22" i="9" s="1"/>
  <c r="F81" i="10"/>
  <c r="D17" i="10" s="1"/>
  <c r="E85" i="10"/>
  <c r="C18" i="10" s="1"/>
  <c r="H82" i="10"/>
  <c r="F82" i="10"/>
  <c r="G107" i="10"/>
  <c r="E27" i="10" s="1"/>
  <c r="F117" i="10"/>
  <c r="F118" i="10" s="1"/>
  <c r="D30" i="10" s="1"/>
  <c r="H117" i="10"/>
  <c r="H118" i="10" s="1"/>
  <c r="F30" i="10" s="1"/>
  <c r="G117" i="10"/>
  <c r="G118" i="10" s="1"/>
  <c r="E30" i="10" s="1"/>
  <c r="D10" i="12"/>
  <c r="F10" i="12"/>
  <c r="E10" i="12"/>
  <c r="E79" i="12"/>
  <c r="C14" i="12" s="1"/>
  <c r="G93" i="12"/>
  <c r="E19" i="12" s="1"/>
  <c r="E11" i="9"/>
  <c r="D11" i="9"/>
  <c r="F11" i="9"/>
  <c r="E24" i="9"/>
  <c r="D24" i="9"/>
  <c r="F24" i="9"/>
  <c r="H79" i="3"/>
  <c r="G79" i="3"/>
  <c r="F79" i="3"/>
  <c r="D24" i="10"/>
  <c r="F71" i="10"/>
  <c r="D13" i="10" s="1"/>
  <c r="G68" i="10"/>
  <c r="H73" i="10"/>
  <c r="H77" i="10" s="1"/>
  <c r="F14" i="10" s="1"/>
  <c r="F73" i="10"/>
  <c r="G82" i="10"/>
  <c r="G85" i="10" s="1"/>
  <c r="E18" i="10" s="1"/>
  <c r="H84" i="10"/>
  <c r="H92" i="10"/>
  <c r="F92" i="10"/>
  <c r="F115" i="10"/>
  <c r="D29" i="10" s="1"/>
  <c r="E118" i="10"/>
  <c r="C30" i="10" s="1"/>
  <c r="D11" i="12"/>
  <c r="F11" i="12"/>
  <c r="E11" i="12"/>
  <c r="D30" i="12"/>
  <c r="E30" i="12"/>
  <c r="F80" i="12"/>
  <c r="F85" i="12" s="1"/>
  <c r="D15" i="12" s="1"/>
  <c r="E85" i="12"/>
  <c r="C15" i="12" s="1"/>
  <c r="H80" i="12"/>
  <c r="H85" i="12" s="1"/>
  <c r="F15" i="12" s="1"/>
  <c r="G80" i="12"/>
  <c r="G85" i="12" s="1"/>
  <c r="E15" i="12" s="1"/>
  <c r="D9" i="9"/>
  <c r="E115" i="10"/>
  <c r="C29" i="10" s="1"/>
  <c r="F110" i="12"/>
  <c r="D24" i="12" s="1"/>
  <c r="G112" i="3"/>
  <c r="E27" i="3" s="1"/>
  <c r="F114" i="10"/>
  <c r="D16" i="12"/>
  <c r="D17" i="12"/>
  <c r="D21" i="12"/>
  <c r="F104" i="12"/>
  <c r="F106" i="12" s="1"/>
  <c r="D23" i="12" s="1"/>
  <c r="G107" i="12"/>
  <c r="G110" i="12" s="1"/>
  <c r="E24" i="12" s="1"/>
  <c r="H112" i="12"/>
  <c r="F116" i="12"/>
  <c r="H117" i="12"/>
  <c r="G126" i="12"/>
  <c r="E28" i="12" s="1"/>
  <c r="F10" i="9"/>
  <c r="F15" i="9"/>
  <c r="D18" i="9"/>
  <c r="F23" i="9"/>
  <c r="D30" i="9"/>
  <c r="E31" i="9"/>
  <c r="F35" i="9"/>
  <c r="G71" i="9"/>
  <c r="G75" i="9" s="1"/>
  <c r="E13" i="9" s="1"/>
  <c r="G80" i="9"/>
  <c r="E14" i="9" s="1"/>
  <c r="F77" i="9"/>
  <c r="F80" i="9" s="1"/>
  <c r="D14" i="9" s="1"/>
  <c r="F103" i="9"/>
  <c r="D25" i="9" s="1"/>
  <c r="H104" i="9"/>
  <c r="F25" i="9" s="1"/>
  <c r="C25" i="9"/>
  <c r="F109" i="9"/>
  <c r="F113" i="9" s="1"/>
  <c r="D27" i="9" s="1"/>
  <c r="G110" i="9"/>
  <c r="G113" i="9" s="1"/>
  <c r="E27" i="9" s="1"/>
  <c r="F120" i="9"/>
  <c r="F124" i="9" s="1"/>
  <c r="D33" i="9" s="1"/>
  <c r="G121" i="9"/>
  <c r="G124" i="9" s="1"/>
  <c r="E33" i="9" s="1"/>
  <c r="F128" i="9"/>
  <c r="F129" i="9" s="1"/>
  <c r="F16" i="3"/>
  <c r="D18" i="3"/>
  <c r="E18" i="3"/>
  <c r="D26" i="3"/>
  <c r="F26" i="3"/>
  <c r="E26" i="3"/>
  <c r="H103" i="12"/>
  <c r="F22" i="12" s="1"/>
  <c r="E80" i="9"/>
  <c r="C14" i="9" s="1"/>
  <c r="E129" i="9"/>
  <c r="D11" i="3"/>
  <c r="D13" i="3"/>
  <c r="E13" i="3"/>
  <c r="D19" i="3"/>
  <c r="F19" i="3"/>
  <c r="E83" i="3"/>
  <c r="C15" i="3" s="1"/>
  <c r="C38" i="3" s="1"/>
  <c r="C39" i="3" s="1"/>
  <c r="C40" i="3" s="1"/>
  <c r="H78" i="3"/>
  <c r="H83" i="3" s="1"/>
  <c r="F15" i="3" s="1"/>
  <c r="F38" i="3" s="1"/>
  <c r="F39" i="3" s="1"/>
  <c r="F40" i="3" s="1"/>
  <c r="G78" i="3"/>
  <c r="F78" i="3"/>
  <c r="F83" i="3" s="1"/>
  <c r="D15" i="3" s="1"/>
  <c r="G91" i="3"/>
  <c r="E17" i="3" s="1"/>
  <c r="G98" i="2"/>
  <c r="E23" i="2" s="1"/>
  <c r="F105" i="3"/>
  <c r="D24" i="3" s="1"/>
  <c r="C27" i="2"/>
  <c r="C28" i="2" s="1"/>
  <c r="C29" i="2" s="1"/>
  <c r="E96" i="3"/>
  <c r="C21" i="3" s="1"/>
  <c r="F113" i="3"/>
  <c r="F114" i="3"/>
  <c r="F118" i="3"/>
  <c r="F120" i="3" s="1"/>
  <c r="D28" i="3" s="1"/>
  <c r="E120" i="3"/>
  <c r="C28" i="3" s="1"/>
  <c r="F124" i="3"/>
  <c r="F125" i="3"/>
  <c r="D8" i="2"/>
  <c r="D9" i="2"/>
  <c r="D14" i="2"/>
  <c r="D15" i="2"/>
  <c r="D20" i="2"/>
  <c r="D21" i="2"/>
  <c r="E98" i="2"/>
  <c r="C23" i="2" s="1"/>
  <c r="D31" i="3"/>
  <c r="D32" i="3"/>
  <c r="D33" i="3"/>
  <c r="F93" i="3"/>
  <c r="F96" i="3" s="1"/>
  <c r="D21" i="3" s="1"/>
  <c r="F107" i="3"/>
  <c r="F108" i="3"/>
  <c r="G113" i="3"/>
  <c r="G117" i="3" s="1"/>
  <c r="E29" i="3" s="1"/>
  <c r="G114" i="3"/>
  <c r="G124" i="3"/>
  <c r="G125" i="3"/>
  <c r="E8" i="2"/>
  <c r="E27" i="2" s="1"/>
  <c r="E28" i="2" s="1"/>
  <c r="E29" i="2" s="1"/>
  <c r="E9" i="2"/>
  <c r="E14" i="2"/>
  <c r="E15" i="2"/>
  <c r="E20" i="2"/>
  <c r="E21" i="2"/>
  <c r="H59" i="2"/>
  <c r="H61" i="2" s="1"/>
  <c r="F10" i="2" s="1"/>
  <c r="F27" i="2" s="1"/>
  <c r="F28" i="2" s="1"/>
  <c r="F29" i="2" s="1"/>
  <c r="H62" i="2"/>
  <c r="H66" i="2" s="1"/>
  <c r="F12" i="2" s="1"/>
  <c r="H67" i="2"/>
  <c r="H72" i="2" s="1"/>
  <c r="F13" i="2" s="1"/>
  <c r="F85" i="2"/>
  <c r="F88" i="2" s="1"/>
  <c r="D19" i="2" s="1"/>
  <c r="F94" i="2"/>
  <c r="F95" i="2"/>
  <c r="H100" i="2"/>
  <c r="H101" i="2" s="1"/>
  <c r="F24" i="2" s="1"/>
  <c r="H113" i="3"/>
  <c r="H117" i="3" s="1"/>
  <c r="F29" i="3" s="1"/>
  <c r="H124" i="3"/>
  <c r="H128" i="3" s="1"/>
  <c r="F34" i="3" s="1"/>
  <c r="G85" i="2"/>
  <c r="G88" i="2" s="1"/>
  <c r="E19" i="2" s="1"/>
  <c r="C38" i="9" l="1"/>
  <c r="C39" i="9" s="1"/>
  <c r="C40" i="9" s="1"/>
  <c r="T9" i="1"/>
  <c r="F9" i="1"/>
  <c r="M9" i="1"/>
  <c r="F38" i="9"/>
  <c r="F39" i="9" s="1"/>
  <c r="F40" i="9" s="1"/>
  <c r="G128" i="3"/>
  <c r="E34" i="3" s="1"/>
  <c r="F112" i="3"/>
  <c r="D27" i="3" s="1"/>
  <c r="D38" i="3" s="1"/>
  <c r="D39" i="3" s="1"/>
  <c r="D40" i="3" s="1"/>
  <c r="F128" i="3"/>
  <c r="D34" i="3" s="1"/>
  <c r="F117" i="3"/>
  <c r="D29" i="3" s="1"/>
  <c r="G83" i="3"/>
  <c r="E15" i="3" s="1"/>
  <c r="E38" i="3" s="1"/>
  <c r="E39" i="3" s="1"/>
  <c r="E40" i="3" s="1"/>
  <c r="D38" i="9"/>
  <c r="D39" i="9" s="1"/>
  <c r="D40" i="9" s="1"/>
  <c r="F85" i="10"/>
  <c r="D18" i="10" s="1"/>
  <c r="D32" i="10" s="1"/>
  <c r="D33" i="10" s="1"/>
  <c r="D34" i="10" s="1"/>
  <c r="F112" i="10"/>
  <c r="D28" i="10" s="1"/>
  <c r="G71" i="10"/>
  <c r="E13" i="10" s="1"/>
  <c r="E32" i="10" s="1"/>
  <c r="E33" i="10" s="1"/>
  <c r="E34" i="10" s="1"/>
  <c r="S19" i="1"/>
  <c r="E19" i="1"/>
  <c r="L19" i="1"/>
  <c r="G100" i="4"/>
  <c r="E22" i="4" s="1"/>
  <c r="E34" i="4" s="1"/>
  <c r="E35" i="4" s="1"/>
  <c r="E36" i="4" s="1"/>
  <c r="H85" i="10"/>
  <c r="F18" i="10" s="1"/>
  <c r="F32" i="10" s="1"/>
  <c r="F33" i="10" s="1"/>
  <c r="F34" i="10" s="1"/>
  <c r="G79" i="12"/>
  <c r="E14" i="12" s="1"/>
  <c r="E36" i="12" s="1"/>
  <c r="E37" i="12" s="1"/>
  <c r="E38" i="12" s="1"/>
  <c r="R14" i="1"/>
  <c r="R21" i="1" s="1"/>
  <c r="R22" i="1" s="1"/>
  <c r="D14" i="1"/>
  <c r="D21" i="1" s="1"/>
  <c r="D22" i="1" s="1"/>
  <c r="K14" i="1"/>
  <c r="K21" i="1" s="1"/>
  <c r="K22" i="1" s="1"/>
  <c r="F95" i="10"/>
  <c r="D21" i="10" s="1"/>
  <c r="E38" i="9"/>
  <c r="E39" i="9" s="1"/>
  <c r="E40" i="9" s="1"/>
  <c r="H79" i="12"/>
  <c r="F14" i="12" s="1"/>
  <c r="F36" i="12" s="1"/>
  <c r="F37" i="12" s="1"/>
  <c r="F38" i="12" s="1"/>
  <c r="S10" i="1"/>
  <c r="S21" i="1" s="1"/>
  <c r="S22" i="1" s="1"/>
  <c r="E10" i="1"/>
  <c r="E21" i="1" s="1"/>
  <c r="E22" i="1" s="1"/>
  <c r="L10" i="1"/>
  <c r="L21" i="1" s="1"/>
  <c r="L22" i="1" s="1"/>
  <c r="H100" i="4"/>
  <c r="F22" i="4" s="1"/>
  <c r="F34" i="4" s="1"/>
  <c r="F35" i="4" s="1"/>
  <c r="F36" i="4" s="1"/>
  <c r="T14" i="1"/>
  <c r="M14" i="1"/>
  <c r="F14" i="1"/>
  <c r="F98" i="2"/>
  <c r="D23" i="2" s="1"/>
  <c r="D27" i="2" s="1"/>
  <c r="D28" i="2" s="1"/>
  <c r="D29" i="2" s="1"/>
  <c r="C36" i="12"/>
  <c r="C37" i="12" s="1"/>
  <c r="C38" i="12" s="1"/>
  <c r="F79" i="12"/>
  <c r="D14" i="12" s="1"/>
  <c r="D36" i="12" s="1"/>
  <c r="D37" i="12" s="1"/>
  <c r="D38" i="12" s="1"/>
  <c r="H95" i="10"/>
  <c r="F21" i="10" s="1"/>
  <c r="F100" i="4"/>
  <c r="D22" i="4" s="1"/>
  <c r="D34" i="4" s="1"/>
  <c r="D35" i="4" s="1"/>
  <c r="D36" i="4" s="1"/>
  <c r="M21" i="1" l="1"/>
  <c r="M22" i="1" s="1"/>
  <c r="F21" i="1"/>
  <c r="F22" i="1" s="1"/>
  <c r="T21" i="1"/>
  <c r="T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3" authorId="0" shapeId="0" xr:uid="{00000000-0006-0000-00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Q45" authorId="0" shapeId="0" xr:uid="{00000000-0006-0000-00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2" authorId="0" shapeId="0" xr:uid="{00000000-0006-0000-06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55" authorId="0" shapeId="0" xr:uid="{00000000-0006-0000-06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9" authorId="0" shapeId="0" xr:uid="{00000000-0006-0000-01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2" authorId="0" shapeId="0" xr:uid="{00000000-0006-0000-01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7" authorId="0" shapeId="0" xr:uid="{00000000-0006-0000-02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0" authorId="0" shapeId="0" xr:uid="{00000000-0006-0000-02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57" authorId="0" shapeId="0" xr:uid="{2B1FA5F4-F991-428E-8819-2C89A3D74AC7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0" authorId="0" shapeId="0" xr:uid="{D2E95A27-F3B4-40AC-8795-A8515AF0A9D2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4" authorId="0" shapeId="0" xr:uid="{00000000-0006-0000-03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7" authorId="0" shapeId="0" xr:uid="{00000000-0006-0000-03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3" authorId="0" shapeId="0" xr:uid="{00000000-0006-0000-04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6" authorId="0" shapeId="0" xr:uid="{00000000-0006-0000-04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3" authorId="0" shapeId="0" xr:uid="{1BA92F14-38F6-4928-86BB-626BCCF37D5F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6" authorId="0" shapeId="0" xr:uid="{29D43D46-B5CC-4228-8F48-1AFD3F99BF6F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3" authorId="0" shapeId="0" xr:uid="{37230D48-F54B-49CB-B824-5C9472C35759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66" authorId="0" shapeId="0" xr:uid="{DAA5F564-4CCE-405E-8A59-D83322668342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69" authorId="0" shapeId="0" xr:uid="{00000000-0006-0000-0500-000001000000}">
      <text>
        <r>
          <rPr>
            <sz val="11"/>
            <color rgb="FF000000"/>
            <rFont val="Calibri"/>
            <charset val="134"/>
          </rPr>
          <t xml:space="preserve">Le réve 1:
niños hasta 10 años gratis, solo paga seguro hotelero
</t>
        </r>
      </text>
    </comment>
    <comment ref="J73" authorId="0" shapeId="0" xr:uid="{00000000-0006-0000-0500-000002000000}">
      <text>
        <r>
          <rPr>
            <sz val="11"/>
            <color rgb="FF000000"/>
            <rFont val="Calibri"/>
            <charset val="134"/>
          </rPr>
          <t xml:space="preserve">Le réve Niños de 2 a 10 años hospedaje gratis, solo paga el desayuno
</t>
        </r>
      </text>
    </comment>
  </commentList>
</comments>
</file>

<file path=xl/sharedStrings.xml><?xml version="1.0" encoding="utf-8"?>
<sst xmlns="http://schemas.openxmlformats.org/spreadsheetml/2006/main" count="2417" uniqueCount="265">
  <si>
    <t>CATEGORIA TURISTA</t>
  </si>
  <si>
    <t>CATEGORIA SUPERIOR</t>
  </si>
  <si>
    <t>CATEGORIA DE LUJO</t>
  </si>
  <si>
    <t>CIUDAD</t>
  </si>
  <si>
    <t>CONCEPTO</t>
  </si>
  <si>
    <t>SENCILLA</t>
  </si>
  <si>
    <t>DOBLE</t>
  </si>
  <si>
    <t>TRIPLE</t>
  </si>
  <si>
    <t>NIÑO</t>
  </si>
  <si>
    <t>BOGOTA</t>
  </si>
  <si>
    <t>HOTEL 3 NOCHES</t>
  </si>
  <si>
    <t>EJE CAFETERO</t>
  </si>
  <si>
    <t>CARTAGENA</t>
  </si>
  <si>
    <t>Traslado Apto-Hotel-Apto</t>
  </si>
  <si>
    <t>Guia Local Transfer in/out</t>
  </si>
  <si>
    <t>TOUR ZIPAQUIRA (*)</t>
  </si>
  <si>
    <t>CITY TOUR (**)</t>
  </si>
  <si>
    <t>TOUR DEL CAFE  (***)</t>
  </si>
  <si>
    <t>T VALLE DEL COCORA (****)</t>
  </si>
  <si>
    <t>TOUR TERMALES (*****)</t>
  </si>
  <si>
    <t>Traslados in/out</t>
  </si>
  <si>
    <t>Guianza In/out</t>
  </si>
  <si>
    <t>WALKING TOUR ******</t>
  </si>
  <si>
    <t>CITY TOUR Y CHIVA *******</t>
  </si>
  <si>
    <t>FULL DAY ISLA ENCANTO</t>
  </si>
  <si>
    <t xml:space="preserve">TOTAL NETO </t>
  </si>
  <si>
    <t>MONTAJE AL 24%</t>
  </si>
  <si>
    <t>HOTELES CATEGORIA TURISTA VALOR POR NOCHE POR PERSONA- NETOS</t>
  </si>
  <si>
    <t>HOTELES CATEGORIA SUPERIOR VALOR POR NOCHE POR PERSONA- NETOS</t>
  </si>
  <si>
    <t>HOTELES CATEGORIA DE LUJO VALOR POR NOCHE POR PERSONA- NETOS</t>
  </si>
  <si>
    <t>HOTELES</t>
  </si>
  <si>
    <t>3 NOCHES</t>
  </si>
  <si>
    <t>TOTAL</t>
  </si>
  <si>
    <t>Hotel Bogota Matisse</t>
  </si>
  <si>
    <t>Hotel Tryp Embajada</t>
  </si>
  <si>
    <t>Hotel Wyndham</t>
  </si>
  <si>
    <t>Hotel Eje cafetero</t>
  </si>
  <si>
    <t>Bosques del Saman</t>
  </si>
  <si>
    <t>Finca Hotel La Esperanza</t>
  </si>
  <si>
    <t>Hotel Cartagena Playa Club</t>
  </si>
  <si>
    <t>Hotel Caribe Cartagena</t>
  </si>
  <si>
    <t>Hotel Almirante</t>
  </si>
  <si>
    <t>Hotel Eje cafetero Hacienda Combia</t>
  </si>
  <si>
    <t>N/A</t>
  </si>
  <si>
    <t>OPERADORES</t>
  </si>
  <si>
    <t>DESCRIPCION</t>
  </si>
  <si>
    <t>SERVICIO</t>
  </si>
  <si>
    <t>Martha Acevedo/Transportes Ejecutivos</t>
  </si>
  <si>
    <t>Traslado Bog- Zip</t>
  </si>
  <si>
    <t>Transporte</t>
  </si>
  <si>
    <t>Martha Acevedo</t>
  </si>
  <si>
    <t>Guianza city tour</t>
  </si>
  <si>
    <t>Guianza</t>
  </si>
  <si>
    <t>Catedral de Sal</t>
  </si>
  <si>
    <t>Entrada</t>
  </si>
  <si>
    <t>Funzipa</t>
  </si>
  <si>
    <t>Almuerzo</t>
  </si>
  <si>
    <t>Alimentacion</t>
  </si>
  <si>
    <t>Total</t>
  </si>
  <si>
    <t>Traslados city</t>
  </si>
  <si>
    <t xml:space="preserve">Guianza city </t>
  </si>
  <si>
    <t>Panoptico</t>
  </si>
  <si>
    <t>Museo del Oro</t>
  </si>
  <si>
    <t xml:space="preserve">Entrada </t>
  </si>
  <si>
    <t>Tour</t>
  </si>
  <si>
    <t>Cerro de Monserrate</t>
  </si>
  <si>
    <t>TOUR DEL CAFÉ (***)</t>
  </si>
  <si>
    <t>Combia Inspiracion</t>
  </si>
  <si>
    <t>Recorrido combia inspiracion</t>
  </si>
  <si>
    <t>Finca Combia</t>
  </si>
  <si>
    <t>TOUR VALLE DEL COCORA (****)</t>
  </si>
  <si>
    <t>Transporte en Bus a Salento</t>
  </si>
  <si>
    <t>Claudia Casas</t>
  </si>
  <si>
    <t>Transportes salento</t>
  </si>
  <si>
    <t>Transp en Jeep Willys a Cocora</t>
  </si>
  <si>
    <t>TERMALES SAN VICENTE (*****)</t>
  </si>
  <si>
    <t>Termales san Vicente</t>
  </si>
  <si>
    <t>Termales de san Vicente</t>
  </si>
  <si>
    <t>Pasadia Oxigeno</t>
  </si>
  <si>
    <t>WALKING TOUR (******)</t>
  </si>
  <si>
    <t>Serviexpress</t>
  </si>
  <si>
    <t>Hotel Walking Hotel</t>
  </si>
  <si>
    <t>Maria del Socorro</t>
  </si>
  <si>
    <t>Guianza Walking</t>
  </si>
  <si>
    <t>Restaurante la Cocina Cartagenera</t>
  </si>
  <si>
    <t>Cena</t>
  </si>
  <si>
    <t>CITY TOUR Y CHIVA (*******)</t>
  </si>
  <si>
    <t>Transporte city tour</t>
  </si>
  <si>
    <t>Contactos</t>
  </si>
  <si>
    <t>Chiva rumbera</t>
  </si>
  <si>
    <t>Escuela Taller Cartagena de Indias</t>
  </si>
  <si>
    <t>Entrada San Felipe</t>
  </si>
  <si>
    <t>FULL DAY ISLA DEL ENCANTO (********)</t>
  </si>
  <si>
    <t>Isla del Encanto</t>
  </si>
  <si>
    <t>Tour Islas del Rosario</t>
  </si>
  <si>
    <t>Transporte Muelle Hotel</t>
  </si>
  <si>
    <t>CATEGORIA SUPERIOR GRUPO 26 PAX</t>
  </si>
  <si>
    <t>HOTEL 2 NOCHES</t>
  </si>
  <si>
    <t>MEDELLIN</t>
  </si>
  <si>
    <t>HOTEL 4 NOCHES</t>
  </si>
  <si>
    <t>Almuerzo en Hotel</t>
  </si>
  <si>
    <t>WALKING TOUR</t>
  </si>
  <si>
    <t>TOUR FILANDIA</t>
  </si>
  <si>
    <t>Traslado Eje cafetero-Medellín</t>
  </si>
  <si>
    <t>CITY TOUR (******)</t>
  </si>
  <si>
    <t>TOUR GUATAPE Y PIEDRA DEL PEÑOL</t>
  </si>
  <si>
    <t>TOUR RUMBERO</t>
  </si>
  <si>
    <t>DESFILE DE SILLETEROS</t>
  </si>
  <si>
    <t>Traslado Hotel Aeropuerto</t>
  </si>
  <si>
    <t>Cena de Despedida</t>
  </si>
  <si>
    <t xml:space="preserve"> Asistencia médica</t>
  </si>
  <si>
    <t>April</t>
  </si>
  <si>
    <t>MARKUP</t>
  </si>
  <si>
    <t>TRM</t>
  </si>
  <si>
    <t>Precios que se le dieron a la Agencia</t>
  </si>
  <si>
    <t>Biohotel Organic</t>
  </si>
  <si>
    <t>Hotel Diez Hotel</t>
  </si>
  <si>
    <t>*Precio de La esperanza</t>
  </si>
  <si>
    <t>Bosques del Saman (0-5 años)</t>
  </si>
  <si>
    <t>Hotel Diez Hotel (max 10 años)</t>
  </si>
  <si>
    <t>Hotel Caribe Cartagena (max 2 niños y hasta 12 años</t>
  </si>
  <si>
    <t>Harold Chacon</t>
  </si>
  <si>
    <t>Guia</t>
  </si>
  <si>
    <t>Chivas Bogotá</t>
  </si>
  <si>
    <t>Transportes Loyola/Transglobal</t>
  </si>
  <si>
    <t>Traslado</t>
  </si>
  <si>
    <t>Restaurante en Zipaquirá</t>
  </si>
  <si>
    <t>Alimentación</t>
  </si>
  <si>
    <t>Loyola/Gabriel Roncancio</t>
  </si>
  <si>
    <t>Traslados</t>
  </si>
  <si>
    <t>La Puerta de la Catedral</t>
  </si>
  <si>
    <t>Portales del café</t>
  </si>
  <si>
    <t>Asoguian</t>
  </si>
  <si>
    <t>Restaurante Nevari</t>
  </si>
  <si>
    <t xml:space="preserve">TOUR DEL CAFÉ </t>
  </si>
  <si>
    <t>TOUR VALLE DEL COCORA</t>
  </si>
  <si>
    <t>Traslado en Jeep</t>
  </si>
  <si>
    <t xml:space="preserve">TERMALES SANTA ROSA </t>
  </si>
  <si>
    <t>Termales de santa Rosa</t>
  </si>
  <si>
    <t>Pasaporte</t>
  </si>
  <si>
    <t xml:space="preserve">CITY TOUR </t>
  </si>
  <si>
    <t xml:space="preserve">Transglobal </t>
  </si>
  <si>
    <t>Asoguian Antioquia</t>
  </si>
  <si>
    <t>Metro</t>
  </si>
  <si>
    <t>Entradas</t>
  </si>
  <si>
    <t>Restaurante la Hacienda</t>
  </si>
  <si>
    <t>Paseo en Planchon</t>
  </si>
  <si>
    <t>Restaurante El portal Guatapé</t>
  </si>
  <si>
    <t>Refrigerio</t>
  </si>
  <si>
    <t>Fonda de Toño</t>
  </si>
  <si>
    <t>Picada + Licor</t>
  </si>
  <si>
    <t>Buseticas</t>
  </si>
  <si>
    <t xml:space="preserve">WALKING TOUR </t>
  </si>
  <si>
    <t>Maria del Socorro Gonzalez</t>
  </si>
  <si>
    <t>Paseo en Carroza</t>
  </si>
  <si>
    <t xml:space="preserve">CITY TOUR Y CHIVA </t>
  </si>
  <si>
    <t>Chiva</t>
  </si>
  <si>
    <t>Escuela Taller Cartagena</t>
  </si>
  <si>
    <t>FULL DAY ISLA DEL ENCANTO</t>
  </si>
  <si>
    <t>Pasadia</t>
  </si>
  <si>
    <t>CENA DE DESPEDIDA</t>
  </si>
  <si>
    <t>Restaurante en Cartagena</t>
  </si>
  <si>
    <t>CHIVA RUMBERA</t>
  </si>
  <si>
    <t xml:space="preserve">Cena de Despedida </t>
  </si>
  <si>
    <t>GRAFFITOUR</t>
  </si>
  <si>
    <t>Asistencia médica</t>
  </si>
  <si>
    <t>Precios que se le dieron a Jairo</t>
  </si>
  <si>
    <t>Hacienda Combia</t>
  </si>
  <si>
    <t xml:space="preserve">CHIVA RUMBERA </t>
  </si>
  <si>
    <t>Martha Acevedo/Loyola</t>
  </si>
  <si>
    <t>Transportes Loyola</t>
  </si>
  <si>
    <t xml:space="preserve">Traslados </t>
  </si>
  <si>
    <t>La puerta de La Catedral</t>
  </si>
  <si>
    <t>Restaurante Pepito</t>
  </si>
  <si>
    <t>Traslados en Jeep</t>
  </si>
  <si>
    <t>TERMALES SANTA ROSA (*****)</t>
  </si>
  <si>
    <t>Transfer hotel centro hotel</t>
  </si>
  <si>
    <t>Beatriz</t>
  </si>
  <si>
    <t>Traslado a Sabaneta</t>
  </si>
  <si>
    <t>2 picadas + licores</t>
  </si>
  <si>
    <t>Transglobal ejecutivos</t>
  </si>
  <si>
    <t>Traslado comuna 13</t>
  </si>
  <si>
    <t>Ruta 13</t>
  </si>
  <si>
    <t>Paseo en Coche</t>
  </si>
  <si>
    <t>Tour en carroza</t>
  </si>
  <si>
    <t>Cena de despedida</t>
  </si>
  <si>
    <t>SANTA MARTA</t>
  </si>
  <si>
    <t>BARRANQUILLA</t>
  </si>
  <si>
    <t>Traslado Ctg-Santa Marta</t>
  </si>
  <si>
    <t>City Tour Barranquilla</t>
  </si>
  <si>
    <t>Traslado Sta Mta-Barranquilla</t>
  </si>
  <si>
    <t>City Tour Santa Marta</t>
  </si>
  <si>
    <t>Tour Cabo San Juan Tayrona</t>
  </si>
  <si>
    <t>Traslado Barranquilla-Ctg</t>
  </si>
  <si>
    <t>Hotel Catedral Plaza</t>
  </si>
  <si>
    <t>CATEGORIA SUPERIOR GRUPO DE 35-40 PAX (DIVIDO EN 2 GRUPOS)</t>
  </si>
  <si>
    <t>TOTAL HOTELES</t>
  </si>
  <si>
    <t>Cena de Bienvenida</t>
  </si>
  <si>
    <t>TOUR RELIGIOSO Y CITY TOUR</t>
  </si>
  <si>
    <t>TOUR ZIPAQUIRA</t>
  </si>
  <si>
    <t>Guia acompañante</t>
  </si>
  <si>
    <t>BOYACA</t>
  </si>
  <si>
    <t>TOUR POR BOYACA</t>
  </si>
  <si>
    <t>PARQUE NACIONAL DEL CAFÉ</t>
  </si>
  <si>
    <t>Transfer In/Out</t>
  </si>
  <si>
    <t>CITY TOUR</t>
  </si>
  <si>
    <t xml:space="preserve">ISLA DEL SOL </t>
  </si>
  <si>
    <t>Guia Acompañante</t>
  </si>
  <si>
    <t>Hotel Andes Plaza- hab sup</t>
  </si>
  <si>
    <t>Hacienda Valparaiso</t>
  </si>
  <si>
    <t>Hotel Poblado Plaza</t>
  </si>
  <si>
    <t>Hotel Poblado Plaza (3-11 años)</t>
  </si>
  <si>
    <t>TOUR RELIGIOSO  Y  CITY TOUR</t>
  </si>
  <si>
    <t>La puerta de la Catedral</t>
  </si>
  <si>
    <t xml:space="preserve">Almuerzo </t>
  </si>
  <si>
    <t>Restaurante</t>
  </si>
  <si>
    <t>Gabriel Roncancio/Loyola</t>
  </si>
  <si>
    <t>Martha Acevedo/Harold Chacon</t>
  </si>
  <si>
    <t>Almuerzo en Villa de Leyva</t>
  </si>
  <si>
    <t>Casa Terracota</t>
  </si>
  <si>
    <t>Portales del Café</t>
  </si>
  <si>
    <t>Restaurante Nevari Calarca</t>
  </si>
  <si>
    <t>TOUR DEL CAFÉ</t>
  </si>
  <si>
    <t>Nevari</t>
  </si>
  <si>
    <t>PARQUE NAL DEL CAFÉ</t>
  </si>
  <si>
    <t>Traslado hotel parque</t>
  </si>
  <si>
    <t>Parque Nacional del Café</t>
  </si>
  <si>
    <t>Asoguian Quindio</t>
  </si>
  <si>
    <t>Guia Local</t>
  </si>
  <si>
    <t>Jeep Willys</t>
  </si>
  <si>
    <t>Restaurante Salento</t>
  </si>
  <si>
    <t>Jardin Botanico</t>
  </si>
  <si>
    <t xml:space="preserve">Tour </t>
  </si>
  <si>
    <t>Paseo en Barco</t>
  </si>
  <si>
    <t>Paquete desfile de silleteros</t>
  </si>
  <si>
    <t>CITY TOUR Y CHIVA</t>
  </si>
  <si>
    <t xml:space="preserve">Transporte </t>
  </si>
  <si>
    <t xml:space="preserve">Escuela Taller Cartagena </t>
  </si>
  <si>
    <t>PASADIA ISLA DEL SOL</t>
  </si>
  <si>
    <t>Isla del Sol</t>
  </si>
  <si>
    <t>CATEGORIA SUPERIOR GRUPO DE 35 A 40 PAX</t>
  </si>
  <si>
    <t>VILLA DE LEYVA</t>
  </si>
  <si>
    <t>HOTEL 1 NOCHE</t>
  </si>
  <si>
    <t>ISLA CARTAGENA</t>
  </si>
  <si>
    <t xml:space="preserve">TOUR RELIGIOSO Y CITY TOUR </t>
  </si>
  <si>
    <t>Hosteria Duruelo</t>
  </si>
  <si>
    <t>Hotel Isla en Cartagena</t>
  </si>
  <si>
    <t>Hotel en Villa de Leyva</t>
  </si>
  <si>
    <t>Hotel en Villa de Leyva (hasta los 7 años)</t>
  </si>
  <si>
    <t>Hotel Isla en Cartagena (4 a 10 años)</t>
  </si>
  <si>
    <t>TOUR POR BOYACA, ZIPAQUIRA Y VILLA DE LEYVA</t>
  </si>
  <si>
    <t>TOUR POR BOYACA ZIPAQUIRA Y VILLA DE LEYVA</t>
  </si>
  <si>
    <t>Parque nacional del café</t>
  </si>
  <si>
    <t>Traslado Med-Guatape-Med</t>
  </si>
  <si>
    <t>Traslado Finca Hotel a Filandia</t>
  </si>
  <si>
    <t>Termales de Santa Rosa</t>
  </si>
  <si>
    <t>Pasadia Natural</t>
  </si>
  <si>
    <t>Tour Carroza</t>
  </si>
  <si>
    <t>Finca la Esperanza</t>
  </si>
  <si>
    <t>Asistencia Médica</t>
  </si>
  <si>
    <t>ALMUERZO DE BIENVENIDA</t>
  </si>
  <si>
    <t>Hotel Cartagena Plaza</t>
  </si>
  <si>
    <t>Hotel Almirante (2-10 años)</t>
  </si>
  <si>
    <t>Poblado Plaza (3-11 años)</t>
  </si>
  <si>
    <t>Diez Hotel Hasta 10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</si>
</sst>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_);[Red]\(&quot;$&quot;\ #,##0\)"/>
    <numFmt numFmtId="165" formatCode="&quot;$&quot;\ #,##0"/>
    <numFmt numFmtId="166" formatCode="_(&quot;$&quot;\ * #,##0.00_);_(&quot;$&quot;\ * \(#,##0.00\);_(&quot;$&quot;\ * &quot;-&quot;??_);_(@_)"/>
    <numFmt numFmtId="167" formatCode="[$$-240A]\ #,##0"/>
  </numFmts>
  <fonts count="3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Verdana"/>
      <charset val="134"/>
    </font>
    <font>
      <sz val="11"/>
      <name val="Calibri"/>
      <charset val="134"/>
    </font>
    <font>
      <sz val="11"/>
      <color rgb="FF92D050"/>
      <name val="Calibri"/>
      <charset val="134"/>
    </font>
    <font>
      <sz val="10"/>
      <color rgb="FF92D050"/>
      <name val="Verdana"/>
      <charset val="134"/>
    </font>
    <font>
      <u/>
      <sz val="11"/>
      <color rgb="FF0563C1"/>
      <name val="Calibri"/>
      <charset val="134"/>
    </font>
    <font>
      <b/>
      <sz val="11"/>
      <color rgb="FF000000"/>
      <name val="Calibri"/>
      <charset val="134"/>
    </font>
    <font>
      <u/>
      <sz val="11"/>
      <color rgb="FF0563C1"/>
      <name val="Calibri"/>
      <charset val="134"/>
    </font>
    <font>
      <sz val="10"/>
      <color rgb="FF000000"/>
      <name val="Verdana"/>
      <charset val="134"/>
    </font>
    <font>
      <u/>
      <sz val="11"/>
      <color theme="10"/>
      <name val="Calibri"/>
      <charset val="134"/>
    </font>
    <font>
      <sz val="11"/>
      <color theme="4"/>
      <name val="Calibri"/>
      <charset val="134"/>
    </font>
    <font>
      <sz val="11"/>
      <name val="Calibri"/>
      <charset val="134"/>
    </font>
    <font>
      <sz val="11"/>
      <name val="Calibri"/>
      <charset val="134"/>
      <scheme val="minor"/>
    </font>
    <font>
      <sz val="11"/>
      <color theme="4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92D050"/>
      <name val="Calibri"/>
      <charset val="134"/>
      <scheme val="minor"/>
    </font>
    <font>
      <sz val="11"/>
      <color theme="0"/>
      <name val="Calibri"/>
      <charset val="134"/>
    </font>
    <font>
      <b/>
      <sz val="11"/>
      <color theme="0"/>
      <name val="Calibri"/>
      <charset val="134"/>
    </font>
    <font>
      <b/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</font>
    <font>
      <sz val="11"/>
      <color rgb="FFFF0000"/>
      <name val="Calibri"/>
      <charset val="134"/>
    </font>
    <font>
      <u/>
      <sz val="11"/>
      <color rgb="FF0563C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</font>
    <font>
      <sz val="11"/>
      <color theme="9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</font>
    <font>
      <sz val="10"/>
      <color rgb="FF92D050"/>
      <name val="Verdana"/>
      <family val="2"/>
    </font>
    <font>
      <b/>
      <sz val="11"/>
      <color rgb="FF0000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theme="9" tint="0.39994506668294322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00B0F0"/>
        <bgColor rgb="FF00B0F0"/>
      </patternFill>
    </fill>
    <fill>
      <patternFill patternType="solid">
        <fgColor rgb="FFFFCCCC"/>
        <bgColor rgb="FFFFCCCC"/>
      </patternFill>
    </fill>
    <fill>
      <patternFill patternType="solid">
        <fgColor rgb="FFC27BA0"/>
        <bgColor rgb="FFC27BA0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C27BA0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4.9989318521683403E-2"/>
        <bgColor rgb="FFC27BA0"/>
      </patternFill>
    </fill>
    <fill>
      <patternFill patternType="solid">
        <fgColor theme="5" tint="0.79995117038483843"/>
        <bgColor rgb="FFAEABAB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5117038483843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theme="9" tint="0.79995117038483843"/>
        <bgColor rgb="FF70AD47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rgb="FF70AD47"/>
      </patternFill>
    </fill>
    <fill>
      <patternFill patternType="solid">
        <fgColor theme="5" tint="0.79995117038483843"/>
        <bgColor rgb="FFE2EFD9"/>
      </patternFill>
    </fill>
    <fill>
      <patternFill patternType="solid">
        <fgColor rgb="FF4472C4"/>
        <bgColor rgb="FF4472C4"/>
      </patternFill>
    </fill>
    <fill>
      <patternFill patternType="solid">
        <fgColor theme="5" tint="0.59999389629810485"/>
        <bgColor rgb="FFE7E6E6"/>
      </patternFill>
    </fill>
    <fill>
      <patternFill patternType="solid">
        <fgColor theme="7" tint="0.59999389629810485"/>
        <bgColor rgb="FFE7E6E6"/>
      </patternFill>
    </fill>
    <fill>
      <patternFill patternType="solid">
        <fgColor theme="9" tint="0.79995117038483843"/>
        <bgColor rgb="FFE2EFD9"/>
      </patternFill>
    </fill>
    <fill>
      <patternFill patternType="solid">
        <fgColor theme="9" tint="0.39994506668294322"/>
        <bgColor rgb="FFE2EFD9"/>
      </patternFill>
    </fill>
    <fill>
      <patternFill patternType="solid">
        <fgColor theme="8" tint="0.39994506668294322"/>
        <bgColor rgb="FFDEEAF6"/>
      </patternFill>
    </fill>
    <fill>
      <patternFill patternType="solid">
        <fgColor theme="5" tint="0.39994506668294322"/>
        <bgColor rgb="FFDEEAF6"/>
      </patternFill>
    </fill>
    <fill>
      <patternFill patternType="solid">
        <fgColor theme="5" tint="0.79995117038483843"/>
        <bgColor rgb="FFDEEAF6"/>
      </patternFill>
    </fill>
    <fill>
      <patternFill patternType="solid">
        <fgColor theme="5" tint="0.59999389629810485"/>
        <bgColor rgb="FFECECEC"/>
      </patternFill>
    </fill>
    <fill>
      <patternFill patternType="solid">
        <fgColor theme="0" tint="-0.499984740745262"/>
        <bgColor rgb="FFAEABAB"/>
      </patternFill>
    </fill>
    <fill>
      <patternFill patternType="solid">
        <fgColor theme="5" tint="0.59999389629810485"/>
        <bgColor rgb="FFAEABAB"/>
      </patternFill>
    </fill>
    <fill>
      <patternFill patternType="solid">
        <fgColor theme="5" tint="0.59999389629810485"/>
        <bgColor rgb="FFC27BA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BE4D5"/>
      </patternFill>
    </fill>
    <fill>
      <patternFill patternType="solid">
        <fgColor theme="0" tint="-0.499984740745262"/>
        <bgColor rgb="FF70AD47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79995117038483843"/>
        <bgColor rgb="FFFBE4D5"/>
      </patternFill>
    </fill>
    <fill>
      <patternFill patternType="solid">
        <fgColor theme="5" tint="0.79995117038483843"/>
        <bgColor rgb="FFFBE4D5"/>
      </patternFill>
    </fill>
    <fill>
      <patternFill patternType="solid">
        <fgColor theme="0" tint="-0.499984740745262"/>
        <bgColor rgb="FF4472C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rgb="FFDEEAF6"/>
      </patternFill>
    </fill>
    <fill>
      <patternFill patternType="solid">
        <fgColor theme="5" tint="0.79995117038483843"/>
        <bgColor rgb="FFE7E6E6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7" tint="0.59999389629810485"/>
        <bgColor rgb="FFE2EF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E7E6E6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EEAF6"/>
      </patternFill>
    </fill>
    <fill>
      <patternFill patternType="solid">
        <fgColor theme="9" tint="0.39997558519241921"/>
        <bgColor rgb="FFDEEAF6"/>
      </patternFill>
    </fill>
    <fill>
      <patternFill patternType="solid">
        <fgColor theme="8" tint="0.39997558519241921"/>
        <bgColor rgb="FFDEEAF6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/>
      <bottom/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/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166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854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Fill="1" applyBorder="1" applyAlignment="1"/>
    <xf numFmtId="0" fontId="1" fillId="0" borderId="2" xfId="0" applyFont="1" applyBorder="1"/>
    <xf numFmtId="0" fontId="1" fillId="0" borderId="0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165" fontId="0" fillId="4" borderId="4" xfId="0" applyNumberFormat="1" applyFont="1" applyFill="1" applyBorder="1"/>
    <xf numFmtId="0" fontId="0" fillId="0" borderId="0" xfId="0" applyFont="1" applyFill="1" applyBorder="1"/>
    <xf numFmtId="0" fontId="0" fillId="5" borderId="5" xfId="0" applyFont="1" applyFill="1" applyBorder="1"/>
    <xf numFmtId="0" fontId="0" fillId="5" borderId="4" xfId="0" applyFont="1" applyFill="1" applyBorder="1"/>
    <xf numFmtId="165" fontId="0" fillId="5" borderId="4" xfId="0" applyNumberFormat="1" applyFont="1" applyFill="1" applyBorder="1"/>
    <xf numFmtId="0" fontId="0" fillId="6" borderId="4" xfId="0" applyFont="1" applyFill="1" applyBorder="1"/>
    <xf numFmtId="165" fontId="0" fillId="6" borderId="4" xfId="0" applyNumberFormat="1" applyFont="1" applyFill="1" applyBorder="1"/>
    <xf numFmtId="0" fontId="1" fillId="4" borderId="3" xfId="0" applyFont="1" applyFill="1" applyBorder="1"/>
    <xf numFmtId="0" fontId="0" fillId="4" borderId="2" xfId="0" applyFont="1" applyFill="1" applyBorder="1"/>
    <xf numFmtId="165" fontId="0" fillId="4" borderId="2" xfId="0" applyNumberFormat="1" applyFont="1" applyFill="1" applyBorder="1"/>
    <xf numFmtId="0" fontId="0" fillId="4" borderId="5" xfId="0" applyFont="1" applyFill="1" applyBorder="1"/>
    <xf numFmtId="0" fontId="2" fillId="4" borderId="2" xfId="0" applyFont="1" applyFill="1" applyBorder="1"/>
    <xf numFmtId="165" fontId="0" fillId="7" borderId="2" xfId="0" applyNumberFormat="1" applyFont="1" applyFill="1" applyBorder="1"/>
    <xf numFmtId="0" fontId="1" fillId="5" borderId="6" xfId="0" applyFont="1" applyFill="1" applyBorder="1" applyAlignment="1">
      <alignment vertical="center" wrapText="1"/>
    </xf>
    <xf numFmtId="0" fontId="0" fillId="5" borderId="2" xfId="0" applyFont="1" applyFill="1" applyBorder="1"/>
    <xf numFmtId="165" fontId="0" fillId="5" borderId="2" xfId="0" applyNumberFormat="1" applyFont="1" applyFill="1" applyBorder="1"/>
    <xf numFmtId="0" fontId="1" fillId="5" borderId="7" xfId="0" applyFont="1" applyFill="1" applyBorder="1" applyAlignment="1">
      <alignment vertical="center" wrapText="1"/>
    </xf>
    <xf numFmtId="0" fontId="2" fillId="5" borderId="3" xfId="0" applyFont="1" applyFill="1" applyBorder="1"/>
    <xf numFmtId="0" fontId="0" fillId="5" borderId="3" xfId="0" applyFont="1" applyFill="1" applyBorder="1"/>
    <xf numFmtId="0" fontId="0" fillId="5" borderId="8" xfId="0" applyFont="1" applyFill="1" applyBorder="1" applyAlignment="1">
      <alignment vertical="center"/>
    </xf>
    <xf numFmtId="165" fontId="0" fillId="5" borderId="9" xfId="0" applyNumberFormat="1" applyFont="1" applyFill="1" applyBorder="1"/>
    <xf numFmtId="0" fontId="1" fillId="5" borderId="10" xfId="0" applyFont="1" applyFill="1" applyBorder="1" applyAlignment="1">
      <alignment vertical="center" wrapText="1"/>
    </xf>
    <xf numFmtId="0" fontId="3" fillId="6" borderId="8" xfId="0" applyFont="1" applyFill="1" applyBorder="1"/>
    <xf numFmtId="165" fontId="3" fillId="6" borderId="9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wrapText="1"/>
    </xf>
    <xf numFmtId="165" fontId="3" fillId="6" borderId="9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/>
    <xf numFmtId="0" fontId="0" fillId="6" borderId="8" xfId="0" applyFont="1" applyFill="1" applyBorder="1"/>
    <xf numFmtId="165" fontId="0" fillId="6" borderId="9" xfId="0" applyNumberFormat="1" applyFont="1" applyFill="1" applyBorder="1"/>
    <xf numFmtId="165" fontId="0" fillId="6" borderId="2" xfId="0" applyNumberFormat="1" applyFont="1" applyFill="1" applyBorder="1"/>
    <xf numFmtId="0" fontId="0" fillId="6" borderId="8" xfId="0" applyFont="1" applyFill="1" applyBorder="1" applyAlignment="1">
      <alignment wrapText="1"/>
    </xf>
    <xf numFmtId="0" fontId="1" fillId="8" borderId="8" xfId="0" applyFont="1" applyFill="1" applyBorder="1" applyAlignment="1">
      <alignment horizontal="center" vertical="top"/>
    </xf>
    <xf numFmtId="0" fontId="0" fillId="8" borderId="0" xfId="0" applyFont="1" applyFill="1" applyBorder="1" applyAlignment="1">
      <alignment wrapText="1"/>
    </xf>
    <xf numFmtId="165" fontId="0" fillId="8" borderId="2" xfId="0" applyNumberFormat="1" applyFont="1" applyFill="1" applyBorder="1"/>
    <xf numFmtId="0" fontId="1" fillId="9" borderId="0" xfId="0" applyFont="1" applyFill="1" applyBorder="1"/>
    <xf numFmtId="0" fontId="0" fillId="10" borderId="9" xfId="0" applyFont="1" applyFill="1" applyBorder="1"/>
    <xf numFmtId="165" fontId="0" fillId="10" borderId="2" xfId="0" applyNumberFormat="1" applyFont="1" applyFill="1" applyBorder="1"/>
    <xf numFmtId="0" fontId="2" fillId="0" borderId="0" xfId="0" applyFont="1"/>
    <xf numFmtId="9" fontId="1" fillId="11" borderId="4" xfId="0" applyNumberFormat="1" applyFont="1" applyFill="1" applyBorder="1"/>
    <xf numFmtId="165" fontId="1" fillId="11" borderId="4" xfId="0" applyNumberFormat="1" applyFont="1" applyFill="1" applyBorder="1"/>
    <xf numFmtId="0" fontId="2" fillId="0" borderId="0" xfId="0" applyFont="1" applyAlignment="1"/>
    <xf numFmtId="0" fontId="0" fillId="6" borderId="13" xfId="0" applyFont="1" applyFill="1" applyBorder="1" applyAlignment="1"/>
    <xf numFmtId="1" fontId="0" fillId="0" borderId="0" xfId="0" applyNumberFormat="1" applyFont="1" applyAlignment="1"/>
    <xf numFmtId="0" fontId="0" fillId="0" borderId="0" xfId="0" applyFont="1" applyFill="1" applyBorder="1" applyAlignment="1"/>
    <xf numFmtId="0" fontId="1" fillId="12" borderId="3" xfId="0" applyFont="1" applyFill="1" applyBorder="1"/>
    <xf numFmtId="0" fontId="1" fillId="12" borderId="2" xfId="0" applyFont="1" applyFill="1" applyBorder="1"/>
    <xf numFmtId="0" fontId="5" fillId="0" borderId="2" xfId="0" applyFont="1" applyBorder="1" applyAlignment="1">
      <alignment wrapText="1"/>
    </xf>
    <xf numFmtId="0" fontId="5" fillId="0" borderId="9" xfId="0" applyFont="1" applyBorder="1"/>
    <xf numFmtId="0" fontId="0" fillId="0" borderId="2" xfId="0" applyFont="1" applyBorder="1"/>
    <xf numFmtId="0" fontId="6" fillId="0" borderId="2" xfId="0" applyFont="1" applyBorder="1" applyAlignment="1">
      <alignment wrapText="1"/>
    </xf>
    <xf numFmtId="0" fontId="5" fillId="0" borderId="2" xfId="0" applyFont="1" applyBorder="1"/>
    <xf numFmtId="0" fontId="0" fillId="0" borderId="0" xfId="0" applyFont="1"/>
    <xf numFmtId="1" fontId="5" fillId="0" borderId="2" xfId="0" applyNumberFormat="1" applyFont="1" applyBorder="1"/>
    <xf numFmtId="0" fontId="5" fillId="0" borderId="15" xfId="0" applyFont="1" applyBorder="1"/>
    <xf numFmtId="0" fontId="6" fillId="0" borderId="1" xfId="0" applyFont="1" applyBorder="1" applyAlignment="1">
      <alignment wrapText="1"/>
    </xf>
    <xf numFmtId="1" fontId="5" fillId="0" borderId="8" xfId="0" applyNumberFormat="1" applyFont="1" applyBorder="1"/>
    <xf numFmtId="0" fontId="0" fillId="0" borderId="9" xfId="0" applyFont="1" applyBorder="1"/>
    <xf numFmtId="0" fontId="0" fillId="13" borderId="16" xfId="0" applyFont="1" applyFill="1" applyBorder="1" applyAlignment="1">
      <alignment wrapText="1"/>
    </xf>
    <xf numFmtId="0" fontId="0" fillId="13" borderId="2" xfId="0" applyFont="1" applyFill="1" applyBorder="1" applyAlignment="1">
      <alignment wrapText="1"/>
    </xf>
    <xf numFmtId="0" fontId="0" fillId="13" borderId="17" xfId="0" applyFont="1" applyFill="1" applyBorder="1" applyAlignment="1">
      <alignment wrapText="1"/>
    </xf>
    <xf numFmtId="0" fontId="0" fillId="13" borderId="18" xfId="0" applyFont="1" applyFill="1" applyBorder="1" applyAlignment="1">
      <alignment wrapText="1"/>
    </xf>
    <xf numFmtId="0" fontId="0" fillId="14" borderId="19" xfId="0" applyFont="1" applyFill="1" applyBorder="1"/>
    <xf numFmtId="0" fontId="0" fillId="15" borderId="0" xfId="0" applyFont="1" applyFill="1" applyBorder="1" applyAlignment="1">
      <alignment wrapText="1"/>
    </xf>
    <xf numFmtId="0" fontId="0" fillId="17" borderId="8" xfId="0" applyFont="1" applyFill="1" applyBorder="1" applyAlignment="1">
      <alignment wrapText="1"/>
    </xf>
    <xf numFmtId="1" fontId="0" fillId="17" borderId="8" xfId="0" applyNumberFormat="1" applyFont="1" applyFill="1" applyBorder="1" applyAlignment="1">
      <alignment wrapText="1"/>
    </xf>
    <xf numFmtId="0" fontId="2" fillId="17" borderId="8" xfId="0" applyFont="1" applyFill="1" applyBorder="1" applyAlignment="1">
      <alignment wrapText="1"/>
    </xf>
    <xf numFmtId="0" fontId="0" fillId="18" borderId="20" xfId="0" applyFont="1" applyFill="1" applyBorder="1" applyAlignment="1">
      <alignment vertical="center" wrapText="1"/>
    </xf>
    <xf numFmtId="0" fontId="2" fillId="19" borderId="8" xfId="0" applyFont="1" applyFill="1" applyBorder="1" applyAlignment="1"/>
    <xf numFmtId="0" fontId="0" fillId="19" borderId="8" xfId="0" applyFont="1" applyFill="1" applyBorder="1" applyAlignment="1"/>
    <xf numFmtId="1" fontId="0" fillId="19" borderId="8" xfId="0" applyNumberFormat="1" applyFont="1" applyFill="1" applyBorder="1" applyAlignment="1"/>
    <xf numFmtId="0" fontId="7" fillId="4" borderId="22" xfId="0" applyFont="1" applyFill="1" applyBorder="1" applyAlignment="1">
      <alignment wrapText="1"/>
    </xf>
    <xf numFmtId="0" fontId="3" fillId="4" borderId="23" xfId="0" applyFont="1" applyFill="1" applyBorder="1" applyAlignment="1">
      <alignment wrapText="1"/>
    </xf>
    <xf numFmtId="0" fontId="0" fillId="4" borderId="24" xfId="0" applyFont="1" applyFill="1" applyBorder="1" applyAlignment="1">
      <alignment wrapText="1"/>
    </xf>
    <xf numFmtId="164" fontId="0" fillId="4" borderId="4" xfId="0" applyNumberFormat="1" applyFont="1" applyFill="1" applyBorder="1" applyAlignment="1"/>
    <xf numFmtId="0" fontId="0" fillId="4" borderId="25" xfId="0" applyFont="1" applyFill="1" applyBorder="1" applyAlignment="1">
      <alignment wrapText="1"/>
    </xf>
    <xf numFmtId="0" fontId="3" fillId="4" borderId="26" xfId="0" applyFont="1" applyFill="1" applyBorder="1" applyAlignment="1">
      <alignment wrapText="1"/>
    </xf>
    <xf numFmtId="0" fontId="3" fillId="4" borderId="27" xfId="0" applyFont="1" applyFill="1" applyBorder="1" applyAlignment="1">
      <alignment wrapText="1"/>
    </xf>
    <xf numFmtId="164" fontId="0" fillId="4" borderId="2" xfId="0" applyNumberFormat="1" applyFont="1" applyFill="1" applyBorder="1" applyAlignment="1"/>
    <xf numFmtId="0" fontId="0" fillId="4" borderId="1" xfId="0" applyFont="1" applyFill="1" applyBorder="1"/>
    <xf numFmtId="164" fontId="0" fillId="4" borderId="2" xfId="0" applyNumberFormat="1" applyFont="1" applyFill="1" applyBorder="1"/>
    <xf numFmtId="165" fontId="0" fillId="0" borderId="0" xfId="0" applyNumberFormat="1" applyFont="1" applyFill="1" applyBorder="1"/>
    <xf numFmtId="165" fontId="1" fillId="0" borderId="0" xfId="0" applyNumberFormat="1" applyFont="1" applyFill="1" applyBorder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165" fontId="3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wrapText="1"/>
    </xf>
    <xf numFmtId="1" fontId="0" fillId="0" borderId="0" xfId="0" applyNumberFormat="1" applyFont="1" applyFill="1" applyBorder="1"/>
    <xf numFmtId="0" fontId="7" fillId="4" borderId="28" xfId="0" applyFont="1" applyFill="1" applyBorder="1" applyAlignment="1">
      <alignment wrapText="1"/>
    </xf>
    <xf numFmtId="0" fontId="3" fillId="4" borderId="29" xfId="0" applyFont="1" applyFill="1" applyBorder="1" applyAlignment="1">
      <alignment wrapText="1"/>
    </xf>
    <xf numFmtId="0" fontId="3" fillId="4" borderId="30" xfId="0" applyFont="1" applyFill="1" applyBorder="1" applyAlignment="1">
      <alignment wrapText="1"/>
    </xf>
    <xf numFmtId="164" fontId="0" fillId="4" borderId="3" xfId="0" applyNumberFormat="1" applyFont="1" applyFill="1" applyBorder="1"/>
    <xf numFmtId="0" fontId="0" fillId="20" borderId="0" xfId="0" applyFont="1" applyFill="1" applyBorder="1"/>
    <xf numFmtId="0" fontId="0" fillId="10" borderId="2" xfId="0" applyFont="1" applyFill="1" applyBorder="1"/>
    <xf numFmtId="164" fontId="0" fillId="10" borderId="2" xfId="0" applyNumberFormat="1" applyFont="1" applyFill="1" applyBorder="1"/>
    <xf numFmtId="0" fontId="7" fillId="4" borderId="31" xfId="0" applyFont="1" applyFill="1" applyBorder="1" applyAlignment="1">
      <alignment wrapText="1"/>
    </xf>
    <xf numFmtId="1" fontId="0" fillId="4" borderId="4" xfId="0" applyNumberFormat="1" applyFont="1" applyFill="1" applyBorder="1" applyAlignment="1"/>
    <xf numFmtId="0" fontId="0" fillId="4" borderId="32" xfId="0" applyFont="1" applyFill="1" applyBorder="1" applyAlignment="1">
      <alignment wrapText="1"/>
    </xf>
    <xf numFmtId="0" fontId="3" fillId="4" borderId="33" xfId="0" applyFont="1" applyFill="1" applyBorder="1" applyAlignment="1">
      <alignment wrapText="1"/>
    </xf>
    <xf numFmtId="0" fontId="0" fillId="4" borderId="34" xfId="0" applyFont="1" applyFill="1" applyBorder="1" applyAlignment="1">
      <alignment wrapText="1"/>
    </xf>
    <xf numFmtId="1" fontId="0" fillId="4" borderId="2" xfId="0" applyNumberFormat="1" applyFont="1" applyFill="1" applyBorder="1" applyAlignment="1"/>
    <xf numFmtId="0" fontId="7" fillId="4" borderId="32" xfId="0" applyFont="1" applyFill="1" applyBorder="1" applyAlignment="1">
      <alignment wrapText="1"/>
    </xf>
    <xf numFmtId="0" fontId="7" fillId="4" borderId="35" xfId="0" applyFont="1" applyFill="1" applyBorder="1" applyAlignment="1">
      <alignment wrapText="1"/>
    </xf>
    <xf numFmtId="0" fontId="0" fillId="4" borderId="27" xfId="0" applyFont="1" applyFill="1" applyBorder="1" applyAlignment="1">
      <alignment wrapText="1"/>
    </xf>
    <xf numFmtId="0" fontId="0" fillId="20" borderId="2" xfId="0" applyFont="1" applyFill="1" applyBorder="1"/>
    <xf numFmtId="1" fontId="0" fillId="10" borderId="2" xfId="0" applyNumberFormat="1" applyFont="1" applyFill="1" applyBorder="1"/>
    <xf numFmtId="0" fontId="1" fillId="21" borderId="0" xfId="0" applyFont="1" applyFill="1" applyBorder="1"/>
    <xf numFmtId="0" fontId="2" fillId="23" borderId="8" xfId="0" applyFont="1" applyFill="1" applyBorder="1" applyAlignment="1"/>
    <xf numFmtId="1" fontId="0" fillId="23" borderId="8" xfId="0" applyNumberFormat="1" applyFont="1" applyFill="1" applyBorder="1" applyAlignment="1"/>
    <xf numFmtId="0" fontId="0" fillId="23" borderId="8" xfId="0" applyFont="1" applyFill="1" applyBorder="1" applyAlignment="1"/>
    <xf numFmtId="0" fontId="8" fillId="24" borderId="38" xfId="0" applyFont="1" applyFill="1" applyBorder="1" applyAlignment="1">
      <alignment vertical="center" wrapText="1"/>
    </xf>
    <xf numFmtId="0" fontId="7" fillId="5" borderId="31" xfId="0" applyFont="1" applyFill="1" applyBorder="1" applyAlignment="1">
      <alignment wrapText="1"/>
    </xf>
    <xf numFmtId="0" fontId="3" fillId="5" borderId="23" xfId="0" applyFont="1" applyFill="1" applyBorder="1" applyAlignment="1">
      <alignment vertical="center" wrapText="1"/>
    </xf>
    <xf numFmtId="0" fontId="0" fillId="5" borderId="24" xfId="0" applyFont="1" applyFill="1" applyBorder="1" applyAlignment="1">
      <alignment wrapText="1"/>
    </xf>
    <xf numFmtId="3" fontId="3" fillId="5" borderId="4" xfId="0" applyNumberFormat="1" applyFont="1" applyFill="1" applyBorder="1" applyAlignment="1">
      <alignment horizontal="right" wrapText="1"/>
    </xf>
    <xf numFmtId="3" fontId="0" fillId="5" borderId="4" xfId="0" applyNumberFormat="1" applyFont="1" applyFill="1" applyBorder="1"/>
    <xf numFmtId="0" fontId="0" fillId="5" borderId="35" xfId="0" applyFont="1" applyFill="1" applyBorder="1" applyAlignment="1">
      <alignment wrapText="1"/>
    </xf>
    <xf numFmtId="0" fontId="3" fillId="5" borderId="26" xfId="0" applyFont="1" applyFill="1" applyBorder="1" applyAlignment="1">
      <alignment vertical="top" wrapText="1"/>
    </xf>
    <xf numFmtId="0" fontId="0" fillId="5" borderId="27" xfId="0" applyFont="1" applyFill="1" applyBorder="1" applyAlignment="1">
      <alignment wrapText="1"/>
    </xf>
    <xf numFmtId="3" fontId="3" fillId="5" borderId="3" xfId="0" applyNumberFormat="1" applyFont="1" applyFill="1" applyBorder="1" applyAlignment="1">
      <alignment horizontal="right" wrapText="1"/>
    </xf>
    <xf numFmtId="3" fontId="0" fillId="5" borderId="3" xfId="0" applyNumberFormat="1" applyFont="1" applyFill="1" applyBorder="1"/>
    <xf numFmtId="3" fontId="0" fillId="10" borderId="3" xfId="0" applyNumberFormat="1" applyFont="1" applyFill="1" applyBorder="1"/>
    <xf numFmtId="0" fontId="9" fillId="5" borderId="23" xfId="0" applyFont="1" applyFill="1" applyBorder="1" applyAlignment="1">
      <alignment wrapText="1"/>
    </xf>
    <xf numFmtId="0" fontId="3" fillId="5" borderId="23" xfId="0" applyFont="1" applyFill="1" applyBorder="1" applyAlignment="1">
      <alignment vertical="top" wrapText="1"/>
    </xf>
    <xf numFmtId="3" fontId="3" fillId="5" borderId="8" xfId="0" applyNumberFormat="1" applyFont="1" applyFill="1" applyBorder="1" applyAlignment="1">
      <alignment horizontal="right" wrapText="1"/>
    </xf>
    <xf numFmtId="0" fontId="0" fillId="5" borderId="33" xfId="0" applyFont="1" applyFill="1" applyBorder="1" applyAlignment="1">
      <alignment wrapText="1"/>
    </xf>
    <xf numFmtId="0" fontId="3" fillId="5" borderId="33" xfId="0" applyFont="1" applyFill="1" applyBorder="1" applyAlignment="1">
      <alignment vertical="top" wrapText="1"/>
    </xf>
    <xf numFmtId="0" fontId="0" fillId="5" borderId="34" xfId="0" applyFont="1" applyFill="1" applyBorder="1" applyAlignment="1">
      <alignment wrapText="1"/>
    </xf>
    <xf numFmtId="3" fontId="3" fillId="5" borderId="8" xfId="0" applyNumberFormat="1" applyFont="1" applyFill="1" applyBorder="1" applyAlignment="1">
      <alignment horizontal="right" vertical="top" wrapText="1"/>
    </xf>
    <xf numFmtId="0" fontId="0" fillId="5" borderId="26" xfId="0" applyFont="1" applyFill="1" applyBorder="1" applyAlignment="1">
      <alignment wrapText="1"/>
    </xf>
    <xf numFmtId="3" fontId="3" fillId="5" borderId="30" xfId="0" applyNumberFormat="1" applyFont="1" applyFill="1" applyBorder="1" applyAlignment="1">
      <alignment horizontal="right" wrapText="1"/>
    </xf>
    <xf numFmtId="3" fontId="0" fillId="5" borderId="5" xfId="0" applyNumberFormat="1" applyFont="1" applyFill="1" applyBorder="1"/>
    <xf numFmtId="0" fontId="0" fillId="25" borderId="0" xfId="0" applyFont="1" applyFill="1" applyBorder="1"/>
    <xf numFmtId="0" fontId="0" fillId="10" borderId="2" xfId="0" applyFont="1" applyFill="1" applyBorder="1" applyAlignment="1">
      <alignment wrapText="1"/>
    </xf>
    <xf numFmtId="0" fontId="0" fillId="10" borderId="3" xfId="0" applyFont="1" applyFill="1" applyBorder="1"/>
    <xf numFmtId="1" fontId="0" fillId="10" borderId="3" xfId="0" applyNumberFormat="1" applyFont="1" applyFill="1" applyBorder="1"/>
    <xf numFmtId="0" fontId="2" fillId="5" borderId="23" xfId="0" applyFont="1" applyFill="1" applyBorder="1" applyAlignment="1">
      <alignment wrapText="1"/>
    </xf>
    <xf numFmtId="0" fontId="3" fillId="5" borderId="24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wrapText="1"/>
    </xf>
    <xf numFmtId="0" fontId="9" fillId="5" borderId="33" xfId="0" applyFont="1" applyFill="1" applyBorder="1" applyAlignment="1">
      <alignment wrapText="1"/>
    </xf>
    <xf numFmtId="0" fontId="10" fillId="5" borderId="34" xfId="0" applyFont="1" applyFill="1" applyBorder="1" applyAlignment="1">
      <alignment vertical="center" wrapText="1"/>
    </xf>
    <xf numFmtId="3" fontId="0" fillId="5" borderId="8" xfId="0" applyNumberFormat="1" applyFont="1" applyFill="1" applyBorder="1"/>
    <xf numFmtId="0" fontId="0" fillId="5" borderId="8" xfId="0" applyFont="1" applyFill="1" applyBorder="1"/>
    <xf numFmtId="0" fontId="3" fillId="5" borderId="27" xfId="0" applyFont="1" applyFill="1" applyBorder="1" applyAlignment="1">
      <alignment vertical="top" wrapText="1"/>
    </xf>
    <xf numFmtId="0" fontId="0" fillId="19" borderId="2" xfId="0" applyFont="1" applyFill="1" applyBorder="1"/>
    <xf numFmtId="0" fontId="0" fillId="10" borderId="4" xfId="0" applyFont="1" applyFill="1" applyBorder="1"/>
    <xf numFmtId="3" fontId="0" fillId="10" borderId="4" xfId="0" applyNumberFormat="1" applyFont="1" applyFill="1" applyBorder="1"/>
    <xf numFmtId="0" fontId="1" fillId="26" borderId="0" xfId="0" applyFont="1" applyFill="1" applyBorder="1"/>
    <xf numFmtId="0" fontId="0" fillId="6" borderId="18" xfId="0" applyFont="1" applyFill="1" applyBorder="1" applyAlignment="1">
      <alignment wrapText="1"/>
    </xf>
    <xf numFmtId="0" fontId="3" fillId="6" borderId="18" xfId="0" applyFont="1" applyFill="1" applyBorder="1" applyAlignment="1">
      <alignment vertical="center" wrapText="1"/>
    </xf>
    <xf numFmtId="0" fontId="0" fillId="6" borderId="42" xfId="0" applyFont="1" applyFill="1" applyBorder="1" applyAlignment="1">
      <alignment wrapText="1"/>
    </xf>
    <xf numFmtId="3" fontId="3" fillId="6" borderId="2" xfId="0" applyNumberFormat="1" applyFont="1" applyFill="1" applyBorder="1" applyAlignment="1">
      <alignment horizontal="right" wrapText="1"/>
    </xf>
    <xf numFmtId="0" fontId="7" fillId="6" borderId="33" xfId="0" applyFont="1" applyFill="1" applyBorder="1" applyAlignment="1">
      <alignment wrapText="1"/>
    </xf>
    <xf numFmtId="0" fontId="3" fillId="6" borderId="33" xfId="0" applyFont="1" applyFill="1" applyBorder="1" applyAlignment="1">
      <alignment wrapText="1"/>
    </xf>
    <xf numFmtId="0" fontId="0" fillId="6" borderId="34" xfId="0" applyFont="1" applyFill="1" applyBorder="1" applyAlignment="1">
      <alignment wrapText="1"/>
    </xf>
    <xf numFmtId="3" fontId="6" fillId="6" borderId="2" xfId="0" applyNumberFormat="1" applyFont="1" applyFill="1" applyBorder="1" applyAlignment="1">
      <alignment horizontal="right" wrapText="1"/>
    </xf>
    <xf numFmtId="0" fontId="0" fillId="6" borderId="26" xfId="0" applyFont="1" applyFill="1" applyBorder="1" applyAlignment="1">
      <alignment wrapText="1"/>
    </xf>
    <xf numFmtId="0" fontId="3" fillId="6" borderId="26" xfId="0" applyFont="1" applyFill="1" applyBorder="1" applyAlignment="1">
      <alignment wrapText="1"/>
    </xf>
    <xf numFmtId="0" fontId="0" fillId="6" borderId="27" xfId="0" applyFont="1" applyFill="1" applyBorder="1" applyAlignment="1">
      <alignment wrapText="1"/>
    </xf>
    <xf numFmtId="3" fontId="3" fillId="6" borderId="3" xfId="0" applyNumberFormat="1" applyFont="1" applyFill="1" applyBorder="1" applyAlignment="1">
      <alignment horizontal="right" wrapText="1"/>
    </xf>
    <xf numFmtId="3" fontId="0" fillId="6" borderId="3" xfId="0" applyNumberFormat="1" applyFont="1" applyFill="1" applyBorder="1"/>
    <xf numFmtId="0" fontId="0" fillId="6" borderId="3" xfId="0" applyFont="1" applyFill="1" applyBorder="1"/>
    <xf numFmtId="0" fontId="0" fillId="19" borderId="0" xfId="0" applyFont="1" applyFill="1" applyAlignment="1"/>
    <xf numFmtId="0" fontId="7" fillId="6" borderId="23" xfId="0" applyFont="1" applyFill="1" applyBorder="1" applyAlignment="1">
      <alignment wrapText="1"/>
    </xf>
    <xf numFmtId="0" fontId="3" fillId="6" borderId="23" xfId="0" applyFont="1" applyFill="1" applyBorder="1" applyAlignment="1">
      <alignment wrapText="1"/>
    </xf>
    <xf numFmtId="0" fontId="0" fillId="6" borderId="24" xfId="0" applyFont="1" applyFill="1" applyBorder="1" applyAlignment="1">
      <alignment wrapText="1"/>
    </xf>
    <xf numFmtId="3" fontId="3" fillId="6" borderId="8" xfId="0" applyNumberFormat="1" applyFont="1" applyFill="1" applyBorder="1" applyAlignment="1">
      <alignment horizontal="right" wrapText="1"/>
    </xf>
    <xf numFmtId="3" fontId="6" fillId="6" borderId="8" xfId="0" applyNumberFormat="1" applyFont="1" applyFill="1" applyBorder="1" applyAlignment="1">
      <alignment horizontal="right" wrapText="1"/>
    </xf>
    <xf numFmtId="0" fontId="0" fillId="6" borderId="33" xfId="0" applyFont="1" applyFill="1" applyBorder="1" applyAlignment="1">
      <alignment wrapText="1"/>
    </xf>
    <xf numFmtId="3" fontId="3" fillId="6" borderId="24" xfId="0" applyNumberFormat="1" applyFont="1" applyFill="1" applyBorder="1" applyAlignment="1">
      <alignment horizontal="right" wrapText="1"/>
    </xf>
    <xf numFmtId="3" fontId="0" fillId="6" borderId="4" xfId="0" applyNumberFormat="1" applyFont="1" applyFill="1" applyBorder="1"/>
    <xf numFmtId="3" fontId="3" fillId="6" borderId="27" xfId="0" applyNumberFormat="1" applyFont="1" applyFill="1" applyBorder="1" applyAlignment="1">
      <alignment horizontal="right" wrapText="1"/>
    </xf>
    <xf numFmtId="0" fontId="0" fillId="6" borderId="2" xfId="0" applyFont="1" applyFill="1" applyBorder="1" applyAlignment="1">
      <alignment wrapText="1"/>
    </xf>
    <xf numFmtId="0" fontId="3" fillId="6" borderId="2" xfId="0" applyFont="1" applyFill="1" applyBorder="1" applyAlignment="1">
      <alignment vertical="center" wrapText="1"/>
    </xf>
    <xf numFmtId="3" fontId="0" fillId="6" borderId="2" xfId="0" applyNumberFormat="1" applyFont="1" applyFill="1" applyBorder="1"/>
    <xf numFmtId="0" fontId="0" fillId="6" borderId="2" xfId="0" applyFont="1" applyFill="1" applyBorder="1"/>
    <xf numFmtId="0" fontId="3" fillId="6" borderId="2" xfId="0" applyFont="1" applyFill="1" applyBorder="1" applyAlignment="1">
      <alignment wrapText="1"/>
    </xf>
    <xf numFmtId="3" fontId="0" fillId="10" borderId="2" xfId="0" applyNumberFormat="1" applyFont="1" applyFill="1" applyBorder="1"/>
    <xf numFmtId="3" fontId="3" fillId="6" borderId="8" xfId="0" applyNumberFormat="1" applyFont="1" applyFill="1" applyBorder="1" applyAlignment="1">
      <alignment horizontal="right"/>
    </xf>
    <xf numFmtId="3" fontId="0" fillId="6" borderId="8" xfId="0" applyNumberFormat="1" applyFont="1" applyFill="1" applyBorder="1"/>
    <xf numFmtId="0" fontId="0" fillId="6" borderId="1" xfId="0" applyFont="1" applyFill="1" applyBorder="1" applyAlignment="1">
      <alignment wrapText="1"/>
    </xf>
    <xf numFmtId="0" fontId="0" fillId="6" borderId="0" xfId="0" applyFont="1" applyFill="1" applyBorder="1" applyAlignment="1">
      <alignment wrapText="1"/>
    </xf>
    <xf numFmtId="0" fontId="1" fillId="0" borderId="3" xfId="0" applyFont="1" applyBorder="1"/>
    <xf numFmtId="0" fontId="0" fillId="27" borderId="8" xfId="0" applyFont="1" applyFill="1" applyBorder="1"/>
    <xf numFmtId="0" fontId="0" fillId="27" borderId="43" xfId="0" applyFont="1" applyFill="1" applyBorder="1"/>
    <xf numFmtId="165" fontId="0" fillId="27" borderId="4" xfId="0" applyNumberFormat="1" applyFont="1" applyFill="1" applyBorder="1"/>
    <xf numFmtId="0" fontId="0" fillId="28" borderId="8" xfId="0" applyFont="1" applyFill="1" applyBorder="1"/>
    <xf numFmtId="0" fontId="0" fillId="28" borderId="43" xfId="0" applyFont="1" applyFill="1" applyBorder="1"/>
    <xf numFmtId="165" fontId="0" fillId="28" borderId="4" xfId="0" applyNumberFormat="1" applyFont="1" applyFill="1" applyBorder="1"/>
    <xf numFmtId="0" fontId="0" fillId="29" borderId="8" xfId="0" applyFont="1" applyFill="1" applyBorder="1"/>
    <xf numFmtId="0" fontId="0" fillId="29" borderId="43" xfId="0" applyFont="1" applyFill="1" applyBorder="1"/>
    <xf numFmtId="165" fontId="0" fillId="29" borderId="4" xfId="0" applyNumberFormat="1" applyFont="1" applyFill="1" applyBorder="1"/>
    <xf numFmtId="0" fontId="0" fillId="30" borderId="8" xfId="0" applyFont="1" applyFill="1" applyBorder="1"/>
    <xf numFmtId="0" fontId="0" fillId="30" borderId="43" xfId="0" applyFont="1" applyFill="1" applyBorder="1"/>
    <xf numFmtId="165" fontId="0" fillId="30" borderId="4" xfId="0" applyNumberFormat="1" applyFont="1" applyFill="1" applyBorder="1"/>
    <xf numFmtId="0" fontId="0" fillId="31" borderId="8" xfId="0" applyFont="1" applyFill="1" applyBorder="1"/>
    <xf numFmtId="0" fontId="0" fillId="31" borderId="43" xfId="0" applyFont="1" applyFill="1" applyBorder="1"/>
    <xf numFmtId="165" fontId="0" fillId="31" borderId="4" xfId="0" applyNumberFormat="1" applyFont="1" applyFill="1" applyBorder="1"/>
    <xf numFmtId="0" fontId="0" fillId="32" borderId="8" xfId="0" applyFont="1" applyFill="1" applyBorder="1"/>
    <xf numFmtId="0" fontId="0" fillId="32" borderId="43" xfId="0" applyFont="1" applyFill="1" applyBorder="1"/>
    <xf numFmtId="165" fontId="0" fillId="32" borderId="4" xfId="0" applyNumberFormat="1" applyFont="1" applyFill="1" applyBorder="1"/>
    <xf numFmtId="0" fontId="2" fillId="33" borderId="5" xfId="0" applyFont="1" applyFill="1" applyBorder="1"/>
    <xf numFmtId="0" fontId="0" fillId="33" borderId="4" xfId="0" applyFont="1" applyFill="1" applyBorder="1"/>
    <xf numFmtId="165" fontId="0" fillId="33" borderId="4" xfId="0" applyNumberFormat="1" applyFont="1" applyFill="1" applyBorder="1"/>
    <xf numFmtId="0" fontId="0" fillId="27" borderId="2" xfId="0" applyFont="1" applyFill="1" applyBorder="1"/>
    <xf numFmtId="165" fontId="0" fillId="27" borderId="2" xfId="0" applyNumberFormat="1" applyFont="1" applyFill="1" applyBorder="1"/>
    <xf numFmtId="0" fontId="2" fillId="27" borderId="2" xfId="0" applyFont="1" applyFill="1" applyBorder="1"/>
    <xf numFmtId="0" fontId="0" fillId="27" borderId="3" xfId="0" applyFont="1" applyFill="1" applyBorder="1"/>
    <xf numFmtId="165" fontId="0" fillId="34" borderId="2" xfId="0" applyNumberFormat="1" applyFont="1" applyFill="1" applyBorder="1"/>
    <xf numFmtId="0" fontId="2" fillId="27" borderId="8" xfId="0" applyFont="1" applyFill="1" applyBorder="1"/>
    <xf numFmtId="165" fontId="0" fillId="34" borderId="9" xfId="0" applyNumberFormat="1" applyFont="1" applyFill="1" applyBorder="1"/>
    <xf numFmtId="0" fontId="1" fillId="28" borderId="21" xfId="0" applyFont="1" applyFill="1" applyBorder="1" applyAlignment="1">
      <alignment horizontal="center" vertical="center"/>
    </xf>
    <xf numFmtId="0" fontId="2" fillId="28" borderId="4" xfId="0" applyFont="1" applyFill="1" applyBorder="1"/>
    <xf numFmtId="165" fontId="0" fillId="28" borderId="2" xfId="0" applyNumberFormat="1" applyFont="1" applyFill="1" applyBorder="1"/>
    <xf numFmtId="0" fontId="2" fillId="28" borderId="2" xfId="0" applyFont="1" applyFill="1" applyBorder="1"/>
    <xf numFmtId="0" fontId="0" fillId="29" borderId="2" xfId="0" applyFont="1" applyFill="1" applyBorder="1"/>
    <xf numFmtId="165" fontId="0" fillId="29" borderId="2" xfId="0" applyNumberFormat="1" applyFont="1" applyFill="1" applyBorder="1"/>
    <xf numFmtId="0" fontId="2" fillId="29" borderId="3" xfId="0" applyFont="1" applyFill="1" applyBorder="1"/>
    <xf numFmtId="0" fontId="0" fillId="29" borderId="3" xfId="0" applyFont="1" applyFill="1" applyBorder="1"/>
    <xf numFmtId="0" fontId="2" fillId="29" borderId="8" xfId="0" applyFont="1" applyFill="1" applyBorder="1" applyAlignment="1">
      <alignment vertical="center"/>
    </xf>
    <xf numFmtId="165" fontId="0" fillId="29" borderId="9" xfId="0" applyNumberFormat="1" applyFont="1" applyFill="1" applyBorder="1"/>
    <xf numFmtId="0" fontId="0" fillId="29" borderId="8" xfId="0" applyFont="1" applyFill="1" applyBorder="1" applyAlignment="1">
      <alignment vertical="center"/>
    </xf>
    <xf numFmtId="0" fontId="2" fillId="30" borderId="8" xfId="0" applyFont="1" applyFill="1" applyBorder="1" applyAlignment="1">
      <alignment vertical="center"/>
    </xf>
    <xf numFmtId="165" fontId="0" fillId="30" borderId="9" xfId="0" applyNumberFormat="1" applyFont="1" applyFill="1" applyBorder="1"/>
    <xf numFmtId="165" fontId="0" fillId="30" borderId="2" xfId="0" applyNumberFormat="1" applyFont="1" applyFill="1" applyBorder="1"/>
    <xf numFmtId="0" fontId="0" fillId="30" borderId="8" xfId="0" applyFont="1" applyFill="1" applyBorder="1" applyAlignment="1">
      <alignment vertical="center"/>
    </xf>
    <xf numFmtId="165" fontId="0" fillId="30" borderId="9" xfId="0" applyNumberFormat="1" applyFont="1" applyFill="1" applyBorder="1" applyAlignment="1">
      <alignment horizontal="right"/>
    </xf>
    <xf numFmtId="0" fontId="3" fillId="31" borderId="8" xfId="0" applyFont="1" applyFill="1" applyBorder="1"/>
    <xf numFmtId="165" fontId="3" fillId="31" borderId="9" xfId="0" applyNumberFormat="1" applyFont="1" applyFill="1" applyBorder="1" applyAlignment="1">
      <alignment horizontal="right"/>
    </xf>
    <xf numFmtId="0" fontId="3" fillId="31" borderId="8" xfId="0" applyFont="1" applyFill="1" applyBorder="1" applyAlignment="1">
      <alignment wrapText="1"/>
    </xf>
    <xf numFmtId="165" fontId="3" fillId="31" borderId="9" xfId="0" applyNumberFormat="1" applyFont="1" applyFill="1" applyBorder="1" applyAlignment="1">
      <alignment horizontal="right" wrapText="1"/>
    </xf>
    <xf numFmtId="0" fontId="2" fillId="31" borderId="8" xfId="0" applyFont="1" applyFill="1" applyBorder="1"/>
    <xf numFmtId="165" fontId="0" fillId="31" borderId="9" xfId="0" applyNumberFormat="1" applyFont="1" applyFill="1" applyBorder="1"/>
    <xf numFmtId="165" fontId="0" fillId="31" borderId="2" xfId="0" applyNumberFormat="1" applyFont="1" applyFill="1" applyBorder="1"/>
    <xf numFmtId="0" fontId="2" fillId="32" borderId="8" xfId="0" applyFont="1" applyFill="1" applyBorder="1" applyAlignment="1">
      <alignment wrapText="1"/>
    </xf>
    <xf numFmtId="165" fontId="0" fillId="32" borderId="8" xfId="0" applyNumberFormat="1" applyFont="1" applyFill="1" applyBorder="1"/>
    <xf numFmtId="0" fontId="0" fillId="8" borderId="8" xfId="0" applyFont="1" applyFill="1" applyBorder="1" applyAlignment="1">
      <alignment wrapText="1"/>
    </xf>
    <xf numFmtId="165" fontId="0" fillId="8" borderId="8" xfId="0" applyNumberFormat="1" applyFont="1" applyFill="1" applyBorder="1"/>
    <xf numFmtId="0" fontId="0" fillId="10" borderId="43" xfId="0" applyFont="1" applyFill="1" applyBorder="1"/>
    <xf numFmtId="165" fontId="0" fillId="10" borderId="4" xfId="0" applyNumberFormat="1" applyFont="1" applyFill="1" applyBorder="1"/>
    <xf numFmtId="9" fontId="8" fillId="11" borderId="4" xfId="0" applyNumberFormat="1" applyFont="1" applyFill="1" applyBorder="1"/>
    <xf numFmtId="0" fontId="11" fillId="0" borderId="2" xfId="2" applyFont="1" applyBorder="1" applyAlignment="1">
      <alignment wrapText="1"/>
    </xf>
    <xf numFmtId="165" fontId="12" fillId="0" borderId="9" xfId="0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0" fontId="12" fillId="0" borderId="2" xfId="0" applyFont="1" applyBorder="1" applyAlignment="1">
      <alignment wrapText="1"/>
    </xf>
    <xf numFmtId="165" fontId="5" fillId="0" borderId="9" xfId="0" applyNumberFormat="1" applyFont="1" applyBorder="1"/>
    <xf numFmtId="0" fontId="13" fillId="0" borderId="2" xfId="0" applyFont="1" applyBorder="1" applyAlignment="1">
      <alignment wrapText="1"/>
    </xf>
    <xf numFmtId="165" fontId="12" fillId="0" borderId="2" xfId="0" applyNumberFormat="1" applyFont="1" applyBorder="1"/>
    <xf numFmtId="165" fontId="5" fillId="0" borderId="2" xfId="0" applyNumberFormat="1" applyFont="1" applyBorder="1"/>
    <xf numFmtId="165" fontId="12" fillId="0" borderId="0" xfId="0" applyNumberFormat="1" applyFont="1"/>
    <xf numFmtId="165" fontId="12" fillId="0" borderId="15" xfId="0" applyNumberFormat="1" applyFont="1" applyBorder="1"/>
    <xf numFmtId="0" fontId="13" fillId="0" borderId="1" xfId="0" applyFont="1" applyBorder="1" applyAlignment="1">
      <alignment wrapText="1"/>
    </xf>
    <xf numFmtId="165" fontId="5" fillId="0" borderId="8" xfId="0" applyNumberFormat="1" applyFont="1" applyBorder="1"/>
    <xf numFmtId="0" fontId="2" fillId="0" borderId="9" xfId="0" applyFont="1" applyBorder="1"/>
    <xf numFmtId="0" fontId="14" fillId="0" borderId="2" xfId="0" applyFont="1" applyBorder="1" applyAlignment="1">
      <alignment wrapText="1"/>
    </xf>
    <xf numFmtId="165" fontId="15" fillId="0" borderId="2" xfId="0" applyNumberFormat="1" applyFont="1" applyBorder="1"/>
    <xf numFmtId="0" fontId="16" fillId="0" borderId="2" xfId="0" applyFont="1" applyBorder="1"/>
    <xf numFmtId="165" fontId="16" fillId="0" borderId="2" xfId="0" applyNumberFormat="1" applyFont="1" applyBorder="1"/>
    <xf numFmtId="165" fontId="15" fillId="0" borderId="9" xfId="0" applyNumberFormat="1" applyFont="1" applyBorder="1"/>
    <xf numFmtId="0" fontId="14" fillId="0" borderId="2" xfId="0" applyFont="1" applyBorder="1" applyAlignment="1">
      <alignment vertical="top" wrapText="1"/>
    </xf>
    <xf numFmtId="165" fontId="17" fillId="0" borderId="2" xfId="0" applyNumberFormat="1" applyFont="1" applyBorder="1"/>
    <xf numFmtId="0" fontId="0" fillId="13" borderId="8" xfId="0" applyFont="1" applyFill="1" applyBorder="1" applyAlignment="1">
      <alignment wrapText="1"/>
    </xf>
    <xf numFmtId="0" fontId="18" fillId="35" borderId="39" xfId="0" applyFont="1" applyFill="1" applyBorder="1"/>
    <xf numFmtId="0" fontId="0" fillId="37" borderId="8" xfId="0" applyFont="1" applyFill="1" applyBorder="1" applyAlignment="1">
      <alignment wrapText="1"/>
    </xf>
    <xf numFmtId="165" fontId="0" fillId="37" borderId="8" xfId="0" applyNumberFormat="1" applyFont="1" applyFill="1" applyBorder="1" applyAlignment="1">
      <alignment wrapText="1"/>
    </xf>
    <xf numFmtId="0" fontId="0" fillId="27" borderId="8" xfId="0" applyFont="1" applyFill="1" applyBorder="1" applyAlignment="1">
      <alignment wrapText="1"/>
    </xf>
    <xf numFmtId="0" fontId="3" fillId="27" borderId="8" xfId="0" applyFont="1" applyFill="1" applyBorder="1" applyAlignment="1">
      <alignment wrapText="1"/>
    </xf>
    <xf numFmtId="165" fontId="0" fillId="27" borderId="8" xfId="0" applyNumberFormat="1" applyFont="1" applyFill="1" applyBorder="1" applyAlignment="1"/>
    <xf numFmtId="0" fontId="0" fillId="38" borderId="0" xfId="0" applyFill="1" applyBorder="1"/>
    <xf numFmtId="165" fontId="0" fillId="27" borderId="8" xfId="0" applyNumberFormat="1" applyFont="1" applyFill="1" applyBorder="1"/>
    <xf numFmtId="0" fontId="7" fillId="27" borderId="8" xfId="0" applyFont="1" applyFill="1" applyBorder="1" applyAlignment="1">
      <alignment wrapText="1"/>
    </xf>
    <xf numFmtId="0" fontId="0" fillId="20" borderId="7" xfId="0" applyFont="1" applyFill="1" applyBorder="1"/>
    <xf numFmtId="0" fontId="0" fillId="10" borderId="20" xfId="0" applyFont="1" applyFill="1" applyBorder="1"/>
    <xf numFmtId="165" fontId="0" fillId="10" borderId="20" xfId="0" applyNumberFormat="1" applyFont="1" applyFill="1" applyBorder="1"/>
    <xf numFmtId="0" fontId="18" fillId="39" borderId="8" xfId="0" applyFont="1" applyFill="1" applyBorder="1"/>
    <xf numFmtId="0" fontId="14" fillId="28" borderId="8" xfId="0" applyFont="1" applyFill="1" applyBorder="1" applyAlignment="1">
      <alignment wrapText="1"/>
    </xf>
    <xf numFmtId="0" fontId="16" fillId="28" borderId="8" xfId="0" applyFont="1" applyFill="1" applyBorder="1" applyAlignment="1">
      <alignment wrapText="1"/>
    </xf>
    <xf numFmtId="164" fontId="16" fillId="28" borderId="8" xfId="0" applyNumberFormat="1" applyFont="1" applyFill="1" applyBorder="1" applyAlignment="1"/>
    <xf numFmtId="0" fontId="16" fillId="28" borderId="28" xfId="0" applyFont="1" applyFill="1" applyBorder="1" applyAlignment="1">
      <alignment wrapText="1"/>
    </xf>
    <xf numFmtId="0" fontId="16" fillId="28" borderId="29" xfId="0" applyFont="1" applyFill="1" applyBorder="1" applyAlignment="1">
      <alignment wrapText="1"/>
    </xf>
    <xf numFmtId="0" fontId="16" fillId="28" borderId="30" xfId="0" applyFont="1" applyFill="1" applyBorder="1" applyAlignment="1">
      <alignment wrapText="1"/>
    </xf>
    <xf numFmtId="164" fontId="16" fillId="28" borderId="4" xfId="0" applyNumberFormat="1" applyFont="1" applyFill="1" applyBorder="1" applyAlignment="1"/>
    <xf numFmtId="0" fontId="16" fillId="28" borderId="3" xfId="0" applyFont="1" applyFill="1" applyBorder="1"/>
    <xf numFmtId="0" fontId="16" fillId="28" borderId="2" xfId="0" applyFont="1" applyFill="1" applyBorder="1"/>
    <xf numFmtId="0" fontId="16" fillId="28" borderId="1" xfId="0" applyFont="1" applyFill="1" applyBorder="1"/>
    <xf numFmtId="164" fontId="16" fillId="28" borderId="2" xfId="0" applyNumberFormat="1" applyFont="1" applyFill="1" applyBorder="1"/>
    <xf numFmtId="165" fontId="16" fillId="28" borderId="2" xfId="1" applyNumberFormat="1" applyFont="1" applyFill="1" applyBorder="1"/>
    <xf numFmtId="0" fontId="16" fillId="40" borderId="8" xfId="0" applyFont="1" applyFill="1" applyBorder="1"/>
    <xf numFmtId="0" fontId="16" fillId="28" borderId="48" xfId="0" applyFont="1" applyFill="1" applyBorder="1" applyAlignment="1">
      <alignment wrapText="1"/>
    </xf>
    <xf numFmtId="164" fontId="16" fillId="28" borderId="3" xfId="0" applyNumberFormat="1" applyFont="1" applyFill="1" applyBorder="1"/>
    <xf numFmtId="165" fontId="16" fillId="28" borderId="3" xfId="0" applyNumberFormat="1" applyFont="1" applyFill="1" applyBorder="1"/>
    <xf numFmtId="165" fontId="16" fillId="28" borderId="2" xfId="0" applyNumberFormat="1" applyFont="1" applyFill="1" applyBorder="1"/>
    <xf numFmtId="0" fontId="16" fillId="41" borderId="8" xfId="0" applyFont="1" applyFill="1" applyBorder="1"/>
    <xf numFmtId="164" fontId="16" fillId="41" borderId="8" xfId="0" applyNumberFormat="1" applyFont="1" applyFill="1" applyBorder="1"/>
    <xf numFmtId="0" fontId="0" fillId="20" borderId="8" xfId="0" applyFont="1" applyFill="1" applyBorder="1"/>
    <xf numFmtId="0" fontId="2" fillId="10" borderId="8" xfId="0" applyFont="1" applyFill="1" applyBorder="1"/>
    <xf numFmtId="0" fontId="0" fillId="10" borderId="8" xfId="0" applyFont="1" applyFill="1" applyBorder="1"/>
    <xf numFmtId="164" fontId="0" fillId="10" borderId="8" xfId="0" applyNumberFormat="1" applyFont="1" applyFill="1" applyBorder="1"/>
    <xf numFmtId="0" fontId="19" fillId="42" borderId="0" xfId="0" applyFont="1" applyFill="1" applyBorder="1"/>
    <xf numFmtId="165" fontId="2" fillId="23" borderId="8" xfId="0" applyNumberFormat="1" applyFont="1" applyFill="1" applyBorder="1" applyAlignment="1"/>
    <xf numFmtId="165" fontId="2" fillId="19" borderId="8" xfId="0" applyNumberFormat="1" applyFont="1" applyFill="1" applyBorder="1" applyAlignment="1"/>
    <xf numFmtId="0" fontId="8" fillId="5" borderId="6" xfId="0" applyFont="1" applyFill="1" applyBorder="1" applyAlignment="1">
      <alignment vertical="center" wrapText="1"/>
    </xf>
    <xf numFmtId="0" fontId="2" fillId="23" borderId="8" xfId="0" applyFont="1" applyFill="1" applyBorder="1"/>
    <xf numFmtId="0" fontId="16" fillId="5" borderId="31" xfId="0" applyFont="1" applyFill="1" applyBorder="1" applyAlignment="1">
      <alignment vertical="center" wrapText="1"/>
    </xf>
    <xf numFmtId="165" fontId="16" fillId="5" borderId="4" xfId="0" applyNumberFormat="1" applyFont="1" applyFill="1" applyBorder="1" applyAlignment="1">
      <alignment horizontal="right"/>
    </xf>
    <xf numFmtId="165" fontId="0" fillId="5" borderId="4" xfId="0" applyNumberFormat="1" applyFont="1" applyFill="1" applyBorder="1" applyAlignment="1">
      <alignment horizontal="right"/>
    </xf>
    <xf numFmtId="165" fontId="0" fillId="5" borderId="4" xfId="0" applyNumberFormat="1" applyFont="1" applyFill="1" applyBorder="1" applyAlignment="1"/>
    <xf numFmtId="0" fontId="0" fillId="10" borderId="15" xfId="0" applyFont="1" applyFill="1" applyBorder="1"/>
    <xf numFmtId="165" fontId="0" fillId="10" borderId="3" xfId="0" applyNumberFormat="1" applyFont="1" applyFill="1" applyBorder="1"/>
    <xf numFmtId="0" fontId="2" fillId="44" borderId="8" xfId="0" applyFont="1" applyFill="1" applyBorder="1"/>
    <xf numFmtId="165" fontId="0" fillId="44" borderId="8" xfId="0" applyNumberFormat="1" applyFont="1" applyFill="1" applyBorder="1"/>
    <xf numFmtId="0" fontId="0" fillId="20" borderId="8" xfId="0" applyFont="1" applyFill="1" applyBorder="1" applyAlignment="1">
      <alignment horizontal="center" wrapText="1"/>
    </xf>
    <xf numFmtId="0" fontId="2" fillId="45" borderId="8" xfId="0" applyFont="1" applyFill="1" applyBorder="1"/>
    <xf numFmtId="0" fontId="0" fillId="45" borderId="8" xfId="0" applyFont="1" applyFill="1" applyBorder="1"/>
    <xf numFmtId="0" fontId="0" fillId="45" borderId="20" xfId="0" applyFont="1" applyFill="1" applyBorder="1"/>
    <xf numFmtId="165" fontId="0" fillId="45" borderId="20" xfId="0" applyNumberFormat="1" applyFont="1" applyFill="1" applyBorder="1"/>
    <xf numFmtId="0" fontId="13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/>
    </xf>
    <xf numFmtId="165" fontId="2" fillId="5" borderId="8" xfId="0" applyNumberFormat="1" applyFont="1" applyFill="1" applyBorder="1" applyAlignment="1">
      <alignment horizontal="right"/>
    </xf>
    <xf numFmtId="0" fontId="2" fillId="5" borderId="8" xfId="0" applyFont="1" applyFill="1" applyBorder="1" applyAlignment="1">
      <alignment wrapText="1"/>
    </xf>
    <xf numFmtId="0" fontId="2" fillId="5" borderId="8" xfId="0" applyFont="1" applyFill="1" applyBorder="1" applyAlignment="1">
      <alignment vertical="top" wrapText="1"/>
    </xf>
    <xf numFmtId="165" fontId="2" fillId="5" borderId="8" xfId="0" applyNumberFormat="1" applyFont="1" applyFill="1" applyBorder="1" applyAlignment="1">
      <alignment horizontal="right" vertical="top" wrapText="1"/>
    </xf>
    <xf numFmtId="165" fontId="2" fillId="5" borderId="8" xfId="0" applyNumberFormat="1" applyFont="1" applyFill="1" applyBorder="1"/>
    <xf numFmtId="0" fontId="2" fillId="25" borderId="0" xfId="0" applyFont="1" applyFill="1" applyBorder="1"/>
    <xf numFmtId="0" fontId="2" fillId="10" borderId="8" xfId="0" applyFont="1" applyFill="1" applyBorder="1" applyAlignment="1">
      <alignment wrapText="1"/>
    </xf>
    <xf numFmtId="165" fontId="2" fillId="10" borderId="8" xfId="0" applyNumberFormat="1" applyFont="1" applyFill="1" applyBorder="1"/>
    <xf numFmtId="0" fontId="18" fillId="39" borderId="0" xfId="0" applyFont="1" applyFill="1" applyBorder="1"/>
    <xf numFmtId="3" fontId="0" fillId="0" borderId="0" xfId="0" applyNumberFormat="1" applyFont="1" applyFill="1" applyBorder="1"/>
    <xf numFmtId="0" fontId="2" fillId="40" borderId="8" xfId="0" applyFont="1" applyFill="1" applyBorder="1"/>
    <xf numFmtId="165" fontId="0" fillId="40" borderId="8" xfId="0" applyNumberFormat="1" applyFont="1" applyFill="1" applyBorder="1"/>
    <xf numFmtId="0" fontId="0" fillId="19" borderId="45" xfId="0" applyFont="1" applyFill="1" applyBorder="1"/>
    <xf numFmtId="0" fontId="2" fillId="19" borderId="8" xfId="0" applyFont="1" applyFill="1" applyBorder="1"/>
    <xf numFmtId="0" fontId="0" fillId="19" borderId="8" xfId="0" applyFont="1" applyFill="1" applyBorder="1"/>
    <xf numFmtId="165" fontId="0" fillId="19" borderId="8" xfId="0" applyNumberFormat="1" applyFont="1" applyFill="1" applyBorder="1"/>
    <xf numFmtId="0" fontId="0" fillId="40" borderId="8" xfId="0" applyFont="1" applyFill="1" applyBorder="1"/>
    <xf numFmtId="0" fontId="0" fillId="19" borderId="52" xfId="0" applyFont="1" applyFill="1" applyBorder="1"/>
    <xf numFmtId="1" fontId="0" fillId="40" borderId="8" xfId="0" applyNumberFormat="1" applyFont="1" applyFill="1" applyBorder="1"/>
    <xf numFmtId="0" fontId="2" fillId="19" borderId="45" xfId="0" applyFont="1" applyFill="1" applyBorder="1" applyAlignment="1"/>
    <xf numFmtId="1" fontId="0" fillId="19" borderId="8" xfId="0" applyNumberFormat="1" applyFont="1" applyFill="1" applyBorder="1"/>
    <xf numFmtId="0" fontId="8" fillId="40" borderId="8" xfId="0" applyFont="1" applyFill="1" applyBorder="1" applyAlignment="1"/>
    <xf numFmtId="0" fontId="19" fillId="46" borderId="0" xfId="0" applyFont="1" applyFill="1" applyBorder="1"/>
    <xf numFmtId="0" fontId="0" fillId="0" borderId="0" xfId="0" applyFont="1" applyBorder="1" applyAlignment="1"/>
    <xf numFmtId="165" fontId="0" fillId="0" borderId="0" xfId="0" applyNumberFormat="1" applyFont="1" applyBorder="1" applyAlignment="1"/>
    <xf numFmtId="0" fontId="0" fillId="47" borderId="8" xfId="0" applyFill="1" applyBorder="1"/>
    <xf numFmtId="0" fontId="16" fillId="48" borderId="8" xfId="0" applyFont="1" applyFill="1" applyBorder="1" applyAlignment="1">
      <alignment wrapText="1"/>
    </xf>
    <xf numFmtId="0" fontId="2" fillId="48" borderId="8" xfId="0" applyFont="1" applyFill="1" applyBorder="1" applyAlignment="1">
      <alignment wrapText="1"/>
    </xf>
    <xf numFmtId="165" fontId="16" fillId="48" borderId="8" xfId="0" applyNumberFormat="1" applyFont="1" applyFill="1" applyBorder="1" applyAlignment="1">
      <alignment horizontal="right" wrapText="1"/>
    </xf>
    <xf numFmtId="0" fontId="16" fillId="6" borderId="8" xfId="0" applyFont="1" applyFill="1" applyBorder="1" applyAlignment="1">
      <alignment wrapText="1"/>
    </xf>
    <xf numFmtId="165" fontId="14" fillId="6" borderId="8" xfId="0" applyNumberFormat="1" applyFont="1" applyFill="1" applyBorder="1" applyAlignment="1">
      <alignment horizontal="right" wrapText="1"/>
    </xf>
    <xf numFmtId="0" fontId="2" fillId="6" borderId="8" xfId="0" applyFont="1" applyFill="1" applyBorder="1" applyAlignment="1">
      <alignment wrapText="1"/>
    </xf>
    <xf numFmtId="165" fontId="16" fillId="6" borderId="8" xfId="0" applyNumberFormat="1" applyFont="1" applyFill="1" applyBorder="1" applyAlignment="1">
      <alignment horizontal="right" wrapText="1"/>
    </xf>
    <xf numFmtId="165" fontId="16" fillId="6" borderId="8" xfId="0" applyNumberFormat="1" applyFont="1" applyFill="1" applyBorder="1"/>
    <xf numFmtId="165" fontId="0" fillId="10" borderId="8" xfId="0" applyNumberFormat="1" applyFont="1" applyFill="1" applyBorder="1"/>
    <xf numFmtId="0" fontId="0" fillId="0" borderId="0" xfId="0" applyFont="1" applyFill="1" applyAlignment="1"/>
    <xf numFmtId="0" fontId="20" fillId="28" borderId="11" xfId="0" applyFont="1" applyFill="1" applyBorder="1" applyAlignment="1">
      <alignment vertical="center" wrapText="1"/>
    </xf>
    <xf numFmtId="0" fontId="2" fillId="27" borderId="43" xfId="0" applyFont="1" applyFill="1" applyBorder="1"/>
    <xf numFmtId="0" fontId="2" fillId="31" borderId="43" xfId="0" applyFont="1" applyFill="1" applyBorder="1"/>
    <xf numFmtId="0" fontId="2" fillId="27" borderId="3" xfId="0" applyFont="1" applyFill="1" applyBorder="1"/>
    <xf numFmtId="167" fontId="21" fillId="31" borderId="9" xfId="0" applyNumberFormat="1" applyFont="1" applyFill="1" applyBorder="1" applyAlignment="1">
      <alignment horizontal="right"/>
    </xf>
    <xf numFmtId="165" fontId="21" fillId="31" borderId="9" xfId="0" applyNumberFormat="1" applyFont="1" applyFill="1" applyBorder="1" applyAlignment="1">
      <alignment horizontal="right"/>
    </xf>
    <xf numFmtId="165" fontId="21" fillId="31" borderId="9" xfId="0" applyNumberFormat="1" applyFont="1" applyFill="1" applyBorder="1" applyAlignment="1">
      <alignment horizontal="right" wrapText="1"/>
    </xf>
    <xf numFmtId="165" fontId="21" fillId="31" borderId="9" xfId="0" applyNumberFormat="1" applyFont="1" applyFill="1" applyBorder="1" applyAlignment="1">
      <alignment horizontal="right" wrapText="1"/>
    </xf>
    <xf numFmtId="165" fontId="0" fillId="10" borderId="43" xfId="0" applyNumberFormat="1" applyFont="1" applyFill="1" applyBorder="1"/>
    <xf numFmtId="0" fontId="14" fillId="27" borderId="8" xfId="0" applyFont="1" applyFill="1" applyBorder="1" applyAlignment="1">
      <alignment wrapText="1"/>
    </xf>
    <xf numFmtId="0" fontId="16" fillId="27" borderId="8" xfId="0" applyFont="1" applyFill="1" applyBorder="1" applyAlignment="1">
      <alignment wrapText="1"/>
    </xf>
    <xf numFmtId="164" fontId="16" fillId="27" borderId="8" xfId="0" applyNumberFormat="1" applyFont="1" applyFill="1" applyBorder="1" applyAlignment="1"/>
    <xf numFmtId="0" fontId="16" fillId="27" borderId="28" xfId="0" applyFont="1" applyFill="1" applyBorder="1" applyAlignment="1">
      <alignment wrapText="1"/>
    </xf>
    <xf numFmtId="0" fontId="16" fillId="27" borderId="29" xfId="0" applyFont="1" applyFill="1" applyBorder="1" applyAlignment="1">
      <alignment wrapText="1"/>
    </xf>
    <xf numFmtId="0" fontId="16" fillId="27" borderId="30" xfId="0" applyFont="1" applyFill="1" applyBorder="1" applyAlignment="1">
      <alignment wrapText="1"/>
    </xf>
    <xf numFmtId="164" fontId="16" fillId="27" borderId="4" xfId="0" applyNumberFormat="1" applyFont="1" applyFill="1" applyBorder="1" applyAlignment="1"/>
    <xf numFmtId="0" fontId="16" fillId="27" borderId="3" xfId="0" applyFont="1" applyFill="1" applyBorder="1"/>
    <xf numFmtId="0" fontId="16" fillId="27" borderId="2" xfId="0" applyFont="1" applyFill="1" applyBorder="1"/>
    <xf numFmtId="0" fontId="16" fillId="27" borderId="1" xfId="0" applyFont="1" applyFill="1" applyBorder="1"/>
    <xf numFmtId="164" fontId="16" fillId="27" borderId="2" xfId="0" applyNumberFormat="1" applyFont="1" applyFill="1" applyBorder="1"/>
    <xf numFmtId="165" fontId="16" fillId="27" borderId="2" xfId="1" applyNumberFormat="1" applyFont="1" applyFill="1" applyBorder="1"/>
    <xf numFmtId="0" fontId="16" fillId="38" borderId="36" xfId="0" applyFont="1" applyFill="1" applyBorder="1"/>
    <xf numFmtId="0" fontId="16" fillId="27" borderId="48" xfId="0" applyFont="1" applyFill="1" applyBorder="1" applyAlignment="1">
      <alignment wrapText="1"/>
    </xf>
    <xf numFmtId="164" fontId="16" fillId="27" borderId="3" xfId="0" applyNumberFormat="1" applyFont="1" applyFill="1" applyBorder="1"/>
    <xf numFmtId="165" fontId="16" fillId="27" borderId="3" xfId="0" applyNumberFormat="1" applyFont="1" applyFill="1" applyBorder="1"/>
    <xf numFmtId="0" fontId="0" fillId="18" borderId="8" xfId="0" applyFont="1" applyFill="1" applyBorder="1" applyAlignment="1">
      <alignment vertical="center" wrapText="1"/>
    </xf>
    <xf numFmtId="0" fontId="16" fillId="19" borderId="8" xfId="0" applyFont="1" applyFill="1" applyBorder="1"/>
    <xf numFmtId="0" fontId="16" fillId="49" borderId="8" xfId="0" applyFont="1" applyFill="1" applyBorder="1" applyAlignment="1">
      <alignment wrapText="1"/>
    </xf>
    <xf numFmtId="164" fontId="16" fillId="49" borderId="8" xfId="0" applyNumberFormat="1" applyFont="1" applyFill="1" applyBorder="1"/>
    <xf numFmtId="165" fontId="16" fillId="49" borderId="8" xfId="0" applyNumberFormat="1" applyFont="1" applyFill="1" applyBorder="1"/>
    <xf numFmtId="0" fontId="2" fillId="40" borderId="8" xfId="0" applyFont="1" applyFill="1" applyBorder="1" applyAlignment="1"/>
    <xf numFmtId="0" fontId="0" fillId="40" borderId="8" xfId="0" applyFont="1" applyFill="1" applyBorder="1" applyAlignment="1"/>
    <xf numFmtId="167" fontId="0" fillId="40" borderId="8" xfId="0" applyNumberFormat="1" applyFont="1" applyFill="1" applyBorder="1" applyAlignment="1"/>
    <xf numFmtId="0" fontId="2" fillId="19" borderId="60" xfId="0" applyFont="1" applyFill="1" applyBorder="1" applyAlignment="1"/>
    <xf numFmtId="165" fontId="2" fillId="19" borderId="61" xfId="0" applyNumberFormat="1" applyFont="1" applyFill="1" applyBorder="1" applyAlignment="1"/>
    <xf numFmtId="0" fontId="2" fillId="23" borderId="60" xfId="0" applyFont="1" applyFill="1" applyBorder="1"/>
    <xf numFmtId="0" fontId="16" fillId="5" borderId="8" xfId="0" applyFont="1" applyFill="1" applyBorder="1" applyAlignment="1">
      <alignment vertical="center" wrapText="1"/>
    </xf>
    <xf numFmtId="165" fontId="16" fillId="5" borderId="43" xfId="0" applyNumberFormat="1" applyFont="1" applyFill="1" applyBorder="1" applyAlignment="1">
      <alignment horizontal="right"/>
    </xf>
    <xf numFmtId="0" fontId="0" fillId="10" borderId="44" xfId="0" applyFont="1" applyFill="1" applyBorder="1"/>
    <xf numFmtId="165" fontId="0" fillId="10" borderId="15" xfId="0" applyNumberFormat="1" applyFont="1" applyFill="1" applyBorder="1"/>
    <xf numFmtId="0" fontId="8" fillId="5" borderId="49" xfId="0" applyFont="1" applyFill="1" applyBorder="1" applyAlignment="1">
      <alignment vertical="center" wrapText="1"/>
    </xf>
    <xf numFmtId="0" fontId="8" fillId="5" borderId="50" xfId="0" applyFont="1" applyFill="1" applyBorder="1" applyAlignment="1">
      <alignment vertical="center" wrapText="1"/>
    </xf>
    <xf numFmtId="0" fontId="8" fillId="5" borderId="51" xfId="0" applyFont="1" applyFill="1" applyBorder="1" applyAlignment="1">
      <alignment vertical="center" wrapText="1"/>
    </xf>
    <xf numFmtId="0" fontId="8" fillId="5" borderId="0" xfId="0" applyFont="1" applyFill="1" applyBorder="1" applyAlignment="1">
      <alignment vertical="center" wrapText="1"/>
    </xf>
    <xf numFmtId="0" fontId="2" fillId="50" borderId="60" xfId="0" applyFont="1" applyFill="1" applyBorder="1"/>
    <xf numFmtId="0" fontId="2" fillId="50" borderId="8" xfId="0" applyFont="1" applyFill="1" applyBorder="1"/>
    <xf numFmtId="0" fontId="2" fillId="50" borderId="61" xfId="0" applyFont="1" applyFill="1" applyBorder="1"/>
    <xf numFmtId="165" fontId="0" fillId="50" borderId="8" xfId="0" applyNumberFormat="1" applyFont="1" applyFill="1" applyBorder="1"/>
    <xf numFmtId="0" fontId="2" fillId="19" borderId="60" xfId="0" applyFont="1" applyFill="1" applyBorder="1"/>
    <xf numFmtId="0" fontId="0" fillId="19" borderId="61" xfId="0" applyFont="1" applyFill="1" applyBorder="1"/>
    <xf numFmtId="0" fontId="0" fillId="50" borderId="8" xfId="0" applyFont="1" applyFill="1" applyBorder="1"/>
    <xf numFmtId="1" fontId="0" fillId="50" borderId="61" xfId="0" applyNumberFormat="1" applyFont="1" applyFill="1" applyBorder="1"/>
    <xf numFmtId="0" fontId="0" fillId="50" borderId="61" xfId="0" applyFont="1" applyFill="1" applyBorder="1"/>
    <xf numFmtId="1" fontId="0" fillId="19" borderId="61" xfId="0" applyNumberFormat="1" applyFont="1" applyFill="1" applyBorder="1"/>
    <xf numFmtId="0" fontId="22" fillId="50" borderId="8" xfId="0" applyFont="1" applyFill="1" applyBorder="1" applyAlignment="1"/>
    <xf numFmtId="0" fontId="0" fillId="51" borderId="60" xfId="0" applyFill="1" applyBorder="1"/>
    <xf numFmtId="0" fontId="16" fillId="31" borderId="8" xfId="0" applyFont="1" applyFill="1" applyBorder="1" applyAlignment="1">
      <alignment wrapText="1"/>
    </xf>
    <xf numFmtId="0" fontId="2" fillId="31" borderId="61" xfId="0" applyFont="1" applyFill="1" applyBorder="1" applyAlignment="1">
      <alignment wrapText="1"/>
    </xf>
    <xf numFmtId="165" fontId="16" fillId="31" borderId="8" xfId="0" applyNumberFormat="1" applyFont="1" applyFill="1" applyBorder="1" applyAlignment="1">
      <alignment horizontal="right" wrapText="1"/>
    </xf>
    <xf numFmtId="0" fontId="0" fillId="31" borderId="61" xfId="0" applyFont="1" applyFill="1" applyBorder="1" applyAlignment="1">
      <alignment wrapText="1"/>
    </xf>
    <xf numFmtId="165" fontId="14" fillId="31" borderId="8" xfId="0" applyNumberFormat="1" applyFont="1" applyFill="1" applyBorder="1" applyAlignment="1">
      <alignment horizontal="right" wrapText="1"/>
    </xf>
    <xf numFmtId="0" fontId="2" fillId="31" borderId="60" xfId="0" applyFont="1" applyFill="1" applyBorder="1" applyAlignment="1">
      <alignment wrapText="1"/>
    </xf>
    <xf numFmtId="165" fontId="16" fillId="31" borderId="8" xfId="0" applyNumberFormat="1" applyFont="1" applyFill="1" applyBorder="1"/>
    <xf numFmtId="0" fontId="0" fillId="10" borderId="60" xfId="0" applyFont="1" applyFill="1" applyBorder="1"/>
    <xf numFmtId="0" fontId="0" fillId="10" borderId="61" xfId="0" applyFont="1" applyFill="1" applyBorder="1"/>
    <xf numFmtId="0" fontId="8" fillId="31" borderId="8" xfId="0" applyFont="1" applyFill="1" applyBorder="1" applyAlignment="1">
      <alignment horizontal="center" vertical="center" wrapText="1"/>
    </xf>
    <xf numFmtId="0" fontId="2" fillId="31" borderId="8" xfId="0" applyFont="1" applyFill="1" applyBorder="1" applyAlignment="1">
      <alignment wrapText="1"/>
    </xf>
    <xf numFmtId="0" fontId="0" fillId="31" borderId="9" xfId="0" applyFont="1" applyFill="1" applyBorder="1" applyAlignment="1">
      <alignment wrapText="1"/>
    </xf>
    <xf numFmtId="0" fontId="2" fillId="31" borderId="9" xfId="0" applyFont="1" applyFill="1" applyBorder="1" applyAlignment="1">
      <alignment wrapText="1"/>
    </xf>
    <xf numFmtId="167" fontId="16" fillId="31" borderId="2" xfId="0" applyNumberFormat="1" applyFont="1" applyFill="1" applyBorder="1" applyAlignment="1">
      <alignment horizontal="right" wrapText="1"/>
    </xf>
    <xf numFmtId="167" fontId="16" fillId="31" borderId="2" xfId="0" applyNumberFormat="1" applyFont="1" applyFill="1" applyBorder="1"/>
    <xf numFmtId="0" fontId="0" fillId="33" borderId="4" xfId="0" applyFont="1" applyFill="1" applyBorder="1" applyAlignment="1">
      <alignment vertical="center" wrapText="1"/>
    </xf>
    <xf numFmtId="0" fontId="0" fillId="33" borderId="1" xfId="0" applyFont="1" applyFill="1" applyBorder="1" applyAlignment="1">
      <alignment wrapText="1"/>
    </xf>
    <xf numFmtId="0" fontId="3" fillId="33" borderId="8" xfId="0" applyFont="1" applyFill="1" applyBorder="1" applyAlignment="1">
      <alignment wrapText="1"/>
    </xf>
    <xf numFmtId="0" fontId="0" fillId="33" borderId="61" xfId="0" applyFont="1" applyFill="1" applyBorder="1" applyAlignment="1">
      <alignment wrapText="1"/>
    </xf>
    <xf numFmtId="167" fontId="16" fillId="33" borderId="8" xfId="0" applyNumberFormat="1" applyFont="1" applyFill="1" applyBorder="1" applyAlignment="1">
      <alignment horizontal="right" wrapText="1"/>
    </xf>
    <xf numFmtId="0" fontId="0" fillId="31" borderId="2" xfId="0" applyFont="1" applyFill="1" applyBorder="1" applyAlignment="1">
      <alignment wrapText="1"/>
    </xf>
    <xf numFmtId="167" fontId="16" fillId="31" borderId="8" xfId="0" applyNumberFormat="1" applyFont="1" applyFill="1" applyBorder="1" applyAlignment="1">
      <alignment horizontal="right"/>
    </xf>
    <xf numFmtId="167" fontId="0" fillId="31" borderId="8" xfId="0" applyNumberFormat="1" applyFont="1" applyFill="1" applyBorder="1"/>
    <xf numFmtId="0" fontId="0" fillId="31" borderId="1" xfId="0" applyFont="1" applyFill="1" applyBorder="1" applyAlignment="1">
      <alignment wrapText="1"/>
    </xf>
    <xf numFmtId="0" fontId="0" fillId="31" borderId="0" xfId="0" applyFont="1" applyFill="1" applyBorder="1" applyAlignment="1">
      <alignment wrapText="1"/>
    </xf>
    <xf numFmtId="167" fontId="16" fillId="10" borderId="4" xfId="0" applyNumberFormat="1" applyFont="1" applyFill="1" applyBorder="1"/>
    <xf numFmtId="0" fontId="1" fillId="0" borderId="2" xfId="0" applyFont="1" applyBorder="1" applyAlignment="1">
      <alignment horizontal="center"/>
    </xf>
    <xf numFmtId="0" fontId="0" fillId="4" borderId="8" xfId="0" applyFont="1" applyFill="1" applyBorder="1"/>
    <xf numFmtId="0" fontId="0" fillId="4" borderId="43" xfId="0" applyFont="1" applyFill="1" applyBorder="1"/>
    <xf numFmtId="0" fontId="0" fillId="5" borderId="43" xfId="0" applyFont="1" applyFill="1" applyBorder="1"/>
    <xf numFmtId="0" fontId="0" fillId="52" borderId="8" xfId="0" applyFont="1" applyFill="1" applyBorder="1"/>
    <xf numFmtId="0" fontId="0" fillId="52" borderId="43" xfId="0" applyFont="1" applyFill="1" applyBorder="1"/>
    <xf numFmtId="165" fontId="0" fillId="52" borderId="4" xfId="0" applyNumberFormat="1" applyFont="1" applyFill="1" applyBorder="1"/>
    <xf numFmtId="0" fontId="0" fillId="6" borderId="43" xfId="0" applyFont="1" applyFill="1" applyBorder="1"/>
    <xf numFmtId="0" fontId="2" fillId="52" borderId="8" xfId="0" applyFont="1" applyFill="1" applyBorder="1" applyAlignment="1">
      <alignment vertical="center"/>
    </xf>
    <xf numFmtId="165" fontId="0" fillId="52" borderId="9" xfId="0" applyNumberFormat="1" applyFont="1" applyFill="1" applyBorder="1"/>
    <xf numFmtId="0" fontId="0" fillId="52" borderId="8" xfId="0" applyFont="1" applyFill="1" applyBorder="1" applyAlignment="1">
      <alignment vertical="center"/>
    </xf>
    <xf numFmtId="165" fontId="0" fillId="52" borderId="2" xfId="0" applyNumberFormat="1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vertical="center" wrapText="1"/>
    </xf>
    <xf numFmtId="0" fontId="1" fillId="6" borderId="20" xfId="0" applyFont="1" applyFill="1" applyBorder="1" applyAlignment="1">
      <alignment vertical="center" wrapText="1"/>
    </xf>
    <xf numFmtId="0" fontId="0" fillId="6" borderId="0" xfId="0" applyFont="1" applyFill="1" applyBorder="1"/>
    <xf numFmtId="0" fontId="1" fillId="8" borderId="8" xfId="0" applyFont="1" applyFill="1" applyBorder="1" applyAlignment="1">
      <alignment horizontal="center" vertical="center" wrapText="1"/>
    </xf>
    <xf numFmtId="9" fontId="1" fillId="11" borderId="5" xfId="0" applyNumberFormat="1" applyFont="1" applyFill="1" applyBorder="1"/>
    <xf numFmtId="0" fontId="0" fillId="6" borderId="8" xfId="0" applyFont="1" applyFill="1" applyBorder="1" applyAlignment="1"/>
    <xf numFmtId="0" fontId="23" fillId="0" borderId="0" xfId="0" applyFont="1" applyAlignment="1"/>
    <xf numFmtId="0" fontId="6" fillId="0" borderId="3" xfId="0" applyFont="1" applyBorder="1" applyAlignment="1">
      <alignment wrapText="1"/>
    </xf>
    <xf numFmtId="0" fontId="0" fillId="0" borderId="3" xfId="0" applyFont="1" applyBorder="1"/>
    <xf numFmtId="0" fontId="6" fillId="0" borderId="8" xfId="0" applyFont="1" applyBorder="1" applyAlignment="1">
      <alignment wrapText="1"/>
    </xf>
    <xf numFmtId="0" fontId="5" fillId="0" borderId="8" xfId="0" applyFont="1" applyBorder="1"/>
    <xf numFmtId="0" fontId="0" fillId="0" borderId="8" xfId="0" applyFont="1" applyBorder="1"/>
    <xf numFmtId="0" fontId="5" fillId="0" borderId="3" xfId="0" applyFont="1" applyBorder="1"/>
    <xf numFmtId="1" fontId="0" fillId="0" borderId="2" xfId="0" applyNumberFormat="1" applyFont="1" applyBorder="1"/>
    <xf numFmtId="0" fontId="6" fillId="0" borderId="6" xfId="0" applyFont="1" applyBorder="1" applyAlignment="1">
      <alignment wrapText="1"/>
    </xf>
    <xf numFmtId="1" fontId="5" fillId="0" borderId="36" xfId="0" applyNumberFormat="1" applyFont="1" applyBorder="1"/>
    <xf numFmtId="0" fontId="0" fillId="0" borderId="15" xfId="0" applyFont="1" applyBorder="1"/>
    <xf numFmtId="1" fontId="0" fillId="0" borderId="8" xfId="0" applyNumberFormat="1" applyFont="1" applyBorder="1"/>
    <xf numFmtId="0" fontId="0" fillId="14" borderId="39" xfId="0" applyFont="1" applyFill="1" applyBorder="1"/>
    <xf numFmtId="0" fontId="16" fillId="17" borderId="8" xfId="0" applyFont="1" applyFill="1" applyBorder="1" applyAlignment="1">
      <alignment wrapText="1"/>
    </xf>
    <xf numFmtId="167" fontId="16" fillId="17" borderId="8" xfId="0" applyNumberFormat="1" applyFont="1" applyFill="1" applyBorder="1" applyAlignment="1">
      <alignment wrapText="1"/>
    </xf>
    <xf numFmtId="0" fontId="16" fillId="18" borderId="20" xfId="0" applyFont="1" applyFill="1" applyBorder="1" applyAlignment="1">
      <alignment vertical="center" wrapText="1"/>
    </xf>
    <xf numFmtId="0" fontId="16" fillId="19" borderId="8" xfId="0" applyFont="1" applyFill="1" applyBorder="1" applyAlignment="1"/>
    <xf numFmtId="167" fontId="16" fillId="19" borderId="8" xfId="0" applyNumberFormat="1" applyFont="1" applyFill="1" applyBorder="1" applyAlignment="1"/>
    <xf numFmtId="0" fontId="16" fillId="53" borderId="8" xfId="0" applyFont="1" applyFill="1" applyBorder="1"/>
    <xf numFmtId="0" fontId="16" fillId="4" borderId="8" xfId="0" applyFont="1" applyFill="1" applyBorder="1" applyAlignment="1">
      <alignment wrapText="1"/>
    </xf>
    <xf numFmtId="167" fontId="16" fillId="4" borderId="43" xfId="0" applyNumberFormat="1" applyFont="1" applyFill="1" applyBorder="1" applyAlignment="1">
      <alignment wrapText="1"/>
    </xf>
    <xf numFmtId="167" fontId="16" fillId="4" borderId="4" xfId="0" applyNumberFormat="1" applyFont="1" applyFill="1" applyBorder="1" applyAlignment="1">
      <alignment wrapText="1"/>
    </xf>
    <xf numFmtId="0" fontId="16" fillId="54" borderId="8" xfId="0" applyFont="1" applyFill="1" applyBorder="1" applyAlignment="1">
      <alignment wrapText="1"/>
    </xf>
    <xf numFmtId="167" fontId="16" fillId="4" borderId="9" xfId="0" applyNumberFormat="1" applyFont="1" applyFill="1" applyBorder="1" applyAlignment="1"/>
    <xf numFmtId="167" fontId="16" fillId="4" borderId="2" xfId="0" applyNumberFormat="1" applyFont="1" applyFill="1" applyBorder="1" applyAlignment="1"/>
    <xf numFmtId="167" fontId="16" fillId="4" borderId="2" xfId="0" applyNumberFormat="1" applyFont="1" applyFill="1" applyBorder="1" applyAlignment="1">
      <alignment wrapText="1"/>
    </xf>
    <xf numFmtId="167" fontId="16" fillId="4" borderId="2" xfId="0" applyNumberFormat="1" applyFont="1" applyFill="1" applyBorder="1" applyAlignment="1">
      <alignment horizontal="right" wrapText="1"/>
    </xf>
    <xf numFmtId="0" fontId="16" fillId="54" borderId="8" xfId="0" applyFont="1" applyFill="1" applyBorder="1"/>
    <xf numFmtId="0" fontId="16" fillId="4" borderId="8" xfId="0" applyFont="1" applyFill="1" applyBorder="1"/>
    <xf numFmtId="167" fontId="16" fillId="4" borderId="9" xfId="0" applyNumberFormat="1" applyFont="1" applyFill="1" applyBorder="1"/>
    <xf numFmtId="167" fontId="16" fillId="4" borderId="2" xfId="0" applyNumberFormat="1" applyFont="1" applyFill="1" applyBorder="1"/>
    <xf numFmtId="167" fontId="16" fillId="4" borderId="15" xfId="0" applyNumberFormat="1" applyFont="1" applyFill="1" applyBorder="1"/>
    <xf numFmtId="167" fontId="16" fillId="4" borderId="3" xfId="0" applyNumberFormat="1" applyFont="1" applyFill="1" applyBorder="1"/>
    <xf numFmtId="0" fontId="16" fillId="20" borderId="0" xfId="0" applyFont="1" applyFill="1" applyBorder="1"/>
    <xf numFmtId="0" fontId="16" fillId="10" borderId="5" xfId="0" applyFont="1" applyFill="1" applyBorder="1"/>
    <xf numFmtId="167" fontId="16" fillId="10" borderId="2" xfId="0" applyNumberFormat="1" applyFont="1" applyFill="1" applyBorder="1"/>
    <xf numFmtId="0" fontId="20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wrapText="1"/>
    </xf>
    <xf numFmtId="167" fontId="16" fillId="4" borderId="43" xfId="0" applyNumberFormat="1" applyFont="1" applyFill="1" applyBorder="1" applyAlignment="1"/>
    <xf numFmtId="167" fontId="16" fillId="4" borderId="4" xfId="0" applyNumberFormat="1" applyFont="1" applyFill="1" applyBorder="1" applyAlignment="1"/>
    <xf numFmtId="0" fontId="16" fillId="20" borderId="4" xfId="0" applyFont="1" applyFill="1" applyBorder="1"/>
    <xf numFmtId="0" fontId="16" fillId="10" borderId="4" xfId="0" applyFont="1" applyFill="1" applyBorder="1"/>
    <xf numFmtId="0" fontId="20" fillId="5" borderId="8" xfId="0" applyFont="1" applyFill="1" applyBorder="1" applyAlignment="1">
      <alignment vertical="center" wrapText="1"/>
    </xf>
    <xf numFmtId="0" fontId="16" fillId="23" borderId="8" xfId="0" applyFont="1" applyFill="1" applyBorder="1" applyAlignment="1"/>
    <xf numFmtId="167" fontId="16" fillId="23" borderId="61" xfId="0" applyNumberFormat="1" applyFont="1" applyFill="1" applyBorder="1" applyAlignment="1"/>
    <xf numFmtId="167" fontId="16" fillId="23" borderId="8" xfId="0" applyNumberFormat="1" applyFont="1" applyFill="1" applyBorder="1" applyAlignment="1"/>
    <xf numFmtId="0" fontId="24" fillId="5" borderId="8" xfId="0" applyFont="1" applyFill="1" applyBorder="1" applyAlignment="1">
      <alignment wrapText="1"/>
    </xf>
    <xf numFmtId="0" fontId="16" fillId="5" borderId="8" xfId="0" applyFont="1" applyFill="1" applyBorder="1" applyAlignment="1">
      <alignment wrapText="1"/>
    </xf>
    <xf numFmtId="167" fontId="16" fillId="5" borderId="43" xfId="0" applyNumberFormat="1" applyFont="1" applyFill="1" applyBorder="1" applyAlignment="1">
      <alignment horizontal="right" wrapText="1"/>
    </xf>
    <xf numFmtId="167" fontId="16" fillId="5" borderId="4" xfId="0" applyNumberFormat="1" applyFont="1" applyFill="1" applyBorder="1"/>
    <xf numFmtId="0" fontId="16" fillId="20" borderId="8" xfId="0" applyFont="1" applyFill="1" applyBorder="1"/>
    <xf numFmtId="0" fontId="16" fillId="10" borderId="8" xfId="0" applyFont="1" applyFill="1" applyBorder="1"/>
    <xf numFmtId="167" fontId="16" fillId="10" borderId="15" xfId="0" applyNumberFormat="1" applyFont="1" applyFill="1" applyBorder="1"/>
    <xf numFmtId="167" fontId="16" fillId="10" borderId="3" xfId="0" applyNumberFormat="1" applyFont="1" applyFill="1" applyBorder="1"/>
    <xf numFmtId="0" fontId="16" fillId="5" borderId="8" xfId="0" applyFont="1" applyFill="1" applyBorder="1" applyAlignment="1">
      <alignment vertical="top" wrapText="1"/>
    </xf>
    <xf numFmtId="167" fontId="16" fillId="5" borderId="61" xfId="0" applyNumberFormat="1" applyFont="1" applyFill="1" applyBorder="1" applyAlignment="1">
      <alignment horizontal="right" wrapText="1"/>
    </xf>
    <xf numFmtId="167" fontId="16" fillId="5" borderId="8" xfId="0" applyNumberFormat="1" applyFont="1" applyFill="1" applyBorder="1" applyAlignment="1">
      <alignment horizontal="right" wrapText="1"/>
    </xf>
    <xf numFmtId="167" fontId="16" fillId="5" borderId="61" xfId="0" applyNumberFormat="1" applyFont="1" applyFill="1" applyBorder="1" applyAlignment="1">
      <alignment horizontal="right" vertical="top" wrapText="1"/>
    </xf>
    <xf numFmtId="167" fontId="16" fillId="5" borderId="8" xfId="0" applyNumberFormat="1" applyFont="1" applyFill="1" applyBorder="1" applyAlignment="1">
      <alignment horizontal="right" vertical="top" wrapText="1"/>
    </xf>
    <xf numFmtId="167" fontId="16" fillId="5" borderId="0" xfId="0" applyNumberFormat="1" applyFont="1" applyFill="1" applyBorder="1" applyAlignment="1">
      <alignment horizontal="right" wrapText="1"/>
    </xf>
    <xf numFmtId="167" fontId="16" fillId="5" borderId="5" xfId="0" applyNumberFormat="1" applyFont="1" applyFill="1" applyBorder="1"/>
    <xf numFmtId="0" fontId="16" fillId="25" borderId="8" xfId="0" applyFont="1" applyFill="1" applyBorder="1"/>
    <xf numFmtId="0" fontId="16" fillId="10" borderId="8" xfId="0" applyFont="1" applyFill="1" applyBorder="1" applyAlignment="1">
      <alignment wrapText="1"/>
    </xf>
    <xf numFmtId="167" fontId="16" fillId="5" borderId="8" xfId="0" applyNumberFormat="1" applyFont="1" applyFill="1" applyBorder="1"/>
    <xf numFmtId="0" fontId="25" fillId="5" borderId="8" xfId="0" applyFont="1" applyFill="1" applyBorder="1" applyAlignment="1">
      <alignment vertical="top" wrapText="1"/>
    </xf>
    <xf numFmtId="0" fontId="25" fillId="5" borderId="8" xfId="0" applyFont="1" applyFill="1" applyBorder="1" applyAlignment="1">
      <alignment wrapText="1"/>
    </xf>
    <xf numFmtId="167" fontId="25" fillId="5" borderId="61" xfId="0" applyNumberFormat="1" applyFont="1" applyFill="1" applyBorder="1" applyAlignment="1">
      <alignment horizontal="right" vertical="top" wrapText="1"/>
    </xf>
    <xf numFmtId="167" fontId="25" fillId="5" borderId="8" xfId="0" applyNumberFormat="1" applyFont="1" applyFill="1" applyBorder="1" applyAlignment="1">
      <alignment horizontal="right" vertical="top" wrapText="1"/>
    </xf>
    <xf numFmtId="167" fontId="16" fillId="10" borderId="43" xfId="0" applyNumberFormat="1" applyFont="1" applyFill="1" applyBorder="1"/>
    <xf numFmtId="0" fontId="16" fillId="55" borderId="0" xfId="0" applyFont="1" applyFill="1" applyBorder="1"/>
    <xf numFmtId="0" fontId="16" fillId="0" borderId="0" xfId="0" applyFont="1" applyFill="1" applyBorder="1"/>
    <xf numFmtId="0" fontId="16" fillId="40" borderId="36" xfId="0" applyFont="1" applyFill="1" applyBorder="1" applyAlignment="1">
      <alignment vertical="center" wrapText="1"/>
    </xf>
    <xf numFmtId="167" fontId="16" fillId="40" borderId="8" xfId="0" applyNumberFormat="1" applyFont="1" applyFill="1" applyBorder="1"/>
    <xf numFmtId="0" fontId="16" fillId="40" borderId="37" xfId="0" applyFont="1" applyFill="1" applyBorder="1" applyAlignment="1">
      <alignment vertical="center" wrapText="1"/>
    </xf>
    <xf numFmtId="0" fontId="16" fillId="40" borderId="20" xfId="0" applyFont="1" applyFill="1" applyBorder="1" applyAlignment="1">
      <alignment vertical="center" wrapText="1"/>
    </xf>
    <xf numFmtId="0" fontId="16" fillId="19" borderId="45" xfId="0" applyFont="1" applyFill="1" applyBorder="1"/>
    <xf numFmtId="167" fontId="16" fillId="19" borderId="8" xfId="0" applyNumberFormat="1" applyFont="1" applyFill="1" applyBorder="1"/>
    <xf numFmtId="1" fontId="16" fillId="40" borderId="8" xfId="0" applyNumberFormat="1" applyFont="1" applyFill="1" applyBorder="1"/>
    <xf numFmtId="0" fontId="16" fillId="19" borderId="45" xfId="0" applyFont="1" applyFill="1" applyBorder="1" applyAlignment="1"/>
    <xf numFmtId="1" fontId="16" fillId="19" borderId="8" xfId="0" applyNumberFormat="1" applyFont="1" applyFill="1" applyBorder="1"/>
    <xf numFmtId="0" fontId="16" fillId="40" borderId="45" xfId="0" applyFont="1" applyFill="1" applyBorder="1" applyAlignment="1">
      <alignment wrapText="1"/>
    </xf>
    <xf numFmtId="0" fontId="20" fillId="26" borderId="0" xfId="0" applyFont="1" applyFill="1" applyBorder="1"/>
    <xf numFmtId="0" fontId="16" fillId="0" borderId="0" xfId="0" applyFont="1" applyBorder="1" applyAlignment="1"/>
    <xf numFmtId="0" fontId="16" fillId="6" borderId="16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vertical="center" wrapText="1"/>
    </xf>
    <xf numFmtId="167" fontId="14" fillId="6" borderId="8" xfId="0" applyNumberFormat="1" applyFont="1" applyFill="1" applyBorder="1" applyAlignment="1">
      <alignment horizontal="right" wrapText="1"/>
    </xf>
    <xf numFmtId="0" fontId="16" fillId="6" borderId="50" xfId="0" applyFont="1" applyFill="1" applyBorder="1" applyAlignment="1">
      <alignment vertical="center" wrapText="1"/>
    </xf>
    <xf numFmtId="0" fontId="24" fillId="6" borderId="8" xfId="0" applyFont="1" applyFill="1" applyBorder="1" applyAlignment="1">
      <alignment wrapText="1"/>
    </xf>
    <xf numFmtId="0" fontId="16" fillId="10" borderId="13" xfId="0" applyFont="1" applyFill="1" applyBorder="1"/>
    <xf numFmtId="167" fontId="14" fillId="10" borderId="5" xfId="0" applyNumberFormat="1" applyFont="1" applyFill="1" applyBorder="1"/>
    <xf numFmtId="167" fontId="14" fillId="6" borderId="61" xfId="0" applyNumberFormat="1" applyFont="1" applyFill="1" applyBorder="1" applyAlignment="1">
      <alignment horizontal="right" wrapText="1"/>
    </xf>
    <xf numFmtId="167" fontId="14" fillId="6" borderId="43" xfId="0" applyNumberFormat="1" applyFont="1" applyFill="1" applyBorder="1"/>
    <xf numFmtId="167" fontId="14" fillId="6" borderId="4" xfId="0" applyNumberFormat="1" applyFont="1" applyFill="1" applyBorder="1"/>
    <xf numFmtId="167" fontId="14" fillId="6" borderId="15" xfId="0" applyNumberFormat="1" applyFont="1" applyFill="1" applyBorder="1"/>
    <xf numFmtId="167" fontId="14" fillId="6" borderId="3" xfId="0" applyNumberFormat="1" applyFont="1" applyFill="1" applyBorder="1"/>
    <xf numFmtId="0" fontId="16" fillId="19" borderId="0" xfId="0" applyFont="1" applyFill="1" applyBorder="1" applyAlignment="1"/>
    <xf numFmtId="167" fontId="14" fillId="10" borderId="3" xfId="0" applyNumberFormat="1" applyFont="1" applyFill="1" applyBorder="1"/>
    <xf numFmtId="0" fontId="16" fillId="6" borderId="3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wrapText="1"/>
    </xf>
    <xf numFmtId="0" fontId="16" fillId="6" borderId="2" xfId="0" applyFont="1" applyFill="1" applyBorder="1" applyAlignment="1">
      <alignment vertical="center" wrapText="1"/>
    </xf>
    <xf numFmtId="167" fontId="14" fillId="6" borderId="2" xfId="0" applyNumberFormat="1" applyFont="1" applyFill="1" applyBorder="1" applyAlignment="1">
      <alignment horizontal="right" wrapText="1"/>
    </xf>
    <xf numFmtId="167" fontId="14" fillId="6" borderId="2" xfId="0" applyNumberFormat="1" applyFont="1" applyFill="1" applyBorder="1"/>
    <xf numFmtId="0" fontId="16" fillId="6" borderId="4" xfId="0" applyFont="1" applyFill="1" applyBorder="1" applyAlignment="1">
      <alignment vertical="center" wrapText="1"/>
    </xf>
    <xf numFmtId="0" fontId="16" fillId="6" borderId="3" xfId="0" applyFont="1" applyFill="1" applyBorder="1" applyAlignment="1">
      <alignment wrapText="1"/>
    </xf>
    <xf numFmtId="167" fontId="14" fillId="6" borderId="3" xfId="0" applyNumberFormat="1" applyFont="1" applyFill="1" applyBorder="1" applyAlignment="1">
      <alignment horizontal="right" wrapText="1"/>
    </xf>
    <xf numFmtId="0" fontId="16" fillId="33" borderId="4" xfId="0" applyFont="1" applyFill="1" applyBorder="1" applyAlignment="1">
      <alignment vertical="center" wrapText="1"/>
    </xf>
    <xf numFmtId="0" fontId="16" fillId="33" borderId="1" xfId="0" applyFont="1" applyFill="1" applyBorder="1" applyAlignment="1">
      <alignment wrapText="1"/>
    </xf>
    <xf numFmtId="0" fontId="16" fillId="33" borderId="8" xfId="0" applyFont="1" applyFill="1" applyBorder="1" applyAlignment="1">
      <alignment wrapText="1"/>
    </xf>
    <xf numFmtId="167" fontId="14" fillId="33" borderId="8" xfId="0" applyNumberFormat="1" applyFont="1" applyFill="1" applyBorder="1" applyAlignment="1">
      <alignment horizontal="right" wrapText="1"/>
    </xf>
    <xf numFmtId="167" fontId="14" fillId="6" borderId="8" xfId="0" applyNumberFormat="1" applyFont="1" applyFill="1" applyBorder="1" applyAlignment="1">
      <alignment horizontal="right"/>
    </xf>
    <xf numFmtId="167" fontId="14" fillId="6" borderId="8" xfId="0" applyNumberFormat="1" applyFont="1" applyFill="1" applyBorder="1"/>
    <xf numFmtId="0" fontId="16" fillId="6" borderId="1" xfId="0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16" fillId="19" borderId="2" xfId="0" applyFont="1" applyFill="1" applyBorder="1"/>
    <xf numFmtId="0" fontId="16" fillId="10" borderId="2" xfId="0" applyFont="1" applyFill="1" applyBorder="1"/>
    <xf numFmtId="167" fontId="14" fillId="10" borderId="4" xfId="0" applyNumberFormat="1" applyFont="1" applyFill="1" applyBorder="1"/>
    <xf numFmtId="0" fontId="8" fillId="52" borderId="8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0" fillId="52" borderId="61" xfId="0" applyFont="1" applyFill="1" applyBorder="1" applyAlignment="1">
      <alignment vertical="center"/>
    </xf>
    <xf numFmtId="0" fontId="3" fillId="6" borderId="61" xfId="0" applyFont="1" applyFill="1" applyBorder="1"/>
    <xf numFmtId="165" fontId="16" fillId="6" borderId="9" xfId="0" applyNumberFormat="1" applyFont="1" applyFill="1" applyBorder="1" applyAlignment="1">
      <alignment horizontal="right"/>
    </xf>
    <xf numFmtId="0" fontId="3" fillId="6" borderId="61" xfId="0" applyFont="1" applyFill="1" applyBorder="1" applyAlignment="1">
      <alignment wrapText="1"/>
    </xf>
    <xf numFmtId="165" fontId="16" fillId="6" borderId="9" xfId="0" applyNumberFormat="1" applyFont="1" applyFill="1" applyBorder="1" applyAlignment="1">
      <alignment horizontal="right" wrapText="1"/>
    </xf>
    <xf numFmtId="0" fontId="0" fillId="6" borderId="9" xfId="0" applyFont="1" applyFill="1" applyBorder="1"/>
    <xf numFmtId="0" fontId="0" fillId="6" borderId="61" xfId="0" applyFont="1" applyFill="1" applyBorder="1" applyAlignment="1">
      <alignment wrapText="1"/>
    </xf>
    <xf numFmtId="0" fontId="1" fillId="20" borderId="8" xfId="0" applyFont="1" applyFill="1" applyBorder="1"/>
    <xf numFmtId="0" fontId="2" fillId="56" borderId="8" xfId="0" applyFont="1" applyFill="1" applyBorder="1"/>
    <xf numFmtId="1" fontId="1" fillId="11" borderId="8" xfId="0" applyNumberFormat="1" applyFont="1" applyFill="1" applyBorder="1"/>
    <xf numFmtId="165" fontId="1" fillId="11" borderId="43" xfId="0" applyNumberFormat="1" applyFont="1" applyFill="1" applyBorder="1"/>
    <xf numFmtId="0" fontId="2" fillId="57" borderId="8" xfId="0" applyFont="1" applyFill="1" applyBorder="1" applyAlignment="1"/>
    <xf numFmtId="0" fontId="0" fillId="58" borderId="8" xfId="0" applyFont="1" applyFill="1" applyBorder="1" applyAlignment="1"/>
    <xf numFmtId="1" fontId="0" fillId="0" borderId="0" xfId="0" applyNumberFormat="1" applyFont="1" applyBorder="1" applyAlignment="1"/>
    <xf numFmtId="0" fontId="17" fillId="0" borderId="2" xfId="0" applyFont="1" applyBorder="1" applyAlignment="1">
      <alignment wrapText="1"/>
    </xf>
    <xf numFmtId="167" fontId="17" fillId="0" borderId="9" xfId="0" applyNumberFormat="1" applyFont="1" applyBorder="1"/>
    <xf numFmtId="167" fontId="16" fillId="0" borderId="2" xfId="1" applyNumberFormat="1" applyFont="1" applyBorder="1"/>
    <xf numFmtId="167" fontId="17" fillId="0" borderId="2" xfId="1" applyNumberFormat="1" applyFont="1" applyBorder="1"/>
    <xf numFmtId="167" fontId="17" fillId="0" borderId="9" xfId="1" applyNumberFormat="1" applyFont="1" applyBorder="1"/>
    <xf numFmtId="167" fontId="17" fillId="0" borderId="15" xfId="1" applyNumberFormat="1" applyFont="1" applyBorder="1"/>
    <xf numFmtId="0" fontId="17" fillId="0" borderId="1" xfId="0" applyFont="1" applyBorder="1" applyAlignment="1">
      <alignment wrapText="1"/>
    </xf>
    <xf numFmtId="167" fontId="17" fillId="0" borderId="8" xfId="1" applyNumberFormat="1" applyFont="1" applyBorder="1"/>
    <xf numFmtId="0" fontId="16" fillId="0" borderId="9" xfId="0" applyFont="1" applyBorder="1"/>
    <xf numFmtId="167" fontId="17" fillId="0" borderId="2" xfId="0" applyNumberFormat="1" applyFont="1" applyBorder="1"/>
    <xf numFmtId="167" fontId="16" fillId="0" borderId="2" xfId="0" applyNumberFormat="1" applyFont="1" applyBorder="1"/>
    <xf numFmtId="0" fontId="0" fillId="14" borderId="8" xfId="0" applyFont="1" applyFill="1" applyBorder="1"/>
    <xf numFmtId="0" fontId="0" fillId="15" borderId="8" xfId="0" applyFont="1" applyFill="1" applyBorder="1" applyAlignment="1">
      <alignment wrapText="1"/>
    </xf>
    <xf numFmtId="167" fontId="0" fillId="17" borderId="8" xfId="0" applyNumberFormat="1" applyFont="1" applyFill="1" applyBorder="1" applyAlignment="1">
      <alignment wrapText="1"/>
    </xf>
    <xf numFmtId="167" fontId="0" fillId="19" borderId="8" xfId="0" applyNumberFormat="1" applyFont="1" applyFill="1" applyBorder="1" applyAlignment="1"/>
    <xf numFmtId="0" fontId="0" fillId="53" borderId="0" xfId="0" applyFill="1" applyBorder="1"/>
    <xf numFmtId="0" fontId="0" fillId="4" borderId="8" xfId="0" applyFont="1" applyFill="1" applyBorder="1" applyAlignment="1">
      <alignment wrapText="1"/>
    </xf>
    <xf numFmtId="167" fontId="0" fillId="4" borderId="8" xfId="0" applyNumberFormat="1" applyFont="1" applyFill="1" applyBorder="1" applyAlignment="1"/>
    <xf numFmtId="0" fontId="2" fillId="4" borderId="8" xfId="0" applyFont="1" applyFill="1" applyBorder="1" applyAlignment="1">
      <alignment wrapText="1"/>
    </xf>
    <xf numFmtId="167" fontId="0" fillId="4" borderId="8" xfId="0" applyNumberFormat="1" applyFont="1" applyFill="1" applyBorder="1"/>
    <xf numFmtId="0" fontId="2" fillId="53" borderId="0" xfId="0" applyFont="1" applyFill="1" applyBorder="1"/>
    <xf numFmtId="167" fontId="0" fillId="10" borderId="8" xfId="0" applyNumberFormat="1" applyFont="1" applyFill="1" applyBorder="1"/>
    <xf numFmtId="0" fontId="7" fillId="4" borderId="8" xfId="0" applyFont="1" applyFill="1" applyBorder="1" applyAlignment="1">
      <alignment wrapText="1"/>
    </xf>
    <xf numFmtId="0" fontId="8" fillId="24" borderId="8" xfId="0" applyFont="1" applyFill="1" applyBorder="1" applyAlignment="1">
      <alignment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0" fillId="23" borderId="0" xfId="0" applyFill="1" applyBorder="1"/>
    <xf numFmtId="167" fontId="16" fillId="5" borderId="8" xfId="0" applyNumberFormat="1" applyFont="1" applyFill="1" applyBorder="1" applyAlignment="1">
      <alignment horizontal="right"/>
    </xf>
    <xf numFmtId="167" fontId="16" fillId="10" borderId="8" xfId="0" applyNumberFormat="1" applyFont="1" applyFill="1" applyBorder="1"/>
    <xf numFmtId="0" fontId="9" fillId="5" borderId="8" xfId="0" applyFont="1" applyFill="1" applyBorder="1" applyAlignment="1">
      <alignment wrapText="1"/>
    </xf>
    <xf numFmtId="0" fontId="21" fillId="5" borderId="8" xfId="0" applyFont="1" applyFill="1" applyBorder="1" applyAlignment="1">
      <alignment vertical="top" wrapText="1"/>
    </xf>
    <xf numFmtId="0" fontId="0" fillId="25" borderId="8" xfId="0" applyFont="1" applyFill="1" applyBorder="1"/>
    <xf numFmtId="0" fontId="0" fillId="10" borderId="8" xfId="0" applyFont="1" applyFill="1" applyBorder="1" applyAlignment="1">
      <alignment wrapText="1"/>
    </xf>
    <xf numFmtId="0" fontId="2" fillId="55" borderId="8" xfId="0" applyFont="1" applyFill="1" applyBorder="1"/>
    <xf numFmtId="0" fontId="0" fillId="0" borderId="8" xfId="0" applyFont="1" applyFill="1" applyBorder="1"/>
    <xf numFmtId="3" fontId="0" fillId="0" borderId="8" xfId="0" applyNumberFormat="1" applyFont="1" applyFill="1" applyBorder="1"/>
    <xf numFmtId="167" fontId="0" fillId="40" borderId="8" xfId="0" applyNumberFormat="1" applyFont="1" applyFill="1" applyBorder="1"/>
    <xf numFmtId="167" fontId="0" fillId="19" borderId="8" xfId="0" applyNumberFormat="1" applyFont="1" applyFill="1" applyBorder="1"/>
    <xf numFmtId="0" fontId="8" fillId="40" borderId="8" xfId="0" applyFont="1" applyFill="1" applyBorder="1" applyAlignment="1">
      <alignment horizontal="center" vertical="center" wrapText="1"/>
    </xf>
    <xf numFmtId="0" fontId="2" fillId="40" borderId="8" xfId="0" applyFont="1" applyFill="1" applyBorder="1" applyAlignment="1">
      <alignment vertical="center" wrapText="1"/>
    </xf>
    <xf numFmtId="0" fontId="8" fillId="40" borderId="8" xfId="0" applyFont="1" applyFill="1" applyBorder="1" applyAlignment="1">
      <alignment horizontal="center"/>
    </xf>
    <xf numFmtId="0" fontId="1" fillId="26" borderId="8" xfId="0" applyFont="1" applyFill="1" applyBorder="1"/>
    <xf numFmtId="0" fontId="0" fillId="0" borderId="8" xfId="0" applyFont="1" applyBorder="1" applyAlignment="1"/>
    <xf numFmtId="0" fontId="2" fillId="47" borderId="0" xfId="0" applyFont="1" applyFill="1" applyBorder="1"/>
    <xf numFmtId="167" fontId="14" fillId="10" borderId="8" xfId="0" applyNumberFormat="1" applyFont="1" applyFill="1" applyBorder="1"/>
    <xf numFmtId="0" fontId="7" fillId="6" borderId="8" xfId="0" applyFont="1" applyFill="1" applyBorder="1" applyAlignment="1">
      <alignment wrapText="1"/>
    </xf>
    <xf numFmtId="0" fontId="3" fillId="6" borderId="8" xfId="0" applyFont="1" applyFill="1" applyBorder="1" applyAlignment="1">
      <alignment vertical="center" wrapText="1"/>
    </xf>
    <xf numFmtId="0" fontId="0" fillId="33" borderId="8" xfId="0" applyFont="1" applyFill="1" applyBorder="1" applyAlignment="1">
      <alignment vertical="center" wrapText="1"/>
    </xf>
    <xf numFmtId="0" fontId="0" fillId="33" borderId="8" xfId="0" applyFont="1" applyFill="1" applyBorder="1" applyAlignment="1">
      <alignment wrapText="1"/>
    </xf>
    <xf numFmtId="0" fontId="1" fillId="5" borderId="3" xfId="0" applyFont="1" applyFill="1" applyBorder="1"/>
    <xf numFmtId="0" fontId="0" fillId="5" borderId="7" xfId="0" applyFont="1" applyFill="1" applyBorder="1"/>
    <xf numFmtId="0" fontId="0" fillId="5" borderId="19" xfId="0" applyFont="1" applyFill="1" applyBorder="1" applyAlignment="1">
      <alignment vertical="center"/>
    </xf>
    <xf numFmtId="0" fontId="0" fillId="5" borderId="65" xfId="0" applyFont="1" applyFill="1" applyBorder="1"/>
    <xf numFmtId="0" fontId="3" fillId="6" borderId="17" xfId="0" applyFont="1" applyFill="1" applyBorder="1" applyAlignment="1">
      <alignment wrapText="1"/>
    </xf>
    <xf numFmtId="165" fontId="3" fillId="6" borderId="2" xfId="0" applyNumberFormat="1" applyFont="1" applyFill="1" applyBorder="1" applyAlignment="1">
      <alignment horizontal="right" wrapText="1"/>
    </xf>
    <xf numFmtId="0" fontId="1" fillId="11" borderId="4" xfId="0" applyFont="1" applyFill="1" applyBorder="1"/>
    <xf numFmtId="0" fontId="1" fillId="0" borderId="0" xfId="0" applyFont="1"/>
    <xf numFmtId="0" fontId="0" fillId="14" borderId="66" xfId="0" applyFont="1" applyFill="1" applyBorder="1"/>
    <xf numFmtId="0" fontId="7" fillId="4" borderId="67" xfId="0" applyFont="1" applyFill="1" applyBorder="1" applyAlignment="1">
      <alignment wrapText="1"/>
    </xf>
    <xf numFmtId="0" fontId="3" fillId="4" borderId="68" xfId="0" applyFont="1" applyFill="1" applyBorder="1" applyAlignment="1">
      <alignment wrapText="1"/>
    </xf>
    <xf numFmtId="0" fontId="0" fillId="4" borderId="69" xfId="0" applyFont="1" applyFill="1" applyBorder="1" applyAlignment="1">
      <alignment wrapText="1"/>
    </xf>
    <xf numFmtId="164" fontId="0" fillId="4" borderId="4" xfId="0" applyNumberFormat="1" applyFont="1" applyFill="1" applyBorder="1"/>
    <xf numFmtId="0" fontId="0" fillId="9" borderId="0" xfId="0" applyFont="1" applyFill="1" applyBorder="1"/>
    <xf numFmtId="0" fontId="0" fillId="4" borderId="4" xfId="0" applyFont="1" applyFill="1" applyBorder="1" applyAlignment="1"/>
    <xf numFmtId="1" fontId="0" fillId="4" borderId="4" xfId="0" applyNumberFormat="1" applyFont="1" applyFill="1" applyBorder="1"/>
    <xf numFmtId="0" fontId="0" fillId="4" borderId="2" xfId="0" applyFont="1" applyFill="1" applyBorder="1" applyAlignment="1"/>
    <xf numFmtId="1" fontId="0" fillId="4" borderId="2" xfId="0" applyNumberFormat="1" applyFont="1" applyFill="1" applyBorder="1"/>
    <xf numFmtId="0" fontId="0" fillId="9" borderId="2" xfId="0" applyFont="1" applyFill="1" applyBorder="1"/>
    <xf numFmtId="0" fontId="7" fillId="5" borderId="17" xfId="0" applyFont="1" applyFill="1" applyBorder="1" applyAlignment="1">
      <alignment wrapText="1"/>
    </xf>
    <xf numFmtId="0" fontId="3" fillId="5" borderId="18" xfId="0" applyFont="1" applyFill="1" applyBorder="1" applyAlignment="1">
      <alignment vertical="center" wrapText="1"/>
    </xf>
    <xf numFmtId="0" fontId="0" fillId="5" borderId="42" xfId="0" applyFont="1" applyFill="1" applyBorder="1" applyAlignment="1">
      <alignment wrapText="1"/>
    </xf>
    <xf numFmtId="3" fontId="3" fillId="5" borderId="2" xfId="0" applyNumberFormat="1" applyFont="1" applyFill="1" applyBorder="1" applyAlignment="1">
      <alignment horizontal="right" wrapText="1"/>
    </xf>
    <xf numFmtId="3" fontId="0" fillId="5" borderId="2" xfId="0" applyNumberFormat="1" applyFont="1" applyFill="1" applyBorder="1"/>
    <xf numFmtId="3" fontId="3" fillId="5" borderId="3" xfId="0" applyNumberFormat="1" applyFont="1" applyFill="1" applyBorder="1" applyAlignment="1">
      <alignment horizontal="right" vertical="top" wrapText="1"/>
    </xf>
    <xf numFmtId="0" fontId="3" fillId="6" borderId="17" xfId="0" applyFont="1" applyFill="1" applyBorder="1"/>
    <xf numFmtId="165" fontId="3" fillId="6" borderId="2" xfId="0" applyNumberFormat="1" applyFont="1" applyFill="1" applyBorder="1" applyAlignment="1">
      <alignment horizontal="right"/>
    </xf>
    <xf numFmtId="0" fontId="0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1" fontId="0" fillId="0" borderId="0" xfId="0" applyNumberFormat="1" applyFont="1"/>
    <xf numFmtId="165" fontId="1" fillId="4" borderId="4" xfId="0" applyNumberFormat="1" applyFont="1" applyFill="1" applyBorder="1"/>
    <xf numFmtId="165" fontId="1" fillId="5" borderId="4" xfId="0" applyNumberFormat="1" applyFont="1" applyFill="1" applyBorder="1"/>
    <xf numFmtId="165" fontId="1" fillId="6" borderId="4" xfId="0" applyNumberFormat="1" applyFont="1" applyFill="1" applyBorder="1"/>
    <xf numFmtId="0" fontId="7" fillId="5" borderId="23" xfId="0" applyFont="1" applyFill="1" applyBorder="1" applyAlignment="1">
      <alignment wrapText="1"/>
    </xf>
    <xf numFmtId="0" fontId="0" fillId="5" borderId="23" xfId="0" applyFont="1" applyFill="1" applyBorder="1" applyAlignment="1">
      <alignment wrapText="1"/>
    </xf>
    <xf numFmtId="3" fontId="3" fillId="5" borderId="24" xfId="0" applyNumberFormat="1" applyFont="1" applyFill="1" applyBorder="1" applyAlignment="1">
      <alignment horizontal="right" vertical="top" wrapText="1"/>
    </xf>
    <xf numFmtId="1" fontId="0" fillId="5" borderId="4" xfId="0" applyNumberFormat="1" applyFont="1" applyFill="1" applyBorder="1"/>
    <xf numFmtId="3" fontId="3" fillId="5" borderId="34" xfId="0" applyNumberFormat="1" applyFont="1" applyFill="1" applyBorder="1" applyAlignment="1">
      <alignment horizontal="right" vertical="top" wrapText="1"/>
    </xf>
    <xf numFmtId="3" fontId="3" fillId="5" borderId="27" xfId="0" applyNumberFormat="1" applyFont="1" applyFill="1" applyBorder="1" applyAlignment="1">
      <alignment horizontal="right" vertical="top" wrapText="1"/>
    </xf>
    <xf numFmtId="0" fontId="0" fillId="5" borderId="0" xfId="0" applyFont="1" applyFill="1" applyBorder="1"/>
    <xf numFmtId="3" fontId="3" fillId="5" borderId="24" xfId="0" applyNumberFormat="1" applyFont="1" applyFill="1" applyBorder="1" applyAlignment="1">
      <alignment horizontal="right" vertical="center" wrapText="1"/>
    </xf>
    <xf numFmtId="0" fontId="7" fillId="5" borderId="33" xfId="0" applyFont="1" applyFill="1" applyBorder="1" applyAlignment="1">
      <alignment wrapText="1"/>
    </xf>
    <xf numFmtId="0" fontId="3" fillId="5" borderId="33" xfId="0" applyFont="1" applyFill="1" applyBorder="1" applyAlignment="1">
      <alignment vertical="center" wrapText="1"/>
    </xf>
    <xf numFmtId="3" fontId="3" fillId="5" borderId="34" xfId="0" applyNumberFormat="1" applyFont="1" applyFill="1" applyBorder="1" applyAlignment="1">
      <alignment horizontal="right" vertical="center" wrapText="1"/>
    </xf>
    <xf numFmtId="3" fontId="3" fillId="6" borderId="2" xfId="0" applyNumberFormat="1" applyFont="1" applyFill="1" applyBorder="1" applyAlignment="1">
      <alignment horizontal="right" vertical="center" wrapText="1"/>
    </xf>
    <xf numFmtId="1" fontId="0" fillId="6" borderId="2" xfId="0" applyNumberFormat="1" applyFont="1" applyFill="1" applyBorder="1"/>
    <xf numFmtId="0" fontId="0" fillId="6" borderId="23" xfId="0" applyFont="1" applyFill="1" applyBorder="1" applyAlignment="1">
      <alignment wrapText="1"/>
    </xf>
    <xf numFmtId="1" fontId="0" fillId="6" borderId="4" xfId="0" applyNumberFormat="1" applyFont="1" applyFill="1" applyBorder="1"/>
    <xf numFmtId="3" fontId="3" fillId="6" borderId="34" xfId="0" applyNumberFormat="1" applyFont="1" applyFill="1" applyBorder="1" applyAlignment="1">
      <alignment horizontal="right" wrapText="1"/>
    </xf>
    <xf numFmtId="167" fontId="27" fillId="0" borderId="0" xfId="1" applyNumberFormat="1" applyFont="1"/>
    <xf numFmtId="0" fontId="4" fillId="0" borderId="0" xfId="0" applyFont="1" applyFill="1" applyBorder="1" applyAlignment="1"/>
    <xf numFmtId="0" fontId="4" fillId="0" borderId="0" xfId="0" applyFont="1" applyFill="1" applyBorder="1" applyAlignment="1"/>
    <xf numFmtId="0" fontId="1" fillId="28" borderId="21" xfId="0" applyFont="1" applyFill="1" applyBorder="1" applyAlignment="1">
      <alignment horizontal="center" vertical="center"/>
    </xf>
    <xf numFmtId="0" fontId="28" fillId="32" borderId="8" xfId="0" applyFont="1" applyFill="1" applyBorder="1" applyAlignment="1">
      <alignment wrapText="1"/>
    </xf>
    <xf numFmtId="0" fontId="8" fillId="32" borderId="8" xfId="0" applyFont="1" applyFill="1" applyBorder="1" applyAlignment="1">
      <alignment vertical="center" wrapText="1"/>
    </xf>
    <xf numFmtId="0" fontId="29" fillId="59" borderId="20" xfId="0" applyFont="1" applyFill="1" applyBorder="1" applyAlignment="1">
      <alignment vertical="center" wrapText="1"/>
    </xf>
    <xf numFmtId="0" fontId="28" fillId="60" borderId="8" xfId="0" applyFont="1" applyFill="1" applyBorder="1" applyAlignment="1">
      <alignment wrapText="1"/>
    </xf>
    <xf numFmtId="165" fontId="0" fillId="60" borderId="8" xfId="0" applyNumberFormat="1" applyFont="1" applyFill="1" applyBorder="1"/>
    <xf numFmtId="0" fontId="2" fillId="60" borderId="8" xfId="0" applyFont="1" applyFill="1" applyBorder="1" applyAlignment="1">
      <alignment wrapText="1"/>
    </xf>
    <xf numFmtId="0" fontId="0" fillId="0" borderId="0" xfId="0" applyFill="1"/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wrapText="1"/>
    </xf>
    <xf numFmtId="1" fontId="30" fillId="0" borderId="0" xfId="0" applyNumberFormat="1" applyFont="1"/>
    <xf numFmtId="0" fontId="31" fillId="0" borderId="2" xfId="0" applyFont="1" applyBorder="1" applyAlignment="1">
      <alignment wrapText="1"/>
    </xf>
    <xf numFmtId="0" fontId="4" fillId="0" borderId="0" xfId="0" applyFont="1" applyFill="1" applyBorder="1" applyAlignment="1"/>
    <xf numFmtId="0" fontId="0" fillId="6" borderId="19" xfId="0" applyFont="1" applyFill="1" applyBorder="1" applyAlignment="1">
      <alignment horizontal="center" vertical="center" wrapText="1"/>
    </xf>
    <xf numFmtId="0" fontId="4" fillId="0" borderId="39" xfId="0" applyFont="1" applyBorder="1" applyAlignment="1"/>
    <xf numFmtId="0" fontId="4" fillId="0" borderId="40" xfId="0" applyFont="1" applyBorder="1" applyAlignment="1"/>
    <xf numFmtId="0" fontId="0" fillId="6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1" fillId="6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/>
    <xf numFmtId="0" fontId="1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/>
    <xf numFmtId="0" fontId="4" fillId="0" borderId="65" xfId="0" applyFont="1" applyBorder="1" applyAlignment="1"/>
    <xf numFmtId="0" fontId="1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0" borderId="14" xfId="0" applyFont="1" applyBorder="1" applyAlignment="1"/>
    <xf numFmtId="0" fontId="4" fillId="0" borderId="9" xfId="0" applyFont="1" applyBorder="1" applyAlignment="1"/>
    <xf numFmtId="0" fontId="1" fillId="10" borderId="1" xfId="0" applyFont="1" applyFill="1" applyBorder="1" applyAlignment="1">
      <alignment horizontal="center"/>
    </xf>
    <xf numFmtId="0" fontId="8" fillId="6" borderId="36" xfId="0" applyFont="1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40" borderId="36" xfId="0" applyFont="1" applyFill="1" applyBorder="1" applyAlignment="1">
      <alignment horizontal="center" vertical="center" wrapText="1"/>
    </xf>
    <xf numFmtId="0" fontId="8" fillId="40" borderId="37" xfId="0" applyFont="1" applyFill="1" applyBorder="1" applyAlignment="1">
      <alignment horizontal="center" vertical="center" wrapText="1"/>
    </xf>
    <xf numFmtId="0" fontId="8" fillId="40" borderId="20" xfId="0" applyFont="1" applyFill="1" applyBorder="1" applyAlignment="1">
      <alignment horizontal="center" vertical="center" wrapText="1"/>
    </xf>
    <xf numFmtId="0" fontId="8" fillId="40" borderId="8" xfId="0" applyFont="1" applyFill="1" applyBorder="1" applyAlignment="1">
      <alignment horizontal="center" vertical="center" wrapText="1"/>
    </xf>
    <xf numFmtId="0" fontId="8" fillId="6" borderId="37" xfId="0" applyFont="1" applyFill="1" applyBorder="1" applyAlignment="1">
      <alignment horizontal="center" vertical="center" wrapText="1"/>
    </xf>
    <xf numFmtId="0" fontId="8" fillId="16" borderId="36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8" fillId="22" borderId="8" xfId="0" applyFont="1" applyFill="1" applyBorder="1" applyAlignment="1">
      <alignment horizontal="center" vertical="center" wrapText="1"/>
    </xf>
    <xf numFmtId="0" fontId="8" fillId="5" borderId="45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8" fillId="52" borderId="36" xfId="0" applyFont="1" applyFill="1" applyBorder="1" applyAlignment="1">
      <alignment horizontal="center" vertical="center"/>
    </xf>
    <xf numFmtId="0" fontId="8" fillId="52" borderId="37" xfId="0" applyFont="1" applyFill="1" applyBorder="1" applyAlignment="1">
      <alignment horizontal="center" vertical="center"/>
    </xf>
    <xf numFmtId="0" fontId="8" fillId="52" borderId="20" xfId="0" applyFont="1" applyFill="1" applyBorder="1" applyAlignment="1">
      <alignment horizontal="center" vertical="center"/>
    </xf>
    <xf numFmtId="0" fontId="1" fillId="48" borderId="36" xfId="0" applyFont="1" applyFill="1" applyBorder="1" applyAlignment="1">
      <alignment horizontal="center" vertical="center" wrapText="1"/>
    </xf>
    <xf numFmtId="0" fontId="1" fillId="48" borderId="37" xfId="0" applyFont="1" applyFill="1" applyBorder="1" applyAlignment="1">
      <alignment horizontal="center" vertical="center" wrapText="1"/>
    </xf>
    <xf numFmtId="0" fontId="1" fillId="48" borderId="20" xfId="0" applyFont="1" applyFill="1" applyBorder="1" applyAlignment="1">
      <alignment horizontal="center" vertical="center" wrapText="1"/>
    </xf>
    <xf numFmtId="0" fontId="16" fillId="16" borderId="8" xfId="0" applyFont="1" applyFill="1" applyBorder="1" applyAlignment="1">
      <alignment horizontal="center" vertical="center" wrapText="1"/>
    </xf>
    <xf numFmtId="0" fontId="20" fillId="4" borderId="62" xfId="0" applyFont="1" applyFill="1" applyBorder="1" applyAlignment="1">
      <alignment horizontal="center" vertical="center" wrapText="1"/>
    </xf>
    <xf numFmtId="0" fontId="20" fillId="4" borderId="63" xfId="0" applyFont="1" applyFill="1" applyBorder="1" applyAlignment="1">
      <alignment horizontal="center" vertical="center" wrapText="1"/>
    </xf>
    <xf numFmtId="0" fontId="20" fillId="4" borderId="64" xfId="0" applyFont="1" applyFill="1" applyBorder="1" applyAlignment="1">
      <alignment horizontal="center" vertical="center" wrapText="1"/>
    </xf>
    <xf numFmtId="0" fontId="16" fillId="40" borderId="53" xfId="0" applyFont="1" applyFill="1" applyBorder="1" applyAlignment="1">
      <alignment horizontal="center" vertical="center" wrapText="1"/>
    </xf>
    <xf numFmtId="0" fontId="16" fillId="40" borderId="47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8" fillId="50" borderId="45" xfId="0" applyFont="1" applyFill="1" applyBorder="1" applyAlignment="1">
      <alignment horizontal="center" vertical="center" wrapText="1"/>
    </xf>
    <xf numFmtId="0" fontId="8" fillId="50" borderId="46" xfId="0" applyFont="1" applyFill="1" applyBorder="1" applyAlignment="1">
      <alignment horizontal="center" vertical="center" wrapText="1"/>
    </xf>
    <xf numFmtId="0" fontId="8" fillId="50" borderId="47" xfId="0" applyFont="1" applyFill="1" applyBorder="1" applyAlignment="1">
      <alignment horizontal="center" vertical="center" wrapText="1"/>
    </xf>
    <xf numFmtId="0" fontId="8" fillId="50" borderId="36" xfId="0" applyFont="1" applyFill="1" applyBorder="1" applyAlignment="1">
      <alignment horizontal="center" vertical="center" wrapText="1"/>
    </xf>
    <xf numFmtId="0" fontId="8" fillId="50" borderId="37" xfId="0" applyFont="1" applyFill="1" applyBorder="1" applyAlignment="1">
      <alignment horizontal="center" vertical="center" wrapText="1"/>
    </xf>
    <xf numFmtId="0" fontId="8" fillId="50" borderId="20" xfId="0" applyFont="1" applyFill="1" applyBorder="1" applyAlignment="1">
      <alignment horizontal="center" vertical="center" wrapText="1"/>
    </xf>
    <xf numFmtId="0" fontId="8" fillId="50" borderId="53" xfId="0" applyFont="1" applyFill="1" applyBorder="1" applyAlignment="1">
      <alignment horizontal="center" vertical="center" wrapText="1"/>
    </xf>
    <xf numFmtId="0" fontId="8" fillId="31" borderId="54" xfId="0" applyFont="1" applyFill="1" applyBorder="1" applyAlignment="1">
      <alignment horizontal="center" vertical="center" wrapText="1"/>
    </xf>
    <xf numFmtId="0" fontId="8" fillId="31" borderId="55" xfId="0" applyFont="1" applyFill="1" applyBorder="1" applyAlignment="1">
      <alignment horizontal="center" vertical="center" wrapText="1"/>
    </xf>
    <xf numFmtId="0" fontId="8" fillId="31" borderId="56" xfId="0" applyFont="1" applyFill="1" applyBorder="1" applyAlignment="1">
      <alignment horizontal="center" vertical="center" wrapText="1"/>
    </xf>
    <xf numFmtId="0" fontId="8" fillId="31" borderId="3" xfId="0" applyFont="1" applyFill="1" applyBorder="1" applyAlignment="1">
      <alignment horizontal="center" vertical="center" wrapText="1"/>
    </xf>
    <xf numFmtId="0" fontId="8" fillId="31" borderId="4" xfId="0" applyFont="1" applyFill="1" applyBorder="1" applyAlignment="1">
      <alignment horizontal="center" vertical="center" wrapText="1"/>
    </xf>
    <xf numFmtId="0" fontId="8" fillId="36" borderId="36" xfId="0" applyFont="1" applyFill="1" applyBorder="1" applyAlignment="1">
      <alignment horizontal="center" vertical="center" wrapText="1"/>
    </xf>
    <xf numFmtId="0" fontId="8" fillId="36" borderId="37" xfId="0" applyFont="1" applyFill="1" applyBorder="1" applyAlignment="1">
      <alignment horizontal="center" vertical="center" wrapText="1"/>
    </xf>
    <xf numFmtId="0" fontId="8" fillId="36" borderId="20" xfId="0" applyFont="1" applyFill="1" applyBorder="1" applyAlignment="1">
      <alignment horizontal="center" vertical="center" wrapText="1"/>
    </xf>
    <xf numFmtId="0" fontId="8" fillId="36" borderId="57" xfId="0" applyFont="1" applyFill="1" applyBorder="1" applyAlignment="1">
      <alignment horizontal="center" vertical="center"/>
    </xf>
    <xf numFmtId="0" fontId="8" fillId="36" borderId="58" xfId="0" applyFont="1" applyFill="1" applyBorder="1" applyAlignment="1">
      <alignment horizontal="center" vertical="center"/>
    </xf>
    <xf numFmtId="0" fontId="8" fillId="36" borderId="59" xfId="0" applyFont="1" applyFill="1" applyBorder="1" applyAlignment="1">
      <alignment horizontal="center" vertical="center"/>
    </xf>
    <xf numFmtId="0" fontId="8" fillId="40" borderId="45" xfId="0" applyFont="1" applyFill="1" applyBorder="1" applyAlignment="1">
      <alignment horizontal="center" vertical="center" wrapText="1"/>
    </xf>
    <xf numFmtId="0" fontId="8" fillId="40" borderId="46" xfId="0" applyFont="1" applyFill="1" applyBorder="1" applyAlignment="1">
      <alignment horizontal="center" vertical="center" wrapText="1"/>
    </xf>
    <xf numFmtId="0" fontId="8" fillId="40" borderId="47" xfId="0" applyFont="1" applyFill="1" applyBorder="1" applyAlignment="1">
      <alignment horizontal="center" vertical="center" wrapText="1"/>
    </xf>
    <xf numFmtId="0" fontId="8" fillId="22" borderId="36" xfId="0" applyFont="1" applyFill="1" applyBorder="1" applyAlignment="1">
      <alignment horizontal="center" vertical="center" wrapText="1"/>
    </xf>
    <xf numFmtId="0" fontId="8" fillId="22" borderId="37" xfId="0" applyFont="1" applyFill="1" applyBorder="1" applyAlignment="1">
      <alignment horizontal="center" vertical="center" wrapText="1"/>
    </xf>
    <xf numFmtId="0" fontId="8" fillId="22" borderId="20" xfId="0" applyFont="1" applyFill="1" applyBorder="1" applyAlignment="1">
      <alignment horizontal="center" vertical="center" wrapText="1"/>
    </xf>
    <xf numFmtId="0" fontId="8" fillId="43" borderId="36" xfId="0" applyFont="1" applyFill="1" applyBorder="1" applyAlignment="1">
      <alignment horizontal="center" wrapText="1"/>
    </xf>
    <xf numFmtId="0" fontId="8" fillId="43" borderId="20" xfId="0" applyFont="1" applyFill="1" applyBorder="1" applyAlignment="1">
      <alignment horizontal="center" wrapText="1"/>
    </xf>
    <xf numFmtId="0" fontId="1" fillId="29" borderId="44" xfId="0" applyFont="1" applyFill="1" applyBorder="1" applyAlignment="1">
      <alignment horizontal="center" vertical="center" wrapText="1"/>
    </xf>
    <xf numFmtId="0" fontId="1" fillId="29" borderId="0" xfId="0" applyFont="1" applyFill="1" applyBorder="1" applyAlignment="1">
      <alignment horizontal="center" vertical="center" wrapText="1"/>
    </xf>
    <xf numFmtId="0" fontId="1" fillId="29" borderId="12" xfId="0" applyFont="1" applyFill="1" applyBorder="1" applyAlignment="1">
      <alignment horizontal="center" vertical="center" wrapText="1"/>
    </xf>
    <xf numFmtId="0" fontId="8" fillId="30" borderId="45" xfId="0" applyFont="1" applyFill="1" applyBorder="1" applyAlignment="1">
      <alignment horizontal="center" vertical="center"/>
    </xf>
    <xf numFmtId="0" fontId="8" fillId="30" borderId="46" xfId="0" applyFont="1" applyFill="1" applyBorder="1" applyAlignment="1">
      <alignment horizontal="center" vertical="center"/>
    </xf>
    <xf numFmtId="0" fontId="8" fillId="30" borderId="47" xfId="0" applyFont="1" applyFill="1" applyBorder="1" applyAlignment="1">
      <alignment horizontal="center" vertical="center"/>
    </xf>
    <xf numFmtId="0" fontId="1" fillId="27" borderId="44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 vertical="center"/>
    </xf>
    <xf numFmtId="0" fontId="1" fillId="31" borderId="45" xfId="0" applyFont="1" applyFill="1" applyBorder="1" applyAlignment="1">
      <alignment horizontal="center" vertical="center" wrapText="1"/>
    </xf>
    <xf numFmtId="0" fontId="1" fillId="31" borderId="46" xfId="0" applyFont="1" applyFill="1" applyBorder="1" applyAlignment="1">
      <alignment horizontal="center" vertical="center" wrapText="1"/>
    </xf>
    <xf numFmtId="0" fontId="1" fillId="31" borderId="47" xfId="0" applyFont="1" applyFill="1" applyBorder="1" applyAlignment="1">
      <alignment horizontal="center" vertical="center" wrapText="1"/>
    </xf>
    <xf numFmtId="0" fontId="8" fillId="60" borderId="36" xfId="0" applyFont="1" applyFill="1" applyBorder="1" applyAlignment="1">
      <alignment horizontal="center" vertical="center" wrapText="1"/>
    </xf>
    <xf numFmtId="0" fontId="8" fillId="60" borderId="20" xfId="0" applyFont="1" applyFill="1" applyBorder="1" applyAlignment="1">
      <alignment horizontal="center" vertical="center" wrapText="1"/>
    </xf>
    <xf numFmtId="0" fontId="8" fillId="40" borderId="53" xfId="0" applyFont="1" applyFill="1" applyBorder="1" applyAlignment="1">
      <alignment horizontal="center" vertical="center" wrapText="1"/>
    </xf>
    <xf numFmtId="0" fontId="8" fillId="6" borderId="54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horizontal="center" vertical="center" wrapText="1"/>
    </xf>
    <xf numFmtId="0" fontId="8" fillId="6" borderId="56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0" fillId="36" borderId="37" xfId="0" applyFont="1" applyFill="1" applyBorder="1" applyAlignment="1">
      <alignment horizontal="center" vertical="center" wrapText="1"/>
    </xf>
    <xf numFmtId="0" fontId="0" fillId="36" borderId="20" xfId="0" applyFont="1" applyFill="1" applyBorder="1" applyAlignment="1">
      <alignment horizontal="center" vertical="center" wrapText="1"/>
    </xf>
    <xf numFmtId="0" fontId="2" fillId="40" borderId="11" xfId="0" applyFont="1" applyFill="1" applyBorder="1" applyAlignment="1">
      <alignment horizontal="center" vertical="center" wrapText="1"/>
    </xf>
    <xf numFmtId="0" fontId="0" fillId="40" borderId="0" xfId="0" applyFont="1" applyFill="1" applyBorder="1" applyAlignment="1">
      <alignment horizontal="center" vertical="center" wrapText="1"/>
    </xf>
    <xf numFmtId="0" fontId="0" fillId="40" borderId="12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8" fillId="5" borderId="50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1" fillId="28" borderId="21" xfId="0" applyFont="1" applyFill="1" applyBorder="1" applyAlignment="1">
      <alignment horizontal="center" vertical="center"/>
    </xf>
    <xf numFmtId="0" fontId="1" fillId="28" borderId="4" xfId="0" applyFont="1" applyFill="1" applyBorder="1" applyAlignment="1">
      <alignment horizontal="center" vertical="center"/>
    </xf>
    <xf numFmtId="0" fontId="8" fillId="32" borderId="36" xfId="0" applyFont="1" applyFill="1" applyBorder="1" applyAlignment="1">
      <alignment horizontal="center" vertical="center" wrapText="1"/>
    </xf>
    <xf numFmtId="0" fontId="8" fillId="32" borderId="20" xfId="0" applyFont="1" applyFill="1" applyBorder="1" applyAlignment="1">
      <alignment horizontal="center" vertical="center" wrapText="1"/>
    </xf>
    <xf numFmtId="0" fontId="0" fillId="6" borderId="39" xfId="0" applyFont="1" applyFill="1" applyBorder="1" applyAlignment="1">
      <alignment horizontal="center" vertical="center" wrapText="1"/>
    </xf>
    <xf numFmtId="0" fontId="0" fillId="6" borderId="40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39" xfId="0" applyFont="1" applyFill="1" applyBorder="1" applyAlignment="1">
      <alignment horizontal="center" vertical="center" wrapText="1"/>
    </xf>
    <xf numFmtId="0" fontId="0" fillId="5" borderId="40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16" borderId="8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20" fillId="5" borderId="36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20" fillId="4" borderId="37" xfId="0" applyFont="1" applyFill="1" applyBorder="1" applyAlignment="1">
      <alignment horizontal="center" vertical="center" wrapText="1"/>
    </xf>
    <xf numFmtId="0" fontId="20" fillId="4" borderId="20" xfId="0" applyFont="1" applyFill="1" applyBorder="1" applyAlignment="1">
      <alignment horizontal="center" vertical="center" wrapText="1"/>
    </xf>
    <xf numFmtId="0" fontId="32" fillId="16" borderId="8" xfId="0" applyFont="1" applyFill="1" applyBorder="1" applyAlignment="1">
      <alignment horizontal="center" vertical="center" wrapText="1"/>
    </xf>
    <xf numFmtId="0" fontId="32" fillId="5" borderId="36" xfId="0" applyFont="1" applyFill="1" applyBorder="1" applyAlignment="1">
      <alignment horizontal="center" vertical="center" wrapText="1"/>
    </xf>
    <xf numFmtId="0" fontId="32" fillId="5" borderId="37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0B38uOBBhaLujMlVycDBSNVdlRXZJT0EwOUttaktOZFlUVHg4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docs.google.com/spreadsheets/d/1QgTP2p0syokP3WfhWfyMP7D_7kmop_Ocr19WyLNwRiU/edit?usp=sharing" TargetMode="External"/><Relationship Id="rId7" Type="http://schemas.openxmlformats.org/officeDocument/2006/relationships/hyperlink" Target="https://drive.google.com/file/d/0B38uOBBhaLujZW1uNzltQkhWWnhnb0FnenNyTlJsdGRwNjVz/view?usp=sharing" TargetMode="External"/><Relationship Id="rId12" Type="http://schemas.openxmlformats.org/officeDocument/2006/relationships/hyperlink" Target="https://drive.google.com/file/d/0B38uOBBhaLujNWF6X05TYkNlUmR2UmhoT3ctaFpmM0NXNXhR/view?usp=sharing" TargetMode="External"/><Relationship Id="rId2" Type="http://schemas.openxmlformats.org/officeDocument/2006/relationships/hyperlink" Target="https://drive.google.com/drive/folders/0B38uOBBhaLujOWNwa0NfeTJHUXc?usp=sharing" TargetMode="External"/><Relationship Id="rId1" Type="http://schemas.openxmlformats.org/officeDocument/2006/relationships/hyperlink" Target="https://docs.google.com/spreadsheets/d/1QgTP2p0syokP3WfhWfyMP7D_7kmop_Ocr19WyLNwRiU/edit?usp=sharing" TargetMode="External"/><Relationship Id="rId6" Type="http://schemas.openxmlformats.org/officeDocument/2006/relationships/hyperlink" Target="https://drive.google.com/drive/folders/1w_ByOEEWyzzPtWDYh53P8-n6Qr0C7YWI?usp=sharing" TargetMode="External"/><Relationship Id="rId11" Type="http://schemas.openxmlformats.org/officeDocument/2006/relationships/hyperlink" Target="https://drive.google.com/file/d/0B38uOBBhaLujUUlhWS0wYzJkdFRpNF8zcWZWUU44akZZS3g4/view?usp=sharing" TargetMode="External"/><Relationship Id="rId5" Type="http://schemas.openxmlformats.org/officeDocument/2006/relationships/hyperlink" Target="http://www.banrepcultural.org/servicios/boleteria-museo-del-oro" TargetMode="External"/><Relationship Id="rId10" Type="http://schemas.openxmlformats.org/officeDocument/2006/relationships/hyperlink" Target="https://drive.google.com/file/d/0B38uOBBhaLujNWF6X05TYkNlUmR2UmhoT3ctaFpmM0NXNXhR/view?usp=sharing" TargetMode="External"/><Relationship Id="rId4" Type="http://schemas.openxmlformats.org/officeDocument/2006/relationships/hyperlink" Target="https://drive.google.com/drive/folders/1rIjoTqMksSBepGXvX2TFaPzjjpgY3SQT?usp=sharing" TargetMode="External"/><Relationship Id="rId9" Type="http://schemas.openxmlformats.org/officeDocument/2006/relationships/hyperlink" Target="https://drive.google.com/file/d/0B38uOBBhaLujMlVycDBSNVdlRXZJT0EwOUttaktOZFlUVHg4/view?usp=sharing" TargetMode="External"/><Relationship Id="rId1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38uOBBhaLujNWF6X05TYkNlUmR2UmhoT3ctaFpmM0NXNXhR/view?usp=sharing" TargetMode="External"/><Relationship Id="rId3" Type="http://schemas.openxmlformats.org/officeDocument/2006/relationships/hyperlink" Target="https://drive.google.com/drive/folders/1rIjoTqMksSBepGXvX2TFaPzjjpgY3SQT?usp=sharing" TargetMode="External"/><Relationship Id="rId7" Type="http://schemas.openxmlformats.org/officeDocument/2006/relationships/hyperlink" Target="https://drive.google.com/file/d/0B38uOBBhaLujMlVycDBSNVdlRXZJT0EwOUttaktOZFlUVHg4/view?usp=sharing" TargetMode="External"/><Relationship Id="rId12" Type="http://schemas.openxmlformats.org/officeDocument/2006/relationships/comments" Target="../comments10.xml"/><Relationship Id="rId2" Type="http://schemas.openxmlformats.org/officeDocument/2006/relationships/hyperlink" Target="https://docs.google.com/spreadsheets/d/1QgTP2p0syokP3WfhWfyMP7D_7kmop_Ocr19WyLNwRiU/edit?usp=sharing" TargetMode="External"/><Relationship Id="rId1" Type="http://schemas.openxmlformats.org/officeDocument/2006/relationships/hyperlink" Target="https://drive.google.com/drive/folders/0B38uOBBhaLujOWNwa0NfeTJHUXc?usp=sharing" TargetMode="External"/><Relationship Id="rId6" Type="http://schemas.openxmlformats.org/officeDocument/2006/relationships/hyperlink" Target="https://drive.google.com/file/d/0B38uOBBhaLujZW1uNzltQkhWWnhnb0FnenNyTlJsdGRwNjVz/view?usp=sharing" TargetMode="External"/><Relationship Id="rId11" Type="http://schemas.openxmlformats.org/officeDocument/2006/relationships/vmlDrawing" Target="../drawings/vmlDrawing10.vml"/><Relationship Id="rId5" Type="http://schemas.openxmlformats.org/officeDocument/2006/relationships/hyperlink" Target="https://drive.google.com/drive/folders/1w_ByOEEWyzzPtWDYh53P8-n6Qr0C7YWI?usp=sharing" TargetMode="External"/><Relationship Id="rId10" Type="http://schemas.openxmlformats.org/officeDocument/2006/relationships/hyperlink" Target="https://drive.google.com/file/d/0B38uOBBhaLujNWF6X05TYkNlUmR2UmhoT3ctaFpmM0NXNXhR/view?usp=sharing" TargetMode="External"/><Relationship Id="rId4" Type="http://schemas.openxmlformats.org/officeDocument/2006/relationships/hyperlink" Target="http://www.banrepcultural.org/servicios/boleteria-museo-del-oro" TargetMode="External"/><Relationship Id="rId9" Type="http://schemas.openxmlformats.org/officeDocument/2006/relationships/hyperlink" Target="https://drive.google.com/file/d/0B38uOBBhaLujUUlhWS0wYzJkdFRpNF8zcWZWUU44akZZS3g4/view?usp=shar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0B38uOBBhaLujMlVycDBSNVdlRXZJT0EwOUttaktOZFlUVHg4/view?usp=sharing" TargetMode="External"/><Relationship Id="rId2" Type="http://schemas.openxmlformats.org/officeDocument/2006/relationships/hyperlink" Target="https://drive.google.com/drive/folders/1w_ByOEEWyzzPtWDYh53P8-n6Qr0C7YWI?usp=sharing" TargetMode="External"/><Relationship Id="rId1" Type="http://schemas.openxmlformats.org/officeDocument/2006/relationships/hyperlink" Target="http://www.banrepcultural.org/servicios/boleteria-museo-del-oro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drive.google.com/file/d/0B38uOBBhaLujUUlhWS0wYzJkdFRpNF8zcWZWUU44akZZS3g4/view?usp=sharing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38uOBBhaLujNWF6X05TYkNlUmR2UmhoT3ctaFpmM0NXNXhR/view?usp=sharing" TargetMode="External"/><Relationship Id="rId3" Type="http://schemas.openxmlformats.org/officeDocument/2006/relationships/hyperlink" Target="https://drive.google.com/drive/folders/1w_ByOEEWyzzPtWDYh53P8-n6Qr0C7YWI?usp=sharing" TargetMode="External"/><Relationship Id="rId7" Type="http://schemas.openxmlformats.org/officeDocument/2006/relationships/hyperlink" Target="https://drive.google.com/file/d/0B38uOBBhaLujUUlhWS0wYzJkdFRpNF8zcWZWUU44akZZS3g4/view?usp=sharing" TargetMode="External"/><Relationship Id="rId2" Type="http://schemas.openxmlformats.org/officeDocument/2006/relationships/hyperlink" Target="http://www.banrepcultural.org/servicios/boleteria-museo-del-oro" TargetMode="External"/><Relationship Id="rId1" Type="http://schemas.openxmlformats.org/officeDocument/2006/relationships/hyperlink" Target="https://docs.google.com/spreadsheets/d/1QgTP2p0syokP3WfhWfyMP7D_7kmop_Ocr19WyLNwRiU/edit?usp=sharing" TargetMode="External"/><Relationship Id="rId6" Type="http://schemas.openxmlformats.org/officeDocument/2006/relationships/hyperlink" Target="https://drive.google.com/file/d/0B38uOBBhaLujNWF6X05TYkNlUmR2UmhoT3ctaFpmM0NXNXhR/view?usp=sharing" TargetMode="External"/><Relationship Id="rId5" Type="http://schemas.openxmlformats.org/officeDocument/2006/relationships/hyperlink" Target="https://drive.google.com/file/d/0B38uOBBhaLujMlVycDBSNVdlRXZJT0EwOUttaktOZFlUVHg4/view?usp=sharing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drive.google.com/file/d/0B38uOBBhaLujZW1uNzltQkhWWnhnb0FnenNyTlJsdGRwNjVz/view?usp=sharing" TargetMode="External"/><Relationship Id="rId9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38uOBBhaLujNWF6X05TYkNlUmR2UmhoT3ctaFpmM0NXNXhR/view?usp=sharing" TargetMode="External"/><Relationship Id="rId3" Type="http://schemas.openxmlformats.org/officeDocument/2006/relationships/hyperlink" Target="https://drive.google.com/drive/folders/1w_ByOEEWyzzPtWDYh53P8-n6Qr0C7YWI?usp=sharing" TargetMode="External"/><Relationship Id="rId7" Type="http://schemas.openxmlformats.org/officeDocument/2006/relationships/hyperlink" Target="https://drive.google.com/file/d/0B38uOBBhaLujUUlhWS0wYzJkdFRpNF8zcWZWUU44akZZS3g4/view?usp=sharing" TargetMode="External"/><Relationship Id="rId2" Type="http://schemas.openxmlformats.org/officeDocument/2006/relationships/hyperlink" Target="http://www.banrepcultural.org/servicios/boleteria-museo-del-oro" TargetMode="External"/><Relationship Id="rId1" Type="http://schemas.openxmlformats.org/officeDocument/2006/relationships/hyperlink" Target="https://docs.google.com/spreadsheets/d/1QgTP2p0syokP3WfhWfyMP7D_7kmop_Ocr19WyLNwRiU/edit?usp=sharing" TargetMode="External"/><Relationship Id="rId6" Type="http://schemas.openxmlformats.org/officeDocument/2006/relationships/hyperlink" Target="https://drive.google.com/file/d/0B38uOBBhaLujNWF6X05TYkNlUmR2UmhoT3ctaFpmM0NXNXhR/view?usp=sharing" TargetMode="External"/><Relationship Id="rId11" Type="http://schemas.openxmlformats.org/officeDocument/2006/relationships/comments" Target="../comments4.xml"/><Relationship Id="rId5" Type="http://schemas.openxmlformats.org/officeDocument/2006/relationships/hyperlink" Target="https://drive.google.com/file/d/0B38uOBBhaLujMlVycDBSNVdlRXZJT0EwOUttaktOZFlUVHg4/view?usp=sharing" TargetMode="External"/><Relationship Id="rId10" Type="http://schemas.openxmlformats.org/officeDocument/2006/relationships/vmlDrawing" Target="../drawings/vmlDrawing4.vml"/><Relationship Id="rId4" Type="http://schemas.openxmlformats.org/officeDocument/2006/relationships/hyperlink" Target="https://drive.google.com/file/d/0B38uOBBhaLujZW1uNzltQkhWWnhnb0FnenNyTlJsdGRwNjVz/view?usp=sharing" TargetMode="Externa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0B38uOBBhaLujNWF6X05TYkNlUmR2UmhoT3ctaFpmM0NXNXhR/view?usp=sharing" TargetMode="External"/><Relationship Id="rId3" Type="http://schemas.openxmlformats.org/officeDocument/2006/relationships/hyperlink" Target="https://drive.google.com/drive/folders/1w_ByOEEWyzzPtWDYh53P8-n6Qr0C7YWI?usp=sharing" TargetMode="External"/><Relationship Id="rId7" Type="http://schemas.openxmlformats.org/officeDocument/2006/relationships/hyperlink" Target="https://drive.google.com/file/d/0B38uOBBhaLujUUlhWS0wYzJkdFRpNF8zcWZWUU44akZZS3g4/view?usp=sharing" TargetMode="External"/><Relationship Id="rId2" Type="http://schemas.openxmlformats.org/officeDocument/2006/relationships/hyperlink" Target="http://www.banrepcultural.org/servicios/boleteria-museo-del-oro" TargetMode="External"/><Relationship Id="rId1" Type="http://schemas.openxmlformats.org/officeDocument/2006/relationships/hyperlink" Target="https://docs.google.com/spreadsheets/d/1QgTP2p0syokP3WfhWfyMP7D_7kmop_Ocr19WyLNwRiU/edit?usp=sharing" TargetMode="External"/><Relationship Id="rId6" Type="http://schemas.openxmlformats.org/officeDocument/2006/relationships/hyperlink" Target="https://drive.google.com/file/d/0B38uOBBhaLujNWF6X05TYkNlUmR2UmhoT3ctaFpmM0NXNXhR/view?usp=sharing" TargetMode="External"/><Relationship Id="rId5" Type="http://schemas.openxmlformats.org/officeDocument/2006/relationships/hyperlink" Target="https://drive.google.com/file/d/0B38uOBBhaLujMlVycDBSNVdlRXZJT0EwOUttaktOZFlUVHg4/view?usp=sharing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drive.google.com/file/d/0B38uOBBhaLujZW1uNzltQkhWWnhnb0FnenNyTlJsdGRwNjVz/view?usp=sharing" TargetMode="External"/><Relationship Id="rId9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hyperlink" Target="https://1drv.ms/b/s!AgPMxOoE04gjgZlunYqhqgKVNo_bzQ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s://1drv.ms/x/s!AgPMxOoE04gjgZliDh3AVjOHGknw9A" TargetMode="External"/><Relationship Id="rId1" Type="http://schemas.openxmlformats.org/officeDocument/2006/relationships/hyperlink" Target="https://1drv.ms/u/s!AgPMxOoE04gjgZce1isIredKhkfIbw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drive/folders/1w_ByOEEWyzzPtWDYh53P8-n6Qr0C7YWI?usp=sharing" TargetMode="External"/><Relationship Id="rId4" Type="http://schemas.openxmlformats.org/officeDocument/2006/relationships/hyperlink" Target="http://www.banrepcultural.org/servicios/boleteria-museo-del-or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s://1drv.ms/b/s!AgPMxOoE04gjgZlunYqhqgKVNo_bzQ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1drv.ms/x/s!AgPMxOoE04gjgZliDh3AVjOHGknw9A" TargetMode="External"/><Relationship Id="rId1" Type="http://schemas.openxmlformats.org/officeDocument/2006/relationships/hyperlink" Target="https://1drv.ms/u/s!AgPMxOoE04gjgZce1isIredKhkfIbw" TargetMode="External"/><Relationship Id="rId6" Type="http://schemas.openxmlformats.org/officeDocument/2006/relationships/hyperlink" Target="https://drive.google.com/drive/folders/1w_ByOEEWyzzPtWDYh53P8-n6Qr0C7YWI?usp=sharing" TargetMode="External"/><Relationship Id="rId5" Type="http://schemas.openxmlformats.org/officeDocument/2006/relationships/hyperlink" Target="http://www.banrepcultural.org/servicios/boleteria-museo-del-oro" TargetMode="External"/><Relationship Id="rId4" Type="http://schemas.openxmlformats.org/officeDocument/2006/relationships/hyperlink" Target="https://1drv.ms/b/s!AgPMxOoE04gjgZl0AbJGeUBBXX4XgA" TargetMode="External"/><Relationship Id="rId9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8.xml"/><Relationship Id="rId3" Type="http://schemas.openxmlformats.org/officeDocument/2006/relationships/hyperlink" Target="https://1drv.ms/b/s!AgPMxOoE04gjgZlunYqhqgKVNo_bzQ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s://1drv.ms/x/s!AgPMxOoE04gjgZliDh3AVjOHGknw9A" TargetMode="External"/><Relationship Id="rId1" Type="http://schemas.openxmlformats.org/officeDocument/2006/relationships/hyperlink" Target="https://1drv.ms/u/s!AgPMxOoE04gjgZce1isIredKhkfIbw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drive.google.com/drive/folders/1w_ByOEEWyzzPtWDYh53P8-n6Qr0C7YWI?usp=sharing" TargetMode="External"/><Relationship Id="rId4" Type="http://schemas.openxmlformats.org/officeDocument/2006/relationships/hyperlink" Target="http://www.banrepcultural.org/servicios/boleteria-museo-del-oro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9.vml"/><Relationship Id="rId3" Type="http://schemas.openxmlformats.org/officeDocument/2006/relationships/hyperlink" Target="https://1drv.ms/u/s!AgPMxOoE04gjgZce1isIredKhkfIbw" TargetMode="External"/><Relationship Id="rId7" Type="http://schemas.openxmlformats.org/officeDocument/2006/relationships/hyperlink" Target="https://1drv.ms/b/s!AgPMxOoE04gjgZl0AbJGeUBBXX4XgA" TargetMode="External"/><Relationship Id="rId2" Type="http://schemas.openxmlformats.org/officeDocument/2006/relationships/hyperlink" Target="https://drive.google.com/drive/folders/1w_ByOEEWyzzPtWDYh53P8-n6Qr0C7YWI?usp=sharing" TargetMode="External"/><Relationship Id="rId1" Type="http://schemas.openxmlformats.org/officeDocument/2006/relationships/hyperlink" Target="http://www.banrepcultural.org/servicios/boleteria-museo-del-oro" TargetMode="External"/><Relationship Id="rId6" Type="http://schemas.openxmlformats.org/officeDocument/2006/relationships/hyperlink" Target="https://1drv.ms/b/s!AgPMxOoE04gjgZlunYqhqgKVNo_bzQ" TargetMode="External"/><Relationship Id="rId5" Type="http://schemas.openxmlformats.org/officeDocument/2006/relationships/hyperlink" Target="https://1drv.ms/b/s!AgPMxOoE04gjgZlobDMu6_qpSGeF_Q" TargetMode="External"/><Relationship Id="rId4" Type="http://schemas.openxmlformats.org/officeDocument/2006/relationships/hyperlink" Target="https://1drv.ms/x/s!AgPMxOoE04gjgZliDh3AVjOHGknw9A" TargetMode="External"/><Relationship Id="rId9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0"/>
  <sheetViews>
    <sheetView workbookViewId="0">
      <selection activeCell="B1" sqref="B1"/>
    </sheetView>
  </sheetViews>
  <sheetFormatPr baseColWidth="10" defaultColWidth="14.42578125" defaultRowHeight="15" customHeight="1"/>
  <cols>
    <col min="1" max="1" width="15.85546875" customWidth="1"/>
    <col min="2" max="2" width="27.140625" customWidth="1"/>
    <col min="3" max="3" width="13.42578125" customWidth="1"/>
    <col min="4" max="4" width="12.28515625" customWidth="1"/>
    <col min="5" max="6" width="13.140625" customWidth="1"/>
    <col min="7" max="7" width="10.7109375" customWidth="1"/>
    <col min="8" max="8" width="13.140625" customWidth="1"/>
    <col min="9" max="9" width="25.28515625" customWidth="1"/>
    <col min="10" max="13" width="13" customWidth="1"/>
    <col min="14" max="14" width="10.7109375" customWidth="1"/>
    <col min="15" max="15" width="13.140625" customWidth="1"/>
    <col min="16" max="16" width="25.42578125" customWidth="1"/>
    <col min="17" max="26" width="10.7109375" customWidth="1"/>
  </cols>
  <sheetData>
    <row r="2" spans="1:20" ht="15.75" customHeight="1">
      <c r="A2" s="722" t="s">
        <v>0</v>
      </c>
      <c r="B2" s="723"/>
      <c r="C2" s="723"/>
      <c r="D2" s="723"/>
      <c r="E2" s="723"/>
      <c r="F2" s="724"/>
      <c r="H2" s="722" t="s">
        <v>1</v>
      </c>
      <c r="I2" s="723"/>
      <c r="J2" s="723"/>
      <c r="K2" s="723"/>
      <c r="L2" s="723"/>
      <c r="M2" s="724"/>
      <c r="O2" s="722" t="s">
        <v>2</v>
      </c>
      <c r="P2" s="723"/>
      <c r="Q2" s="723"/>
      <c r="R2" s="723"/>
      <c r="S2" s="723"/>
      <c r="T2" s="724"/>
    </row>
    <row r="3" spans="1:20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T3" s="3" t="s">
        <v>8</v>
      </c>
    </row>
    <row r="4" spans="1:20">
      <c r="A4" s="5" t="s">
        <v>9</v>
      </c>
      <c r="B4" s="6" t="s">
        <v>10</v>
      </c>
      <c r="C4" s="7">
        <f t="shared" ref="C4:C6" si="0">E28</f>
        <v>420000</v>
      </c>
      <c r="D4" s="7">
        <f t="shared" ref="D4:D6" si="1">E33</f>
        <v>225000</v>
      </c>
      <c r="E4" s="7">
        <v>0</v>
      </c>
      <c r="F4" s="7">
        <f t="shared" ref="F4:F6" si="2">E43</f>
        <v>150000</v>
      </c>
      <c r="H4" s="5" t="s">
        <v>9</v>
      </c>
      <c r="I4" s="6" t="s">
        <v>10</v>
      </c>
      <c r="J4" s="7">
        <f t="shared" ref="J4:J6" si="3">L28</f>
        <v>705000</v>
      </c>
      <c r="K4" s="7">
        <f t="shared" ref="K4:K6" si="4">L33</f>
        <v>390000</v>
      </c>
      <c r="L4" s="7">
        <f t="shared" ref="L4:L6" si="5">L38</f>
        <v>330000</v>
      </c>
      <c r="M4" s="7">
        <f t="shared" ref="M4:M6" si="6">L43</f>
        <v>330000</v>
      </c>
      <c r="O4" s="5" t="s">
        <v>9</v>
      </c>
      <c r="P4" s="6" t="s">
        <v>10</v>
      </c>
      <c r="Q4" s="7">
        <f t="shared" ref="Q4:Q6" si="7">S28</f>
        <v>930000</v>
      </c>
      <c r="R4" s="7">
        <f t="shared" ref="R4:R6" si="8">S33</f>
        <v>465000</v>
      </c>
      <c r="S4" s="7">
        <f t="shared" ref="S4:S6" si="9">S38</f>
        <v>390000</v>
      </c>
      <c r="T4" s="674">
        <f t="shared" ref="T4:T6" si="10">S43</f>
        <v>0</v>
      </c>
    </row>
    <row r="5" spans="1:20">
      <c r="A5" s="9" t="s">
        <v>11</v>
      </c>
      <c r="B5" s="10" t="s">
        <v>10</v>
      </c>
      <c r="C5" s="11">
        <f t="shared" si="0"/>
        <v>330000</v>
      </c>
      <c r="D5" s="11">
        <f t="shared" si="1"/>
        <v>199500</v>
      </c>
      <c r="E5" s="11">
        <f t="shared" ref="E5:E6" si="11">E39</f>
        <v>185000</v>
      </c>
      <c r="F5" s="11">
        <f t="shared" si="2"/>
        <v>156000</v>
      </c>
      <c r="H5" s="9" t="s">
        <v>11</v>
      </c>
      <c r="I5" s="10" t="s">
        <v>10</v>
      </c>
      <c r="J5" s="11">
        <f t="shared" si="3"/>
        <v>447000</v>
      </c>
      <c r="K5" s="11">
        <f t="shared" si="4"/>
        <v>318000</v>
      </c>
      <c r="L5" s="11">
        <f t="shared" si="5"/>
        <v>312000</v>
      </c>
      <c r="M5" s="11">
        <f t="shared" si="6"/>
        <v>213000</v>
      </c>
      <c r="O5" s="9" t="s">
        <v>11</v>
      </c>
      <c r="P5" s="10" t="s">
        <v>10</v>
      </c>
      <c r="Q5" s="11">
        <f t="shared" si="7"/>
        <v>375684</v>
      </c>
      <c r="R5" s="11">
        <f t="shared" si="8"/>
        <v>334621.5</v>
      </c>
      <c r="S5" s="11">
        <f t="shared" si="9"/>
        <v>263443</v>
      </c>
      <c r="T5" s="675">
        <f t="shared" si="10"/>
        <v>280781</v>
      </c>
    </row>
    <row r="6" spans="1:20">
      <c r="A6" s="12" t="s">
        <v>12</v>
      </c>
      <c r="B6" s="12" t="s">
        <v>10</v>
      </c>
      <c r="C6" s="13">
        <f t="shared" si="0"/>
        <v>503700</v>
      </c>
      <c r="D6" s="13">
        <f t="shared" si="1"/>
        <v>335850</v>
      </c>
      <c r="E6" s="13">
        <f t="shared" si="11"/>
        <v>294800</v>
      </c>
      <c r="F6" s="13">
        <f t="shared" si="2"/>
        <v>152700</v>
      </c>
      <c r="H6" s="12" t="s">
        <v>12</v>
      </c>
      <c r="I6" s="12" t="s">
        <v>10</v>
      </c>
      <c r="J6" s="13">
        <f t="shared" si="3"/>
        <v>780000</v>
      </c>
      <c r="K6" s="13">
        <f t="shared" si="4"/>
        <v>420000</v>
      </c>
      <c r="L6" s="13">
        <f t="shared" si="5"/>
        <v>350000</v>
      </c>
      <c r="M6" s="13">
        <f t="shared" si="6"/>
        <v>0</v>
      </c>
      <c r="O6" s="12" t="s">
        <v>12</v>
      </c>
      <c r="P6" s="12" t="s">
        <v>10</v>
      </c>
      <c r="Q6" s="13">
        <f t="shared" si="7"/>
        <v>1576800</v>
      </c>
      <c r="R6" s="13">
        <f t="shared" si="8"/>
        <v>788400</v>
      </c>
      <c r="S6" s="13">
        <f t="shared" si="9"/>
        <v>600600</v>
      </c>
      <c r="T6" s="676">
        <f t="shared" si="10"/>
        <v>87000</v>
      </c>
    </row>
    <row r="7" spans="1:20" ht="16.5" customHeight="1">
      <c r="A7" s="14" t="s">
        <v>9</v>
      </c>
      <c r="B7" s="15" t="s">
        <v>13</v>
      </c>
      <c r="C7" s="16">
        <v>108000</v>
      </c>
      <c r="D7" s="16">
        <f t="shared" ref="D7:D8" si="12">C7/2</f>
        <v>54000</v>
      </c>
      <c r="E7" s="16">
        <f t="shared" ref="E7:E8" si="13">C7/3</f>
        <v>36000</v>
      </c>
      <c r="F7" s="16">
        <f>E7</f>
        <v>36000</v>
      </c>
      <c r="H7" s="14" t="s">
        <v>9</v>
      </c>
      <c r="I7" s="15" t="s">
        <v>13</v>
      </c>
      <c r="J7" s="16">
        <v>108000</v>
      </c>
      <c r="K7" s="16">
        <f t="shared" ref="K7:K8" si="14">J7/2</f>
        <v>54000</v>
      </c>
      <c r="L7" s="16">
        <f t="shared" ref="L7:L8" si="15">J7/3</f>
        <v>36000</v>
      </c>
      <c r="M7" s="16">
        <f>L7</f>
        <v>36000</v>
      </c>
      <c r="O7" s="14" t="s">
        <v>9</v>
      </c>
      <c r="P7" s="15" t="s">
        <v>13</v>
      </c>
      <c r="Q7" s="16">
        <v>108000</v>
      </c>
      <c r="R7" s="16">
        <f t="shared" ref="R7:R8" si="16">Q7/2</f>
        <v>54000</v>
      </c>
      <c r="S7" s="16">
        <f t="shared" ref="S7:S8" si="17">Q7/3</f>
        <v>36000</v>
      </c>
      <c r="T7" s="16">
        <f>S7</f>
        <v>36000</v>
      </c>
    </row>
    <row r="8" spans="1:20">
      <c r="A8" s="17"/>
      <c r="B8" s="15" t="s">
        <v>14</v>
      </c>
      <c r="C8" s="16">
        <f>45000*2</f>
        <v>90000</v>
      </c>
      <c r="D8" s="16">
        <f t="shared" si="12"/>
        <v>45000</v>
      </c>
      <c r="E8" s="16">
        <f t="shared" si="13"/>
        <v>30000</v>
      </c>
      <c r="F8" s="16">
        <f>C8/3</f>
        <v>30000</v>
      </c>
      <c r="H8" s="17"/>
      <c r="I8" s="15" t="s">
        <v>14</v>
      </c>
      <c r="J8" s="16">
        <f>45000*2</f>
        <v>90000</v>
      </c>
      <c r="K8" s="16">
        <f t="shared" si="14"/>
        <v>45000</v>
      </c>
      <c r="L8" s="16">
        <f t="shared" si="15"/>
        <v>30000</v>
      </c>
      <c r="M8" s="16">
        <f>J8/3</f>
        <v>30000</v>
      </c>
      <c r="O8" s="17"/>
      <c r="P8" s="15" t="s">
        <v>14</v>
      </c>
      <c r="Q8" s="16">
        <f>45000*2</f>
        <v>90000</v>
      </c>
      <c r="R8" s="16">
        <f t="shared" si="16"/>
        <v>45000</v>
      </c>
      <c r="S8" s="16">
        <f t="shared" si="17"/>
        <v>30000</v>
      </c>
      <c r="T8" s="16">
        <f>Q8/3</f>
        <v>30000</v>
      </c>
    </row>
    <row r="9" spans="1:20">
      <c r="A9" s="17"/>
      <c r="B9" s="15" t="s">
        <v>15</v>
      </c>
      <c r="C9" s="16">
        <f t="shared" ref="C9:F9" si="18">E54</f>
        <v>430000</v>
      </c>
      <c r="D9" s="16">
        <f t="shared" si="18"/>
        <v>265000</v>
      </c>
      <c r="E9" s="16">
        <f t="shared" si="18"/>
        <v>210000</v>
      </c>
      <c r="F9" s="16">
        <f t="shared" si="18"/>
        <v>195000</v>
      </c>
      <c r="H9" s="17"/>
      <c r="I9" s="15" t="s">
        <v>15</v>
      </c>
      <c r="J9" s="16">
        <f t="shared" ref="J9:M9" si="19">E54</f>
        <v>430000</v>
      </c>
      <c r="K9" s="16">
        <f t="shared" si="19"/>
        <v>265000</v>
      </c>
      <c r="L9" s="16">
        <f t="shared" si="19"/>
        <v>210000</v>
      </c>
      <c r="M9" s="16">
        <f t="shared" si="19"/>
        <v>195000</v>
      </c>
      <c r="O9" s="17"/>
      <c r="P9" s="15" t="s">
        <v>15</v>
      </c>
      <c r="Q9" s="16">
        <f t="shared" ref="Q9:T9" si="20">E54</f>
        <v>430000</v>
      </c>
      <c r="R9" s="16">
        <f t="shared" si="20"/>
        <v>265000</v>
      </c>
      <c r="S9" s="16">
        <f t="shared" si="20"/>
        <v>210000</v>
      </c>
      <c r="T9" s="16">
        <f t="shared" si="20"/>
        <v>195000</v>
      </c>
    </row>
    <row r="10" spans="1:20">
      <c r="A10" s="6"/>
      <c r="B10" s="15" t="s">
        <v>16</v>
      </c>
      <c r="C10" s="16">
        <f t="shared" ref="C10:F10" si="21">E60</f>
        <v>634000</v>
      </c>
      <c r="D10" s="16">
        <f t="shared" si="21"/>
        <v>359000</v>
      </c>
      <c r="E10" s="16">
        <f t="shared" si="21"/>
        <v>267333.33333333331</v>
      </c>
      <c r="F10" s="16">
        <f t="shared" si="21"/>
        <v>233333.33333333331</v>
      </c>
      <c r="H10" s="6"/>
      <c r="I10" s="15" t="s">
        <v>16</v>
      </c>
      <c r="J10" s="19">
        <f t="shared" ref="J10:M10" si="22">E60</f>
        <v>634000</v>
      </c>
      <c r="K10" s="19">
        <f t="shared" si="22"/>
        <v>359000</v>
      </c>
      <c r="L10" s="19">
        <f t="shared" si="22"/>
        <v>267333.33333333331</v>
      </c>
      <c r="M10" s="19">
        <f t="shared" si="22"/>
        <v>233333.33333333331</v>
      </c>
      <c r="O10" s="6"/>
      <c r="P10" s="15" t="s">
        <v>16</v>
      </c>
      <c r="Q10" s="16">
        <f t="shared" ref="Q10:T10" si="23">E60</f>
        <v>634000</v>
      </c>
      <c r="R10" s="16">
        <f t="shared" si="23"/>
        <v>359000</v>
      </c>
      <c r="S10" s="16">
        <f t="shared" si="23"/>
        <v>267333.33333333331</v>
      </c>
      <c r="T10" s="16">
        <f t="shared" si="23"/>
        <v>233333.33333333331</v>
      </c>
    </row>
    <row r="11" spans="1:20">
      <c r="A11" s="644" t="s">
        <v>11</v>
      </c>
      <c r="B11" s="21" t="s">
        <v>13</v>
      </c>
      <c r="C11" s="22">
        <v>146000</v>
      </c>
      <c r="D11" s="22">
        <f t="shared" ref="D11:D12" si="24">C11/2</f>
        <v>73000</v>
      </c>
      <c r="E11" s="22">
        <f t="shared" ref="E11:E12" si="25">C11/3</f>
        <v>48666.666666666664</v>
      </c>
      <c r="F11" s="22">
        <f t="shared" ref="F11:F12" si="26">C11/3</f>
        <v>48666.666666666664</v>
      </c>
      <c r="H11" s="644" t="s">
        <v>11</v>
      </c>
      <c r="I11" s="21" t="s">
        <v>13</v>
      </c>
      <c r="J11" s="22">
        <v>146000</v>
      </c>
      <c r="K11" s="22">
        <f t="shared" ref="K11:K12" si="27">J11/2</f>
        <v>73000</v>
      </c>
      <c r="L11" s="22">
        <f t="shared" ref="L11:L12" si="28">J11/3</f>
        <v>48666.666666666664</v>
      </c>
      <c r="M11" s="22">
        <f t="shared" ref="M11:M12" si="29">J11/3</f>
        <v>48666.666666666664</v>
      </c>
      <c r="O11" s="644" t="s">
        <v>11</v>
      </c>
      <c r="P11" s="21" t="s">
        <v>13</v>
      </c>
      <c r="Q11" s="22">
        <v>146000</v>
      </c>
      <c r="R11" s="22">
        <f t="shared" ref="R11:R12" si="30">Q11/2</f>
        <v>73000</v>
      </c>
      <c r="S11" s="22">
        <f t="shared" ref="S11:S12" si="31">Q11/3</f>
        <v>48666.666666666664</v>
      </c>
      <c r="T11" s="22">
        <f t="shared" ref="T11:T12" si="32">Q11/3</f>
        <v>48666.666666666664</v>
      </c>
    </row>
    <row r="12" spans="1:20">
      <c r="A12" s="9"/>
      <c r="B12" s="21" t="s">
        <v>14</v>
      </c>
      <c r="C12" s="22">
        <f>50000*2</f>
        <v>100000</v>
      </c>
      <c r="D12" s="22">
        <f t="shared" si="24"/>
        <v>50000</v>
      </c>
      <c r="E12" s="22">
        <f t="shared" si="25"/>
        <v>33333.333333333336</v>
      </c>
      <c r="F12" s="22">
        <f t="shared" si="26"/>
        <v>33333.333333333336</v>
      </c>
      <c r="H12" s="9"/>
      <c r="I12" s="21" t="s">
        <v>14</v>
      </c>
      <c r="J12" s="22">
        <f>50000*2</f>
        <v>100000</v>
      </c>
      <c r="K12" s="22">
        <f t="shared" si="27"/>
        <v>50000</v>
      </c>
      <c r="L12" s="22">
        <f t="shared" si="28"/>
        <v>33333.333333333336</v>
      </c>
      <c r="M12" s="22">
        <f t="shared" si="29"/>
        <v>33333.333333333336</v>
      </c>
      <c r="O12" s="9"/>
      <c r="P12" s="21" t="s">
        <v>14</v>
      </c>
      <c r="Q12" s="22">
        <f>50000*2</f>
        <v>100000</v>
      </c>
      <c r="R12" s="22">
        <f t="shared" si="30"/>
        <v>50000</v>
      </c>
      <c r="S12" s="22">
        <f t="shared" si="31"/>
        <v>33333.333333333336</v>
      </c>
      <c r="T12" s="22">
        <f t="shared" si="32"/>
        <v>33333.333333333336</v>
      </c>
    </row>
    <row r="13" spans="1:20">
      <c r="A13" s="9"/>
      <c r="B13" s="21" t="s">
        <v>17</v>
      </c>
      <c r="C13" s="22">
        <f t="shared" ref="C13:F13" si="33">E64</f>
        <v>152000</v>
      </c>
      <c r="D13" s="22">
        <f t="shared" si="33"/>
        <v>152000</v>
      </c>
      <c r="E13" s="22">
        <f t="shared" si="33"/>
        <v>152000</v>
      </c>
      <c r="F13" s="22">
        <f t="shared" si="33"/>
        <v>103000</v>
      </c>
      <c r="H13" s="9"/>
      <c r="I13" s="21" t="s">
        <v>17</v>
      </c>
      <c r="J13" s="22">
        <f t="shared" ref="J13:M13" si="34">E64</f>
        <v>152000</v>
      </c>
      <c r="K13" s="22">
        <f t="shared" si="34"/>
        <v>152000</v>
      </c>
      <c r="L13" s="22">
        <f t="shared" si="34"/>
        <v>152000</v>
      </c>
      <c r="M13" s="22">
        <f t="shared" si="34"/>
        <v>103000</v>
      </c>
      <c r="O13" s="9"/>
      <c r="P13" s="21" t="s">
        <v>17</v>
      </c>
      <c r="Q13" s="22">
        <f t="shared" ref="Q13:T13" si="35">E64</f>
        <v>152000</v>
      </c>
      <c r="R13" s="22">
        <f t="shared" si="35"/>
        <v>152000</v>
      </c>
      <c r="S13" s="22">
        <f t="shared" si="35"/>
        <v>152000</v>
      </c>
      <c r="T13" s="22">
        <f t="shared" si="35"/>
        <v>103000</v>
      </c>
    </row>
    <row r="14" spans="1:20">
      <c r="A14" s="645"/>
      <c r="B14" s="646" t="s">
        <v>18</v>
      </c>
      <c r="C14" s="22">
        <f t="shared" ref="C14:F14" si="36">E68</f>
        <v>264000</v>
      </c>
      <c r="D14" s="22">
        <f t="shared" si="36"/>
        <v>134000</v>
      </c>
      <c r="E14" s="22">
        <f t="shared" si="36"/>
        <v>90666.666666666657</v>
      </c>
      <c r="F14" s="22">
        <f t="shared" si="36"/>
        <v>90666.666666666657</v>
      </c>
      <c r="H14" s="645"/>
      <c r="I14" s="646" t="s">
        <v>18</v>
      </c>
      <c r="J14" s="22">
        <f t="shared" ref="J14:M14" si="37">E68</f>
        <v>264000</v>
      </c>
      <c r="K14" s="22">
        <f t="shared" si="37"/>
        <v>134000</v>
      </c>
      <c r="L14" s="22">
        <f t="shared" si="37"/>
        <v>90666.666666666657</v>
      </c>
      <c r="M14" s="22">
        <f t="shared" si="37"/>
        <v>90666.666666666657</v>
      </c>
      <c r="O14" s="645"/>
      <c r="P14" s="646" t="s">
        <v>18</v>
      </c>
      <c r="Q14" s="22">
        <f t="shared" ref="Q14:T14" si="38">E68</f>
        <v>264000</v>
      </c>
      <c r="R14" s="22">
        <f t="shared" si="38"/>
        <v>134000</v>
      </c>
      <c r="S14" s="22">
        <f t="shared" si="38"/>
        <v>90666.666666666657</v>
      </c>
      <c r="T14" s="22">
        <f t="shared" si="38"/>
        <v>90666.666666666657</v>
      </c>
    </row>
    <row r="15" spans="1:20">
      <c r="A15" s="647"/>
      <c r="B15" s="646" t="s">
        <v>19</v>
      </c>
      <c r="C15" s="22">
        <f t="shared" ref="C15:F15" si="39">E72</f>
        <v>463000</v>
      </c>
      <c r="D15" s="22">
        <f t="shared" si="39"/>
        <v>264000</v>
      </c>
      <c r="E15" s="22">
        <f t="shared" si="39"/>
        <v>197666.66666666669</v>
      </c>
      <c r="F15" s="22">
        <f t="shared" si="39"/>
        <v>177666.66666666669</v>
      </c>
      <c r="H15" s="647"/>
      <c r="I15" s="646" t="s">
        <v>19</v>
      </c>
      <c r="J15" s="22">
        <f t="shared" ref="J15:M15" si="40">E72</f>
        <v>463000</v>
      </c>
      <c r="K15" s="22">
        <f t="shared" si="40"/>
        <v>264000</v>
      </c>
      <c r="L15" s="22">
        <f t="shared" si="40"/>
        <v>197666.66666666669</v>
      </c>
      <c r="M15" s="22">
        <f t="shared" si="40"/>
        <v>177666.66666666669</v>
      </c>
      <c r="O15" s="647"/>
      <c r="P15" s="646" t="s">
        <v>19</v>
      </c>
      <c r="Q15" s="22">
        <f t="shared" ref="Q15:T15" si="41">E72</f>
        <v>463000</v>
      </c>
      <c r="R15" s="22">
        <f t="shared" si="41"/>
        <v>264000</v>
      </c>
      <c r="S15" s="22">
        <f t="shared" si="41"/>
        <v>197666.66666666669</v>
      </c>
      <c r="T15" s="22">
        <f t="shared" si="41"/>
        <v>177666.66666666669</v>
      </c>
    </row>
    <row r="16" spans="1:20" ht="27" customHeight="1">
      <c r="A16" s="714" t="s">
        <v>12</v>
      </c>
      <c r="B16" s="648" t="s">
        <v>20</v>
      </c>
      <c r="C16" s="649">
        <v>90000</v>
      </c>
      <c r="D16" s="37">
        <f t="shared" ref="D16:D17" si="42">C16/2</f>
        <v>45000</v>
      </c>
      <c r="E16" s="37">
        <f t="shared" ref="E16:E17" si="43">C16/3</f>
        <v>30000</v>
      </c>
      <c r="F16" s="37">
        <f t="shared" ref="F16:F17" si="44">C16/3</f>
        <v>30000</v>
      </c>
      <c r="H16" s="714" t="s">
        <v>12</v>
      </c>
      <c r="I16" s="669" t="s">
        <v>20</v>
      </c>
      <c r="J16" s="670">
        <v>90000</v>
      </c>
      <c r="K16" s="37">
        <f t="shared" ref="K16:K17" si="45">J16/2</f>
        <v>45000</v>
      </c>
      <c r="L16" s="37">
        <f t="shared" ref="L16:L17" si="46">J16/3</f>
        <v>30000</v>
      </c>
      <c r="M16" s="37">
        <f t="shared" ref="M16:M17" si="47">J16/3</f>
        <v>30000</v>
      </c>
      <c r="O16" s="714" t="s">
        <v>12</v>
      </c>
      <c r="P16" s="648" t="s">
        <v>20</v>
      </c>
      <c r="Q16" s="649">
        <v>90000</v>
      </c>
      <c r="R16" s="37">
        <f t="shared" ref="R16:R17" si="48">Q16/2</f>
        <v>45000</v>
      </c>
      <c r="S16" s="37">
        <f t="shared" ref="S16:S17" si="49">Q16/3</f>
        <v>30000</v>
      </c>
      <c r="T16" s="37">
        <f t="shared" ref="T16:T17" si="50">Q16/3</f>
        <v>30000</v>
      </c>
    </row>
    <row r="17" spans="1:20">
      <c r="A17" s="715"/>
      <c r="B17" s="648" t="s">
        <v>21</v>
      </c>
      <c r="C17" s="649">
        <v>100000</v>
      </c>
      <c r="D17" s="37">
        <f t="shared" si="42"/>
        <v>50000</v>
      </c>
      <c r="E17" s="37">
        <f t="shared" si="43"/>
        <v>33333.333333333336</v>
      </c>
      <c r="F17" s="37">
        <f t="shared" si="44"/>
        <v>33333.333333333336</v>
      </c>
      <c r="H17" s="715"/>
      <c r="I17" s="648" t="s">
        <v>21</v>
      </c>
      <c r="J17" s="649">
        <v>100000</v>
      </c>
      <c r="K17" s="37">
        <f t="shared" si="45"/>
        <v>50000</v>
      </c>
      <c r="L17" s="37">
        <f t="shared" si="46"/>
        <v>33333.333333333336</v>
      </c>
      <c r="M17" s="37">
        <f t="shared" si="47"/>
        <v>33333.333333333336</v>
      </c>
      <c r="O17" s="715"/>
      <c r="P17" s="648" t="s">
        <v>21</v>
      </c>
      <c r="Q17" s="649">
        <v>100000</v>
      </c>
      <c r="R17" s="37">
        <f t="shared" si="48"/>
        <v>50000</v>
      </c>
      <c r="S17" s="37">
        <f t="shared" si="49"/>
        <v>33333.333333333336</v>
      </c>
      <c r="T17" s="37">
        <f t="shared" si="50"/>
        <v>33333.333333333336</v>
      </c>
    </row>
    <row r="18" spans="1:20">
      <c r="A18" s="715"/>
      <c r="B18" s="587" t="s">
        <v>22</v>
      </c>
      <c r="C18" s="37">
        <f t="shared" ref="C18:F18" si="51">E77</f>
        <v>318000</v>
      </c>
      <c r="D18" s="37">
        <f t="shared" si="51"/>
        <v>203000</v>
      </c>
      <c r="E18" s="37">
        <f t="shared" si="51"/>
        <v>164666.66666666669</v>
      </c>
      <c r="F18" s="37">
        <f t="shared" si="51"/>
        <v>136666.66666666669</v>
      </c>
      <c r="H18" s="715"/>
      <c r="I18" s="587" t="s">
        <v>22</v>
      </c>
      <c r="J18" s="37">
        <f t="shared" ref="J18:M18" si="52">E77</f>
        <v>318000</v>
      </c>
      <c r="K18" s="37">
        <f t="shared" si="52"/>
        <v>203000</v>
      </c>
      <c r="L18" s="37">
        <f t="shared" si="52"/>
        <v>164666.66666666669</v>
      </c>
      <c r="M18" s="37">
        <f t="shared" si="52"/>
        <v>136666.66666666669</v>
      </c>
      <c r="O18" s="715"/>
      <c r="P18" s="587" t="s">
        <v>22</v>
      </c>
      <c r="Q18" s="37">
        <f t="shared" ref="Q18:T18" si="53">E77</f>
        <v>318000</v>
      </c>
      <c r="R18" s="37">
        <f t="shared" si="53"/>
        <v>203000</v>
      </c>
      <c r="S18" s="37">
        <f t="shared" si="53"/>
        <v>164666.66666666669</v>
      </c>
      <c r="T18" s="37">
        <f t="shared" si="53"/>
        <v>136666.66666666669</v>
      </c>
    </row>
    <row r="19" spans="1:20">
      <c r="A19" s="715"/>
      <c r="B19" s="587" t="s">
        <v>23</v>
      </c>
      <c r="C19" s="37">
        <f t="shared" ref="C19:F19" si="54">E82</f>
        <v>395000</v>
      </c>
      <c r="D19" s="37">
        <f t="shared" si="54"/>
        <v>230000</v>
      </c>
      <c r="E19" s="37">
        <f t="shared" si="54"/>
        <v>175000</v>
      </c>
      <c r="F19" s="37">
        <f t="shared" si="54"/>
        <v>120500</v>
      </c>
      <c r="H19" s="715"/>
      <c r="I19" s="587" t="s">
        <v>23</v>
      </c>
      <c r="J19" s="37">
        <f t="shared" ref="J19:M19" si="55">E82</f>
        <v>395000</v>
      </c>
      <c r="K19" s="37">
        <f t="shared" si="55"/>
        <v>230000</v>
      </c>
      <c r="L19" s="37">
        <f t="shared" si="55"/>
        <v>175000</v>
      </c>
      <c r="M19" s="37">
        <f t="shared" si="55"/>
        <v>120500</v>
      </c>
      <c r="O19" s="715"/>
      <c r="P19" s="587" t="s">
        <v>23</v>
      </c>
      <c r="Q19" s="37">
        <f t="shared" ref="Q19:T19" si="56">E82</f>
        <v>395000</v>
      </c>
      <c r="R19" s="37">
        <f t="shared" si="56"/>
        <v>230000</v>
      </c>
      <c r="S19" s="37">
        <f t="shared" si="56"/>
        <v>175000</v>
      </c>
      <c r="T19" s="37">
        <f t="shared" si="56"/>
        <v>120500</v>
      </c>
    </row>
    <row r="20" spans="1:20">
      <c r="A20" s="713"/>
      <c r="B20" s="587" t="s">
        <v>24</v>
      </c>
      <c r="C20" s="37">
        <f t="shared" ref="C20:F20" si="57">E85</f>
        <v>212600</v>
      </c>
      <c r="D20" s="37">
        <f t="shared" si="57"/>
        <v>175100</v>
      </c>
      <c r="E20" s="37">
        <f t="shared" si="57"/>
        <v>162600</v>
      </c>
      <c r="F20" s="37">
        <f t="shared" si="57"/>
        <v>109000</v>
      </c>
      <c r="H20" s="713"/>
      <c r="I20" s="587" t="s">
        <v>24</v>
      </c>
      <c r="J20" s="37">
        <f t="shared" ref="J20:M20" si="58">E85</f>
        <v>212600</v>
      </c>
      <c r="K20" s="37">
        <f t="shared" si="58"/>
        <v>175100</v>
      </c>
      <c r="L20" s="37">
        <f t="shared" si="58"/>
        <v>162600</v>
      </c>
      <c r="M20" s="37">
        <f t="shared" si="58"/>
        <v>109000</v>
      </c>
      <c r="O20" s="713"/>
      <c r="P20" s="587" t="s">
        <v>24</v>
      </c>
      <c r="Q20" s="37">
        <f t="shared" ref="Q20:T20" si="59">E85</f>
        <v>212600</v>
      </c>
      <c r="R20" s="37">
        <f t="shared" si="59"/>
        <v>175100</v>
      </c>
      <c r="S20" s="37">
        <f t="shared" si="59"/>
        <v>162600</v>
      </c>
      <c r="T20" s="37">
        <f t="shared" si="59"/>
        <v>109000</v>
      </c>
    </row>
    <row r="21" spans="1:20" ht="15.75" customHeight="1">
      <c r="A21" s="42"/>
      <c r="B21" s="43" t="s">
        <v>25</v>
      </c>
      <c r="C21" s="44">
        <f t="shared" ref="C21:F21" si="60">SUM(C4:C20)</f>
        <v>4756300</v>
      </c>
      <c r="D21" s="44">
        <f t="shared" si="60"/>
        <v>2859450</v>
      </c>
      <c r="E21" s="44">
        <f t="shared" si="60"/>
        <v>2111066.666666667</v>
      </c>
      <c r="F21" s="44">
        <f t="shared" si="60"/>
        <v>1835866.6666666667</v>
      </c>
      <c r="H21" s="42"/>
      <c r="I21" s="43" t="s">
        <v>25</v>
      </c>
      <c r="J21" s="44">
        <f t="shared" ref="J21:M21" si="61">SUM(J4:J20)</f>
        <v>5434600</v>
      </c>
      <c r="K21" s="44">
        <f t="shared" si="61"/>
        <v>3227100</v>
      </c>
      <c r="L21" s="44">
        <f t="shared" si="61"/>
        <v>2623266.6666666665</v>
      </c>
      <c r="M21" s="44">
        <f t="shared" si="61"/>
        <v>1920166.6666666667</v>
      </c>
      <c r="O21" s="42"/>
      <c r="P21" s="43" t="s">
        <v>25</v>
      </c>
      <c r="Q21" s="44">
        <f t="shared" ref="Q21:T21" si="62">SUM(Q4:Q20)</f>
        <v>6385084</v>
      </c>
      <c r="R21" s="44">
        <f t="shared" si="62"/>
        <v>3687121.5</v>
      </c>
      <c r="S21" s="44">
        <f t="shared" si="62"/>
        <v>2885309.6666666665</v>
      </c>
      <c r="T21" s="44">
        <f t="shared" si="62"/>
        <v>1744947.6666666667</v>
      </c>
    </row>
    <row r="22" spans="1:20" ht="15.75" customHeight="1">
      <c r="A22" s="59"/>
      <c r="B22" s="650" t="s">
        <v>26</v>
      </c>
      <c r="C22" s="47">
        <f t="shared" ref="C22:F22" si="63">C21/0.86</f>
        <v>5530581.3953488376</v>
      </c>
      <c r="D22" s="47">
        <f t="shared" si="63"/>
        <v>3324941.8604651163</v>
      </c>
      <c r="E22" s="47">
        <f t="shared" si="63"/>
        <v>2454728.6821705429</v>
      </c>
      <c r="F22" s="47">
        <f t="shared" si="63"/>
        <v>2134728.6821705429</v>
      </c>
      <c r="H22" s="59"/>
      <c r="I22" s="650" t="s">
        <v>26</v>
      </c>
      <c r="J22" s="47">
        <f t="shared" ref="J22:M22" si="64">J21/0.86</f>
        <v>6319302.3255813951</v>
      </c>
      <c r="K22" s="47">
        <f t="shared" si="64"/>
        <v>3752441.8604651163</v>
      </c>
      <c r="L22" s="47">
        <f t="shared" si="64"/>
        <v>3050310.0775193796</v>
      </c>
      <c r="M22" s="47">
        <f t="shared" si="64"/>
        <v>2232751.9379844964</v>
      </c>
      <c r="O22" s="59"/>
      <c r="P22" s="650" t="s">
        <v>26</v>
      </c>
      <c r="Q22" s="47">
        <f t="shared" ref="Q22:T22" si="65">Q21/0.86</f>
        <v>7424516.2790697673</v>
      </c>
      <c r="R22" s="47">
        <f t="shared" si="65"/>
        <v>4287350.5813953485</v>
      </c>
      <c r="S22" s="47">
        <f t="shared" si="65"/>
        <v>3355011.2403100776</v>
      </c>
      <c r="T22" s="47">
        <f t="shared" si="65"/>
        <v>2029008.9147286823</v>
      </c>
    </row>
    <row r="23" spans="1:20" ht="15.75" customHeight="1">
      <c r="A23" s="59"/>
      <c r="B23" s="59"/>
      <c r="C23" s="59"/>
      <c r="D23" s="59"/>
      <c r="E23" s="59"/>
      <c r="F23" s="59"/>
    </row>
    <row r="24" spans="1:20" ht="15.75" customHeight="1"/>
    <row r="25" spans="1:20" ht="15.75" customHeight="1">
      <c r="A25" s="725" t="s">
        <v>27</v>
      </c>
      <c r="B25" s="723"/>
      <c r="C25" s="723"/>
      <c r="D25" s="723"/>
      <c r="E25" s="723"/>
      <c r="F25" s="724"/>
      <c r="H25" s="725" t="s">
        <v>28</v>
      </c>
      <c r="I25" s="723"/>
      <c r="J25" s="723"/>
      <c r="K25" s="723"/>
      <c r="L25" s="723"/>
      <c r="M25" s="724"/>
      <c r="O25" s="725" t="s">
        <v>29</v>
      </c>
      <c r="P25" s="723"/>
      <c r="Q25" s="723"/>
      <c r="R25" s="723"/>
      <c r="S25" s="723"/>
      <c r="T25" s="724"/>
    </row>
    <row r="26" spans="1:20" ht="15.75" customHeight="1"/>
    <row r="27" spans="1:20" ht="15.75" customHeight="1">
      <c r="A27" s="59"/>
      <c r="B27" s="53" t="s">
        <v>30</v>
      </c>
      <c r="C27" s="53" t="s">
        <v>5</v>
      </c>
      <c r="D27" s="53" t="s">
        <v>31</v>
      </c>
      <c r="E27" s="53" t="s">
        <v>32</v>
      </c>
      <c r="F27" s="651"/>
      <c r="I27" s="52" t="s">
        <v>30</v>
      </c>
      <c r="J27" s="53" t="s">
        <v>5</v>
      </c>
      <c r="K27" s="53" t="s">
        <v>31</v>
      </c>
      <c r="L27" s="53" t="s">
        <v>32</v>
      </c>
      <c r="P27" s="52" t="s">
        <v>30</v>
      </c>
      <c r="Q27" s="53" t="s">
        <v>5</v>
      </c>
      <c r="R27" s="53" t="s">
        <v>31</v>
      </c>
      <c r="S27" s="53" t="s">
        <v>32</v>
      </c>
    </row>
    <row r="28" spans="1:20" ht="15.75" customHeight="1">
      <c r="B28" s="56" t="s">
        <v>33</v>
      </c>
      <c r="C28" s="56">
        <v>140000</v>
      </c>
      <c r="D28" s="56">
        <v>3</v>
      </c>
      <c r="E28" s="56">
        <f t="shared" ref="E28:E30" si="66">D28*C28</f>
        <v>420000</v>
      </c>
      <c r="F28" s="59"/>
      <c r="I28" s="671" t="s">
        <v>34</v>
      </c>
      <c r="J28" s="64">
        <v>235000</v>
      </c>
      <c r="K28" s="56">
        <v>3</v>
      </c>
      <c r="L28" s="56">
        <f t="shared" ref="L28:L30" si="67">K28*J28</f>
        <v>705000</v>
      </c>
      <c r="P28" s="671" t="s">
        <v>35</v>
      </c>
      <c r="Q28" s="64">
        <v>310000</v>
      </c>
      <c r="R28" s="56">
        <v>3</v>
      </c>
      <c r="S28" s="56">
        <f t="shared" ref="S28:S30" si="68">R28*Q28</f>
        <v>930000</v>
      </c>
    </row>
    <row r="29" spans="1:20" ht="15.75" customHeight="1">
      <c r="B29" s="56" t="s">
        <v>36</v>
      </c>
      <c r="C29" s="56">
        <v>110000</v>
      </c>
      <c r="D29" s="56">
        <v>3</v>
      </c>
      <c r="E29" s="56">
        <f t="shared" si="66"/>
        <v>330000</v>
      </c>
      <c r="F29" s="59"/>
      <c r="I29" s="672" t="s">
        <v>37</v>
      </c>
      <c r="J29" s="64">
        <v>149000</v>
      </c>
      <c r="K29" s="56">
        <v>3</v>
      </c>
      <c r="L29" s="56">
        <f t="shared" si="67"/>
        <v>447000</v>
      </c>
      <c r="P29" s="672" t="s">
        <v>38</v>
      </c>
      <c r="Q29" s="64">
        <v>125228</v>
      </c>
      <c r="R29" s="56">
        <v>3</v>
      </c>
      <c r="S29" s="56">
        <f t="shared" si="68"/>
        <v>375684</v>
      </c>
    </row>
    <row r="30" spans="1:20" ht="15.75" customHeight="1">
      <c r="B30" s="56" t="s">
        <v>39</v>
      </c>
      <c r="C30" s="56">
        <v>167900</v>
      </c>
      <c r="D30" s="56">
        <v>3</v>
      </c>
      <c r="E30" s="56">
        <f t="shared" si="66"/>
        <v>503700</v>
      </c>
      <c r="F30" s="59"/>
      <c r="I30" s="672" t="s">
        <v>40</v>
      </c>
      <c r="J30" s="64">
        <v>260000</v>
      </c>
      <c r="K30" s="56">
        <v>3</v>
      </c>
      <c r="L30" s="56">
        <f t="shared" si="67"/>
        <v>780000</v>
      </c>
      <c r="P30" s="672" t="s">
        <v>41</v>
      </c>
      <c r="Q30" s="64">
        <v>525600</v>
      </c>
      <c r="R30" s="56">
        <v>3</v>
      </c>
      <c r="S30" s="56">
        <f t="shared" si="68"/>
        <v>1576800</v>
      </c>
    </row>
    <row r="31" spans="1:20" ht="15.75" customHeight="1">
      <c r="F31" s="59"/>
    </row>
    <row r="32" spans="1:20" ht="15.75" customHeight="1">
      <c r="B32" s="53" t="s">
        <v>30</v>
      </c>
      <c r="C32" s="53" t="s">
        <v>6</v>
      </c>
      <c r="D32" s="53" t="s">
        <v>31</v>
      </c>
      <c r="E32" s="53" t="s">
        <v>32</v>
      </c>
      <c r="F32" s="59"/>
      <c r="I32" s="53" t="s">
        <v>30</v>
      </c>
      <c r="J32" s="53" t="s">
        <v>6</v>
      </c>
      <c r="K32" s="53" t="s">
        <v>31</v>
      </c>
      <c r="L32" s="53" t="s">
        <v>32</v>
      </c>
      <c r="P32" s="53" t="s">
        <v>30</v>
      </c>
      <c r="Q32" s="53" t="s">
        <v>6</v>
      </c>
      <c r="R32" s="53" t="s">
        <v>31</v>
      </c>
      <c r="S32" s="53" t="s">
        <v>32</v>
      </c>
    </row>
    <row r="33" spans="1:19" ht="15.75" customHeight="1">
      <c r="B33" s="56" t="s">
        <v>33</v>
      </c>
      <c r="C33" s="56">
        <f>150000/2</f>
        <v>75000</v>
      </c>
      <c r="D33" s="56">
        <v>3</v>
      </c>
      <c r="E33" s="56">
        <f t="shared" ref="E33:E35" si="69">D33*C33</f>
        <v>225000</v>
      </c>
      <c r="I33" s="671" t="s">
        <v>34</v>
      </c>
      <c r="J33" s="56">
        <f>260000/2</f>
        <v>130000</v>
      </c>
      <c r="K33" s="56">
        <v>3</v>
      </c>
      <c r="L33" s="56">
        <f t="shared" ref="L33:L35" si="70">K33*J33</f>
        <v>390000</v>
      </c>
      <c r="P33" s="671" t="s">
        <v>35</v>
      </c>
      <c r="Q33" s="56">
        <f>310000/2</f>
        <v>155000</v>
      </c>
      <c r="R33" s="56">
        <v>3</v>
      </c>
      <c r="S33" s="56">
        <f t="shared" ref="S33:S35" si="71">R33*Q33</f>
        <v>465000</v>
      </c>
    </row>
    <row r="34" spans="1:19" ht="15.75" customHeight="1">
      <c r="B34" s="56" t="s">
        <v>42</v>
      </c>
      <c r="C34" s="56">
        <f>133000/2</f>
        <v>66500</v>
      </c>
      <c r="D34" s="56">
        <v>3</v>
      </c>
      <c r="E34" s="56">
        <f t="shared" si="69"/>
        <v>199500</v>
      </c>
      <c r="I34" s="672" t="s">
        <v>37</v>
      </c>
      <c r="J34" s="56">
        <v>106000</v>
      </c>
      <c r="K34" s="56">
        <v>3</v>
      </c>
      <c r="L34" s="56">
        <f t="shared" si="70"/>
        <v>318000</v>
      </c>
      <c r="P34" s="672" t="s">
        <v>38</v>
      </c>
      <c r="Q34" s="673">
        <f>223081/2</f>
        <v>111540.5</v>
      </c>
      <c r="R34" s="56">
        <v>3</v>
      </c>
      <c r="S34" s="470">
        <f t="shared" si="71"/>
        <v>334621.5</v>
      </c>
    </row>
    <row r="35" spans="1:19" ht="15.75" customHeight="1">
      <c r="B35" s="56" t="s">
        <v>39</v>
      </c>
      <c r="C35" s="56">
        <f>223900/2</f>
        <v>111950</v>
      </c>
      <c r="D35" s="56">
        <v>3</v>
      </c>
      <c r="E35" s="56">
        <f t="shared" si="69"/>
        <v>335850</v>
      </c>
      <c r="I35" s="672" t="s">
        <v>40</v>
      </c>
      <c r="J35" s="56">
        <f>280000/2</f>
        <v>140000</v>
      </c>
      <c r="K35" s="56">
        <v>3</v>
      </c>
      <c r="L35" s="56">
        <f t="shared" si="70"/>
        <v>420000</v>
      </c>
      <c r="P35" s="672" t="s">
        <v>41</v>
      </c>
      <c r="Q35" s="56">
        <f>525600/2</f>
        <v>262800</v>
      </c>
      <c r="R35" s="56">
        <v>3</v>
      </c>
      <c r="S35" s="56">
        <f t="shared" si="71"/>
        <v>788400</v>
      </c>
    </row>
    <row r="36" spans="1:19" ht="15.75" customHeight="1"/>
    <row r="37" spans="1:19" ht="15.75" customHeight="1">
      <c r="B37" s="53" t="s">
        <v>30</v>
      </c>
      <c r="C37" s="53" t="s">
        <v>7</v>
      </c>
      <c r="D37" s="53" t="s">
        <v>31</v>
      </c>
      <c r="E37" s="53" t="s">
        <v>32</v>
      </c>
      <c r="I37" s="53" t="s">
        <v>30</v>
      </c>
      <c r="J37" s="53" t="s">
        <v>7</v>
      </c>
      <c r="K37" s="53" t="s">
        <v>31</v>
      </c>
      <c r="L37" s="53" t="s">
        <v>32</v>
      </c>
      <c r="P37" s="53" t="s">
        <v>30</v>
      </c>
      <c r="Q37" s="53" t="s">
        <v>7</v>
      </c>
      <c r="R37" s="53" t="s">
        <v>31</v>
      </c>
      <c r="S37" s="53" t="s">
        <v>32</v>
      </c>
    </row>
    <row r="38" spans="1:19" ht="15.75" customHeight="1">
      <c r="B38" s="56" t="s">
        <v>33</v>
      </c>
      <c r="C38" s="56" t="s">
        <v>43</v>
      </c>
      <c r="D38" s="56">
        <v>3</v>
      </c>
      <c r="E38" s="56" t="e">
        <f t="shared" ref="E38:E40" si="72">D38*C38</f>
        <v>#VALUE!</v>
      </c>
      <c r="I38" s="671" t="s">
        <v>34</v>
      </c>
      <c r="J38" s="59">
        <f>(260000+70000)/3</f>
        <v>110000</v>
      </c>
      <c r="K38" s="56">
        <v>3</v>
      </c>
      <c r="L38" s="56">
        <f t="shared" ref="L38:L39" si="73">K38*J38</f>
        <v>330000</v>
      </c>
      <c r="P38" s="671" t="s">
        <v>35</v>
      </c>
      <c r="Q38" s="56">
        <f>(310000+80000)/3</f>
        <v>130000</v>
      </c>
      <c r="R38" s="56">
        <v>3</v>
      </c>
      <c r="S38" s="56">
        <f t="shared" ref="S38:S40" si="74">R38*Q38</f>
        <v>390000</v>
      </c>
    </row>
    <row r="39" spans="1:19" ht="15.75" customHeight="1">
      <c r="B39" s="56" t="s">
        <v>42</v>
      </c>
      <c r="C39" s="470">
        <f>(133000+52000)/3</f>
        <v>61666.666666666664</v>
      </c>
      <c r="D39" s="56">
        <v>3</v>
      </c>
      <c r="E39" s="56">
        <f t="shared" si="72"/>
        <v>185000</v>
      </c>
      <c r="I39" s="672" t="s">
        <v>37</v>
      </c>
      <c r="J39" s="470">
        <v>104000</v>
      </c>
      <c r="K39" s="56">
        <v>3</v>
      </c>
      <c r="L39" s="56">
        <f t="shared" si="73"/>
        <v>312000</v>
      </c>
      <c r="P39" s="672" t="s">
        <v>38</v>
      </c>
      <c r="Q39" s="470">
        <f>263443/3</f>
        <v>87814.333333333328</v>
      </c>
      <c r="R39" s="56">
        <v>3</v>
      </c>
      <c r="S39" s="56">
        <f t="shared" si="74"/>
        <v>263443</v>
      </c>
    </row>
    <row r="40" spans="1:19" ht="15.75" customHeight="1">
      <c r="B40" s="56" t="s">
        <v>39</v>
      </c>
      <c r="C40" s="470">
        <f>(223900+70900)/3</f>
        <v>98266.666666666672</v>
      </c>
      <c r="D40" s="56">
        <v>3</v>
      </c>
      <c r="E40" s="56">
        <f t="shared" si="72"/>
        <v>294800</v>
      </c>
      <c r="I40" s="672" t="s">
        <v>40</v>
      </c>
      <c r="J40" s="673">
        <f>(280000+70000)/3</f>
        <v>116666.66666666667</v>
      </c>
      <c r="K40" s="56">
        <v>3</v>
      </c>
      <c r="L40" s="56">
        <f>J40*K40</f>
        <v>350000</v>
      </c>
      <c r="P40" s="672" t="s">
        <v>41</v>
      </c>
      <c r="Q40" s="56">
        <f>(525600+75000)/3</f>
        <v>200200</v>
      </c>
      <c r="R40" s="56">
        <v>3</v>
      </c>
      <c r="S40" s="56">
        <f t="shared" si="74"/>
        <v>600600</v>
      </c>
    </row>
    <row r="41" spans="1:19" ht="15.75" customHeight="1">
      <c r="B41" s="59"/>
      <c r="C41" s="59"/>
      <c r="D41" s="59"/>
      <c r="E41" s="59"/>
      <c r="I41" s="59"/>
      <c r="J41" s="59"/>
      <c r="K41" s="59"/>
      <c r="L41" s="59"/>
      <c r="P41" s="59"/>
      <c r="Q41" s="59"/>
      <c r="R41" s="59"/>
      <c r="S41" s="59"/>
    </row>
    <row r="42" spans="1:19" ht="15.75" customHeight="1">
      <c r="B42" s="53" t="s">
        <v>30</v>
      </c>
      <c r="C42" s="53" t="s">
        <v>8</v>
      </c>
      <c r="D42" s="53" t="s">
        <v>31</v>
      </c>
      <c r="E42" s="53" t="s">
        <v>32</v>
      </c>
      <c r="I42" s="53" t="s">
        <v>30</v>
      </c>
      <c r="J42" s="53" t="s">
        <v>8</v>
      </c>
      <c r="K42" s="53" t="s">
        <v>31</v>
      </c>
      <c r="L42" s="53" t="s">
        <v>32</v>
      </c>
      <c r="P42" s="53" t="s">
        <v>30</v>
      </c>
      <c r="Q42" s="53" t="s">
        <v>8</v>
      </c>
      <c r="R42" s="53" t="s">
        <v>31</v>
      </c>
      <c r="S42" s="53" t="s">
        <v>32</v>
      </c>
    </row>
    <row r="43" spans="1:19" ht="15.75" customHeight="1">
      <c r="B43" s="56" t="s">
        <v>33</v>
      </c>
      <c r="C43" s="56">
        <v>50000</v>
      </c>
      <c r="D43" s="56">
        <v>3</v>
      </c>
      <c r="E43" s="56">
        <f>D43*C43</f>
        <v>150000</v>
      </c>
      <c r="I43" s="671" t="s">
        <v>34</v>
      </c>
      <c r="J43" s="56">
        <f>(260000+70000)/3</f>
        <v>110000</v>
      </c>
      <c r="K43" s="56">
        <v>3</v>
      </c>
      <c r="L43" s="56">
        <f>K43*J43</f>
        <v>330000</v>
      </c>
      <c r="P43" s="671" t="s">
        <v>35</v>
      </c>
      <c r="Q43" s="56"/>
      <c r="R43" s="56">
        <v>3</v>
      </c>
      <c r="S43" s="56">
        <f>R43*Q43</f>
        <v>0</v>
      </c>
    </row>
    <row r="44" spans="1:19" ht="15.75" customHeight="1">
      <c r="B44" s="56" t="s">
        <v>42</v>
      </c>
      <c r="C44" s="56">
        <v>52000</v>
      </c>
      <c r="D44" s="56">
        <v>3</v>
      </c>
      <c r="E44" s="56">
        <f t="shared" ref="E44:E45" si="75">C44*D44</f>
        <v>156000</v>
      </c>
      <c r="I44" s="672" t="s">
        <v>37</v>
      </c>
      <c r="J44" s="56">
        <v>71000</v>
      </c>
      <c r="K44" s="56">
        <v>3</v>
      </c>
      <c r="L44" s="56">
        <f t="shared" ref="L44:L45" si="76">J44*K44</f>
        <v>213000</v>
      </c>
      <c r="P44" s="672" t="s">
        <v>38</v>
      </c>
      <c r="Q44" s="673">
        <f>(223081+57700)/3</f>
        <v>93593.666666666672</v>
      </c>
      <c r="R44" s="56">
        <v>3</v>
      </c>
      <c r="S44" s="56">
        <f t="shared" ref="S44:S45" si="77">Q44*R44</f>
        <v>280781</v>
      </c>
    </row>
    <row r="45" spans="1:19" ht="15.75" customHeight="1">
      <c r="B45" s="56" t="s">
        <v>39</v>
      </c>
      <c r="C45" s="56">
        <v>50900</v>
      </c>
      <c r="D45" s="56">
        <v>3</v>
      </c>
      <c r="E45" s="56">
        <f t="shared" si="75"/>
        <v>152700</v>
      </c>
      <c r="I45" s="672" t="s">
        <v>40</v>
      </c>
      <c r="J45" s="56"/>
      <c r="K45" s="56">
        <v>3</v>
      </c>
      <c r="L45" s="56">
        <f t="shared" si="76"/>
        <v>0</v>
      </c>
      <c r="P45" s="672" t="s">
        <v>41</v>
      </c>
      <c r="Q45" s="56">
        <v>29000</v>
      </c>
      <c r="R45" s="56">
        <v>3</v>
      </c>
      <c r="S45" s="56">
        <f t="shared" si="77"/>
        <v>87000</v>
      </c>
    </row>
    <row r="46" spans="1:19" ht="15.75" customHeight="1">
      <c r="B46" s="59"/>
      <c r="C46" s="59"/>
      <c r="D46" s="59"/>
      <c r="E46" s="59"/>
    </row>
    <row r="47" spans="1:19" ht="15.75" customHeight="1">
      <c r="B47" s="59"/>
      <c r="C47" s="59"/>
      <c r="D47" s="59"/>
      <c r="E47" s="59"/>
    </row>
    <row r="48" spans="1:19" ht="15.75" customHeight="1">
      <c r="A48" s="65" t="s">
        <v>3</v>
      </c>
      <c r="B48" s="66" t="s">
        <v>44</v>
      </c>
      <c r="C48" s="66" t="s">
        <v>45</v>
      </c>
      <c r="D48" s="66" t="s">
        <v>46</v>
      </c>
      <c r="E48" s="66" t="s">
        <v>5</v>
      </c>
      <c r="F48" s="66" t="s">
        <v>6</v>
      </c>
      <c r="G48" s="67" t="s">
        <v>7</v>
      </c>
      <c r="H48" s="68" t="s">
        <v>8</v>
      </c>
    </row>
    <row r="49" spans="1:9" ht="15.75" customHeight="1">
      <c r="A49" s="652" t="s">
        <v>9</v>
      </c>
    </row>
    <row r="50" spans="1:9" ht="15.75" customHeight="1">
      <c r="A50" s="716" t="s">
        <v>15</v>
      </c>
      <c r="B50" s="653" t="s">
        <v>47</v>
      </c>
      <c r="C50" s="654" t="s">
        <v>48</v>
      </c>
      <c r="D50" s="655" t="s">
        <v>49</v>
      </c>
      <c r="E50" s="85">
        <v>180000</v>
      </c>
      <c r="F50" s="656">
        <f t="shared" ref="F50:F51" si="78">E50/2</f>
        <v>90000</v>
      </c>
      <c r="G50" s="656">
        <f t="shared" ref="G50:G51" si="79">E50/3</f>
        <v>60000</v>
      </c>
      <c r="H50" s="656">
        <f t="shared" ref="H50:H51" si="80">G50</f>
        <v>60000</v>
      </c>
    </row>
    <row r="51" spans="1:9" ht="15.75" customHeight="1">
      <c r="A51" s="717"/>
      <c r="B51" s="82" t="s">
        <v>50</v>
      </c>
      <c r="C51" s="83" t="s">
        <v>51</v>
      </c>
      <c r="D51" s="84" t="s">
        <v>52</v>
      </c>
      <c r="E51" s="85">
        <v>150000</v>
      </c>
      <c r="F51" s="87">
        <f t="shared" si="78"/>
        <v>75000</v>
      </c>
      <c r="G51" s="87">
        <f t="shared" si="79"/>
        <v>50000</v>
      </c>
      <c r="H51" s="87">
        <f t="shared" si="80"/>
        <v>50000</v>
      </c>
    </row>
    <row r="52" spans="1:9" ht="15.75" customHeight="1">
      <c r="A52" s="717"/>
      <c r="B52" s="15" t="s">
        <v>53</v>
      </c>
      <c r="C52" s="15" t="s">
        <v>54</v>
      </c>
      <c r="D52" s="86"/>
      <c r="E52" s="87">
        <v>55000</v>
      </c>
      <c r="F52" s="15">
        <v>55000</v>
      </c>
      <c r="G52" s="15">
        <v>55000</v>
      </c>
      <c r="H52" s="15">
        <v>45000</v>
      </c>
    </row>
    <row r="53" spans="1:9" ht="15.75" customHeight="1">
      <c r="A53" s="718"/>
      <c r="B53" s="95" t="s">
        <v>55</v>
      </c>
      <c r="C53" s="96" t="s">
        <v>56</v>
      </c>
      <c r="D53" s="97" t="s">
        <v>57</v>
      </c>
      <c r="E53" s="98">
        <v>45000</v>
      </c>
      <c r="F53" s="98">
        <v>45000</v>
      </c>
      <c r="G53" s="5">
        <v>45000</v>
      </c>
      <c r="H53" s="15">
        <v>40000</v>
      </c>
      <c r="I53" s="59"/>
    </row>
    <row r="54" spans="1:9" ht="15.75" customHeight="1">
      <c r="A54" s="657"/>
      <c r="B54" s="100" t="s">
        <v>58</v>
      </c>
      <c r="C54" s="100"/>
      <c r="D54" s="100"/>
      <c r="E54" s="101">
        <f t="shared" ref="E54:H54" si="81">SUM(E50:E53)</f>
        <v>430000</v>
      </c>
      <c r="F54" s="101">
        <f t="shared" si="81"/>
        <v>265000</v>
      </c>
      <c r="G54" s="101">
        <f t="shared" si="81"/>
        <v>210000</v>
      </c>
      <c r="H54" s="101">
        <f t="shared" si="81"/>
        <v>195000</v>
      </c>
    </row>
    <row r="55" spans="1:9" ht="15.75" customHeight="1">
      <c r="A55" s="719" t="s">
        <v>16</v>
      </c>
      <c r="B55" s="102" t="s">
        <v>47</v>
      </c>
      <c r="C55" s="79" t="s">
        <v>59</v>
      </c>
      <c r="D55" s="80" t="s">
        <v>49</v>
      </c>
      <c r="E55" s="658">
        <v>300000</v>
      </c>
      <c r="F55" s="6">
        <f t="shared" ref="F55:F56" si="82">E55/2</f>
        <v>150000</v>
      </c>
      <c r="G55" s="659">
        <f t="shared" ref="G55:G56" si="83">E55/3</f>
        <v>100000</v>
      </c>
      <c r="H55" s="659">
        <f t="shared" ref="H55:H56" si="84">G55</f>
        <v>100000</v>
      </c>
    </row>
    <row r="56" spans="1:9" ht="15.75" customHeight="1">
      <c r="A56" s="715"/>
      <c r="B56" s="104" t="s">
        <v>50</v>
      </c>
      <c r="C56" s="105" t="s">
        <v>60</v>
      </c>
      <c r="D56" s="106" t="s">
        <v>52</v>
      </c>
      <c r="E56" s="660">
        <v>250000</v>
      </c>
      <c r="F56" s="15">
        <f t="shared" si="82"/>
        <v>125000</v>
      </c>
      <c r="G56" s="661">
        <f t="shared" si="83"/>
        <v>83333.333333333328</v>
      </c>
      <c r="H56" s="661">
        <f t="shared" si="84"/>
        <v>83333.333333333328</v>
      </c>
    </row>
    <row r="57" spans="1:9" ht="15.75" customHeight="1">
      <c r="A57" s="715"/>
      <c r="B57" s="108" t="s">
        <v>61</v>
      </c>
      <c r="C57" s="105" t="s">
        <v>56</v>
      </c>
      <c r="D57" s="106" t="s">
        <v>57</v>
      </c>
      <c r="E57" s="15">
        <v>60000</v>
      </c>
      <c r="F57" s="15">
        <f t="shared" ref="F57:F59" si="85">E57</f>
        <v>60000</v>
      </c>
      <c r="G57" s="15">
        <v>60000</v>
      </c>
      <c r="H57" s="15">
        <v>50000</v>
      </c>
    </row>
    <row r="58" spans="1:9" ht="15.75" customHeight="1">
      <c r="A58" s="715"/>
      <c r="B58" s="108" t="s">
        <v>62</v>
      </c>
      <c r="C58" s="105" t="s">
        <v>63</v>
      </c>
      <c r="D58" s="106" t="s">
        <v>64</v>
      </c>
      <c r="E58" s="15">
        <v>4000</v>
      </c>
      <c r="F58" s="15">
        <f t="shared" si="85"/>
        <v>4000</v>
      </c>
      <c r="G58" s="15">
        <f t="shared" ref="G58:G59" si="86">E58</f>
        <v>4000</v>
      </c>
      <c r="H58" s="15"/>
    </row>
    <row r="59" spans="1:9" ht="15.75" customHeight="1">
      <c r="A59" s="715"/>
      <c r="B59" s="109" t="s">
        <v>65</v>
      </c>
      <c r="C59" s="83" t="s">
        <v>63</v>
      </c>
      <c r="D59" s="110" t="s">
        <v>64</v>
      </c>
      <c r="E59" s="5">
        <v>20000</v>
      </c>
      <c r="F59" s="5">
        <f t="shared" si="85"/>
        <v>20000</v>
      </c>
      <c r="G59" s="5">
        <f t="shared" si="86"/>
        <v>20000</v>
      </c>
      <c r="H59" s="5"/>
    </row>
    <row r="60" spans="1:9" ht="15.75" customHeight="1">
      <c r="A60" s="662"/>
      <c r="B60" s="100" t="s">
        <v>58</v>
      </c>
      <c r="C60" s="100"/>
      <c r="D60" s="100"/>
      <c r="E60" s="100">
        <f t="shared" ref="E60:H60" si="87">SUM(E55:E59)</f>
        <v>634000</v>
      </c>
      <c r="F60" s="100">
        <f t="shared" si="87"/>
        <v>359000</v>
      </c>
      <c r="G60" s="112">
        <f t="shared" si="87"/>
        <v>267333.33333333331</v>
      </c>
      <c r="H60" s="112">
        <f t="shared" si="87"/>
        <v>233333.33333333331</v>
      </c>
    </row>
    <row r="61" spans="1:9" ht="15.75" customHeight="1">
      <c r="A61" s="113" t="s">
        <v>11</v>
      </c>
    </row>
    <row r="62" spans="1:9" ht="15.75" customHeight="1">
      <c r="A62" s="720" t="s">
        <v>66</v>
      </c>
      <c r="B62" s="663" t="s">
        <v>67</v>
      </c>
      <c r="C62" s="664" t="s">
        <v>68</v>
      </c>
      <c r="D62" s="665" t="s">
        <v>64</v>
      </c>
      <c r="E62" s="666">
        <v>102000</v>
      </c>
      <c r="F62" s="667">
        <f t="shared" ref="F62:F63" si="88">E62</f>
        <v>102000</v>
      </c>
      <c r="G62" s="667">
        <f t="shared" ref="G62:G63" si="89">E62</f>
        <v>102000</v>
      </c>
      <c r="H62" s="21">
        <v>63000</v>
      </c>
    </row>
    <row r="63" spans="1:9" ht="15.75" customHeight="1">
      <c r="A63" s="713"/>
      <c r="B63" s="123" t="s">
        <v>69</v>
      </c>
      <c r="C63" s="124" t="s">
        <v>56</v>
      </c>
      <c r="D63" s="125" t="s">
        <v>57</v>
      </c>
      <c r="E63" s="668">
        <v>50000</v>
      </c>
      <c r="F63" s="127">
        <f t="shared" si="88"/>
        <v>50000</v>
      </c>
      <c r="G63" s="127">
        <f t="shared" si="89"/>
        <v>50000</v>
      </c>
      <c r="H63" s="127">
        <v>40000</v>
      </c>
    </row>
    <row r="64" spans="1:9" ht="15.75" customHeight="1">
      <c r="A64" s="657"/>
      <c r="B64" s="100" t="s">
        <v>58</v>
      </c>
      <c r="C64" s="100"/>
      <c r="D64" s="100"/>
      <c r="E64" s="184">
        <f t="shared" ref="E64:H64" si="90">SUM(E62:E63)</f>
        <v>152000</v>
      </c>
      <c r="F64" s="184">
        <f t="shared" si="90"/>
        <v>152000</v>
      </c>
      <c r="G64" s="184">
        <f t="shared" si="90"/>
        <v>152000</v>
      </c>
      <c r="H64" s="184">
        <f t="shared" si="90"/>
        <v>103000</v>
      </c>
    </row>
    <row r="65" spans="1:8" ht="30.75" customHeight="1">
      <c r="A65" s="721" t="s">
        <v>70</v>
      </c>
      <c r="B65" s="677" t="s">
        <v>67</v>
      </c>
      <c r="C65" s="130" t="s">
        <v>71</v>
      </c>
      <c r="D65" s="678" t="s">
        <v>49</v>
      </c>
      <c r="E65" s="679">
        <v>170000</v>
      </c>
      <c r="F65" s="10">
        <f t="shared" ref="F65:F66" si="91">E65/2</f>
        <v>85000</v>
      </c>
      <c r="G65" s="680">
        <f t="shared" ref="G65:G66" si="92">E65/3</f>
        <v>56666.666666666664</v>
      </c>
      <c r="H65" s="680">
        <f t="shared" ref="H65:H66" si="93">E65/3</f>
        <v>56666.666666666664</v>
      </c>
    </row>
    <row r="66" spans="1:8" ht="15.75" customHeight="1">
      <c r="A66" s="710"/>
      <c r="B66" s="132" t="s">
        <v>72</v>
      </c>
      <c r="C66" s="133" t="s">
        <v>52</v>
      </c>
      <c r="D66" s="132" t="s">
        <v>52</v>
      </c>
      <c r="E66" s="681">
        <v>90000</v>
      </c>
      <c r="F66" s="667">
        <f t="shared" si="91"/>
        <v>45000</v>
      </c>
      <c r="G66" s="21">
        <f t="shared" si="92"/>
        <v>30000</v>
      </c>
      <c r="H66" s="21">
        <f t="shared" si="93"/>
        <v>30000</v>
      </c>
    </row>
    <row r="67" spans="1:8" ht="15.75" customHeight="1">
      <c r="A67" s="711"/>
      <c r="B67" s="136" t="s">
        <v>73</v>
      </c>
      <c r="C67" s="124" t="s">
        <v>74</v>
      </c>
      <c r="D67" s="136" t="s">
        <v>49</v>
      </c>
      <c r="E67" s="682">
        <v>4000</v>
      </c>
      <c r="F67" s="127">
        <f t="shared" ref="F67:G67" si="94">E67</f>
        <v>4000</v>
      </c>
      <c r="G67" s="127">
        <f t="shared" si="94"/>
        <v>4000</v>
      </c>
      <c r="H67" s="127">
        <f>F67</f>
        <v>4000</v>
      </c>
    </row>
    <row r="68" spans="1:8" ht="15.75" customHeight="1">
      <c r="A68" s="683"/>
      <c r="B68" s="140" t="s">
        <v>58</v>
      </c>
      <c r="C68" s="100"/>
      <c r="D68" s="100"/>
      <c r="E68" s="184">
        <f t="shared" ref="E68:H68" si="95">SUM(E65:E67)</f>
        <v>264000</v>
      </c>
      <c r="F68" s="100">
        <f t="shared" si="95"/>
        <v>134000</v>
      </c>
      <c r="G68" s="112">
        <f t="shared" si="95"/>
        <v>90666.666666666657</v>
      </c>
      <c r="H68" s="112">
        <f t="shared" si="95"/>
        <v>90666.666666666657</v>
      </c>
    </row>
    <row r="69" spans="1:8" ht="30.75" customHeight="1">
      <c r="A69" s="721" t="s">
        <v>75</v>
      </c>
      <c r="B69" s="678" t="s">
        <v>67</v>
      </c>
      <c r="C69" s="119" t="s">
        <v>76</v>
      </c>
      <c r="D69" s="678" t="s">
        <v>49</v>
      </c>
      <c r="E69" s="684">
        <v>308000</v>
      </c>
      <c r="F69" s="10">
        <f>E69/2</f>
        <v>154000</v>
      </c>
      <c r="G69" s="10">
        <f>E69/3</f>
        <v>102666.66666666667</v>
      </c>
      <c r="H69" s="10">
        <f>E69/3</f>
        <v>102666.66666666667</v>
      </c>
    </row>
    <row r="70" spans="1:8" ht="15.75" customHeight="1">
      <c r="A70" s="710"/>
      <c r="B70" s="685" t="s">
        <v>77</v>
      </c>
      <c r="C70" s="686" t="s">
        <v>78</v>
      </c>
      <c r="D70" s="132" t="s">
        <v>64</v>
      </c>
      <c r="E70" s="687">
        <v>65000</v>
      </c>
      <c r="F70" s="667">
        <f>E70</f>
        <v>65000</v>
      </c>
      <c r="G70" s="667">
        <f>E70</f>
        <v>65000</v>
      </c>
      <c r="H70" s="21">
        <v>45000</v>
      </c>
    </row>
    <row r="71" spans="1:8" ht="15.75" customHeight="1">
      <c r="A71" s="710"/>
      <c r="B71" s="136" t="s">
        <v>72</v>
      </c>
      <c r="C71" s="124" t="s">
        <v>52</v>
      </c>
      <c r="D71" s="136" t="s">
        <v>52</v>
      </c>
      <c r="E71" s="682">
        <v>90000</v>
      </c>
      <c r="F71" s="25">
        <f>E71/2</f>
        <v>45000</v>
      </c>
      <c r="G71" s="25">
        <f>E71/3</f>
        <v>30000</v>
      </c>
      <c r="H71" s="25">
        <f>E71/3</f>
        <v>30000</v>
      </c>
    </row>
    <row r="72" spans="1:8" ht="15.75" customHeight="1">
      <c r="A72" s="56"/>
      <c r="B72" s="100" t="s">
        <v>58</v>
      </c>
      <c r="C72" s="100"/>
      <c r="D72" s="100"/>
      <c r="E72" s="184">
        <f t="shared" ref="E72:H72" si="96">SUM(E69:E71)</f>
        <v>463000</v>
      </c>
      <c r="F72" s="184">
        <f t="shared" si="96"/>
        <v>264000</v>
      </c>
      <c r="G72" s="184">
        <f t="shared" si="96"/>
        <v>197666.66666666669</v>
      </c>
      <c r="H72" s="184">
        <f t="shared" si="96"/>
        <v>177666.66666666669</v>
      </c>
    </row>
    <row r="73" spans="1:8" ht="15.75" customHeight="1">
      <c r="A73" s="154" t="s">
        <v>12</v>
      </c>
    </row>
    <row r="74" spans="1:8" ht="15.75" customHeight="1">
      <c r="A74" s="709" t="s">
        <v>79</v>
      </c>
      <c r="B74" s="155" t="s">
        <v>80</v>
      </c>
      <c r="C74" s="156" t="s">
        <v>81</v>
      </c>
      <c r="D74" s="157" t="s">
        <v>49</v>
      </c>
      <c r="E74" s="688">
        <v>150000</v>
      </c>
      <c r="F74" s="182">
        <f t="shared" ref="F74:F75" si="97">E74/2</f>
        <v>75000</v>
      </c>
      <c r="G74" s="182">
        <f t="shared" ref="G74:G75" si="98">E74/3</f>
        <v>50000</v>
      </c>
      <c r="H74" s="182">
        <f t="shared" ref="H74:H75" si="99">E74/3</f>
        <v>50000</v>
      </c>
    </row>
    <row r="75" spans="1:8" ht="15.75" customHeight="1">
      <c r="A75" s="710"/>
      <c r="B75" s="159" t="s">
        <v>82</v>
      </c>
      <c r="C75" s="160" t="s">
        <v>83</v>
      </c>
      <c r="D75" s="161" t="s">
        <v>52</v>
      </c>
      <c r="E75" s="158">
        <v>80000</v>
      </c>
      <c r="F75" s="182">
        <f t="shared" si="97"/>
        <v>40000</v>
      </c>
      <c r="G75" s="689">
        <f t="shared" si="98"/>
        <v>26666.666666666668</v>
      </c>
      <c r="H75" s="689">
        <f t="shared" si="99"/>
        <v>26666.666666666668</v>
      </c>
    </row>
    <row r="76" spans="1:8" ht="15.75" customHeight="1">
      <c r="A76" s="711"/>
      <c r="B76" s="163" t="s">
        <v>84</v>
      </c>
      <c r="C76" s="164" t="s">
        <v>85</v>
      </c>
      <c r="D76" s="165" t="s">
        <v>57</v>
      </c>
      <c r="E76" s="166">
        <v>88000</v>
      </c>
      <c r="F76" s="167">
        <f>E76</f>
        <v>88000</v>
      </c>
      <c r="G76" s="167">
        <f>E76</f>
        <v>88000</v>
      </c>
      <c r="H76" s="168">
        <v>60000</v>
      </c>
    </row>
    <row r="77" spans="1:8" ht="15.75" customHeight="1">
      <c r="B77" s="100" t="s">
        <v>58</v>
      </c>
      <c r="C77" s="100"/>
      <c r="D77" s="100"/>
      <c r="E77" s="184">
        <f t="shared" ref="E77:H77" si="100">SUM(E74:E76)</f>
        <v>318000</v>
      </c>
      <c r="F77" s="184">
        <f t="shared" si="100"/>
        <v>203000</v>
      </c>
      <c r="G77" s="184">
        <f t="shared" si="100"/>
        <v>164666.66666666669</v>
      </c>
      <c r="H77" s="184">
        <f t="shared" si="100"/>
        <v>136666.66666666669</v>
      </c>
    </row>
    <row r="78" spans="1:8" ht="30.75" customHeight="1">
      <c r="A78" s="709" t="s">
        <v>86</v>
      </c>
      <c r="B78" s="170" t="s">
        <v>80</v>
      </c>
      <c r="C78" s="171" t="s">
        <v>87</v>
      </c>
      <c r="D78" s="690" t="s">
        <v>49</v>
      </c>
      <c r="E78" s="176">
        <v>250000</v>
      </c>
      <c r="F78" s="12">
        <f t="shared" ref="F78:F79" si="101">E78/2</f>
        <v>125000</v>
      </c>
      <c r="G78" s="691">
        <f t="shared" ref="G78:G79" si="102">E78/3</f>
        <v>83333.333333333328</v>
      </c>
      <c r="H78" s="691">
        <f t="shared" ref="H78:H79" si="103">E78/3</f>
        <v>83333.333333333328</v>
      </c>
    </row>
    <row r="79" spans="1:8" ht="15.75" customHeight="1">
      <c r="A79" s="710"/>
      <c r="B79" s="159" t="s">
        <v>82</v>
      </c>
      <c r="C79" s="160" t="s">
        <v>51</v>
      </c>
      <c r="D79" s="175" t="s">
        <v>52</v>
      </c>
      <c r="E79" s="692">
        <v>80000</v>
      </c>
      <c r="F79" s="182">
        <f t="shared" si="101"/>
        <v>40000</v>
      </c>
      <c r="G79" s="689">
        <f t="shared" si="102"/>
        <v>26666.666666666668</v>
      </c>
      <c r="H79" s="689">
        <f t="shared" si="103"/>
        <v>26666.666666666668</v>
      </c>
    </row>
    <row r="80" spans="1:8" ht="15.75" customHeight="1">
      <c r="A80" s="710"/>
      <c r="B80" s="175" t="s">
        <v>88</v>
      </c>
      <c r="C80" s="160" t="s">
        <v>89</v>
      </c>
      <c r="D80" s="175" t="s">
        <v>64</v>
      </c>
      <c r="E80" s="692">
        <v>40000</v>
      </c>
      <c r="F80" s="181">
        <f t="shared" ref="F80:F81" si="104">E80</f>
        <v>40000</v>
      </c>
      <c r="G80" s="181">
        <f t="shared" ref="G80:G81" si="105">E80</f>
        <v>40000</v>
      </c>
      <c r="H80" s="181"/>
    </row>
    <row r="81" spans="1:8" ht="15.75" customHeight="1">
      <c r="A81" s="711"/>
      <c r="B81" s="163" t="s">
        <v>90</v>
      </c>
      <c r="C81" s="164" t="s">
        <v>91</v>
      </c>
      <c r="D81" s="163" t="s">
        <v>64</v>
      </c>
      <c r="E81" s="178">
        <v>25000</v>
      </c>
      <c r="F81" s="167">
        <f t="shared" si="104"/>
        <v>25000</v>
      </c>
      <c r="G81" s="167">
        <f t="shared" si="105"/>
        <v>25000</v>
      </c>
      <c r="H81" s="168">
        <v>10500</v>
      </c>
    </row>
    <row r="82" spans="1:8" ht="15.75" customHeight="1">
      <c r="B82" s="141" t="s">
        <v>58</v>
      </c>
      <c r="C82" s="141"/>
      <c r="D82" s="141"/>
      <c r="E82" s="128">
        <f t="shared" ref="E82:H82" si="106">SUM(E78:E81)</f>
        <v>395000</v>
      </c>
      <c r="F82" s="128">
        <f t="shared" si="106"/>
        <v>230000</v>
      </c>
      <c r="G82" s="128">
        <f t="shared" si="106"/>
        <v>175000</v>
      </c>
      <c r="H82" s="128">
        <f t="shared" si="106"/>
        <v>120500</v>
      </c>
    </row>
    <row r="83" spans="1:8" ht="45.75" customHeight="1">
      <c r="A83" s="712" t="s">
        <v>92</v>
      </c>
      <c r="B83" s="179" t="s">
        <v>93</v>
      </c>
      <c r="C83" s="180" t="s">
        <v>94</v>
      </c>
      <c r="D83" s="179" t="s">
        <v>64</v>
      </c>
      <c r="E83" s="688">
        <v>137600</v>
      </c>
      <c r="F83" s="181">
        <f>E83</f>
        <v>137600</v>
      </c>
      <c r="G83" s="181">
        <f>E83</f>
        <v>137600</v>
      </c>
      <c r="H83" s="182">
        <v>84000</v>
      </c>
    </row>
    <row r="84" spans="1:8" ht="15.75" customHeight="1">
      <c r="A84" s="713"/>
      <c r="B84" s="179" t="s">
        <v>80</v>
      </c>
      <c r="C84" s="183" t="s">
        <v>95</v>
      </c>
      <c r="D84" s="179" t="s">
        <v>49</v>
      </c>
      <c r="E84" s="158">
        <v>75000</v>
      </c>
      <c r="F84" s="182">
        <f>E84/2</f>
        <v>37500</v>
      </c>
      <c r="G84" s="182">
        <f>E84/3</f>
        <v>25000</v>
      </c>
      <c r="H84" s="182">
        <f>E84/3</f>
        <v>25000</v>
      </c>
    </row>
    <row r="85" spans="1:8" ht="15.75" customHeight="1">
      <c r="A85" s="56"/>
      <c r="B85" s="100" t="s">
        <v>58</v>
      </c>
      <c r="C85" s="100"/>
      <c r="D85" s="100"/>
      <c r="E85" s="184">
        <f t="shared" ref="E85:H85" si="107">SUM(E83:E84)</f>
        <v>212600</v>
      </c>
      <c r="F85" s="184">
        <f t="shared" si="107"/>
        <v>175100</v>
      </c>
      <c r="G85" s="184">
        <f t="shared" si="107"/>
        <v>162600</v>
      </c>
      <c r="H85" s="184">
        <f t="shared" si="107"/>
        <v>109000</v>
      </c>
    </row>
    <row r="86" spans="1:8" ht="15.75" customHeight="1"/>
    <row r="87" spans="1:8" ht="15.75" customHeight="1"/>
    <row r="88" spans="1:8" ht="15.75" customHeight="1"/>
    <row r="89" spans="1:8" ht="15.75" customHeight="1"/>
    <row r="90" spans="1:8" ht="15.75" customHeight="1"/>
    <row r="91" spans="1:8" ht="15.75" customHeight="1"/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2:F2"/>
    <mergeCell ref="H2:M2"/>
    <mergeCell ref="O2:T2"/>
    <mergeCell ref="A25:F25"/>
    <mergeCell ref="H25:M25"/>
    <mergeCell ref="O25:T25"/>
    <mergeCell ref="A16:A20"/>
    <mergeCell ref="A74:A76"/>
    <mergeCell ref="A78:A81"/>
    <mergeCell ref="A83:A84"/>
    <mergeCell ref="H16:H20"/>
    <mergeCell ref="O16:O20"/>
    <mergeCell ref="A50:A53"/>
    <mergeCell ref="A55:A59"/>
    <mergeCell ref="A62:A63"/>
    <mergeCell ref="A65:A67"/>
    <mergeCell ref="A69:A71"/>
  </mergeCells>
  <hyperlinks>
    <hyperlink ref="B50" r:id="rId1" xr:uid="{00000000-0004-0000-0000-000000000000}"/>
    <hyperlink ref="B53" r:id="rId2" xr:uid="{00000000-0004-0000-0000-000001000000}"/>
    <hyperlink ref="B55" r:id="rId3" xr:uid="{00000000-0004-0000-0000-000002000000}"/>
    <hyperlink ref="B57" r:id="rId4" xr:uid="{00000000-0004-0000-0000-000003000000}"/>
    <hyperlink ref="B58" r:id="rId5" xr:uid="{00000000-0004-0000-0000-000004000000}"/>
    <hyperlink ref="B59" r:id="rId6" xr:uid="{00000000-0004-0000-0000-000005000000}"/>
    <hyperlink ref="B62" r:id="rId7" xr:uid="{00000000-0004-0000-0000-000006000000}"/>
    <hyperlink ref="B65" r:id="rId8" xr:uid="{00000000-0004-0000-0000-000007000000}"/>
    <hyperlink ref="B70" r:id="rId9" xr:uid="{00000000-0004-0000-0000-000008000000}"/>
    <hyperlink ref="B75" r:id="rId10" xr:uid="{00000000-0004-0000-0000-000009000000}"/>
    <hyperlink ref="B78" r:id="rId11" xr:uid="{00000000-0004-0000-0000-00000A000000}"/>
    <hyperlink ref="B79" r:id="rId12" xr:uid="{00000000-0004-0000-0000-00000B000000}"/>
  </hyperlinks>
  <pageMargins left="0.7" right="0.7" top="0.75" bottom="0.75" header="0" footer="0"/>
  <pageSetup orientation="portrait"/>
  <legacy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M104"/>
  <sheetViews>
    <sheetView topLeftCell="A70" workbookViewId="0">
      <selection activeCell="I8" sqref="I8"/>
    </sheetView>
  </sheetViews>
  <sheetFormatPr baseColWidth="10" defaultColWidth="11.42578125" defaultRowHeight="15"/>
  <cols>
    <col min="1" max="1" width="19.28515625" customWidth="1"/>
    <col min="2" max="2" width="25.42578125" customWidth="1"/>
    <col min="4" max="4" width="12.85546875" customWidth="1"/>
    <col min="9" max="9" width="25.42578125" customWidth="1"/>
  </cols>
  <sheetData>
    <row r="3" spans="1:13">
      <c r="A3" s="722" t="s">
        <v>1</v>
      </c>
      <c r="B3" s="722"/>
      <c r="C3" s="722"/>
      <c r="D3" s="722"/>
      <c r="E3" s="722"/>
      <c r="F3" s="722"/>
      <c r="H3" s="2"/>
      <c r="I3" s="2"/>
      <c r="J3" s="2"/>
      <c r="K3" s="2"/>
      <c r="L3" s="2"/>
      <c r="M3" s="2"/>
    </row>
    <row r="4" spans="1:13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5" t="s">
        <v>9</v>
      </c>
      <c r="B5" s="6" t="s">
        <v>10</v>
      </c>
      <c r="C5" s="7">
        <f>E34</f>
        <v>600000</v>
      </c>
      <c r="D5" s="7">
        <f>E40</f>
        <v>300000</v>
      </c>
      <c r="E5" s="7">
        <f>E46</f>
        <v>270000</v>
      </c>
      <c r="F5" s="7">
        <f>E52</f>
        <v>120000</v>
      </c>
      <c r="H5" s="8"/>
      <c r="I5" s="8"/>
      <c r="J5" s="88"/>
      <c r="K5" s="88"/>
      <c r="L5" s="88"/>
      <c r="M5" s="89"/>
    </row>
    <row r="6" spans="1:13">
      <c r="A6" s="9" t="s">
        <v>11</v>
      </c>
      <c r="B6" s="10" t="s">
        <v>97</v>
      </c>
      <c r="C6" s="11">
        <f>E35</f>
        <v>410000</v>
      </c>
      <c r="D6" s="11">
        <f>E41</f>
        <v>265000</v>
      </c>
      <c r="E6" s="11">
        <f>E47</f>
        <v>236666</v>
      </c>
      <c r="F6" s="11">
        <f>E53</f>
        <v>270000</v>
      </c>
      <c r="H6" s="8"/>
      <c r="I6" s="8"/>
      <c r="J6" s="88"/>
      <c r="K6" s="88"/>
      <c r="L6" s="88"/>
      <c r="M6" s="89"/>
    </row>
    <row r="7" spans="1:13">
      <c r="A7" s="12" t="s">
        <v>12</v>
      </c>
      <c r="B7" s="12" t="s">
        <v>10</v>
      </c>
      <c r="C7" s="13">
        <f t="shared" ref="C7" si="0">E37</f>
        <v>1440000</v>
      </c>
      <c r="D7" s="13">
        <f t="shared" ref="D7" si="1">E43</f>
        <v>780000</v>
      </c>
      <c r="E7" s="13">
        <f t="shared" ref="E7" si="2">E49</f>
        <v>620000</v>
      </c>
      <c r="F7" s="13">
        <f t="shared" ref="F7" si="3">E55</f>
        <v>0</v>
      </c>
      <c r="H7" s="8"/>
      <c r="I7" s="8"/>
      <c r="J7" s="88"/>
      <c r="K7" s="88"/>
      <c r="L7" s="88"/>
      <c r="M7" s="89"/>
    </row>
    <row r="8" spans="1:13">
      <c r="A8" s="14" t="s">
        <v>9</v>
      </c>
      <c r="B8" s="15" t="s">
        <v>13</v>
      </c>
      <c r="C8" s="16">
        <f>320000/16</f>
        <v>20000</v>
      </c>
      <c r="D8" s="16">
        <f>C8</f>
        <v>20000</v>
      </c>
      <c r="E8" s="16">
        <f>C8</f>
        <v>20000</v>
      </c>
      <c r="F8" s="16">
        <f>C8</f>
        <v>20000</v>
      </c>
      <c r="H8" s="4"/>
      <c r="I8" s="8"/>
      <c r="J8" s="88"/>
      <c r="K8" s="88"/>
      <c r="L8" s="88"/>
      <c r="M8" s="88"/>
    </row>
    <row r="9" spans="1:13">
      <c r="A9" s="17"/>
      <c r="B9" s="15" t="s">
        <v>14</v>
      </c>
      <c r="C9" s="16">
        <f>100000/16</f>
        <v>6250</v>
      </c>
      <c r="D9" s="16">
        <f>C9</f>
        <v>6250</v>
      </c>
      <c r="E9" s="16">
        <f>C9</f>
        <v>6250</v>
      </c>
      <c r="F9" s="16">
        <f>C9</f>
        <v>6250</v>
      </c>
      <c r="H9" s="8"/>
      <c r="I9" s="8"/>
      <c r="J9" s="88"/>
      <c r="K9" s="88"/>
      <c r="L9" s="88"/>
      <c r="M9" s="88"/>
    </row>
    <row r="10" spans="1:13">
      <c r="A10" s="17"/>
      <c r="B10" s="18" t="s">
        <v>101</v>
      </c>
      <c r="C10" s="16">
        <f>E61</f>
        <v>57812.5</v>
      </c>
      <c r="D10" s="16">
        <f>F61</f>
        <v>57812.5</v>
      </c>
      <c r="E10" s="16">
        <f>G61</f>
        <v>57812.5</v>
      </c>
      <c r="F10" s="16">
        <f>H61</f>
        <v>57812.5</v>
      </c>
      <c r="H10" s="8"/>
      <c r="I10" s="8"/>
      <c r="J10" s="88"/>
      <c r="K10" s="88"/>
      <c r="L10" s="88"/>
      <c r="M10" s="88"/>
    </row>
    <row r="11" spans="1:13">
      <c r="A11" s="17"/>
      <c r="B11" s="18" t="s">
        <v>197</v>
      </c>
      <c r="C11" s="16">
        <v>50000</v>
      </c>
      <c r="D11" s="16">
        <v>50000</v>
      </c>
      <c r="E11" s="16">
        <v>50000</v>
      </c>
      <c r="F11" s="16">
        <v>40000</v>
      </c>
      <c r="H11" s="8"/>
      <c r="I11" s="8"/>
      <c r="J11" s="88"/>
      <c r="K11" s="88"/>
      <c r="L11" s="88"/>
      <c r="M11" s="88"/>
    </row>
    <row r="12" spans="1:13">
      <c r="A12" s="17"/>
      <c r="B12" s="15" t="s">
        <v>15</v>
      </c>
      <c r="C12" s="16">
        <f>E66</f>
        <v>164375</v>
      </c>
      <c r="D12" s="16">
        <f>F66</f>
        <v>164375</v>
      </c>
      <c r="E12" s="16">
        <f>G66</f>
        <v>164375</v>
      </c>
      <c r="F12" s="16">
        <f>H66</f>
        <v>144375</v>
      </c>
      <c r="H12" s="8"/>
      <c r="I12" s="8"/>
      <c r="J12" s="88"/>
      <c r="K12" s="88"/>
      <c r="L12" s="88"/>
      <c r="M12" s="88"/>
    </row>
    <row r="13" spans="1:13">
      <c r="A13" s="6"/>
      <c r="B13" s="15" t="s">
        <v>16</v>
      </c>
      <c r="C13" s="19">
        <f>E72</f>
        <v>128875</v>
      </c>
      <c r="D13" s="19">
        <f>F72</f>
        <v>128875</v>
      </c>
      <c r="E13" s="19">
        <f>G72</f>
        <v>128875</v>
      </c>
      <c r="F13" s="19">
        <f>H72</f>
        <v>113875</v>
      </c>
      <c r="H13" s="8"/>
      <c r="I13" s="8"/>
      <c r="J13" s="88"/>
      <c r="K13" s="88"/>
      <c r="L13" s="88"/>
      <c r="M13" s="88"/>
    </row>
    <row r="14" spans="1:13" ht="30" customHeight="1">
      <c r="A14" s="20" t="s">
        <v>11</v>
      </c>
      <c r="B14" s="21" t="s">
        <v>13</v>
      </c>
      <c r="C14" s="22">
        <f>1040000/16</f>
        <v>65000</v>
      </c>
      <c r="D14" s="22">
        <f>C14</f>
        <v>65000</v>
      </c>
      <c r="E14" s="22">
        <f>C14</f>
        <v>65000</v>
      </c>
      <c r="F14" s="22">
        <f>C14</f>
        <v>65000</v>
      </c>
      <c r="H14" s="4"/>
      <c r="I14" s="8"/>
      <c r="J14" s="88"/>
      <c r="K14" s="88"/>
      <c r="L14" s="88"/>
      <c r="M14" s="88"/>
    </row>
    <row r="15" spans="1:13">
      <c r="A15" s="23"/>
      <c r="B15" s="21" t="s">
        <v>14</v>
      </c>
      <c r="C15" s="22">
        <f>170000/16</f>
        <v>10625</v>
      </c>
      <c r="D15" s="22">
        <f>C15</f>
        <v>10625</v>
      </c>
      <c r="E15" s="22">
        <f>C15</f>
        <v>10625</v>
      </c>
      <c r="F15" s="22">
        <f>C15</f>
        <v>10625</v>
      </c>
      <c r="H15" s="8"/>
      <c r="I15" s="8"/>
      <c r="J15" s="88"/>
      <c r="K15" s="88"/>
      <c r="L15" s="88"/>
      <c r="M15" s="88"/>
    </row>
    <row r="16" spans="1:13">
      <c r="A16" s="23"/>
      <c r="B16" s="24" t="s">
        <v>102</v>
      </c>
      <c r="C16" s="22">
        <f>E77</f>
        <v>80625</v>
      </c>
      <c r="D16" s="22">
        <f>F77</f>
        <v>80625</v>
      </c>
      <c r="E16" s="22">
        <f>G77</f>
        <v>80625</v>
      </c>
      <c r="F16" s="22">
        <f>H77</f>
        <v>70625</v>
      </c>
      <c r="H16" s="8"/>
      <c r="I16" s="8"/>
      <c r="J16" s="88"/>
      <c r="K16" s="88"/>
      <c r="L16" s="88"/>
      <c r="M16" s="88"/>
    </row>
    <row r="17" spans="1:13">
      <c r="A17" s="23"/>
      <c r="B17" s="25" t="s">
        <v>17</v>
      </c>
      <c r="C17" s="22">
        <f>E80</f>
        <v>117000</v>
      </c>
      <c r="D17" s="22">
        <f>F80</f>
        <v>117000</v>
      </c>
      <c r="E17" s="22">
        <f>G80</f>
        <v>117000</v>
      </c>
      <c r="F17" s="22">
        <f>H80</f>
        <v>69000</v>
      </c>
      <c r="H17" s="8"/>
      <c r="I17" s="8"/>
      <c r="J17" s="88"/>
      <c r="K17" s="88"/>
      <c r="L17" s="88"/>
      <c r="M17" s="88"/>
    </row>
    <row r="18" spans="1:13">
      <c r="A18" s="23"/>
      <c r="B18" s="26" t="s">
        <v>18</v>
      </c>
      <c r="C18" s="27">
        <f>E84</f>
        <v>51250</v>
      </c>
      <c r="D18" s="22">
        <f>F84</f>
        <v>51250</v>
      </c>
      <c r="E18" s="22">
        <f>G84</f>
        <v>51250</v>
      </c>
      <c r="F18" s="22">
        <f>H84</f>
        <v>51250</v>
      </c>
      <c r="H18" s="8"/>
      <c r="I18" s="90"/>
      <c r="J18" s="88"/>
      <c r="K18" s="88"/>
      <c r="L18" s="88"/>
      <c r="M18" s="88"/>
    </row>
    <row r="19" spans="1:13">
      <c r="A19" s="28"/>
      <c r="B19" s="26" t="s">
        <v>19</v>
      </c>
      <c r="C19" s="27">
        <f>E88</f>
        <v>122500</v>
      </c>
      <c r="D19" s="22">
        <f>F88</f>
        <v>122500</v>
      </c>
      <c r="E19" s="22">
        <f>G88</f>
        <v>122500</v>
      </c>
      <c r="F19" s="22">
        <f>H88</f>
        <v>102500</v>
      </c>
      <c r="H19" s="8"/>
      <c r="I19" s="90"/>
      <c r="J19" s="88"/>
      <c r="K19" s="88"/>
      <c r="L19" s="88"/>
      <c r="M19" s="88"/>
    </row>
    <row r="20" spans="1:13">
      <c r="A20" s="840" t="s">
        <v>12</v>
      </c>
      <c r="B20" s="29" t="s">
        <v>20</v>
      </c>
      <c r="C20" s="30">
        <f>300000/16</f>
        <v>18750</v>
      </c>
      <c r="D20" s="30">
        <f>C20</f>
        <v>18750</v>
      </c>
      <c r="E20" s="30">
        <f>C20</f>
        <v>18750</v>
      </c>
      <c r="F20" s="30">
        <f>C20</f>
        <v>18750</v>
      </c>
      <c r="H20" s="31"/>
      <c r="I20" s="91"/>
      <c r="J20" s="92"/>
      <c r="K20" s="88"/>
      <c r="L20" s="88"/>
      <c r="M20" s="88"/>
    </row>
    <row r="21" spans="1:13">
      <c r="A21" s="841"/>
      <c r="B21" s="32" t="s">
        <v>21</v>
      </c>
      <c r="C21" s="33">
        <f>130000/16</f>
        <v>8125</v>
      </c>
      <c r="D21" s="33">
        <f>C21</f>
        <v>8125</v>
      </c>
      <c r="E21" s="33">
        <f>C21</f>
        <v>8125</v>
      </c>
      <c r="F21" s="33">
        <f>C21</f>
        <v>8125</v>
      </c>
      <c r="H21" s="34"/>
      <c r="I21" s="91"/>
      <c r="J21" s="92"/>
      <c r="K21" s="88"/>
      <c r="L21" s="88"/>
      <c r="M21" s="88"/>
    </row>
    <row r="22" spans="1:13">
      <c r="A22" s="841"/>
      <c r="B22" s="35" t="s">
        <v>22</v>
      </c>
      <c r="C22" s="36">
        <f>E93</f>
        <v>57500</v>
      </c>
      <c r="D22" s="37">
        <f>F93</f>
        <v>57500</v>
      </c>
      <c r="E22" s="37">
        <f>G93</f>
        <v>57500</v>
      </c>
      <c r="F22" s="37">
        <f>H93</f>
        <v>57500</v>
      </c>
      <c r="H22" s="34"/>
      <c r="I22" s="8"/>
      <c r="J22" s="88"/>
      <c r="K22" s="88"/>
      <c r="L22" s="88"/>
      <c r="M22" s="88"/>
    </row>
    <row r="23" spans="1:13">
      <c r="A23" s="841"/>
      <c r="B23" s="35" t="s">
        <v>23</v>
      </c>
      <c r="C23" s="36">
        <f>E98</f>
        <v>134250</v>
      </c>
      <c r="D23" s="37">
        <f>F98</f>
        <v>134250</v>
      </c>
      <c r="E23" s="37">
        <f>G98</f>
        <v>134250</v>
      </c>
      <c r="F23" s="37">
        <f>H98</f>
        <v>80250</v>
      </c>
      <c r="H23" s="34"/>
      <c r="I23" s="8"/>
      <c r="J23" s="88"/>
      <c r="K23" s="88"/>
      <c r="L23" s="88"/>
      <c r="M23" s="88"/>
    </row>
    <row r="24" spans="1:13">
      <c r="A24" s="841"/>
      <c r="B24" s="35" t="s">
        <v>24</v>
      </c>
      <c r="C24" s="36">
        <f>E101</f>
        <v>177375</v>
      </c>
      <c r="D24" s="37">
        <f>F101</f>
        <v>177375</v>
      </c>
      <c r="E24" s="37">
        <f>G101</f>
        <v>177375</v>
      </c>
      <c r="F24" s="37">
        <f>H101</f>
        <v>113375</v>
      </c>
      <c r="H24" s="34"/>
      <c r="I24" s="8"/>
      <c r="J24" s="88"/>
      <c r="K24" s="88"/>
      <c r="L24" s="88"/>
      <c r="M24" s="88"/>
    </row>
    <row r="25" spans="1:13">
      <c r="A25" s="842"/>
      <c r="B25" s="38" t="s">
        <v>163</v>
      </c>
      <c r="C25" s="36">
        <f>E104</f>
        <v>89375</v>
      </c>
      <c r="D25" s="37">
        <f>F104</f>
        <v>89375</v>
      </c>
      <c r="E25" s="37">
        <f>G104</f>
        <v>89375</v>
      </c>
      <c r="F25" s="37">
        <f>H104</f>
        <v>69375</v>
      </c>
      <c r="H25" s="34"/>
      <c r="I25" s="8"/>
      <c r="J25" s="88"/>
      <c r="K25" s="88"/>
      <c r="L25" s="88"/>
      <c r="M25" s="88"/>
    </row>
    <row r="26" spans="1:13">
      <c r="A26" s="39" t="s">
        <v>165</v>
      </c>
      <c r="B26" s="40" t="s">
        <v>111</v>
      </c>
      <c r="C26" s="41">
        <v>17000</v>
      </c>
      <c r="D26" s="41">
        <v>17000</v>
      </c>
      <c r="E26" s="41">
        <v>17000</v>
      </c>
      <c r="F26" s="41">
        <v>17000</v>
      </c>
      <c r="H26" s="34"/>
      <c r="I26" s="8"/>
      <c r="J26" s="88"/>
      <c r="K26" s="88"/>
      <c r="L26" s="88"/>
      <c r="M26" s="88"/>
    </row>
    <row r="27" spans="1:13">
      <c r="A27" s="42"/>
      <c r="B27" s="43" t="s">
        <v>25</v>
      </c>
      <c r="C27" s="44">
        <f>SUM(C5:C26)</f>
        <v>3826687.5</v>
      </c>
      <c r="D27" s="44">
        <f t="shared" ref="D27:F27" si="4">SUM(D5:D26)</f>
        <v>2721687.5</v>
      </c>
      <c r="E27" s="44">
        <f t="shared" si="4"/>
        <v>2503353.5</v>
      </c>
      <c r="F27" s="44">
        <f t="shared" si="4"/>
        <v>1505687.5</v>
      </c>
      <c r="H27" s="4"/>
      <c r="I27" s="8"/>
      <c r="J27" s="88"/>
      <c r="K27" s="88"/>
      <c r="L27" s="88"/>
      <c r="M27" s="88"/>
    </row>
    <row r="28" spans="1:13">
      <c r="A28" s="45" t="s">
        <v>112</v>
      </c>
      <c r="B28" s="46">
        <v>0.76</v>
      </c>
      <c r="C28" s="47">
        <f>C27/B28</f>
        <v>5035115.1315789474</v>
      </c>
      <c r="D28" s="47">
        <f>D27/B28</f>
        <v>3581167.7631578948</v>
      </c>
      <c r="E28" s="47">
        <f>E27/B28</f>
        <v>3293886.1842105263</v>
      </c>
      <c r="F28" s="47">
        <f>F27/B28</f>
        <v>1981167.7631578946</v>
      </c>
      <c r="H28" s="8"/>
      <c r="I28" s="4"/>
      <c r="J28" s="89"/>
      <c r="K28" s="89"/>
      <c r="L28" s="89"/>
      <c r="M28" s="89"/>
    </row>
    <row r="29" spans="1:13">
      <c r="A29" s="48" t="s">
        <v>113</v>
      </c>
      <c r="B29" s="49">
        <v>3200</v>
      </c>
      <c r="C29" s="50">
        <f>C28/B29</f>
        <v>1573.473478618421</v>
      </c>
      <c r="D29" s="50">
        <f>D28/B29</f>
        <v>1119.1149259868421</v>
      </c>
      <c r="E29" s="50">
        <f>E28/B29</f>
        <v>1029.3394325657894</v>
      </c>
      <c r="F29" s="50">
        <f>F28/B29</f>
        <v>619.11492598684208</v>
      </c>
      <c r="H29" s="51"/>
      <c r="I29" s="51"/>
      <c r="J29" s="51"/>
      <c r="K29" s="51"/>
      <c r="L29" s="51"/>
      <c r="M29" s="51"/>
    </row>
    <row r="30" spans="1:13">
      <c r="H30" s="51"/>
      <c r="I30" s="51"/>
      <c r="J30" s="51"/>
      <c r="K30" s="51"/>
      <c r="L30" s="51"/>
      <c r="M30" s="51"/>
    </row>
    <row r="31" spans="1:13">
      <c r="A31" s="725" t="s">
        <v>28</v>
      </c>
      <c r="B31" s="723"/>
      <c r="C31" s="723"/>
      <c r="D31" s="723"/>
      <c r="E31" s="723"/>
      <c r="F31" s="724"/>
      <c r="H31" s="2"/>
      <c r="I31" s="34"/>
      <c r="J31" s="34"/>
      <c r="K31" s="34"/>
      <c r="L31" s="34"/>
      <c r="M31" s="34"/>
    </row>
    <row r="32" spans="1:13">
      <c r="H32" s="51"/>
      <c r="I32" s="51"/>
      <c r="J32" s="51"/>
      <c r="K32" s="51"/>
      <c r="L32" s="51"/>
      <c r="M32" s="51"/>
    </row>
    <row r="33" spans="2:13">
      <c r="B33" s="52" t="s">
        <v>30</v>
      </c>
      <c r="C33" s="53" t="s">
        <v>5</v>
      </c>
      <c r="D33" s="53" t="s">
        <v>31</v>
      </c>
      <c r="E33" s="53" t="s">
        <v>32</v>
      </c>
      <c r="H33" s="51"/>
      <c r="I33" s="4"/>
      <c r="J33" s="4"/>
      <c r="K33" s="4"/>
      <c r="L33" s="4"/>
      <c r="M33" s="51"/>
    </row>
    <row r="34" spans="2:13">
      <c r="B34" s="54" t="s">
        <v>115</v>
      </c>
      <c r="C34" s="55">
        <v>200000</v>
      </c>
      <c r="D34" s="56">
        <v>3</v>
      </c>
      <c r="E34" s="56">
        <f t="shared" ref="E34:E37" si="5">D34*C34</f>
        <v>600000</v>
      </c>
      <c r="H34" s="51"/>
      <c r="I34" s="93"/>
      <c r="J34" s="8"/>
      <c r="K34" s="8"/>
      <c r="L34" s="8"/>
      <c r="M34" s="51"/>
    </row>
    <row r="35" spans="2:13">
      <c r="B35" s="57" t="s">
        <v>167</v>
      </c>
      <c r="C35" s="55">
        <v>205000</v>
      </c>
      <c r="D35" s="56">
        <v>2</v>
      </c>
      <c r="E35" s="56">
        <f t="shared" si="5"/>
        <v>410000</v>
      </c>
      <c r="H35" s="51"/>
      <c r="I35" s="91"/>
      <c r="J35" s="8"/>
      <c r="K35" s="8"/>
      <c r="L35" s="8"/>
      <c r="M35" s="51"/>
    </row>
    <row r="36" spans="2:13">
      <c r="B36" s="57" t="s">
        <v>116</v>
      </c>
      <c r="C36" s="55"/>
      <c r="D36" s="56"/>
      <c r="E36" s="56">
        <f>C36*D36</f>
        <v>0</v>
      </c>
      <c r="H36" s="51"/>
      <c r="I36" s="91"/>
      <c r="J36" s="8"/>
      <c r="K36" s="8"/>
      <c r="L36" s="8"/>
      <c r="M36" s="51"/>
    </row>
    <row r="37" spans="2:13">
      <c r="B37" s="57" t="s">
        <v>40</v>
      </c>
      <c r="C37" s="55">
        <v>360000</v>
      </c>
      <c r="D37" s="56">
        <v>4</v>
      </c>
      <c r="E37" s="56">
        <f t="shared" si="5"/>
        <v>1440000</v>
      </c>
      <c r="H37" s="51"/>
      <c r="I37" s="91"/>
      <c r="J37" s="8"/>
      <c r="K37" s="8"/>
      <c r="L37" s="8"/>
      <c r="M37" s="51"/>
    </row>
    <row r="38" spans="2:13">
      <c r="H38" s="51"/>
      <c r="I38" s="51"/>
      <c r="J38" s="51"/>
      <c r="K38" s="51"/>
      <c r="L38" s="51"/>
      <c r="M38" s="51"/>
    </row>
    <row r="39" spans="2:13">
      <c r="B39" s="53" t="s">
        <v>30</v>
      </c>
      <c r="C39" s="53" t="s">
        <v>6</v>
      </c>
      <c r="D39" s="53" t="s">
        <v>31</v>
      </c>
      <c r="E39" s="53" t="s">
        <v>32</v>
      </c>
      <c r="H39" s="51"/>
      <c r="I39" s="4"/>
      <c r="J39" s="4"/>
      <c r="K39" s="4"/>
      <c r="L39" s="4"/>
      <c r="M39" s="51"/>
    </row>
    <row r="40" spans="2:13">
      <c r="B40" s="54" t="s">
        <v>115</v>
      </c>
      <c r="C40" s="58">
        <v>100000</v>
      </c>
      <c r="D40" s="56">
        <v>3</v>
      </c>
      <c r="E40" s="56">
        <f t="shared" ref="E40:E43" si="6">D40*C40</f>
        <v>300000</v>
      </c>
      <c r="H40" s="51"/>
      <c r="I40" s="93"/>
      <c r="J40" s="8"/>
      <c r="K40" s="8"/>
      <c r="L40" s="8"/>
      <c r="M40" s="51"/>
    </row>
    <row r="41" spans="2:13">
      <c r="B41" s="57" t="s">
        <v>167</v>
      </c>
      <c r="C41" s="58">
        <v>132500</v>
      </c>
      <c r="D41" s="56">
        <v>2</v>
      </c>
      <c r="E41" s="56">
        <f t="shared" si="6"/>
        <v>265000</v>
      </c>
      <c r="H41" s="51"/>
      <c r="I41" s="91"/>
      <c r="J41" s="94"/>
      <c r="K41" s="8"/>
      <c r="L41" s="94"/>
      <c r="M41" s="51"/>
    </row>
    <row r="42" spans="2:13">
      <c r="B42" s="57" t="s">
        <v>116</v>
      </c>
      <c r="C42" s="55"/>
      <c r="D42" s="56"/>
      <c r="E42" s="56">
        <f>C42*D42</f>
        <v>0</v>
      </c>
      <c r="H42" s="51"/>
      <c r="I42" s="91"/>
      <c r="J42" s="8"/>
      <c r="K42" s="8"/>
      <c r="L42" s="8"/>
      <c r="M42" s="51"/>
    </row>
    <row r="43" spans="2:13">
      <c r="B43" s="57" t="s">
        <v>40</v>
      </c>
      <c r="C43" s="58">
        <f>390000/2</f>
        <v>195000</v>
      </c>
      <c r="D43" s="56">
        <v>4</v>
      </c>
      <c r="E43" s="56">
        <f t="shared" si="6"/>
        <v>780000</v>
      </c>
      <c r="H43" s="51"/>
      <c r="I43" s="91"/>
      <c r="J43" s="8"/>
      <c r="K43" s="8"/>
      <c r="L43" s="8"/>
      <c r="M43" s="51"/>
    </row>
    <row r="44" spans="2:13">
      <c r="H44" s="51"/>
      <c r="I44" s="51"/>
      <c r="J44" s="51"/>
      <c r="K44" s="51"/>
      <c r="L44" s="51"/>
      <c r="M44" s="51"/>
    </row>
    <row r="45" spans="2:13">
      <c r="B45" s="53" t="s">
        <v>30</v>
      </c>
      <c r="C45" s="53" t="s">
        <v>7</v>
      </c>
      <c r="D45" s="53" t="s">
        <v>31</v>
      </c>
      <c r="E45" s="53" t="s">
        <v>32</v>
      </c>
      <c r="H45" s="51"/>
      <c r="I45" s="4"/>
      <c r="J45" s="4"/>
      <c r="K45" s="4"/>
      <c r="L45" s="4"/>
      <c r="M45" s="51"/>
    </row>
    <row r="46" spans="2:13">
      <c r="B46" s="54" t="s">
        <v>115</v>
      </c>
      <c r="C46" s="59">
        <f>(200000+70000)/3</f>
        <v>90000</v>
      </c>
      <c r="D46" s="56">
        <v>3</v>
      </c>
      <c r="E46" s="56">
        <f t="shared" ref="E46:E47" si="7">D46*C46</f>
        <v>270000</v>
      </c>
      <c r="H46" s="51"/>
      <c r="I46" s="93"/>
      <c r="J46" s="8"/>
      <c r="K46" s="8"/>
      <c r="L46" s="8"/>
      <c r="M46" s="51"/>
    </row>
    <row r="47" spans="2:13">
      <c r="B47" s="57" t="s">
        <v>167</v>
      </c>
      <c r="C47" s="60">
        <v>118333</v>
      </c>
      <c r="D47" s="56">
        <v>2</v>
      </c>
      <c r="E47" s="56">
        <f t="shared" si="7"/>
        <v>236666</v>
      </c>
      <c r="H47" s="51"/>
      <c r="I47" s="91"/>
      <c r="J47" s="94"/>
      <c r="K47" s="8"/>
      <c r="L47" s="8"/>
      <c r="M47" s="51"/>
    </row>
    <row r="48" spans="2:13">
      <c r="B48" s="57" t="s">
        <v>116</v>
      </c>
      <c r="C48" s="61"/>
      <c r="D48" s="56"/>
      <c r="E48" s="56">
        <f>C48*D48</f>
        <v>0</v>
      </c>
      <c r="H48" s="51"/>
      <c r="I48" s="91"/>
      <c r="J48" s="8"/>
      <c r="K48" s="8"/>
      <c r="L48" s="8"/>
      <c r="M48" s="51"/>
    </row>
    <row r="49" spans="1:13">
      <c r="B49" s="62" t="s">
        <v>40</v>
      </c>
      <c r="C49" s="63">
        <f>465000/3</f>
        <v>155000</v>
      </c>
      <c r="D49" s="64">
        <v>4</v>
      </c>
      <c r="E49" s="56">
        <f>C49*D49</f>
        <v>620000</v>
      </c>
      <c r="H49" s="51"/>
      <c r="I49" s="91"/>
      <c r="J49" s="8"/>
      <c r="K49" s="8"/>
      <c r="L49" s="8"/>
      <c r="M49" s="51"/>
    </row>
    <row r="50" spans="1:13">
      <c r="B50" s="59"/>
      <c r="C50" s="59"/>
      <c r="D50" s="59"/>
      <c r="E50" s="59"/>
      <c r="H50" s="51"/>
      <c r="I50" s="8"/>
      <c r="J50" s="8"/>
      <c r="K50" s="8"/>
      <c r="L50" s="8"/>
      <c r="M50" s="51"/>
    </row>
    <row r="51" spans="1:13">
      <c r="B51" s="53" t="s">
        <v>30</v>
      </c>
      <c r="C51" s="53" t="s">
        <v>8</v>
      </c>
      <c r="D51" s="53" t="s">
        <v>31</v>
      </c>
      <c r="E51" s="53" t="s">
        <v>32</v>
      </c>
      <c r="H51" s="51"/>
      <c r="I51" s="4"/>
      <c r="J51" s="4"/>
      <c r="K51" s="4"/>
      <c r="L51" s="4"/>
      <c r="M51" s="51"/>
    </row>
    <row r="52" spans="1:13">
      <c r="B52" s="54" t="s">
        <v>115</v>
      </c>
      <c r="C52" s="58">
        <v>40000</v>
      </c>
      <c r="D52" s="56">
        <v>3</v>
      </c>
      <c r="E52" s="56">
        <f>D52*C52</f>
        <v>120000</v>
      </c>
      <c r="H52" s="51"/>
      <c r="I52" s="93"/>
      <c r="J52" s="8"/>
      <c r="K52" s="8"/>
      <c r="L52" s="8"/>
      <c r="M52" s="51"/>
    </row>
    <row r="53" spans="1:13">
      <c r="B53" s="57" t="s">
        <v>167</v>
      </c>
      <c r="C53" s="58">
        <v>90000</v>
      </c>
      <c r="D53" s="56">
        <v>3</v>
      </c>
      <c r="E53" s="56">
        <f t="shared" ref="E53:E55" si="8">C53*D53</f>
        <v>270000</v>
      </c>
      <c r="H53" s="51"/>
      <c r="I53" s="91"/>
      <c r="J53" s="94"/>
      <c r="K53" s="8"/>
      <c r="L53" s="8"/>
      <c r="M53" s="51"/>
    </row>
    <row r="54" spans="1:13" ht="26.25">
      <c r="B54" s="57" t="s">
        <v>119</v>
      </c>
      <c r="C54" s="55"/>
      <c r="D54" s="56"/>
      <c r="E54" s="56">
        <f t="shared" si="8"/>
        <v>0</v>
      </c>
      <c r="H54" s="51"/>
      <c r="I54" s="91"/>
      <c r="J54" s="8"/>
      <c r="K54" s="8"/>
      <c r="L54" s="8"/>
      <c r="M54" s="51"/>
    </row>
    <row r="55" spans="1:13" ht="39">
      <c r="B55" s="57" t="s">
        <v>120</v>
      </c>
      <c r="C55" s="58">
        <v>0</v>
      </c>
      <c r="D55" s="56">
        <v>3</v>
      </c>
      <c r="E55" s="56">
        <f t="shared" si="8"/>
        <v>0</v>
      </c>
      <c r="H55" s="51"/>
      <c r="I55" s="91"/>
      <c r="J55" s="8"/>
      <c r="K55" s="8"/>
      <c r="L55" s="8"/>
      <c r="M55" s="51"/>
    </row>
    <row r="57" spans="1:13" ht="30">
      <c r="A57" s="65" t="s">
        <v>3</v>
      </c>
      <c r="B57" s="66" t="s">
        <v>44</v>
      </c>
      <c r="C57" s="66" t="s">
        <v>45</v>
      </c>
      <c r="D57" s="66" t="s">
        <v>46</v>
      </c>
      <c r="E57" s="66" t="s">
        <v>5</v>
      </c>
      <c r="F57" s="66" t="s">
        <v>6</v>
      </c>
      <c r="G57" s="67" t="s">
        <v>7</v>
      </c>
      <c r="H57" s="68" t="s">
        <v>8</v>
      </c>
    </row>
    <row r="58" spans="1:13">
      <c r="A58" s="69" t="s">
        <v>9</v>
      </c>
      <c r="B58" s="70"/>
      <c r="C58" s="70"/>
      <c r="D58" s="70"/>
      <c r="E58" s="70"/>
      <c r="F58" s="70"/>
      <c r="G58" s="70"/>
      <c r="H58" s="70"/>
    </row>
    <row r="59" spans="1:13" s="1" customFormat="1" ht="30" customHeight="1">
      <c r="A59" s="843" t="s">
        <v>101</v>
      </c>
      <c r="B59" s="71" t="s">
        <v>50</v>
      </c>
      <c r="C59" s="71" t="s">
        <v>52</v>
      </c>
      <c r="D59" s="71"/>
      <c r="E59" s="72">
        <f>125000/16</f>
        <v>7812.5</v>
      </c>
      <c r="F59" s="72">
        <f>E59</f>
        <v>7812.5</v>
      </c>
      <c r="G59" s="72">
        <f>E59</f>
        <v>7812.5</v>
      </c>
      <c r="H59" s="72">
        <f>E59</f>
        <v>7812.5</v>
      </c>
    </row>
    <row r="60" spans="1:13" s="1" customFormat="1">
      <c r="A60" s="843"/>
      <c r="B60" s="71" t="s">
        <v>123</v>
      </c>
      <c r="C60" s="73" t="s">
        <v>64</v>
      </c>
      <c r="D60" s="71"/>
      <c r="E60" s="71">
        <v>50000</v>
      </c>
      <c r="F60" s="71">
        <v>50000</v>
      </c>
      <c r="G60" s="71">
        <v>50000</v>
      </c>
      <c r="H60" s="71">
        <v>50000</v>
      </c>
    </row>
    <row r="61" spans="1:13" s="1" customFormat="1">
      <c r="A61" s="74"/>
      <c r="B61" s="75" t="s">
        <v>58</v>
      </c>
      <c r="C61" s="76"/>
      <c r="D61" s="76"/>
      <c r="E61" s="77">
        <f>SUM(E59:E60)</f>
        <v>57812.5</v>
      </c>
      <c r="F61" s="77">
        <f>SUM(F59:F60)</f>
        <v>57812.5</v>
      </c>
      <c r="G61" s="77">
        <f>SUM(G59:G60)</f>
        <v>57812.5</v>
      </c>
      <c r="H61" s="77">
        <f>SUM(H59:H60)</f>
        <v>57812.5</v>
      </c>
    </row>
    <row r="62" spans="1:13" ht="26.25">
      <c r="A62" s="844" t="s">
        <v>15</v>
      </c>
      <c r="B62" s="78" t="s">
        <v>170</v>
      </c>
      <c r="C62" s="79" t="s">
        <v>48</v>
      </c>
      <c r="D62" s="80" t="s">
        <v>49</v>
      </c>
      <c r="E62" s="81">
        <f>620000/16</f>
        <v>38750</v>
      </c>
      <c r="F62" s="81">
        <f>E62</f>
        <v>38750</v>
      </c>
      <c r="G62" s="81">
        <f>E62</f>
        <v>38750</v>
      </c>
      <c r="H62" s="81">
        <f>E62</f>
        <v>38750</v>
      </c>
    </row>
    <row r="63" spans="1:13" ht="26.25">
      <c r="A63" s="832"/>
      <c r="B63" s="82" t="s">
        <v>50</v>
      </c>
      <c r="C63" s="83" t="s">
        <v>51</v>
      </c>
      <c r="D63" s="84" t="s">
        <v>52</v>
      </c>
      <c r="E63" s="85">
        <f>250000/16</f>
        <v>15625</v>
      </c>
      <c r="F63" s="85">
        <f>E63</f>
        <v>15625</v>
      </c>
      <c r="G63" s="85">
        <f>E63</f>
        <v>15625</v>
      </c>
      <c r="H63" s="85">
        <f>E63</f>
        <v>15625</v>
      </c>
    </row>
    <row r="64" spans="1:13">
      <c r="A64" s="832"/>
      <c r="B64" s="15" t="s">
        <v>53</v>
      </c>
      <c r="C64" s="15" t="s">
        <v>54</v>
      </c>
      <c r="D64" s="86"/>
      <c r="E64" s="87">
        <v>60000</v>
      </c>
      <c r="F64" s="15">
        <v>60000</v>
      </c>
      <c r="G64" s="15">
        <v>60000</v>
      </c>
      <c r="H64" s="15">
        <v>50000</v>
      </c>
    </row>
    <row r="65" spans="1:8">
      <c r="A65" s="833"/>
      <c r="B65" s="95" t="s">
        <v>55</v>
      </c>
      <c r="C65" s="96" t="s">
        <v>56</v>
      </c>
      <c r="D65" s="97" t="s">
        <v>57</v>
      </c>
      <c r="E65" s="98">
        <v>50000</v>
      </c>
      <c r="F65" s="98">
        <v>50000</v>
      </c>
      <c r="G65" s="5">
        <v>50000</v>
      </c>
      <c r="H65" s="15">
        <v>40000</v>
      </c>
    </row>
    <row r="66" spans="1:8">
      <c r="A66" s="99"/>
      <c r="B66" s="100" t="s">
        <v>58</v>
      </c>
      <c r="C66" s="100"/>
      <c r="D66" s="100"/>
      <c r="E66" s="101">
        <f t="shared" ref="E66:H66" si="9">SUM(E62:E65)</f>
        <v>164375</v>
      </c>
      <c r="F66" s="101">
        <f t="shared" si="9"/>
        <v>164375</v>
      </c>
      <c r="G66" s="101">
        <f t="shared" si="9"/>
        <v>164375</v>
      </c>
      <c r="H66" s="101">
        <f t="shared" si="9"/>
        <v>144375</v>
      </c>
    </row>
    <row r="67" spans="1:8" ht="45">
      <c r="A67" s="719" t="s">
        <v>16</v>
      </c>
      <c r="B67" s="102" t="s">
        <v>47</v>
      </c>
      <c r="C67" s="79" t="s">
        <v>59</v>
      </c>
      <c r="D67" s="80" t="s">
        <v>49</v>
      </c>
      <c r="E67" s="103">
        <f>580000/16</f>
        <v>36250</v>
      </c>
      <c r="F67" s="103">
        <f>E67</f>
        <v>36250</v>
      </c>
      <c r="G67" s="103">
        <f>E67</f>
        <v>36250</v>
      </c>
      <c r="H67" s="103">
        <f>E67</f>
        <v>36250</v>
      </c>
    </row>
    <row r="68" spans="1:8" ht="26.25">
      <c r="A68" s="832"/>
      <c r="B68" s="104" t="s">
        <v>50</v>
      </c>
      <c r="C68" s="105" t="s">
        <v>60</v>
      </c>
      <c r="D68" s="106" t="s">
        <v>52</v>
      </c>
      <c r="E68" s="107">
        <f>250000/16</f>
        <v>15625</v>
      </c>
      <c r="F68" s="107">
        <f>E68</f>
        <v>15625</v>
      </c>
      <c r="G68" s="107">
        <f>E68</f>
        <v>15625</v>
      </c>
      <c r="H68" s="107">
        <f>E68</f>
        <v>15625</v>
      </c>
    </row>
    <row r="69" spans="1:8">
      <c r="A69" s="832"/>
      <c r="B69" s="108" t="s">
        <v>61</v>
      </c>
      <c r="C69" s="105" t="s">
        <v>56</v>
      </c>
      <c r="D69" s="106" t="s">
        <v>57</v>
      </c>
      <c r="E69" s="15">
        <v>50000</v>
      </c>
      <c r="F69" s="15">
        <f t="shared" ref="F69:F71" si="10">E69</f>
        <v>50000</v>
      </c>
      <c r="G69" s="15">
        <f>E69</f>
        <v>50000</v>
      </c>
      <c r="H69" s="15">
        <v>40000</v>
      </c>
    </row>
    <row r="70" spans="1:8">
      <c r="A70" s="832"/>
      <c r="B70" s="108" t="s">
        <v>62</v>
      </c>
      <c r="C70" s="105" t="s">
        <v>63</v>
      </c>
      <c r="D70" s="106" t="s">
        <v>64</v>
      </c>
      <c r="E70" s="15">
        <v>5000</v>
      </c>
      <c r="F70" s="15">
        <f t="shared" si="10"/>
        <v>5000</v>
      </c>
      <c r="G70" s="15">
        <f t="shared" ref="G70:H71" si="11">E70</f>
        <v>5000</v>
      </c>
      <c r="H70" s="15">
        <f t="shared" si="11"/>
        <v>5000</v>
      </c>
    </row>
    <row r="71" spans="1:8">
      <c r="A71" s="833"/>
      <c r="B71" s="109" t="s">
        <v>65</v>
      </c>
      <c r="C71" s="83" t="s">
        <v>63</v>
      </c>
      <c r="D71" s="110" t="s">
        <v>64</v>
      </c>
      <c r="E71" s="5">
        <v>22000</v>
      </c>
      <c r="F71" s="5">
        <f t="shared" si="10"/>
        <v>22000</v>
      </c>
      <c r="G71" s="5">
        <f t="shared" si="11"/>
        <v>22000</v>
      </c>
      <c r="H71" s="5">
        <v>17000</v>
      </c>
    </row>
    <row r="72" spans="1:8">
      <c r="A72" s="111"/>
      <c r="B72" s="100" t="s">
        <v>58</v>
      </c>
      <c r="C72" s="100"/>
      <c r="D72" s="100"/>
      <c r="E72" s="112">
        <f t="shared" ref="E72:H72" si="12">SUM(E67:E71)</f>
        <v>128875</v>
      </c>
      <c r="F72" s="112">
        <f t="shared" si="12"/>
        <v>128875</v>
      </c>
      <c r="G72" s="112">
        <f t="shared" si="12"/>
        <v>128875</v>
      </c>
      <c r="H72" s="112">
        <f t="shared" si="12"/>
        <v>113875</v>
      </c>
    </row>
    <row r="73" spans="1:8">
      <c r="A73" s="113" t="s">
        <v>11</v>
      </c>
    </row>
    <row r="74" spans="1:8" ht="15" customHeight="1">
      <c r="A74" s="793" t="s">
        <v>102</v>
      </c>
      <c r="B74" s="114" t="s">
        <v>131</v>
      </c>
      <c r="C74" s="114" t="s">
        <v>254</v>
      </c>
      <c r="D74" s="114" t="s">
        <v>49</v>
      </c>
      <c r="E74" s="115">
        <f>480000/16</f>
        <v>30000</v>
      </c>
      <c r="F74" s="115">
        <f>E74</f>
        <v>30000</v>
      </c>
      <c r="G74" s="115">
        <f>E74</f>
        <v>30000</v>
      </c>
      <c r="H74" s="115">
        <f>E74</f>
        <v>30000</v>
      </c>
    </row>
    <row r="75" spans="1:8">
      <c r="A75" s="794"/>
      <c r="B75" s="114" t="s">
        <v>132</v>
      </c>
      <c r="C75" s="114" t="s">
        <v>52</v>
      </c>
      <c r="D75" s="114" t="s">
        <v>52</v>
      </c>
      <c r="E75" s="115">
        <f>170000/16</f>
        <v>10625</v>
      </c>
      <c r="F75" s="115">
        <f>E75</f>
        <v>10625</v>
      </c>
      <c r="G75" s="115">
        <f>E75</f>
        <v>10625</v>
      </c>
      <c r="H75" s="115">
        <f>E75</f>
        <v>10625</v>
      </c>
    </row>
    <row r="76" spans="1:8">
      <c r="A76" s="795"/>
      <c r="B76" s="114" t="s">
        <v>173</v>
      </c>
      <c r="C76" s="114" t="s">
        <v>56</v>
      </c>
      <c r="D76" s="114" t="s">
        <v>57</v>
      </c>
      <c r="E76" s="116">
        <v>40000</v>
      </c>
      <c r="F76" s="116">
        <v>40000</v>
      </c>
      <c r="G76" s="116">
        <v>40000</v>
      </c>
      <c r="H76" s="116">
        <v>30000</v>
      </c>
    </row>
    <row r="77" spans="1:8">
      <c r="A77" s="117"/>
      <c r="B77" s="75" t="s">
        <v>58</v>
      </c>
      <c r="C77" s="76"/>
      <c r="D77" s="76"/>
      <c r="E77" s="77">
        <f>SUM(E74:E76)</f>
        <v>80625</v>
      </c>
      <c r="F77" s="77">
        <f>SUM(F74:F76)</f>
        <v>80625</v>
      </c>
      <c r="G77" s="77">
        <f>SUM(G74:G76)</f>
        <v>80625</v>
      </c>
      <c r="H77" s="77">
        <f>SUM(H74:H76)</f>
        <v>70625</v>
      </c>
    </row>
    <row r="78" spans="1:8" ht="38.25">
      <c r="A78" s="720" t="s">
        <v>66</v>
      </c>
      <c r="B78" s="118" t="s">
        <v>67</v>
      </c>
      <c r="C78" s="119" t="s">
        <v>68</v>
      </c>
      <c r="D78" s="120" t="s">
        <v>64</v>
      </c>
      <c r="E78" s="121">
        <v>117000</v>
      </c>
      <c r="F78" s="122">
        <f t="shared" ref="F78:F79" si="13">E78</f>
        <v>117000</v>
      </c>
      <c r="G78" s="122">
        <f t="shared" ref="G78:G79" si="14">E78</f>
        <v>117000</v>
      </c>
      <c r="H78" s="10">
        <v>69000</v>
      </c>
    </row>
    <row r="79" spans="1:8">
      <c r="A79" s="834"/>
      <c r="B79" s="123"/>
      <c r="C79" s="124" t="s">
        <v>56</v>
      </c>
      <c r="D79" s="125" t="s">
        <v>57</v>
      </c>
      <c r="E79" s="126"/>
      <c r="F79" s="127">
        <f t="shared" si="13"/>
        <v>0</v>
      </c>
      <c r="G79" s="127">
        <f t="shared" si="14"/>
        <v>0</v>
      </c>
      <c r="H79" s="127"/>
    </row>
    <row r="80" spans="1:8">
      <c r="A80" s="99"/>
      <c r="B80" s="100" t="s">
        <v>58</v>
      </c>
      <c r="C80" s="100"/>
      <c r="D80" s="100"/>
      <c r="E80" s="128">
        <f t="shared" ref="E80:H80" si="15">SUM(E78:E79)</f>
        <v>117000</v>
      </c>
      <c r="F80" s="128">
        <f t="shared" si="15"/>
        <v>117000</v>
      </c>
      <c r="G80" s="128">
        <f t="shared" si="15"/>
        <v>117000</v>
      </c>
      <c r="H80" s="128">
        <f t="shared" si="15"/>
        <v>69000</v>
      </c>
    </row>
    <row r="81" spans="1:8" ht="60.75" customHeight="1">
      <c r="A81" s="721" t="s">
        <v>70</v>
      </c>
      <c r="B81" s="129" t="s">
        <v>131</v>
      </c>
      <c r="C81" s="130" t="s">
        <v>71</v>
      </c>
      <c r="D81" s="120" t="s">
        <v>49</v>
      </c>
      <c r="E81" s="131">
        <f>490000/16</f>
        <v>30625</v>
      </c>
      <c r="F81" s="131">
        <f>E81</f>
        <v>30625</v>
      </c>
      <c r="G81" s="131">
        <f>E81</f>
        <v>30625</v>
      </c>
      <c r="H81" s="131">
        <f>E81</f>
        <v>30625</v>
      </c>
    </row>
    <row r="82" spans="1:8">
      <c r="A82" s="835"/>
      <c r="B82" s="132" t="s">
        <v>72</v>
      </c>
      <c r="C82" s="133" t="s">
        <v>52</v>
      </c>
      <c r="D82" s="134" t="s">
        <v>52</v>
      </c>
      <c r="E82" s="135">
        <f>170000/16</f>
        <v>10625</v>
      </c>
      <c r="F82" s="135">
        <f>E82</f>
        <v>10625</v>
      </c>
      <c r="G82" s="135">
        <f>E82</f>
        <v>10625</v>
      </c>
      <c r="H82" s="135">
        <f>E82</f>
        <v>10625</v>
      </c>
    </row>
    <row r="83" spans="1:8" ht="38.25">
      <c r="A83" s="836"/>
      <c r="B83" s="136" t="s">
        <v>73</v>
      </c>
      <c r="C83" s="124" t="s">
        <v>74</v>
      </c>
      <c r="D83" s="136" t="s">
        <v>49</v>
      </c>
      <c r="E83" s="137">
        <v>10000</v>
      </c>
      <c r="F83" s="138">
        <f t="shared" ref="F83:G83" si="16">E83</f>
        <v>10000</v>
      </c>
      <c r="G83" s="138">
        <f t="shared" si="16"/>
        <v>10000</v>
      </c>
      <c r="H83" s="138">
        <f>F83</f>
        <v>10000</v>
      </c>
    </row>
    <row r="84" spans="1:8">
      <c r="A84" s="139"/>
      <c r="B84" s="140" t="s">
        <v>58</v>
      </c>
      <c r="C84" s="100"/>
      <c r="D84" s="141"/>
      <c r="E84" s="128">
        <f t="shared" ref="E84:H84" si="17">SUM(E81:E83)</f>
        <v>51250</v>
      </c>
      <c r="F84" s="142">
        <f t="shared" si="17"/>
        <v>51250</v>
      </c>
      <c r="G84" s="142">
        <f t="shared" si="17"/>
        <v>51250</v>
      </c>
      <c r="H84" s="142">
        <f t="shared" si="17"/>
        <v>51250</v>
      </c>
    </row>
    <row r="85" spans="1:8" ht="60.75" customHeight="1">
      <c r="A85" s="837" t="s">
        <v>175</v>
      </c>
      <c r="B85" s="143" t="s">
        <v>131</v>
      </c>
      <c r="C85" s="144" t="s">
        <v>255</v>
      </c>
      <c r="D85" s="145" t="s">
        <v>49</v>
      </c>
      <c r="E85" s="131">
        <f>620000/16</f>
        <v>38750</v>
      </c>
      <c r="F85" s="131">
        <f>E85</f>
        <v>38750</v>
      </c>
      <c r="G85" s="131">
        <f>E85</f>
        <v>38750</v>
      </c>
      <c r="H85" s="131">
        <f>E85</f>
        <v>38750</v>
      </c>
    </row>
    <row r="86" spans="1:8" ht="25.5">
      <c r="A86" s="838"/>
      <c r="B86" s="146" t="s">
        <v>138</v>
      </c>
      <c r="C86" s="147" t="s">
        <v>256</v>
      </c>
      <c r="D86" s="145" t="s">
        <v>64</v>
      </c>
      <c r="E86" s="131">
        <v>65000</v>
      </c>
      <c r="F86" s="148">
        <f>E86</f>
        <v>65000</v>
      </c>
      <c r="G86" s="148">
        <f>E86</f>
        <v>65000</v>
      </c>
      <c r="H86" s="149">
        <v>45000</v>
      </c>
    </row>
    <row r="87" spans="1:8">
      <c r="A87" s="839"/>
      <c r="B87" s="136" t="s">
        <v>72</v>
      </c>
      <c r="C87" s="150" t="s">
        <v>52</v>
      </c>
      <c r="D87" s="145" t="s">
        <v>52</v>
      </c>
      <c r="E87" s="135">
        <f>300000/16</f>
        <v>18750</v>
      </c>
      <c r="F87" s="135">
        <f>E87</f>
        <v>18750</v>
      </c>
      <c r="G87" s="135">
        <f>E87</f>
        <v>18750</v>
      </c>
      <c r="H87" s="135">
        <f>E87</f>
        <v>18750</v>
      </c>
    </row>
    <row r="88" spans="1:8">
      <c r="A88" s="151"/>
      <c r="B88" s="100" t="s">
        <v>58</v>
      </c>
      <c r="C88" s="100"/>
      <c r="D88" s="152"/>
      <c r="E88" s="153">
        <f t="shared" ref="E88:H88" si="18">SUM(E85:E87)</f>
        <v>122500</v>
      </c>
      <c r="F88" s="153">
        <f t="shared" si="18"/>
        <v>122500</v>
      </c>
      <c r="G88" s="153">
        <f t="shared" si="18"/>
        <v>122500</v>
      </c>
      <c r="H88" s="153">
        <f t="shared" si="18"/>
        <v>102500</v>
      </c>
    </row>
    <row r="89" spans="1:8">
      <c r="A89" s="154" t="s">
        <v>12</v>
      </c>
    </row>
    <row r="90" spans="1:8" ht="45.75" customHeight="1">
      <c r="A90" s="709" t="s">
        <v>79</v>
      </c>
      <c r="B90" s="155" t="s">
        <v>80</v>
      </c>
      <c r="C90" s="156" t="s">
        <v>81</v>
      </c>
      <c r="D90" s="157" t="s">
        <v>49</v>
      </c>
      <c r="E90" s="158">
        <f>300000/16</f>
        <v>18750</v>
      </c>
      <c r="F90" s="158">
        <f>E90</f>
        <v>18750</v>
      </c>
      <c r="G90" s="158">
        <f>E90</f>
        <v>18750</v>
      </c>
      <c r="H90" s="158">
        <f>E90</f>
        <v>18750</v>
      </c>
    </row>
    <row r="91" spans="1:8" ht="39" customHeight="1">
      <c r="A91" s="829"/>
      <c r="B91" s="159" t="s">
        <v>82</v>
      </c>
      <c r="C91" s="160" t="s">
        <v>83</v>
      </c>
      <c r="D91" s="161" t="s">
        <v>52</v>
      </c>
      <c r="E91" s="162">
        <f>300000/16</f>
        <v>18750</v>
      </c>
      <c r="F91" s="162">
        <f>E91</f>
        <v>18750</v>
      </c>
      <c r="G91" s="162">
        <f>E91</f>
        <v>18750</v>
      </c>
      <c r="H91" s="162">
        <f>E91</f>
        <v>18750</v>
      </c>
    </row>
    <row r="92" spans="1:8" ht="26.25">
      <c r="A92" s="830"/>
      <c r="B92" s="163" t="s">
        <v>183</v>
      </c>
      <c r="C92" s="164" t="s">
        <v>257</v>
      </c>
      <c r="D92" s="165" t="s">
        <v>64</v>
      </c>
      <c r="E92" s="166">
        <v>20000</v>
      </c>
      <c r="F92" s="167">
        <f>E92</f>
        <v>20000</v>
      </c>
      <c r="G92" s="167">
        <f>E92</f>
        <v>20000</v>
      </c>
      <c r="H92" s="168">
        <v>20000</v>
      </c>
    </row>
    <row r="93" spans="1:8">
      <c r="A93" s="169"/>
      <c r="B93" s="100" t="s">
        <v>58</v>
      </c>
      <c r="C93" s="100"/>
      <c r="D93" s="100"/>
      <c r="E93" s="128">
        <f t="shared" ref="E93:H93" si="19">SUM(E90:E92)</f>
        <v>57500</v>
      </c>
      <c r="F93" s="128">
        <f t="shared" si="19"/>
        <v>57500</v>
      </c>
      <c r="G93" s="128">
        <f t="shared" si="19"/>
        <v>57500</v>
      </c>
      <c r="H93" s="128">
        <f t="shared" si="19"/>
        <v>57500</v>
      </c>
    </row>
    <row r="94" spans="1:8" ht="45.75" customHeight="1">
      <c r="A94" s="709" t="s">
        <v>86</v>
      </c>
      <c r="B94" s="170" t="s">
        <v>80</v>
      </c>
      <c r="C94" s="171" t="s">
        <v>87</v>
      </c>
      <c r="D94" s="172" t="s">
        <v>49</v>
      </c>
      <c r="E94" s="173">
        <f>660000/16</f>
        <v>41250</v>
      </c>
      <c r="F94" s="173">
        <f>E94</f>
        <v>41250</v>
      </c>
      <c r="G94" s="173">
        <f>E94</f>
        <v>41250</v>
      </c>
      <c r="H94" s="173">
        <f>E94</f>
        <v>41250</v>
      </c>
    </row>
    <row r="95" spans="1:8" ht="26.25">
      <c r="A95" s="829"/>
      <c r="B95" s="159" t="s">
        <v>82</v>
      </c>
      <c r="C95" s="160" t="s">
        <v>51</v>
      </c>
      <c r="D95" s="161" t="s">
        <v>52</v>
      </c>
      <c r="E95" s="174">
        <f>400000/16</f>
        <v>25000</v>
      </c>
      <c r="F95" s="174">
        <f>E95</f>
        <v>25000</v>
      </c>
      <c r="G95" s="174">
        <f>E95</f>
        <v>25000</v>
      </c>
      <c r="H95" s="174">
        <f>E95</f>
        <v>25000</v>
      </c>
    </row>
    <row r="96" spans="1:8" ht="26.25">
      <c r="A96" s="829"/>
      <c r="B96" s="175" t="s">
        <v>88</v>
      </c>
      <c r="C96" s="160" t="s">
        <v>89</v>
      </c>
      <c r="D96" s="175" t="s">
        <v>64</v>
      </c>
      <c r="E96" s="176">
        <v>40000</v>
      </c>
      <c r="F96" s="177">
        <f t="shared" ref="F96:F97" si="20">E96</f>
        <v>40000</v>
      </c>
      <c r="G96" s="177">
        <f t="shared" ref="G96:G97" si="21">E96</f>
        <v>40000</v>
      </c>
      <c r="H96" s="177"/>
    </row>
    <row r="97" spans="1:8" ht="30">
      <c r="A97" s="830"/>
      <c r="B97" s="163" t="s">
        <v>90</v>
      </c>
      <c r="C97" s="164" t="s">
        <v>91</v>
      </c>
      <c r="D97" s="163" t="s">
        <v>64</v>
      </c>
      <c r="E97" s="178">
        <v>28000</v>
      </c>
      <c r="F97" s="167">
        <f t="shared" si="20"/>
        <v>28000</v>
      </c>
      <c r="G97" s="167">
        <f t="shared" si="21"/>
        <v>28000</v>
      </c>
      <c r="H97" s="168">
        <v>14000</v>
      </c>
    </row>
    <row r="98" spans="1:8">
      <c r="A98" s="169"/>
      <c r="B98" s="141" t="s">
        <v>58</v>
      </c>
      <c r="C98" s="141"/>
      <c r="D98" s="141"/>
      <c r="E98" s="128">
        <f t="shared" ref="E98:H98" si="22">SUM(E94:E97)</f>
        <v>134250</v>
      </c>
      <c r="F98" s="128">
        <f t="shared" si="22"/>
        <v>134250</v>
      </c>
      <c r="G98" s="128">
        <f t="shared" si="22"/>
        <v>134250</v>
      </c>
      <c r="H98" s="128">
        <f t="shared" si="22"/>
        <v>80250</v>
      </c>
    </row>
    <row r="99" spans="1:8" ht="60" customHeight="1">
      <c r="A99" s="712" t="s">
        <v>92</v>
      </c>
      <c r="B99" s="179" t="s">
        <v>93</v>
      </c>
      <c r="C99" s="180" t="s">
        <v>94</v>
      </c>
      <c r="D99" s="179" t="s">
        <v>64</v>
      </c>
      <c r="E99" s="158">
        <v>168000</v>
      </c>
      <c r="F99" s="181">
        <f>E99</f>
        <v>168000</v>
      </c>
      <c r="G99" s="181">
        <f>E99</f>
        <v>168000</v>
      </c>
      <c r="H99" s="182">
        <v>104000</v>
      </c>
    </row>
    <row r="100" spans="1:8" ht="39">
      <c r="A100" s="831"/>
      <c r="B100" s="179" t="s">
        <v>80</v>
      </c>
      <c r="C100" s="183" t="s">
        <v>95</v>
      </c>
      <c r="D100" s="179" t="s">
        <v>49</v>
      </c>
      <c r="E100" s="158">
        <f>150000/16</f>
        <v>9375</v>
      </c>
      <c r="F100" s="158">
        <f>E100</f>
        <v>9375</v>
      </c>
      <c r="G100" s="158">
        <f>E100</f>
        <v>9375</v>
      </c>
      <c r="H100" s="158">
        <f>E100</f>
        <v>9375</v>
      </c>
    </row>
    <row r="101" spans="1:8">
      <c r="A101" s="151"/>
      <c r="B101" s="100" t="s">
        <v>58</v>
      </c>
      <c r="C101" s="100"/>
      <c r="D101" s="100"/>
      <c r="E101" s="184">
        <f t="shared" ref="E101:H101" si="23">SUM(E99:E100)</f>
        <v>177375</v>
      </c>
      <c r="F101" s="184">
        <f t="shared" si="23"/>
        <v>177375</v>
      </c>
      <c r="G101" s="184">
        <f t="shared" si="23"/>
        <v>177375</v>
      </c>
      <c r="H101" s="184">
        <f t="shared" si="23"/>
        <v>113375</v>
      </c>
    </row>
    <row r="102" spans="1:8" ht="30">
      <c r="A102" s="712" t="s">
        <v>185</v>
      </c>
      <c r="B102" s="179" t="s">
        <v>84</v>
      </c>
      <c r="C102" s="32" t="s">
        <v>85</v>
      </c>
      <c r="D102" s="38" t="s">
        <v>57</v>
      </c>
      <c r="E102" s="185">
        <v>80000</v>
      </c>
      <c r="F102" s="186">
        <f>E102</f>
        <v>80000</v>
      </c>
      <c r="G102" s="186">
        <f>E102</f>
        <v>80000</v>
      </c>
      <c r="H102" s="35">
        <v>60000</v>
      </c>
    </row>
    <row r="103" spans="1:8" ht="51.75">
      <c r="A103" s="831"/>
      <c r="B103" s="187" t="s">
        <v>80</v>
      </c>
      <c r="C103" s="32" t="s">
        <v>176</v>
      </c>
      <c r="D103" s="188" t="s">
        <v>49</v>
      </c>
      <c r="E103" s="185">
        <f>150000/16</f>
        <v>9375</v>
      </c>
      <c r="F103" s="185">
        <f t="shared" ref="F103:H103" si="24">150000/16</f>
        <v>9375</v>
      </c>
      <c r="G103" s="185">
        <f t="shared" si="24"/>
        <v>9375</v>
      </c>
      <c r="H103" s="185">
        <f t="shared" si="24"/>
        <v>9375</v>
      </c>
    </row>
    <row r="104" spans="1:8">
      <c r="A104" s="151"/>
      <c r="B104" s="100" t="s">
        <v>58</v>
      </c>
      <c r="C104" s="152"/>
      <c r="D104" s="100"/>
      <c r="E104" s="153">
        <f>SUM(E102:E103)</f>
        <v>89375</v>
      </c>
      <c r="F104" s="153">
        <f t="shared" ref="F104:H104" si="25">SUM(F102:F103)</f>
        <v>89375</v>
      </c>
      <c r="G104" s="153">
        <f t="shared" si="25"/>
        <v>89375</v>
      </c>
      <c r="H104" s="153">
        <f t="shared" si="25"/>
        <v>69375</v>
      </c>
    </row>
  </sheetData>
  <mergeCells count="14">
    <mergeCell ref="A3:F3"/>
    <mergeCell ref="A31:F31"/>
    <mergeCell ref="A20:A25"/>
    <mergeCell ref="A59:A60"/>
    <mergeCell ref="A62:A65"/>
    <mergeCell ref="A90:A92"/>
    <mergeCell ref="A94:A97"/>
    <mergeCell ref="A99:A100"/>
    <mergeCell ref="A102:A103"/>
    <mergeCell ref="A67:A71"/>
    <mergeCell ref="A74:A76"/>
    <mergeCell ref="A78:A79"/>
    <mergeCell ref="A81:A83"/>
    <mergeCell ref="A85:A87"/>
  </mergeCells>
  <hyperlinks>
    <hyperlink ref="B65" r:id="rId1" xr:uid="{00000000-0004-0000-0600-000000000000}"/>
    <hyperlink ref="B67" r:id="rId2" xr:uid="{00000000-0004-0000-0600-000001000000}"/>
    <hyperlink ref="B69" r:id="rId3" xr:uid="{00000000-0004-0000-0600-000002000000}"/>
    <hyperlink ref="B70" r:id="rId4" xr:uid="{00000000-0004-0000-0600-000003000000}"/>
    <hyperlink ref="B71" r:id="rId5" xr:uid="{00000000-0004-0000-0600-000004000000}"/>
    <hyperlink ref="B78" r:id="rId6" xr:uid="{00000000-0004-0000-0600-000005000000}"/>
    <hyperlink ref="B86" r:id="rId7" xr:uid="{00000000-0004-0000-0600-000006000000}"/>
    <hyperlink ref="B91" r:id="rId8" xr:uid="{00000000-0004-0000-0600-000007000000}"/>
    <hyperlink ref="B94" r:id="rId9" xr:uid="{00000000-0004-0000-0600-000008000000}"/>
    <hyperlink ref="B95" r:id="rId10" xr:uid="{00000000-0004-0000-0600-000009000000}"/>
  </hyperlinks>
  <pageMargins left="0.7" right="0.7" top="0.75" bottom="0.75" header="0.3" footer="0.3"/>
  <pageSetup paperSize="9" orientation="portrait"/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27"/>
  <sheetViews>
    <sheetView topLeftCell="A40" zoomScale="112" zoomScaleNormal="112" workbookViewId="0">
      <selection activeCell="C43" sqref="C43"/>
    </sheetView>
  </sheetViews>
  <sheetFormatPr baseColWidth="10" defaultColWidth="11.42578125" defaultRowHeight="15"/>
  <cols>
    <col min="1" max="1" width="21.140625" customWidth="1"/>
    <col min="2" max="2" width="25.42578125" customWidth="1"/>
    <col min="3" max="3" width="14.140625" customWidth="1"/>
    <col min="4" max="4" width="13.5703125" customWidth="1"/>
    <col min="5" max="5" width="14.5703125" customWidth="1"/>
    <col min="6" max="6" width="11.42578125" customWidth="1"/>
    <col min="7" max="8" width="10.42578125" customWidth="1"/>
    <col min="9" max="9" width="25.42578125" customWidth="1"/>
  </cols>
  <sheetData>
    <row r="2" spans="1:13" ht="14.25" customHeight="1"/>
    <row r="3" spans="1:13">
      <c r="A3" s="744" t="s">
        <v>96</v>
      </c>
      <c r="B3" s="723"/>
      <c r="C3" s="723"/>
      <c r="D3" s="723"/>
      <c r="E3" s="723"/>
      <c r="F3" s="724"/>
      <c r="H3" s="2"/>
      <c r="I3" s="34"/>
      <c r="J3" s="34"/>
      <c r="K3" s="34"/>
      <c r="L3" s="34"/>
      <c r="M3" s="34"/>
    </row>
    <row r="4" spans="1:13">
      <c r="A4" s="189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445" t="s">
        <v>9</v>
      </c>
      <c r="B5" s="446" t="s">
        <v>10</v>
      </c>
      <c r="C5" s="7">
        <f>E41</f>
        <v>600000</v>
      </c>
      <c r="D5" s="7">
        <f>E47</f>
        <v>390000</v>
      </c>
      <c r="E5" s="7">
        <f>E53</f>
        <v>320000</v>
      </c>
      <c r="F5" s="7">
        <f>E59</f>
        <v>120000</v>
      </c>
      <c r="H5" s="8"/>
      <c r="I5" s="8"/>
      <c r="J5" s="88"/>
      <c r="K5" s="88"/>
      <c r="L5" s="88"/>
      <c r="M5" s="89"/>
    </row>
    <row r="6" spans="1:13">
      <c r="A6" s="149" t="s">
        <v>11</v>
      </c>
      <c r="B6" s="447" t="s">
        <v>97</v>
      </c>
      <c r="C6" s="11">
        <f>E42</f>
        <v>257036</v>
      </c>
      <c r="D6" s="11">
        <f>E48</f>
        <v>190480</v>
      </c>
      <c r="E6" s="11">
        <f>E54</f>
        <v>195973.33333333334</v>
      </c>
      <c r="F6" s="11">
        <f>E60</f>
        <v>0</v>
      </c>
      <c r="H6" s="8"/>
      <c r="I6" s="8"/>
      <c r="J6" s="88"/>
      <c r="K6" s="88"/>
      <c r="L6" s="88"/>
      <c r="M6" s="89"/>
    </row>
    <row r="7" spans="1:13">
      <c r="A7" s="149" t="s">
        <v>98</v>
      </c>
      <c r="B7" s="447" t="s">
        <v>99</v>
      </c>
      <c r="C7" s="11">
        <f>E43</f>
        <v>1159600</v>
      </c>
      <c r="D7" s="11">
        <f>E49</f>
        <v>699800</v>
      </c>
      <c r="E7" s="11">
        <f>E55</f>
        <v>573200</v>
      </c>
      <c r="F7" s="11">
        <f>E61</f>
        <v>0</v>
      </c>
      <c r="H7" s="8"/>
      <c r="I7" s="8"/>
      <c r="J7" s="88"/>
      <c r="K7" s="88"/>
      <c r="L7" s="88"/>
      <c r="M7" s="88"/>
    </row>
    <row r="8" spans="1:13">
      <c r="A8" s="35" t="s">
        <v>12</v>
      </c>
      <c r="B8" s="451" t="s">
        <v>10</v>
      </c>
      <c r="C8" s="13">
        <f t="shared" ref="C8" si="0">E44</f>
        <v>1080000</v>
      </c>
      <c r="D8" s="13">
        <f t="shared" ref="D8" si="1">E50</f>
        <v>585000</v>
      </c>
      <c r="E8" s="13">
        <f t="shared" ref="E8" si="2">E56</f>
        <v>465000</v>
      </c>
      <c r="F8" s="13">
        <f t="shared" ref="F8" si="3">E62</f>
        <v>0</v>
      </c>
      <c r="H8" s="8"/>
      <c r="I8" s="8"/>
      <c r="J8" s="88"/>
      <c r="K8" s="88"/>
      <c r="L8" s="88"/>
      <c r="M8" s="89"/>
    </row>
    <row r="9" spans="1:13">
      <c r="A9" s="745" t="s">
        <v>9</v>
      </c>
      <c r="B9" s="15" t="s">
        <v>13</v>
      </c>
      <c r="C9" s="16">
        <f>400000/26</f>
        <v>15384.615384615385</v>
      </c>
      <c r="D9" s="16">
        <f t="shared" ref="D9:F9" si="4">400000/26</f>
        <v>15384.615384615385</v>
      </c>
      <c r="E9" s="16">
        <f t="shared" si="4"/>
        <v>15384.615384615385</v>
      </c>
      <c r="F9" s="16">
        <f t="shared" si="4"/>
        <v>15384.615384615385</v>
      </c>
      <c r="H9" s="4"/>
      <c r="I9" s="8"/>
      <c r="J9" s="88"/>
      <c r="K9" s="88"/>
      <c r="L9" s="88"/>
      <c r="M9" s="88"/>
    </row>
    <row r="10" spans="1:13">
      <c r="A10" s="746"/>
      <c r="B10" s="15" t="s">
        <v>14</v>
      </c>
      <c r="C10" s="16">
        <f>125000/26</f>
        <v>4807.6923076923076</v>
      </c>
      <c r="D10" s="16">
        <f t="shared" ref="D10:F10" si="5">125000/26</f>
        <v>4807.6923076923076</v>
      </c>
      <c r="E10" s="16">
        <f t="shared" si="5"/>
        <v>4807.6923076923076</v>
      </c>
      <c r="F10" s="16">
        <f t="shared" si="5"/>
        <v>4807.6923076923076</v>
      </c>
      <c r="H10" s="8"/>
      <c r="I10" s="8"/>
      <c r="J10" s="88"/>
      <c r="K10" s="88"/>
      <c r="L10" s="88"/>
      <c r="M10" s="88"/>
    </row>
    <row r="11" spans="1:13">
      <c r="A11" s="746"/>
      <c r="B11" s="15" t="s">
        <v>100</v>
      </c>
      <c r="C11" s="16">
        <v>50000</v>
      </c>
      <c r="D11" s="16">
        <v>50000</v>
      </c>
      <c r="E11" s="16">
        <v>50000</v>
      </c>
      <c r="F11" s="16">
        <v>40000</v>
      </c>
      <c r="H11" s="8"/>
      <c r="I11" s="8"/>
      <c r="J11" s="88"/>
      <c r="K11" s="88"/>
      <c r="L11" s="88"/>
      <c r="M11" s="88"/>
    </row>
    <row r="12" spans="1:13">
      <c r="A12" s="746"/>
      <c r="B12" s="18" t="s">
        <v>101</v>
      </c>
      <c r="C12" s="16">
        <f>E68</f>
        <v>56730.769230769234</v>
      </c>
      <c r="D12" s="16">
        <f>F68</f>
        <v>56730.769230769234</v>
      </c>
      <c r="E12" s="16">
        <f>G68</f>
        <v>56730.769230769234</v>
      </c>
      <c r="F12" s="16">
        <f>H68</f>
        <v>56730.769230769234</v>
      </c>
      <c r="H12" s="8"/>
      <c r="I12" s="8"/>
      <c r="J12" s="88"/>
      <c r="K12" s="88"/>
      <c r="L12" s="88"/>
      <c r="M12" s="88"/>
    </row>
    <row r="13" spans="1:13">
      <c r="A13" s="746"/>
      <c r="B13" s="15" t="s">
        <v>15</v>
      </c>
      <c r="C13" s="16">
        <f>E73</f>
        <v>150384.61538461538</v>
      </c>
      <c r="D13" s="16">
        <f>F73</f>
        <v>150384.61538461538</v>
      </c>
      <c r="E13" s="16">
        <f>G73</f>
        <v>150384.61538461538</v>
      </c>
      <c r="F13" s="16">
        <f>H73</f>
        <v>140384.61538461538</v>
      </c>
      <c r="H13" s="8"/>
      <c r="I13" s="8"/>
      <c r="J13" s="88"/>
      <c r="K13" s="88"/>
      <c r="L13" s="88"/>
      <c r="M13" s="88"/>
    </row>
    <row r="14" spans="1:13">
      <c r="A14" s="747"/>
      <c r="B14" s="15" t="s">
        <v>16</v>
      </c>
      <c r="C14" s="19">
        <f>E79</f>
        <v>129307.69230769231</v>
      </c>
      <c r="D14" s="19">
        <f>F79</f>
        <v>129307.69230769231</v>
      </c>
      <c r="E14" s="19">
        <f>G79</f>
        <v>129307.69230769231</v>
      </c>
      <c r="F14" s="19">
        <f>H79</f>
        <v>114307.69230769231</v>
      </c>
      <c r="H14" s="8"/>
      <c r="I14" s="8"/>
      <c r="J14" s="88"/>
      <c r="K14" s="88"/>
      <c r="L14" s="88"/>
      <c r="M14" s="88"/>
    </row>
    <row r="15" spans="1:13">
      <c r="A15" s="748" t="s">
        <v>11</v>
      </c>
      <c r="B15" s="21" t="s">
        <v>13</v>
      </c>
      <c r="C15" s="22">
        <f>590000/26</f>
        <v>22692.307692307691</v>
      </c>
      <c r="D15" s="22">
        <f>590000/26</f>
        <v>22692.307692307691</v>
      </c>
      <c r="E15" s="22">
        <f>590000/26</f>
        <v>22692.307692307691</v>
      </c>
      <c r="F15" s="22">
        <f>590000/26</f>
        <v>22692.307692307691</v>
      </c>
      <c r="H15" s="4"/>
      <c r="I15" s="8"/>
      <c r="J15" s="88"/>
      <c r="K15" s="88"/>
      <c r="L15" s="88"/>
      <c r="M15" s="88"/>
    </row>
    <row r="16" spans="1:13">
      <c r="A16" s="749"/>
      <c r="B16" s="21" t="s">
        <v>14</v>
      </c>
      <c r="C16" s="22">
        <f>150000/26</f>
        <v>5769.2307692307695</v>
      </c>
      <c r="D16" s="22">
        <f t="shared" ref="D16:F16" si="6">150000/26</f>
        <v>5769.2307692307695</v>
      </c>
      <c r="E16" s="22">
        <f t="shared" si="6"/>
        <v>5769.2307692307695</v>
      </c>
      <c r="F16" s="22">
        <f t="shared" si="6"/>
        <v>5769.2307692307695</v>
      </c>
      <c r="H16" s="8"/>
      <c r="I16" s="8"/>
      <c r="J16" s="88"/>
      <c r="K16" s="88"/>
      <c r="L16" s="88"/>
      <c r="M16" s="88"/>
    </row>
    <row r="17" spans="1:13">
      <c r="A17" s="749"/>
      <c r="B17" s="24" t="s">
        <v>102</v>
      </c>
      <c r="C17" s="22">
        <f>E84</f>
        <v>68076.923076923078</v>
      </c>
      <c r="D17" s="22">
        <f>F84</f>
        <v>68076.923076923078</v>
      </c>
      <c r="E17" s="22">
        <f>G84</f>
        <v>68076.923076923078</v>
      </c>
      <c r="F17" s="22">
        <f>H84</f>
        <v>58076.923076923078</v>
      </c>
      <c r="H17" s="8"/>
      <c r="I17" s="8"/>
      <c r="J17" s="88"/>
      <c r="K17" s="88"/>
      <c r="L17" s="88"/>
      <c r="M17" s="88"/>
    </row>
    <row r="18" spans="1:13">
      <c r="A18" s="749"/>
      <c r="B18" s="25" t="s">
        <v>17</v>
      </c>
      <c r="C18" s="22">
        <f>E86</f>
        <v>117000</v>
      </c>
      <c r="D18" s="22">
        <f>F86</f>
        <v>117000</v>
      </c>
      <c r="E18" s="22">
        <f>G86</f>
        <v>117000</v>
      </c>
      <c r="F18" s="22">
        <f>H86</f>
        <v>69000</v>
      </c>
      <c r="H18" s="8"/>
      <c r="I18" s="8"/>
      <c r="J18" s="88"/>
      <c r="K18" s="88"/>
      <c r="L18" s="88"/>
      <c r="M18" s="88"/>
    </row>
    <row r="19" spans="1:13">
      <c r="A19" s="749"/>
      <c r="B19" s="26" t="s">
        <v>18</v>
      </c>
      <c r="C19" s="27">
        <f>E90</f>
        <v>40769.230769230766</v>
      </c>
      <c r="D19" s="22">
        <f>F90</f>
        <v>40769.230769230766</v>
      </c>
      <c r="E19" s="22">
        <f>G90</f>
        <v>40769.230769230766</v>
      </c>
      <c r="F19" s="22">
        <f>H90</f>
        <v>40769.230769230766</v>
      </c>
      <c r="H19" s="8"/>
      <c r="I19" s="90"/>
      <c r="J19" s="88"/>
      <c r="K19" s="88"/>
      <c r="L19" s="88"/>
      <c r="M19" s="88"/>
    </row>
    <row r="20" spans="1:13">
      <c r="A20" s="750"/>
      <c r="B20" s="26" t="s">
        <v>19</v>
      </c>
      <c r="C20" s="27">
        <f>E94</f>
        <v>76538.461538461532</v>
      </c>
      <c r="D20" s="22">
        <f>F94</f>
        <v>76538.461538461532</v>
      </c>
      <c r="E20" s="22">
        <f>G94</f>
        <v>76538.461538461532</v>
      </c>
      <c r="F20" s="22">
        <f>H94</f>
        <v>56538.461538461539</v>
      </c>
      <c r="H20" s="8"/>
      <c r="I20" s="90"/>
      <c r="J20" s="88"/>
      <c r="K20" s="88"/>
      <c r="L20" s="88"/>
      <c r="M20" s="88"/>
    </row>
    <row r="21" spans="1:13">
      <c r="A21" s="751" t="s">
        <v>98</v>
      </c>
      <c r="B21" s="452" t="s">
        <v>103</v>
      </c>
      <c r="C21" s="453">
        <f>2000000/26</f>
        <v>76923.076923076922</v>
      </c>
      <c r="D21" s="453">
        <f t="shared" ref="D21:F21" si="7">2000000/26</f>
        <v>76923.076923076922</v>
      </c>
      <c r="E21" s="453">
        <f t="shared" si="7"/>
        <v>76923.076923076922</v>
      </c>
      <c r="F21" s="453">
        <f t="shared" si="7"/>
        <v>76923.076923076922</v>
      </c>
      <c r="H21" s="8"/>
      <c r="I21" s="90"/>
      <c r="J21" s="88"/>
      <c r="K21" s="88"/>
      <c r="L21" s="88"/>
      <c r="M21" s="88"/>
    </row>
    <row r="22" spans="1:13">
      <c r="A22" s="752"/>
      <c r="B22" s="454" t="s">
        <v>104</v>
      </c>
      <c r="C22" s="453">
        <f>E100</f>
        <v>76346.153846153844</v>
      </c>
      <c r="D22" s="453">
        <f>F100</f>
        <v>76346.153846153844</v>
      </c>
      <c r="E22" s="453">
        <f>G100</f>
        <v>76346.153846153844</v>
      </c>
      <c r="F22" s="455">
        <f>H100</f>
        <v>66346.153846153844</v>
      </c>
      <c r="H22" s="8"/>
      <c r="I22" s="90"/>
      <c r="J22" s="88"/>
      <c r="K22" s="88"/>
      <c r="L22" s="88"/>
      <c r="M22" s="88"/>
    </row>
    <row r="23" spans="1:13">
      <c r="A23" s="752"/>
      <c r="B23" s="454" t="s">
        <v>105</v>
      </c>
      <c r="C23" s="453">
        <f>E106</f>
        <v>106153.84615384616</v>
      </c>
      <c r="D23" s="453">
        <f>F106</f>
        <v>106153.84615384616</v>
      </c>
      <c r="E23" s="453">
        <f>G106</f>
        <v>106153.84615384616</v>
      </c>
      <c r="F23" s="455">
        <f>H106</f>
        <v>91153.846153846156</v>
      </c>
      <c r="H23" s="8"/>
      <c r="I23" s="90"/>
      <c r="J23" s="88"/>
      <c r="K23" s="88"/>
      <c r="L23" s="88"/>
      <c r="M23" s="88"/>
    </row>
    <row r="24" spans="1:13">
      <c r="A24" s="752"/>
      <c r="B24" s="454" t="s">
        <v>106</v>
      </c>
      <c r="C24" s="453">
        <f>E109</f>
        <v>64576.923076923078</v>
      </c>
      <c r="D24" s="453">
        <f>F109</f>
        <v>64576.923076923078</v>
      </c>
      <c r="E24" s="453">
        <f>G109</f>
        <v>64576.923076923078</v>
      </c>
      <c r="F24" s="455">
        <v>0</v>
      </c>
      <c r="H24" s="8"/>
      <c r="I24" s="90"/>
      <c r="J24" s="88"/>
      <c r="K24" s="88"/>
      <c r="L24" s="88"/>
      <c r="M24" s="88"/>
    </row>
    <row r="25" spans="1:13">
      <c r="A25" s="752"/>
      <c r="B25" s="454" t="s">
        <v>107</v>
      </c>
      <c r="C25" s="453">
        <f>E111</f>
        <v>230000</v>
      </c>
      <c r="D25" s="453">
        <f>F111</f>
        <v>230000</v>
      </c>
      <c r="E25" s="453">
        <f>G111</f>
        <v>230000</v>
      </c>
      <c r="F25" s="453">
        <f>H111</f>
        <v>230000</v>
      </c>
      <c r="H25" s="8"/>
      <c r="I25" s="90"/>
      <c r="J25" s="88"/>
      <c r="K25" s="88"/>
      <c r="L25" s="88"/>
      <c r="M25" s="88"/>
    </row>
    <row r="26" spans="1:13">
      <c r="A26" s="753"/>
      <c r="B26" s="582" t="s">
        <v>108</v>
      </c>
      <c r="C26" s="453">
        <f>380000/26</f>
        <v>14615.384615384615</v>
      </c>
      <c r="D26" s="453">
        <f t="shared" ref="D26:F26" si="8">380000/26</f>
        <v>14615.384615384615</v>
      </c>
      <c r="E26" s="453">
        <f t="shared" si="8"/>
        <v>14615.384615384615</v>
      </c>
      <c r="F26" s="453">
        <f t="shared" si="8"/>
        <v>14615.384615384615</v>
      </c>
      <c r="H26" s="8"/>
      <c r="I26" s="90"/>
      <c r="J26" s="88"/>
      <c r="K26" s="88"/>
      <c r="L26" s="88"/>
      <c r="M26" s="88"/>
    </row>
    <row r="27" spans="1:13">
      <c r="A27" s="754" t="s">
        <v>12</v>
      </c>
      <c r="B27" s="583" t="s">
        <v>20</v>
      </c>
      <c r="C27" s="584">
        <f>320000/26</f>
        <v>12307.692307692309</v>
      </c>
      <c r="D27" s="584">
        <f>C27</f>
        <v>12307.692307692309</v>
      </c>
      <c r="E27" s="584">
        <f>C27</f>
        <v>12307.692307692309</v>
      </c>
      <c r="F27" s="584">
        <f>C27</f>
        <v>12307.692307692309</v>
      </c>
      <c r="H27" s="31"/>
      <c r="I27" s="91"/>
      <c r="J27" s="92"/>
      <c r="K27" s="88"/>
      <c r="L27" s="88"/>
      <c r="M27" s="88"/>
    </row>
    <row r="28" spans="1:13">
      <c r="A28" s="755"/>
      <c r="B28" s="585" t="s">
        <v>21</v>
      </c>
      <c r="C28" s="586">
        <f>100000/26</f>
        <v>3846.1538461538462</v>
      </c>
      <c r="D28" s="586">
        <f t="shared" ref="D28:F28" si="9">100000/26</f>
        <v>3846.1538461538462</v>
      </c>
      <c r="E28" s="586">
        <f t="shared" si="9"/>
        <v>3846.1538461538462</v>
      </c>
      <c r="F28" s="586">
        <f t="shared" si="9"/>
        <v>3846.1538461538462</v>
      </c>
      <c r="H28" s="34"/>
      <c r="I28" s="91"/>
      <c r="J28" s="92"/>
      <c r="K28" s="88"/>
      <c r="L28" s="88"/>
      <c r="M28" s="88"/>
    </row>
    <row r="29" spans="1:13">
      <c r="A29" s="755"/>
      <c r="B29" s="451" t="s">
        <v>22</v>
      </c>
      <c r="C29" s="37">
        <f>E116</f>
        <v>48846.153846153844</v>
      </c>
      <c r="D29" s="37">
        <f>F116</f>
        <v>48846.153846153844</v>
      </c>
      <c r="E29" s="37">
        <f>G116</f>
        <v>48846.153846153844</v>
      </c>
      <c r="F29" s="37">
        <f>H116</f>
        <v>48846.153846153844</v>
      </c>
      <c r="H29" s="34"/>
      <c r="I29" s="8"/>
      <c r="J29" s="88"/>
      <c r="K29" s="88"/>
      <c r="L29" s="88"/>
      <c r="M29" s="88"/>
    </row>
    <row r="30" spans="1:13">
      <c r="A30" s="755"/>
      <c r="B30" s="587" t="s">
        <v>23</v>
      </c>
      <c r="C30" s="37">
        <f>E121</f>
        <v>116153.84615384616</v>
      </c>
      <c r="D30" s="37">
        <f>F121</f>
        <v>116153.84615384616</v>
      </c>
      <c r="E30" s="37">
        <f>G121</f>
        <v>116153.84615384616</v>
      </c>
      <c r="F30" s="37">
        <f>H121</f>
        <v>61653.846153846149</v>
      </c>
      <c r="H30" s="34"/>
      <c r="I30" s="8"/>
      <c r="J30" s="88"/>
      <c r="K30" s="88"/>
      <c r="L30" s="88"/>
      <c r="M30" s="88"/>
    </row>
    <row r="31" spans="1:13">
      <c r="A31" s="755"/>
      <c r="B31" s="587" t="s">
        <v>24</v>
      </c>
      <c r="C31" s="37">
        <f>E124</f>
        <v>175692.30769230769</v>
      </c>
      <c r="D31" s="37">
        <f>F124</f>
        <v>175692.30769230769</v>
      </c>
      <c r="E31" s="37">
        <f>G124</f>
        <v>175692.30769230769</v>
      </c>
      <c r="F31" s="37">
        <f>H124</f>
        <v>111692.30769230769</v>
      </c>
      <c r="H31" s="34"/>
      <c r="I31" s="8"/>
      <c r="J31" s="88"/>
      <c r="K31" s="88"/>
      <c r="L31" s="88"/>
      <c r="M31" s="88"/>
    </row>
    <row r="32" spans="1:13">
      <c r="A32" s="756"/>
      <c r="B32" s="588" t="s">
        <v>109</v>
      </c>
      <c r="C32" s="37">
        <f>E127</f>
        <v>100000</v>
      </c>
      <c r="D32" s="37">
        <f>F127</f>
        <v>100000</v>
      </c>
      <c r="E32" s="37">
        <f>G127</f>
        <v>100000</v>
      </c>
      <c r="F32" s="37">
        <f>H127</f>
        <v>80000</v>
      </c>
      <c r="H32" s="34"/>
      <c r="I32" s="8"/>
      <c r="J32" s="88"/>
      <c r="K32" s="88"/>
      <c r="L32" s="88"/>
      <c r="M32" s="88"/>
    </row>
    <row r="33" spans="1:13">
      <c r="A33" s="460" t="s">
        <v>110</v>
      </c>
      <c r="B33" s="40" t="s">
        <v>111</v>
      </c>
      <c r="C33" s="41">
        <v>25000</v>
      </c>
      <c r="D33" s="41">
        <v>25000</v>
      </c>
      <c r="E33" s="41">
        <v>25000</v>
      </c>
      <c r="F33" s="41">
        <v>25000</v>
      </c>
      <c r="H33" s="34"/>
      <c r="I33" s="8"/>
      <c r="J33" s="88"/>
      <c r="K33" s="88"/>
      <c r="L33" s="88"/>
      <c r="M33" s="88"/>
    </row>
    <row r="34" spans="1:13">
      <c r="A34" s="589"/>
      <c r="B34" s="315" t="s">
        <v>25</v>
      </c>
      <c r="C34" s="44">
        <f>SUM(C5:C33)</f>
        <v>4884559.0769230779</v>
      </c>
      <c r="D34" s="44">
        <f t="shared" ref="D34:F34" si="10">SUM(D5:D33)</f>
        <v>3653203.0769230775</v>
      </c>
      <c r="E34" s="44">
        <f t="shared" si="10"/>
        <v>3342096.4102564109</v>
      </c>
      <c r="F34" s="44">
        <f t="shared" si="10"/>
        <v>1566846.1538461535</v>
      </c>
      <c r="H34" s="4"/>
      <c r="I34" s="8"/>
      <c r="J34" s="88"/>
      <c r="K34" s="88"/>
      <c r="L34" s="88"/>
      <c r="M34" s="88"/>
    </row>
    <row r="35" spans="1:13">
      <c r="A35" s="590" t="s">
        <v>112</v>
      </c>
      <c r="B35" s="591">
        <v>0.76</v>
      </c>
      <c r="C35" s="592">
        <f>C34/B35</f>
        <v>6427051.4170040498</v>
      </c>
      <c r="D35" s="47">
        <f>D34/B35</f>
        <v>4806846.1538461549</v>
      </c>
      <c r="E35" s="47">
        <f>E34/B35</f>
        <v>4397495.2766531724</v>
      </c>
      <c r="F35" s="47">
        <f>F34/B35</f>
        <v>2061639.6761133599</v>
      </c>
      <c r="H35" s="8"/>
      <c r="I35" s="4"/>
      <c r="J35" s="89"/>
      <c r="K35" s="89"/>
      <c r="L35" s="89"/>
      <c r="M35" s="89"/>
    </row>
    <row r="36" spans="1:13">
      <c r="A36" s="593" t="s">
        <v>113</v>
      </c>
      <c r="B36" s="594">
        <v>3200</v>
      </c>
      <c r="C36" s="595">
        <f>C35/B36</f>
        <v>2008.4535678137656</v>
      </c>
      <c r="D36" s="50">
        <f>D35/B36</f>
        <v>1502.1394230769233</v>
      </c>
      <c r="E36" s="50">
        <f>E35/B36</f>
        <v>1374.2172739541163</v>
      </c>
      <c r="F36" s="50">
        <f>F35/B36</f>
        <v>644.26239878542492</v>
      </c>
      <c r="H36" s="51"/>
      <c r="I36" s="51"/>
      <c r="J36" s="51"/>
      <c r="K36" s="51"/>
      <c r="L36" s="51"/>
      <c r="M36" s="51"/>
    </row>
    <row r="37" spans="1:13">
      <c r="B37" t="s">
        <v>114</v>
      </c>
      <c r="C37">
        <v>2040</v>
      </c>
      <c r="D37">
        <v>1491</v>
      </c>
      <c r="E37">
        <v>1373</v>
      </c>
      <c r="F37">
        <v>644</v>
      </c>
      <c r="H37" s="51"/>
      <c r="I37" s="51"/>
      <c r="J37" s="51"/>
      <c r="K37" s="51"/>
      <c r="L37" s="51"/>
      <c r="M37" s="51"/>
    </row>
    <row r="38" spans="1:13">
      <c r="A38" s="725" t="s">
        <v>28</v>
      </c>
      <c r="B38" s="723"/>
      <c r="C38" s="723"/>
      <c r="D38" s="723"/>
      <c r="E38" s="723"/>
      <c r="F38" s="724"/>
      <c r="H38" s="2"/>
      <c r="I38" s="34"/>
      <c r="J38" s="34"/>
      <c r="K38" s="34"/>
      <c r="L38" s="34"/>
      <c r="M38" s="34"/>
    </row>
    <row r="39" spans="1:13">
      <c r="H39" s="51"/>
      <c r="I39" s="51"/>
      <c r="J39" s="51"/>
      <c r="K39" s="51"/>
      <c r="L39" s="51"/>
      <c r="M39" s="51"/>
    </row>
    <row r="40" spans="1:13">
      <c r="B40" s="52" t="s">
        <v>30</v>
      </c>
      <c r="C40" s="53" t="s">
        <v>5</v>
      </c>
      <c r="D40" s="53" t="s">
        <v>31</v>
      </c>
      <c r="E40" s="53" t="s">
        <v>32</v>
      </c>
      <c r="H40" s="51"/>
      <c r="I40" s="4"/>
      <c r="J40" s="4"/>
      <c r="K40" s="4"/>
      <c r="L40" s="4"/>
      <c r="M40" s="51"/>
    </row>
    <row r="41" spans="1:13">
      <c r="B41" s="596" t="s">
        <v>115</v>
      </c>
      <c r="C41" s="597">
        <v>200000</v>
      </c>
      <c r="D41" s="264">
        <v>3</v>
      </c>
      <c r="E41" s="598">
        <f t="shared" ref="E41:E44" si="11">D41*C41</f>
        <v>600000</v>
      </c>
      <c r="H41" s="51"/>
      <c r="I41" s="93"/>
      <c r="J41" s="8"/>
      <c r="K41" s="8"/>
      <c r="L41" s="8"/>
      <c r="M41" s="51"/>
    </row>
    <row r="42" spans="1:13">
      <c r="B42" s="596" t="s">
        <v>258</v>
      </c>
      <c r="C42" s="597">
        <v>128518</v>
      </c>
      <c r="D42" s="264">
        <v>2</v>
      </c>
      <c r="E42" s="598">
        <f t="shared" si="11"/>
        <v>257036</v>
      </c>
      <c r="H42" s="51"/>
      <c r="I42" s="91"/>
      <c r="J42" s="8"/>
      <c r="K42" s="8"/>
      <c r="L42" s="8"/>
      <c r="M42" s="51"/>
    </row>
    <row r="43" spans="1:13">
      <c r="B43" s="596" t="s">
        <v>116</v>
      </c>
      <c r="C43" s="597">
        <v>289900</v>
      </c>
      <c r="D43" s="264">
        <v>4</v>
      </c>
      <c r="E43" s="598">
        <f>C43*D43</f>
        <v>1159600</v>
      </c>
      <c r="H43" s="51"/>
      <c r="I43" s="91"/>
      <c r="J43" s="8"/>
      <c r="K43" s="8"/>
      <c r="L43" s="8"/>
      <c r="M43" s="51"/>
    </row>
    <row r="44" spans="1:13">
      <c r="B44" s="596" t="s">
        <v>40</v>
      </c>
      <c r="C44" s="597">
        <v>360000</v>
      </c>
      <c r="D44" s="264">
        <v>3</v>
      </c>
      <c r="E44" s="598">
        <f t="shared" si="11"/>
        <v>1080000</v>
      </c>
      <c r="F44">
        <v>360000</v>
      </c>
      <c r="H44" s="51"/>
      <c r="I44" s="91"/>
      <c r="J44" s="8"/>
      <c r="K44" s="8"/>
      <c r="L44" s="8"/>
      <c r="M44" s="51"/>
    </row>
    <row r="45" spans="1:13">
      <c r="H45" s="51"/>
      <c r="I45" s="51"/>
      <c r="J45" s="51"/>
      <c r="K45" s="51"/>
      <c r="L45" s="51"/>
      <c r="M45" s="51"/>
    </row>
    <row r="46" spans="1:13">
      <c r="B46" s="53" t="s">
        <v>30</v>
      </c>
      <c r="C46" s="53" t="s">
        <v>6</v>
      </c>
      <c r="D46" s="53" t="s">
        <v>31</v>
      </c>
      <c r="E46" s="53" t="s">
        <v>32</v>
      </c>
      <c r="H46" s="51"/>
      <c r="I46" s="4"/>
      <c r="J46" s="4"/>
      <c r="K46" s="4"/>
      <c r="L46" s="4"/>
      <c r="M46" s="51"/>
    </row>
    <row r="47" spans="1:13">
      <c r="B47" s="596" t="s">
        <v>115</v>
      </c>
      <c r="C47" s="599">
        <f>260000/2</f>
        <v>130000</v>
      </c>
      <c r="D47" s="264">
        <v>3</v>
      </c>
      <c r="E47" s="598">
        <f t="shared" ref="E47:E50" si="12">D47*C47</f>
        <v>390000</v>
      </c>
      <c r="H47" s="51"/>
      <c r="I47" s="93"/>
      <c r="J47" s="8"/>
      <c r="K47" s="8"/>
      <c r="L47" s="8"/>
      <c r="M47" s="51"/>
    </row>
    <row r="48" spans="1:13">
      <c r="B48" s="596" t="s">
        <v>37</v>
      </c>
      <c r="C48" s="599">
        <v>95240</v>
      </c>
      <c r="D48" s="264">
        <v>2</v>
      </c>
      <c r="E48" s="598">
        <f t="shared" si="12"/>
        <v>190480</v>
      </c>
      <c r="F48" t="s">
        <v>117</v>
      </c>
      <c r="H48" s="51"/>
      <c r="I48" s="91"/>
      <c r="J48" s="94"/>
      <c r="K48" s="8"/>
      <c r="L48" s="94"/>
      <c r="M48" s="51"/>
    </row>
    <row r="49" spans="1:13">
      <c r="B49" s="596" t="s">
        <v>116</v>
      </c>
      <c r="C49" s="600">
        <f>349900/2</f>
        <v>174950</v>
      </c>
      <c r="D49" s="264">
        <v>4</v>
      </c>
      <c r="E49" s="598">
        <f>C49*D49</f>
        <v>699800</v>
      </c>
      <c r="H49" s="51"/>
      <c r="I49" s="91"/>
      <c r="J49" s="8"/>
      <c r="K49" s="8"/>
      <c r="L49" s="8"/>
      <c r="M49" s="51"/>
    </row>
    <row r="50" spans="1:13">
      <c r="B50" s="596" t="s">
        <v>40</v>
      </c>
      <c r="C50" s="599">
        <f>390000/2</f>
        <v>195000</v>
      </c>
      <c r="D50" s="264">
        <v>3</v>
      </c>
      <c r="E50" s="598">
        <f t="shared" si="12"/>
        <v>585000</v>
      </c>
      <c r="F50">
        <v>390000</v>
      </c>
      <c r="H50" s="51"/>
      <c r="I50" s="91"/>
      <c r="J50" s="8"/>
      <c r="K50" s="8"/>
      <c r="L50" s="8"/>
      <c r="M50" s="51"/>
    </row>
    <row r="51" spans="1:13">
      <c r="H51" s="51"/>
      <c r="I51" s="51"/>
      <c r="J51" s="51"/>
      <c r="K51" s="51"/>
      <c r="L51" s="51"/>
      <c r="M51" s="51"/>
    </row>
    <row r="52" spans="1:13">
      <c r="B52" s="53" t="s">
        <v>30</v>
      </c>
      <c r="C52" s="53" t="s">
        <v>7</v>
      </c>
      <c r="D52" s="53" t="s">
        <v>31</v>
      </c>
      <c r="E52" s="53" t="s">
        <v>32</v>
      </c>
      <c r="H52" s="51"/>
      <c r="I52" s="4"/>
      <c r="J52" s="4"/>
      <c r="K52" s="4"/>
      <c r="L52" s="4"/>
      <c r="M52" s="51"/>
    </row>
    <row r="53" spans="1:13">
      <c r="B53" s="596" t="s">
        <v>115</v>
      </c>
      <c r="C53" s="693">
        <f>320000/3</f>
        <v>106666.66666666667</v>
      </c>
      <c r="D53" s="264">
        <v>3</v>
      </c>
      <c r="E53" s="598">
        <f t="shared" ref="E53:E54" si="13">D53*C53</f>
        <v>320000</v>
      </c>
      <c r="H53" s="51"/>
      <c r="I53" s="93"/>
      <c r="J53" s="8"/>
      <c r="K53" s="8"/>
      <c r="L53" s="8"/>
      <c r="M53" s="51"/>
    </row>
    <row r="54" spans="1:13">
      <c r="B54" s="596" t="s">
        <v>258</v>
      </c>
      <c r="C54" s="599">
        <f>293960/3</f>
        <v>97986.666666666672</v>
      </c>
      <c r="D54" s="264">
        <v>2</v>
      </c>
      <c r="E54" s="598">
        <f t="shared" si="13"/>
        <v>195973.33333333334</v>
      </c>
      <c r="H54" s="51"/>
      <c r="I54" s="91"/>
      <c r="J54" s="94"/>
      <c r="K54" s="8"/>
      <c r="L54" s="8"/>
      <c r="M54" s="51"/>
    </row>
    <row r="55" spans="1:13">
      <c r="B55" s="596" t="s">
        <v>116</v>
      </c>
      <c r="C55" s="601">
        <f>429900/3</f>
        <v>143300</v>
      </c>
      <c r="D55" s="264">
        <v>4</v>
      </c>
      <c r="E55" s="598">
        <f>C55*D55</f>
        <v>573200</v>
      </c>
      <c r="H55" s="51"/>
      <c r="I55" s="91"/>
      <c r="J55" s="8"/>
      <c r="K55" s="8"/>
      <c r="L55" s="8"/>
      <c r="M55" s="51"/>
    </row>
    <row r="56" spans="1:13">
      <c r="B56" s="602" t="s">
        <v>40</v>
      </c>
      <c r="C56" s="603">
        <f>465000/3</f>
        <v>155000</v>
      </c>
      <c r="D56" s="604">
        <v>3</v>
      </c>
      <c r="E56" s="598">
        <f>C56*D56</f>
        <v>465000</v>
      </c>
      <c r="F56">
        <v>465000</v>
      </c>
      <c r="H56" s="51"/>
      <c r="I56" s="91"/>
      <c r="J56" s="8"/>
      <c r="K56" s="8"/>
      <c r="L56" s="8"/>
      <c r="M56" s="51"/>
    </row>
    <row r="57" spans="1:13">
      <c r="B57" s="59"/>
      <c r="C57" s="59"/>
      <c r="D57" s="59"/>
      <c r="E57" s="59"/>
      <c r="H57" s="51"/>
      <c r="I57" s="8"/>
      <c r="J57" s="8"/>
      <c r="K57" s="8"/>
      <c r="L57" s="8"/>
      <c r="M57" s="51"/>
    </row>
    <row r="58" spans="1:13">
      <c r="B58" s="53" t="s">
        <v>30</v>
      </c>
      <c r="C58" s="53" t="s">
        <v>8</v>
      </c>
      <c r="D58" s="53" t="s">
        <v>31</v>
      </c>
      <c r="E58" s="53" t="s">
        <v>32</v>
      </c>
      <c r="H58" s="51"/>
      <c r="I58" s="4"/>
      <c r="J58" s="4"/>
      <c r="K58" s="4"/>
      <c r="L58" s="4"/>
      <c r="M58" s="51"/>
    </row>
    <row r="59" spans="1:13">
      <c r="B59" s="596" t="s">
        <v>115</v>
      </c>
      <c r="C59" s="605">
        <v>40000</v>
      </c>
      <c r="D59" s="264">
        <v>3</v>
      </c>
      <c r="E59" s="606">
        <f>D59*C59</f>
        <v>120000</v>
      </c>
      <c r="H59" s="51"/>
      <c r="I59" s="93"/>
      <c r="J59" s="8"/>
      <c r="K59" s="8"/>
      <c r="L59" s="8"/>
      <c r="M59" s="51"/>
    </row>
    <row r="60" spans="1:13" ht="30" customHeight="1">
      <c r="B60" s="596" t="s">
        <v>118</v>
      </c>
      <c r="C60" s="605">
        <v>0</v>
      </c>
      <c r="D60" s="264">
        <v>2</v>
      </c>
      <c r="E60" s="606">
        <f t="shared" ref="E60:E62" si="14">C60*D60</f>
        <v>0</v>
      </c>
      <c r="H60" s="51"/>
      <c r="I60" s="91"/>
      <c r="J60" s="94"/>
      <c r="K60" s="8"/>
      <c r="L60" s="8"/>
      <c r="M60" s="51"/>
    </row>
    <row r="61" spans="1:13" ht="30" customHeight="1">
      <c r="B61" s="596" t="s">
        <v>119</v>
      </c>
      <c r="C61" s="597">
        <v>0</v>
      </c>
      <c r="D61" s="264">
        <v>4</v>
      </c>
      <c r="E61" s="606">
        <f t="shared" si="14"/>
        <v>0</v>
      </c>
      <c r="H61" s="51"/>
      <c r="I61" s="91"/>
      <c r="J61" s="8"/>
      <c r="K61" s="8"/>
      <c r="L61" s="8"/>
      <c r="M61" s="51"/>
    </row>
    <row r="62" spans="1:13" ht="30" customHeight="1">
      <c r="B62" s="596" t="s">
        <v>120</v>
      </c>
      <c r="C62" s="605">
        <v>0</v>
      </c>
      <c r="D62" s="264">
        <v>3</v>
      </c>
      <c r="E62" s="606">
        <f t="shared" si="14"/>
        <v>0</v>
      </c>
      <c r="H62" s="51"/>
      <c r="I62" s="91"/>
      <c r="J62" s="8"/>
      <c r="K62" s="8"/>
      <c r="L62" s="8"/>
      <c r="M62" s="51"/>
    </row>
    <row r="64" spans="1:13">
      <c r="A64" s="269" t="s">
        <v>3</v>
      </c>
      <c r="B64" s="269" t="s">
        <v>44</v>
      </c>
      <c r="C64" s="269" t="s">
        <v>46</v>
      </c>
      <c r="D64" s="269" t="s">
        <v>45</v>
      </c>
      <c r="E64" s="269" t="s">
        <v>5</v>
      </c>
      <c r="F64" s="269" t="s">
        <v>6</v>
      </c>
      <c r="G64" s="269" t="s">
        <v>7</v>
      </c>
      <c r="H64" s="269" t="s">
        <v>8</v>
      </c>
    </row>
    <row r="65" spans="1:8">
      <c r="A65" s="607" t="s">
        <v>9</v>
      </c>
      <c r="B65" s="608"/>
      <c r="C65" s="608"/>
      <c r="D65" s="608"/>
      <c r="E65" s="608"/>
      <c r="F65" s="608"/>
      <c r="G65" s="608"/>
      <c r="H65" s="608"/>
    </row>
    <row r="66" spans="1:8" s="1" customFormat="1">
      <c r="A66" s="734" t="s">
        <v>101</v>
      </c>
      <c r="B66" s="71" t="s">
        <v>121</v>
      </c>
      <c r="C66" s="71" t="s">
        <v>122</v>
      </c>
      <c r="D66" s="71" t="s">
        <v>52</v>
      </c>
      <c r="E66" s="609">
        <f>175000/26</f>
        <v>6730.7692307692305</v>
      </c>
      <c r="F66" s="609">
        <f>E66</f>
        <v>6730.7692307692305</v>
      </c>
      <c r="G66" s="609">
        <f>E66</f>
        <v>6730.7692307692305</v>
      </c>
      <c r="H66" s="609">
        <f>E66</f>
        <v>6730.7692307692305</v>
      </c>
    </row>
    <row r="67" spans="1:8" s="1" customFormat="1">
      <c r="A67" s="735"/>
      <c r="B67" s="71" t="s">
        <v>123</v>
      </c>
      <c r="C67" s="73" t="s">
        <v>49</v>
      </c>
      <c r="D67" s="71" t="s">
        <v>64</v>
      </c>
      <c r="E67" s="609">
        <v>50000</v>
      </c>
      <c r="F67" s="609">
        <f>E67</f>
        <v>50000</v>
      </c>
      <c r="G67" s="609">
        <f>E67</f>
        <v>50000</v>
      </c>
      <c r="H67" s="609">
        <f>E67</f>
        <v>50000</v>
      </c>
    </row>
    <row r="68" spans="1:8" s="1" customFormat="1">
      <c r="A68" s="387"/>
      <c r="B68" s="75" t="s">
        <v>58</v>
      </c>
      <c r="C68" s="76"/>
      <c r="D68" s="76"/>
      <c r="E68" s="610">
        <f>SUM(E66:E67)</f>
        <v>56730.769230769234</v>
      </c>
      <c r="F68" s="610">
        <f>SUM(F66:F67)</f>
        <v>56730.769230769234</v>
      </c>
      <c r="G68" s="610">
        <f>SUM(G66:G67)</f>
        <v>56730.769230769234</v>
      </c>
      <c r="H68" s="610">
        <f>SUM(H66:H67)</f>
        <v>56730.769230769234</v>
      </c>
    </row>
    <row r="69" spans="1:8">
      <c r="A69" s="736" t="s">
        <v>15</v>
      </c>
      <c r="B69" s="611" t="s">
        <v>124</v>
      </c>
      <c r="C69" s="482" t="s">
        <v>125</v>
      </c>
      <c r="D69" s="612" t="s">
        <v>49</v>
      </c>
      <c r="E69" s="613">
        <f>750000/26</f>
        <v>28846.153846153848</v>
      </c>
      <c r="F69" s="613">
        <f>E69</f>
        <v>28846.153846153848</v>
      </c>
      <c r="G69" s="613">
        <f>E69</f>
        <v>28846.153846153848</v>
      </c>
      <c r="H69" s="613">
        <f>E69</f>
        <v>28846.153846153848</v>
      </c>
    </row>
    <row r="70" spans="1:8">
      <c r="A70" s="736"/>
      <c r="B70" s="614" t="s">
        <v>121</v>
      </c>
      <c r="C70" s="482" t="s">
        <v>122</v>
      </c>
      <c r="D70" s="482" t="s">
        <v>52</v>
      </c>
      <c r="E70" s="613">
        <f>300000/26</f>
        <v>11538.461538461539</v>
      </c>
      <c r="F70" s="613">
        <f>E70</f>
        <v>11538.461538461539</v>
      </c>
      <c r="G70" s="613">
        <f>E70</f>
        <v>11538.461538461539</v>
      </c>
      <c r="H70" s="613">
        <f>E70</f>
        <v>11538.461538461539</v>
      </c>
    </row>
    <row r="71" spans="1:8">
      <c r="A71" s="736"/>
      <c r="B71" s="445" t="s">
        <v>53</v>
      </c>
      <c r="C71" s="445" t="s">
        <v>54</v>
      </c>
      <c r="D71" s="445" t="s">
        <v>64</v>
      </c>
      <c r="E71" s="615">
        <v>60000</v>
      </c>
      <c r="F71" s="615">
        <f>E71</f>
        <v>60000</v>
      </c>
      <c r="G71" s="615">
        <f>E71</f>
        <v>60000</v>
      </c>
      <c r="H71" s="615">
        <f>E71</f>
        <v>60000</v>
      </c>
    </row>
    <row r="72" spans="1:8">
      <c r="A72" s="736"/>
      <c r="B72" s="616" t="s">
        <v>126</v>
      </c>
      <c r="C72" s="482" t="s">
        <v>56</v>
      </c>
      <c r="D72" s="482" t="s">
        <v>127</v>
      </c>
      <c r="E72" s="615">
        <v>50000</v>
      </c>
      <c r="F72" s="615">
        <f>E72</f>
        <v>50000</v>
      </c>
      <c r="G72" s="615">
        <f>E72</f>
        <v>50000</v>
      </c>
      <c r="H72" s="615">
        <v>40000</v>
      </c>
    </row>
    <row r="73" spans="1:8">
      <c r="A73" s="302"/>
      <c r="B73" s="304" t="s">
        <v>58</v>
      </c>
      <c r="C73" s="304"/>
      <c r="D73" s="304"/>
      <c r="E73" s="617">
        <f t="shared" ref="E73:H73" si="15">SUM(E69:E72)</f>
        <v>150384.61538461538</v>
      </c>
      <c r="F73" s="617">
        <f t="shared" si="15"/>
        <v>150384.61538461538</v>
      </c>
      <c r="G73" s="617">
        <f t="shared" si="15"/>
        <v>150384.61538461538</v>
      </c>
      <c r="H73" s="617">
        <f t="shared" si="15"/>
        <v>140384.61538461538</v>
      </c>
    </row>
    <row r="74" spans="1:8">
      <c r="A74" s="737" t="s">
        <v>16</v>
      </c>
      <c r="B74" s="611" t="s">
        <v>128</v>
      </c>
      <c r="C74" s="482" t="s">
        <v>129</v>
      </c>
      <c r="D74" s="612" t="s">
        <v>49</v>
      </c>
      <c r="E74" s="613">
        <f>800000/26</f>
        <v>30769.23076923077</v>
      </c>
      <c r="F74" s="613">
        <f>E74</f>
        <v>30769.23076923077</v>
      </c>
      <c r="G74" s="613">
        <f>E74</f>
        <v>30769.23076923077</v>
      </c>
      <c r="H74" s="613">
        <f>E74</f>
        <v>30769.23076923077</v>
      </c>
    </row>
    <row r="75" spans="1:8">
      <c r="A75" s="738"/>
      <c r="B75" s="614" t="s">
        <v>121</v>
      </c>
      <c r="C75" s="482" t="s">
        <v>122</v>
      </c>
      <c r="D75" s="612" t="s">
        <v>52</v>
      </c>
      <c r="E75" s="613">
        <f>300000/26</f>
        <v>11538.461538461539</v>
      </c>
      <c r="F75" s="613">
        <f>E75</f>
        <v>11538.461538461539</v>
      </c>
      <c r="G75" s="613">
        <f>E75</f>
        <v>11538.461538461539</v>
      </c>
      <c r="H75" s="613">
        <f>E75</f>
        <v>11538.461538461539</v>
      </c>
    </row>
    <row r="76" spans="1:8">
      <c r="A76" s="738"/>
      <c r="B76" s="611" t="s">
        <v>130</v>
      </c>
      <c r="C76" s="482" t="s">
        <v>56</v>
      </c>
      <c r="D76" s="612" t="s">
        <v>57</v>
      </c>
      <c r="E76" s="615">
        <v>60000</v>
      </c>
      <c r="F76" s="615">
        <f t="shared" ref="F76:F78" si="16">E76</f>
        <v>60000</v>
      </c>
      <c r="G76" s="615">
        <f>E76</f>
        <v>60000</v>
      </c>
      <c r="H76" s="615">
        <v>50000</v>
      </c>
    </row>
    <row r="77" spans="1:8">
      <c r="A77" s="738"/>
      <c r="B77" s="618" t="s">
        <v>62</v>
      </c>
      <c r="C77" s="482" t="s">
        <v>63</v>
      </c>
      <c r="D77" s="612" t="s">
        <v>64</v>
      </c>
      <c r="E77" s="615">
        <v>5000</v>
      </c>
      <c r="F77" s="615">
        <f t="shared" si="16"/>
        <v>5000</v>
      </c>
      <c r="G77" s="615">
        <f t="shared" ref="G77:H78" si="17">E77</f>
        <v>5000</v>
      </c>
      <c r="H77" s="615">
        <f t="shared" si="17"/>
        <v>5000</v>
      </c>
    </row>
    <row r="78" spans="1:8">
      <c r="A78" s="739"/>
      <c r="B78" s="618" t="s">
        <v>65</v>
      </c>
      <c r="C78" s="482" t="s">
        <v>63</v>
      </c>
      <c r="D78" s="612" t="s">
        <v>64</v>
      </c>
      <c r="E78" s="615">
        <v>22000</v>
      </c>
      <c r="F78" s="615">
        <f t="shared" si="16"/>
        <v>22000</v>
      </c>
      <c r="G78" s="615">
        <f t="shared" si="17"/>
        <v>22000</v>
      </c>
      <c r="H78" s="615">
        <v>17000</v>
      </c>
    </row>
    <row r="79" spans="1:8">
      <c r="A79" s="302"/>
      <c r="B79" s="304" t="s">
        <v>58</v>
      </c>
      <c r="C79" s="304"/>
      <c r="D79" s="304"/>
      <c r="E79" s="617">
        <f t="shared" ref="E79:H79" si="18">SUM(E74:E78)</f>
        <v>129307.69230769231</v>
      </c>
      <c r="F79" s="617">
        <f t="shared" si="18"/>
        <v>129307.69230769231</v>
      </c>
      <c r="G79" s="617">
        <f t="shared" si="18"/>
        <v>129307.69230769231</v>
      </c>
      <c r="H79" s="617">
        <f t="shared" si="18"/>
        <v>114307.69230769231</v>
      </c>
    </row>
    <row r="80" spans="1:8">
      <c r="A80" s="113" t="s">
        <v>11</v>
      </c>
    </row>
    <row r="81" spans="1:8" ht="15" customHeight="1">
      <c r="A81" s="740" t="s">
        <v>102</v>
      </c>
      <c r="B81" s="114" t="s">
        <v>131</v>
      </c>
      <c r="C81" s="114" t="s">
        <v>125</v>
      </c>
      <c r="D81" s="114" t="s">
        <v>49</v>
      </c>
      <c r="E81" s="508">
        <f>550000/26</f>
        <v>21153.846153846152</v>
      </c>
      <c r="F81" s="508">
        <f>E81</f>
        <v>21153.846153846152</v>
      </c>
      <c r="G81" s="508">
        <f>E81</f>
        <v>21153.846153846152</v>
      </c>
      <c r="H81" s="508">
        <f>E81</f>
        <v>21153.846153846152</v>
      </c>
    </row>
    <row r="82" spans="1:8">
      <c r="A82" s="740"/>
      <c r="B82" s="114" t="s">
        <v>132</v>
      </c>
      <c r="C82" s="114" t="s">
        <v>122</v>
      </c>
      <c r="D82" s="114" t="s">
        <v>52</v>
      </c>
      <c r="E82" s="508">
        <f>180000/26</f>
        <v>6923.0769230769229</v>
      </c>
      <c r="F82" s="508">
        <f>E82</f>
        <v>6923.0769230769229</v>
      </c>
      <c r="G82" s="508">
        <f>E82</f>
        <v>6923.0769230769229</v>
      </c>
      <c r="H82" s="508">
        <f>E82</f>
        <v>6923.0769230769229</v>
      </c>
    </row>
    <row r="83" spans="1:8">
      <c r="A83" s="740"/>
      <c r="B83" s="114" t="s">
        <v>133</v>
      </c>
      <c r="C83" s="114" t="s">
        <v>56</v>
      </c>
      <c r="D83" s="114" t="s">
        <v>127</v>
      </c>
      <c r="E83" s="508">
        <v>40000</v>
      </c>
      <c r="F83" s="508">
        <f>E83</f>
        <v>40000</v>
      </c>
      <c r="G83" s="508">
        <f>E83</f>
        <v>40000</v>
      </c>
      <c r="H83" s="508">
        <v>30000</v>
      </c>
    </row>
    <row r="84" spans="1:8">
      <c r="A84" s="619"/>
      <c r="B84" s="75" t="s">
        <v>58</v>
      </c>
      <c r="C84" s="76"/>
      <c r="D84" s="76"/>
      <c r="E84" s="480">
        <f>SUM(E81:E83)</f>
        <v>68076.923076923078</v>
      </c>
      <c r="F84" s="480">
        <f>SUM(F81:F83)</f>
        <v>68076.923076923078</v>
      </c>
      <c r="G84" s="480">
        <f>SUM(G81:G83)</f>
        <v>68076.923076923078</v>
      </c>
      <c r="H84" s="480">
        <f>SUM(H81:H83)</f>
        <v>58076.923076923078</v>
      </c>
    </row>
    <row r="85" spans="1:8">
      <c r="A85" s="620" t="s">
        <v>134</v>
      </c>
      <c r="B85" s="621" t="s">
        <v>67</v>
      </c>
      <c r="C85" s="398" t="s">
        <v>64</v>
      </c>
      <c r="D85" s="145" t="s">
        <v>64</v>
      </c>
      <c r="E85" s="622">
        <v>117000</v>
      </c>
      <c r="F85" s="526">
        <f t="shared" ref="F85" si="19">E85</f>
        <v>117000</v>
      </c>
      <c r="G85" s="526">
        <f t="shared" ref="G85" si="20">E85</f>
        <v>117000</v>
      </c>
      <c r="H85" s="526">
        <v>69000</v>
      </c>
    </row>
    <row r="86" spans="1:8">
      <c r="A86" s="302"/>
      <c r="B86" s="304" t="s">
        <v>58</v>
      </c>
      <c r="C86" s="514"/>
      <c r="D86" s="304"/>
      <c r="E86" s="623">
        <f>SUM(E85:E85)</f>
        <v>117000</v>
      </c>
      <c r="F86" s="623">
        <f>SUM(F85:F85)</f>
        <v>117000</v>
      </c>
      <c r="G86" s="623">
        <f>SUM(G85:G85)</f>
        <v>117000</v>
      </c>
      <c r="H86" s="623">
        <f>SUM(H85:H85)</f>
        <v>69000</v>
      </c>
    </row>
    <row r="87" spans="1:8" ht="15" customHeight="1">
      <c r="A87" s="741" t="s">
        <v>135</v>
      </c>
      <c r="B87" s="624" t="s">
        <v>131</v>
      </c>
      <c r="C87" s="398" t="s">
        <v>125</v>
      </c>
      <c r="D87" s="145" t="s">
        <v>49</v>
      </c>
      <c r="E87" s="519">
        <f>620000/26</f>
        <v>23846.153846153848</v>
      </c>
      <c r="F87" s="519">
        <f>E87</f>
        <v>23846.153846153848</v>
      </c>
      <c r="G87" s="519">
        <f>E87</f>
        <v>23846.153846153848</v>
      </c>
      <c r="H87" s="519">
        <f>E87</f>
        <v>23846.153846153848</v>
      </c>
    </row>
    <row r="88" spans="1:8">
      <c r="A88" s="742"/>
      <c r="B88" s="145" t="s">
        <v>72</v>
      </c>
      <c r="C88" s="517" t="s">
        <v>122</v>
      </c>
      <c r="D88" s="145" t="s">
        <v>52</v>
      </c>
      <c r="E88" s="521">
        <f>180000/26</f>
        <v>6923.0769230769229</v>
      </c>
      <c r="F88" s="521">
        <f>E88</f>
        <v>6923.0769230769229</v>
      </c>
      <c r="G88" s="521">
        <f>E88</f>
        <v>6923.0769230769229</v>
      </c>
      <c r="H88" s="521">
        <f>E88</f>
        <v>6923.0769230769229</v>
      </c>
    </row>
    <row r="89" spans="1:8" ht="15" customHeight="1">
      <c r="A89" s="743"/>
      <c r="B89" s="145" t="s">
        <v>73</v>
      </c>
      <c r="C89" s="625" t="s">
        <v>136</v>
      </c>
      <c r="D89" s="145" t="s">
        <v>49</v>
      </c>
      <c r="E89" s="519">
        <v>10000</v>
      </c>
      <c r="F89" s="526">
        <f t="shared" ref="F89:G89" si="21">E89</f>
        <v>10000</v>
      </c>
      <c r="G89" s="526">
        <f t="shared" si="21"/>
        <v>10000</v>
      </c>
      <c r="H89" s="526">
        <f>F89</f>
        <v>10000</v>
      </c>
    </row>
    <row r="90" spans="1:8">
      <c r="A90" s="626"/>
      <c r="B90" s="627" t="s">
        <v>58</v>
      </c>
      <c r="C90" s="304"/>
      <c r="D90" s="304"/>
      <c r="E90" s="623">
        <f t="shared" ref="E90:H90" si="22">SUM(E87:E89)</f>
        <v>40769.230769230766</v>
      </c>
      <c r="F90" s="623">
        <f t="shared" si="22"/>
        <v>40769.230769230766</v>
      </c>
      <c r="G90" s="623">
        <f t="shared" si="22"/>
        <v>40769.230769230766</v>
      </c>
      <c r="H90" s="623">
        <f t="shared" si="22"/>
        <v>40769.230769230766</v>
      </c>
    </row>
    <row r="91" spans="1:8">
      <c r="A91" s="728" t="s">
        <v>137</v>
      </c>
      <c r="B91" s="327" t="s">
        <v>131</v>
      </c>
      <c r="C91" s="398" t="s">
        <v>129</v>
      </c>
      <c r="D91" s="145" t="s">
        <v>49</v>
      </c>
      <c r="E91" s="519"/>
      <c r="F91" s="519"/>
      <c r="G91" s="519"/>
      <c r="H91" s="519"/>
    </row>
    <row r="92" spans="1:8">
      <c r="A92" s="728"/>
      <c r="B92" s="624" t="s">
        <v>138</v>
      </c>
      <c r="C92" s="398" t="s">
        <v>139</v>
      </c>
      <c r="D92" s="145" t="s">
        <v>64</v>
      </c>
      <c r="E92" s="519">
        <v>65000</v>
      </c>
      <c r="F92" s="526">
        <f>E92</f>
        <v>65000</v>
      </c>
      <c r="G92" s="526">
        <f>E92</f>
        <v>65000</v>
      </c>
      <c r="H92" s="526">
        <v>45000</v>
      </c>
    </row>
    <row r="93" spans="1:8">
      <c r="A93" s="728"/>
      <c r="B93" s="145" t="s">
        <v>72</v>
      </c>
      <c r="C93" s="517" t="s">
        <v>122</v>
      </c>
      <c r="D93" s="145" t="s">
        <v>52</v>
      </c>
      <c r="E93" s="521">
        <f>300000/26</f>
        <v>11538.461538461539</v>
      </c>
      <c r="F93" s="521">
        <f>E93</f>
        <v>11538.461538461539</v>
      </c>
      <c r="G93" s="521">
        <f>E93</f>
        <v>11538.461538461539</v>
      </c>
      <c r="H93" s="521">
        <f>E93</f>
        <v>11538.461538461539</v>
      </c>
    </row>
    <row r="94" spans="1:8">
      <c r="A94" s="340"/>
      <c r="B94" s="304" t="s">
        <v>58</v>
      </c>
      <c r="C94" s="304"/>
      <c r="D94" s="304"/>
      <c r="E94" s="623">
        <f t="shared" ref="E94:H94" si="23">SUM(E91:E93)</f>
        <v>76538.461538461532</v>
      </c>
      <c r="F94" s="623">
        <f t="shared" si="23"/>
        <v>76538.461538461532</v>
      </c>
      <c r="G94" s="623">
        <f t="shared" si="23"/>
        <v>76538.461538461532</v>
      </c>
      <c r="H94" s="623">
        <f t="shared" si="23"/>
        <v>56538.461538461539</v>
      </c>
    </row>
    <row r="95" spans="1:8">
      <c r="A95" s="628" t="s">
        <v>98</v>
      </c>
      <c r="B95" s="629"/>
      <c r="C95" s="629"/>
      <c r="D95" s="629"/>
      <c r="E95" s="630"/>
      <c r="F95" s="630"/>
      <c r="G95" s="630"/>
      <c r="H95" s="630"/>
    </row>
    <row r="96" spans="1:8">
      <c r="A96" s="729" t="s">
        <v>140</v>
      </c>
      <c r="B96" s="336" t="s">
        <v>141</v>
      </c>
      <c r="C96" s="336" t="s">
        <v>129</v>
      </c>
      <c r="D96" s="336" t="s">
        <v>49</v>
      </c>
      <c r="E96" s="631">
        <f>500000/26</f>
        <v>19230.76923076923</v>
      </c>
      <c r="F96" s="631">
        <f>E96</f>
        <v>19230.76923076923</v>
      </c>
      <c r="G96" s="631">
        <f>E96</f>
        <v>19230.76923076923</v>
      </c>
      <c r="H96" s="631">
        <f>E96</f>
        <v>19230.76923076923</v>
      </c>
    </row>
    <row r="97" spans="1:8">
      <c r="A97" s="730"/>
      <c r="B97" s="336" t="s">
        <v>142</v>
      </c>
      <c r="C97" s="336" t="s">
        <v>122</v>
      </c>
      <c r="D97" s="336" t="s">
        <v>52</v>
      </c>
      <c r="E97" s="631">
        <f>250000/26</f>
        <v>9615.3846153846152</v>
      </c>
      <c r="F97" s="631">
        <f>E97</f>
        <v>9615.3846153846152</v>
      </c>
      <c r="G97" s="631">
        <f>E97</f>
        <v>9615.3846153846152</v>
      </c>
      <c r="H97" s="631">
        <f>E97</f>
        <v>9615.3846153846152</v>
      </c>
    </row>
    <row r="98" spans="1:8">
      <c r="A98" s="730"/>
      <c r="B98" s="336" t="s">
        <v>143</v>
      </c>
      <c r="C98" s="336" t="s">
        <v>144</v>
      </c>
      <c r="D98" s="336" t="s">
        <v>49</v>
      </c>
      <c r="E98" s="631">
        <v>2500</v>
      </c>
      <c r="F98" s="631">
        <f>E98</f>
        <v>2500</v>
      </c>
      <c r="G98" s="631">
        <f>E98</f>
        <v>2500</v>
      </c>
      <c r="H98" s="631">
        <f>E98</f>
        <v>2500</v>
      </c>
    </row>
    <row r="99" spans="1:8">
      <c r="A99" s="731"/>
      <c r="B99" s="336" t="s">
        <v>145</v>
      </c>
      <c r="C99" s="336" t="s">
        <v>56</v>
      </c>
      <c r="D99" s="336" t="s">
        <v>127</v>
      </c>
      <c r="E99" s="631">
        <v>45000</v>
      </c>
      <c r="F99" s="631">
        <f>E99</f>
        <v>45000</v>
      </c>
      <c r="G99" s="631">
        <f>E99</f>
        <v>45000</v>
      </c>
      <c r="H99" s="631">
        <v>35000</v>
      </c>
    </row>
    <row r="100" spans="1:8">
      <c r="A100" s="340"/>
      <c r="B100" s="339" t="s">
        <v>58</v>
      </c>
      <c r="C100" s="340"/>
      <c r="D100" s="340"/>
      <c r="E100" s="632">
        <f>SUM(E96:E99)</f>
        <v>76346.153846153844</v>
      </c>
      <c r="F100" s="632">
        <f>SUM(F96:F99)</f>
        <v>76346.153846153844</v>
      </c>
      <c r="G100" s="632">
        <f>SUM(G96:G99)</f>
        <v>76346.153846153844</v>
      </c>
      <c r="H100" s="632">
        <f>SUM(H96:H99)</f>
        <v>66346.153846153844</v>
      </c>
    </row>
    <row r="101" spans="1:8" ht="15" customHeight="1">
      <c r="A101" s="732" t="s">
        <v>105</v>
      </c>
      <c r="B101" s="336" t="s">
        <v>141</v>
      </c>
      <c r="C101" s="336" t="s">
        <v>129</v>
      </c>
      <c r="D101" s="336" t="s">
        <v>49</v>
      </c>
      <c r="E101" s="631">
        <f>900000/26</f>
        <v>34615.384615384617</v>
      </c>
      <c r="F101" s="631">
        <f>E101</f>
        <v>34615.384615384617</v>
      </c>
      <c r="G101" s="631">
        <f>E101</f>
        <v>34615.384615384617</v>
      </c>
      <c r="H101" s="631">
        <f>E101</f>
        <v>34615.384615384617</v>
      </c>
    </row>
    <row r="102" spans="1:8">
      <c r="A102" s="732"/>
      <c r="B102" s="336" t="s">
        <v>142</v>
      </c>
      <c r="C102" s="342" t="s">
        <v>122</v>
      </c>
      <c r="D102" s="336" t="s">
        <v>52</v>
      </c>
      <c r="E102" s="631">
        <f>300000/26</f>
        <v>11538.461538461539</v>
      </c>
      <c r="F102" s="631">
        <f>E102</f>
        <v>11538.461538461539</v>
      </c>
      <c r="G102" s="631">
        <f>E102</f>
        <v>11538.461538461539</v>
      </c>
      <c r="H102" s="631">
        <f>E102</f>
        <v>11538.461538461539</v>
      </c>
    </row>
    <row r="103" spans="1:8">
      <c r="A103" s="732"/>
      <c r="B103" s="336" t="s">
        <v>146</v>
      </c>
      <c r="C103" s="342" t="s">
        <v>64</v>
      </c>
      <c r="D103" s="336" t="s">
        <v>49</v>
      </c>
      <c r="E103" s="631">
        <v>20000</v>
      </c>
      <c r="F103" s="631">
        <f>E103</f>
        <v>20000</v>
      </c>
      <c r="G103" s="631">
        <f>E103</f>
        <v>20000</v>
      </c>
      <c r="H103" s="631">
        <v>15000</v>
      </c>
    </row>
    <row r="104" spans="1:8">
      <c r="A104" s="732"/>
      <c r="B104" s="336" t="s">
        <v>147</v>
      </c>
      <c r="C104" s="336" t="s">
        <v>56</v>
      </c>
      <c r="D104" s="336" t="s">
        <v>127</v>
      </c>
      <c r="E104" s="631">
        <v>40000</v>
      </c>
      <c r="F104" s="631">
        <f>E104</f>
        <v>40000</v>
      </c>
      <c r="G104" s="631">
        <f>E104</f>
        <v>40000</v>
      </c>
      <c r="H104" s="631">
        <v>30000</v>
      </c>
    </row>
    <row r="105" spans="1:8">
      <c r="A105" s="633"/>
      <c r="B105" s="336"/>
      <c r="C105" s="336" t="s">
        <v>148</v>
      </c>
      <c r="D105" s="336" t="s">
        <v>127</v>
      </c>
      <c r="E105" s="631">
        <v>10000</v>
      </c>
      <c r="F105" s="631">
        <f>E105</f>
        <v>10000</v>
      </c>
      <c r="G105" s="631">
        <f>E105</f>
        <v>10000</v>
      </c>
      <c r="H105" s="631">
        <f>E105</f>
        <v>10000</v>
      </c>
    </row>
    <row r="106" spans="1:8">
      <c r="A106" s="340"/>
      <c r="B106" s="339" t="s">
        <v>58</v>
      </c>
      <c r="C106" s="340"/>
      <c r="D106" s="340"/>
      <c r="E106" s="632">
        <f>SUM(E101:E104)</f>
        <v>106153.84615384616</v>
      </c>
      <c r="F106" s="632">
        <f t="shared" ref="F106:H106" si="24">SUM(F101:F104)</f>
        <v>106153.84615384616</v>
      </c>
      <c r="G106" s="632">
        <f t="shared" si="24"/>
        <v>106153.84615384616</v>
      </c>
      <c r="H106" s="632">
        <f t="shared" si="24"/>
        <v>91153.846153846156</v>
      </c>
    </row>
    <row r="107" spans="1:8">
      <c r="A107" s="633" t="s">
        <v>106</v>
      </c>
      <c r="B107" s="336" t="s">
        <v>141</v>
      </c>
      <c r="C107" s="336" t="s">
        <v>49</v>
      </c>
      <c r="D107" s="344" t="s">
        <v>129</v>
      </c>
      <c r="E107" s="631">
        <f>340000/26</f>
        <v>13076.923076923076</v>
      </c>
      <c r="F107" s="631">
        <f>E107</f>
        <v>13076.923076923076</v>
      </c>
      <c r="G107" s="631">
        <f>E107</f>
        <v>13076.923076923076</v>
      </c>
      <c r="H107" s="631"/>
    </row>
    <row r="108" spans="1:8">
      <c r="A108" s="634"/>
      <c r="B108" s="336" t="s">
        <v>149</v>
      </c>
      <c r="C108" s="336" t="s">
        <v>150</v>
      </c>
      <c r="D108" s="342" t="s">
        <v>57</v>
      </c>
      <c r="E108" s="631">
        <v>51500</v>
      </c>
      <c r="F108" s="631">
        <f>E108</f>
        <v>51500</v>
      </c>
      <c r="G108" s="631">
        <f>E108</f>
        <v>51500</v>
      </c>
      <c r="H108" s="631"/>
    </row>
    <row r="109" spans="1:8">
      <c r="A109" s="75"/>
      <c r="B109" s="339" t="s">
        <v>58</v>
      </c>
      <c r="C109" s="340"/>
      <c r="D109" s="346"/>
      <c r="E109" s="632">
        <f>SUM(E107:E108)</f>
        <v>64576.923076923078</v>
      </c>
      <c r="F109" s="632">
        <f t="shared" ref="F109:G109" si="25">SUM(F107:F108)</f>
        <v>64576.923076923078</v>
      </c>
      <c r="G109" s="632">
        <f t="shared" si="25"/>
        <v>64576.923076923078</v>
      </c>
      <c r="H109" s="632"/>
    </row>
    <row r="110" spans="1:8">
      <c r="A110" s="635" t="s">
        <v>107</v>
      </c>
      <c r="B110" s="336" t="s">
        <v>151</v>
      </c>
      <c r="C110" s="336" t="s">
        <v>144</v>
      </c>
      <c r="D110" s="336" t="s">
        <v>64</v>
      </c>
      <c r="E110" s="631">
        <v>230000</v>
      </c>
      <c r="F110" s="631">
        <f>E110</f>
        <v>230000</v>
      </c>
      <c r="G110" s="631">
        <f>E110</f>
        <v>230000</v>
      </c>
      <c r="H110" s="631">
        <f>E110</f>
        <v>230000</v>
      </c>
    </row>
    <row r="111" spans="1:8" ht="15" customHeight="1">
      <c r="A111" s="339"/>
      <c r="B111" s="339" t="s">
        <v>58</v>
      </c>
      <c r="C111" s="340"/>
      <c r="D111" s="340"/>
      <c r="E111" s="632">
        <f>SUM(E110)</f>
        <v>230000</v>
      </c>
      <c r="F111" s="632">
        <f t="shared" ref="F111:H111" si="26">SUM(F110)</f>
        <v>230000</v>
      </c>
      <c r="G111" s="632">
        <f t="shared" si="26"/>
        <v>230000</v>
      </c>
      <c r="H111" s="632">
        <f t="shared" si="26"/>
        <v>230000</v>
      </c>
    </row>
    <row r="112" spans="1:8">
      <c r="A112" s="636" t="s">
        <v>12</v>
      </c>
      <c r="B112" s="637"/>
      <c r="C112" s="637"/>
      <c r="D112" s="637"/>
      <c r="E112" s="637"/>
      <c r="F112" s="637"/>
      <c r="G112" s="637"/>
      <c r="H112" s="637"/>
    </row>
    <row r="113" spans="1:9" ht="15" customHeight="1">
      <c r="A113" s="726" t="s">
        <v>152</v>
      </c>
      <c r="B113" s="38" t="s">
        <v>80</v>
      </c>
      <c r="C113" s="38" t="s">
        <v>49</v>
      </c>
      <c r="D113" s="38" t="s">
        <v>129</v>
      </c>
      <c r="E113" s="548">
        <f>400000/26</f>
        <v>15384.615384615385</v>
      </c>
      <c r="F113" s="548">
        <f>E113</f>
        <v>15384.615384615385</v>
      </c>
      <c r="G113" s="548">
        <f>E113</f>
        <v>15384.615384615385</v>
      </c>
      <c r="H113" s="548">
        <f>E113</f>
        <v>15384.615384615385</v>
      </c>
      <c r="I113" s="349"/>
    </row>
    <row r="114" spans="1:9">
      <c r="A114" s="733"/>
      <c r="B114" s="638" t="s">
        <v>153</v>
      </c>
      <c r="C114" s="355" t="s">
        <v>122</v>
      </c>
      <c r="D114" s="38" t="s">
        <v>52</v>
      </c>
      <c r="E114" s="548">
        <f>350000/26</f>
        <v>13461.538461538461</v>
      </c>
      <c r="F114" s="548">
        <f>E114</f>
        <v>13461.538461538461</v>
      </c>
      <c r="G114" s="548">
        <f>E114</f>
        <v>13461.538461538461</v>
      </c>
      <c r="H114" s="548">
        <f>E114</f>
        <v>13461.538461538461</v>
      </c>
      <c r="I114" s="349"/>
    </row>
    <row r="115" spans="1:9">
      <c r="A115" s="727"/>
      <c r="B115" s="38" t="s">
        <v>154</v>
      </c>
      <c r="C115" s="32"/>
      <c r="D115" s="38"/>
      <c r="E115" s="548">
        <v>20000</v>
      </c>
      <c r="F115" s="573">
        <f>E115</f>
        <v>20000</v>
      </c>
      <c r="G115" s="573">
        <f>E115</f>
        <v>20000</v>
      </c>
      <c r="H115" s="573">
        <f>E115</f>
        <v>20000</v>
      </c>
      <c r="I115" s="349"/>
    </row>
    <row r="116" spans="1:9">
      <c r="A116" s="76"/>
      <c r="B116" s="304" t="s">
        <v>58</v>
      </c>
      <c r="C116" s="304"/>
      <c r="D116" s="304"/>
      <c r="E116" s="639">
        <f t="shared" ref="E116:H116" si="27">SUM(E113:E115)</f>
        <v>48846.153846153844</v>
      </c>
      <c r="F116" s="639">
        <f t="shared" si="27"/>
        <v>48846.153846153844</v>
      </c>
      <c r="G116" s="639">
        <f t="shared" si="27"/>
        <v>48846.153846153844</v>
      </c>
      <c r="H116" s="639">
        <f t="shared" si="27"/>
        <v>48846.153846153844</v>
      </c>
    </row>
    <row r="117" spans="1:9" ht="15" customHeight="1">
      <c r="A117" s="726" t="s">
        <v>155</v>
      </c>
      <c r="B117" s="640" t="s">
        <v>80</v>
      </c>
      <c r="C117" s="355" t="s">
        <v>49</v>
      </c>
      <c r="D117" s="38" t="s">
        <v>129</v>
      </c>
      <c r="E117" s="548">
        <f>930000/26</f>
        <v>35769.230769230766</v>
      </c>
      <c r="F117" s="548">
        <f>E117</f>
        <v>35769.230769230766</v>
      </c>
      <c r="G117" s="548">
        <f>E117</f>
        <v>35769.230769230766</v>
      </c>
      <c r="H117" s="548">
        <f>E117</f>
        <v>35769.230769230766</v>
      </c>
    </row>
    <row r="118" spans="1:9">
      <c r="A118" s="733"/>
      <c r="B118" s="638" t="s">
        <v>153</v>
      </c>
      <c r="C118" s="355" t="s">
        <v>122</v>
      </c>
      <c r="D118" s="38" t="s">
        <v>52</v>
      </c>
      <c r="E118" s="548">
        <f>400000/26</f>
        <v>15384.615384615385</v>
      </c>
      <c r="F118" s="548">
        <f>E118</f>
        <v>15384.615384615385</v>
      </c>
      <c r="G118" s="548">
        <f>E118</f>
        <v>15384.615384615385</v>
      </c>
      <c r="H118" s="548">
        <f>E118</f>
        <v>15384.615384615385</v>
      </c>
    </row>
    <row r="119" spans="1:9">
      <c r="A119" s="733"/>
      <c r="B119" s="38" t="s">
        <v>88</v>
      </c>
      <c r="C119" s="355" t="s">
        <v>64</v>
      </c>
      <c r="D119" s="38" t="s">
        <v>156</v>
      </c>
      <c r="E119" s="548">
        <v>40000</v>
      </c>
      <c r="F119" s="573">
        <f t="shared" ref="F119:F120" si="28">E119</f>
        <v>40000</v>
      </c>
      <c r="G119" s="573">
        <f t="shared" ref="G119:G120" si="29">E119</f>
        <v>40000</v>
      </c>
      <c r="H119" s="573"/>
    </row>
    <row r="120" spans="1:9">
      <c r="A120" s="727"/>
      <c r="B120" s="38" t="s">
        <v>157</v>
      </c>
      <c r="C120" s="355" t="s">
        <v>64</v>
      </c>
      <c r="D120" s="38" t="s">
        <v>54</v>
      </c>
      <c r="E120" s="548">
        <v>25000</v>
      </c>
      <c r="F120" s="573">
        <f t="shared" si="28"/>
        <v>25000</v>
      </c>
      <c r="G120" s="573">
        <f t="shared" si="29"/>
        <v>25000</v>
      </c>
      <c r="H120" s="573">
        <v>10500</v>
      </c>
    </row>
    <row r="121" spans="1:9">
      <c r="A121" s="76"/>
      <c r="B121" s="304" t="s">
        <v>58</v>
      </c>
      <c r="C121" s="304"/>
      <c r="D121" s="304"/>
      <c r="E121" s="639">
        <f t="shared" ref="E121:H121" si="30">SUM(E117:E120)</f>
        <v>116153.84615384616</v>
      </c>
      <c r="F121" s="639">
        <f t="shared" si="30"/>
        <v>116153.84615384616</v>
      </c>
      <c r="G121" s="639">
        <f t="shared" si="30"/>
        <v>116153.84615384616</v>
      </c>
      <c r="H121" s="639">
        <f t="shared" si="30"/>
        <v>61653.846153846149</v>
      </c>
    </row>
    <row r="122" spans="1:9" ht="15" customHeight="1">
      <c r="A122" s="726" t="s">
        <v>158</v>
      </c>
      <c r="B122" s="38" t="s">
        <v>93</v>
      </c>
      <c r="C122" s="641" t="s">
        <v>159</v>
      </c>
      <c r="D122" s="38" t="s">
        <v>64</v>
      </c>
      <c r="E122" s="548">
        <v>168000</v>
      </c>
      <c r="F122" s="573">
        <f>E122</f>
        <v>168000</v>
      </c>
      <c r="G122" s="573">
        <f>E122</f>
        <v>168000</v>
      </c>
      <c r="H122" s="573">
        <v>104000</v>
      </c>
    </row>
    <row r="123" spans="1:9">
      <c r="A123" s="727"/>
      <c r="B123" s="38" t="s">
        <v>80</v>
      </c>
      <c r="C123" s="355" t="s">
        <v>125</v>
      </c>
      <c r="D123" s="38" t="s">
        <v>49</v>
      </c>
      <c r="E123" s="548">
        <f>200000/26</f>
        <v>7692.3076923076924</v>
      </c>
      <c r="F123" s="548">
        <f>E123</f>
        <v>7692.3076923076924</v>
      </c>
      <c r="G123" s="548">
        <f>E123</f>
        <v>7692.3076923076924</v>
      </c>
      <c r="H123" s="548">
        <f>E123</f>
        <v>7692.3076923076924</v>
      </c>
    </row>
    <row r="124" spans="1:9">
      <c r="A124" s="642"/>
      <c r="B124" s="643" t="s">
        <v>58</v>
      </c>
      <c r="C124" s="570"/>
      <c r="D124" s="643"/>
      <c r="E124" s="571">
        <f>SUM(E122:E123)</f>
        <v>175692.30769230769</v>
      </c>
      <c r="F124" s="571">
        <f>SUM(F122:F123)</f>
        <v>175692.30769230769</v>
      </c>
      <c r="G124" s="571">
        <f>SUM(G122:G123)</f>
        <v>175692.30769230769</v>
      </c>
      <c r="H124" s="571">
        <f>SUM(H122:H123)</f>
        <v>111692.30769230769</v>
      </c>
    </row>
    <row r="125" spans="1:9">
      <c r="A125" s="726" t="s">
        <v>160</v>
      </c>
      <c r="B125" s="38" t="s">
        <v>161</v>
      </c>
      <c r="C125" s="355" t="s">
        <v>85</v>
      </c>
      <c r="D125" s="38" t="s">
        <v>57</v>
      </c>
      <c r="E125" s="572">
        <v>80000</v>
      </c>
      <c r="F125" s="573">
        <f>E125</f>
        <v>80000</v>
      </c>
      <c r="G125" s="573">
        <f>E125</f>
        <v>80000</v>
      </c>
      <c r="H125" s="573">
        <v>60000</v>
      </c>
    </row>
    <row r="126" spans="1:9">
      <c r="A126" s="727"/>
      <c r="B126" s="38" t="s">
        <v>80</v>
      </c>
      <c r="C126" s="355" t="s">
        <v>129</v>
      </c>
      <c r="D126" s="38" t="s">
        <v>49</v>
      </c>
      <c r="E126" s="572">
        <f>320000/16</f>
        <v>20000</v>
      </c>
      <c r="F126" s="572">
        <f>E126</f>
        <v>20000</v>
      </c>
      <c r="G126" s="572">
        <f>E126</f>
        <v>20000</v>
      </c>
      <c r="H126" s="572">
        <f>E126</f>
        <v>20000</v>
      </c>
    </row>
    <row r="127" spans="1:9">
      <c r="A127" s="340"/>
      <c r="B127" s="304" t="s">
        <v>58</v>
      </c>
      <c r="C127" s="304"/>
      <c r="D127" s="304"/>
      <c r="E127" s="639">
        <f>SUM(E125:E126)</f>
        <v>100000</v>
      </c>
      <c r="F127" s="639">
        <f t="shared" ref="F127:H127" si="31">SUM(F125:F126)</f>
        <v>100000</v>
      </c>
      <c r="G127" s="639">
        <f t="shared" si="31"/>
        <v>100000</v>
      </c>
      <c r="H127" s="639">
        <f t="shared" si="31"/>
        <v>80000</v>
      </c>
    </row>
  </sheetData>
  <mergeCells count="18">
    <mergeCell ref="A3:F3"/>
    <mergeCell ref="A38:F38"/>
    <mergeCell ref="A9:A14"/>
    <mergeCell ref="A15:A20"/>
    <mergeCell ref="A21:A26"/>
    <mergeCell ref="A27:A32"/>
    <mergeCell ref="A66:A67"/>
    <mergeCell ref="A69:A72"/>
    <mergeCell ref="A74:A78"/>
    <mergeCell ref="A81:A83"/>
    <mergeCell ref="A87:A89"/>
    <mergeCell ref="A122:A123"/>
    <mergeCell ref="A125:A126"/>
    <mergeCell ref="A91:A93"/>
    <mergeCell ref="A96:A99"/>
    <mergeCell ref="A101:A104"/>
    <mergeCell ref="A113:A115"/>
    <mergeCell ref="A117:A120"/>
  </mergeCells>
  <hyperlinks>
    <hyperlink ref="B77" r:id="rId1" xr:uid="{00000000-0004-0000-0100-000000000000}"/>
    <hyperlink ref="B78" r:id="rId2" xr:uid="{00000000-0004-0000-0100-000001000000}"/>
    <hyperlink ref="B92" r:id="rId3" xr:uid="{00000000-0004-0000-0100-000002000000}"/>
    <hyperlink ref="B117" r:id="rId4" xr:uid="{00000000-0004-0000-0100-000003000000}"/>
  </hyperlinks>
  <pageMargins left="0.7" right="0.7" top="0.75" bottom="0.75" header="0.3" footer="0.3"/>
  <pageSetup paperSize="9" orientation="portrait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18"/>
  <sheetViews>
    <sheetView topLeftCell="A25" zoomScale="130" zoomScaleNormal="130" workbookViewId="0">
      <selection activeCell="H13" sqref="H13"/>
    </sheetView>
  </sheetViews>
  <sheetFormatPr baseColWidth="10" defaultColWidth="11.42578125" defaultRowHeight="15"/>
  <cols>
    <col min="1" max="1" width="16.85546875" customWidth="1"/>
    <col min="2" max="2" width="25.42578125" customWidth="1"/>
    <col min="3" max="3" width="12.5703125" customWidth="1"/>
    <col min="4" max="4" width="13.140625" customWidth="1"/>
    <col min="5" max="6" width="11.28515625" customWidth="1"/>
    <col min="9" max="9" width="25.42578125" customWidth="1"/>
  </cols>
  <sheetData>
    <row r="2" spans="1:13" ht="14.25" customHeight="1"/>
    <row r="3" spans="1:13">
      <c r="A3" s="722" t="s">
        <v>1</v>
      </c>
      <c r="B3" s="723"/>
      <c r="C3" s="723"/>
      <c r="D3" s="723"/>
      <c r="E3" s="723"/>
      <c r="F3" s="724"/>
      <c r="H3" s="766"/>
      <c r="I3" s="767"/>
      <c r="J3" s="767"/>
      <c r="K3" s="767"/>
      <c r="L3" s="767"/>
      <c r="M3" s="767"/>
    </row>
    <row r="4" spans="1:13">
      <c r="A4" s="189" t="s">
        <v>3</v>
      </c>
      <c r="B4" s="3" t="s">
        <v>4</v>
      </c>
      <c r="C4" s="444" t="s">
        <v>5</v>
      </c>
      <c r="D4" s="444" t="s">
        <v>6</v>
      </c>
      <c r="E4" s="444" t="s">
        <v>7</v>
      </c>
      <c r="F4" s="444" t="s">
        <v>8</v>
      </c>
      <c r="H4" s="4"/>
      <c r="I4" s="4"/>
      <c r="J4" s="4"/>
      <c r="K4" s="4"/>
      <c r="L4" s="4"/>
      <c r="M4" s="4"/>
    </row>
    <row r="5" spans="1:13">
      <c r="A5" s="445" t="s">
        <v>9</v>
      </c>
      <c r="B5" s="446" t="s">
        <v>97</v>
      </c>
      <c r="C5" s="7">
        <f>E39</f>
        <v>400000</v>
      </c>
      <c r="D5" s="7">
        <f>E45</f>
        <v>260000</v>
      </c>
      <c r="E5" s="7">
        <f>E51</f>
        <v>213333.33333333334</v>
      </c>
      <c r="F5" s="7">
        <f>E57</f>
        <v>80000</v>
      </c>
      <c r="H5" s="8"/>
      <c r="I5" s="8"/>
      <c r="J5" s="88"/>
      <c r="K5" s="88"/>
      <c r="L5" s="88"/>
      <c r="M5" s="89"/>
    </row>
    <row r="6" spans="1:13">
      <c r="A6" s="149" t="s">
        <v>11</v>
      </c>
      <c r="B6" s="447" t="s">
        <v>97</v>
      </c>
      <c r="C6" s="11">
        <f>E40</f>
        <v>410000</v>
      </c>
      <c r="D6" s="11">
        <f>E46</f>
        <v>265000</v>
      </c>
      <c r="E6" s="11">
        <f>E52</f>
        <v>236666.66666666666</v>
      </c>
      <c r="F6" s="11">
        <f>E58</f>
        <v>180000</v>
      </c>
      <c r="H6" s="8"/>
      <c r="I6" s="8"/>
      <c r="J6" s="88"/>
      <c r="K6" s="88"/>
      <c r="L6" s="88"/>
      <c r="M6" s="89"/>
    </row>
    <row r="7" spans="1:13">
      <c r="A7" s="448" t="s">
        <v>98</v>
      </c>
      <c r="B7" s="449" t="s">
        <v>97</v>
      </c>
      <c r="C7" s="450">
        <f>E41</f>
        <v>579800</v>
      </c>
      <c r="D7" s="450">
        <f>E47</f>
        <v>349900</v>
      </c>
      <c r="E7" s="450">
        <f>E53</f>
        <v>286600</v>
      </c>
      <c r="F7" s="450">
        <f>E59</f>
        <v>0</v>
      </c>
      <c r="H7" s="8"/>
      <c r="I7" s="8"/>
      <c r="J7" s="88"/>
      <c r="K7" s="88"/>
      <c r="L7" s="88"/>
      <c r="M7" s="88"/>
    </row>
    <row r="8" spans="1:13">
      <c r="A8" s="35" t="s">
        <v>12</v>
      </c>
      <c r="B8" s="451" t="s">
        <v>99</v>
      </c>
      <c r="C8" s="13">
        <f t="shared" ref="C8" si="0">E42</f>
        <v>1180000</v>
      </c>
      <c r="D8" s="13">
        <f t="shared" ref="D8" si="1">E48</f>
        <v>590000</v>
      </c>
      <c r="E8" s="13">
        <f t="shared" ref="E8" si="2">E54</f>
        <v>593333.33333333337</v>
      </c>
      <c r="F8" s="13">
        <f t="shared" ref="F8" si="3">E60</f>
        <v>0</v>
      </c>
      <c r="H8" s="8"/>
      <c r="I8" s="8"/>
      <c r="J8" s="88"/>
      <c r="K8" s="88"/>
      <c r="L8" s="88"/>
      <c r="M8" s="89"/>
    </row>
    <row r="9" spans="1:13">
      <c r="A9" s="746" t="s">
        <v>9</v>
      </c>
      <c r="B9" s="15" t="s">
        <v>13</v>
      </c>
      <c r="C9" s="16">
        <f>(320000*2)/16</f>
        <v>40000</v>
      </c>
      <c r="D9" s="16">
        <f>C9</f>
        <v>40000</v>
      </c>
      <c r="E9" s="16">
        <f>C9</f>
        <v>40000</v>
      </c>
      <c r="F9" s="16">
        <f>C9</f>
        <v>40000</v>
      </c>
      <c r="H9" s="4"/>
      <c r="I9" s="8"/>
      <c r="J9" s="88"/>
      <c r="K9" s="88"/>
      <c r="L9" s="88"/>
      <c r="M9" s="88"/>
    </row>
    <row r="10" spans="1:13">
      <c r="A10" s="746"/>
      <c r="B10" s="15" t="s">
        <v>14</v>
      </c>
      <c r="C10" s="16">
        <f>100000/16</f>
        <v>6250</v>
      </c>
      <c r="D10" s="16">
        <f>C10</f>
        <v>6250</v>
      </c>
      <c r="E10" s="16">
        <f>C10</f>
        <v>6250</v>
      </c>
      <c r="F10" s="16">
        <f>C10</f>
        <v>6250</v>
      </c>
      <c r="H10" s="8"/>
      <c r="I10" s="8"/>
      <c r="J10" s="88"/>
      <c r="K10" s="88"/>
      <c r="L10" s="88"/>
      <c r="M10" s="88"/>
    </row>
    <row r="11" spans="1:13">
      <c r="A11" s="746"/>
      <c r="B11" s="18" t="s">
        <v>162</v>
      </c>
      <c r="C11" s="16">
        <f>E66</f>
        <v>57812.5</v>
      </c>
      <c r="D11" s="16">
        <f>F66</f>
        <v>57812.5</v>
      </c>
      <c r="E11" s="16">
        <f>G66</f>
        <v>57812.5</v>
      </c>
      <c r="F11" s="16">
        <f>H66</f>
        <v>57812.5</v>
      </c>
      <c r="H11" s="8"/>
      <c r="I11" s="8"/>
      <c r="J11" s="88"/>
      <c r="K11" s="88"/>
      <c r="L11" s="88"/>
      <c r="M11" s="88"/>
    </row>
    <row r="12" spans="1:13">
      <c r="A12" s="746"/>
      <c r="B12" s="18" t="s">
        <v>163</v>
      </c>
      <c r="C12" s="16">
        <v>50000</v>
      </c>
      <c r="D12" s="16">
        <f>C12</f>
        <v>50000</v>
      </c>
      <c r="E12" s="16">
        <f>C12</f>
        <v>50000</v>
      </c>
      <c r="F12" s="16">
        <v>40000</v>
      </c>
      <c r="H12" s="8"/>
      <c r="I12" s="8"/>
      <c r="J12" s="88"/>
      <c r="K12" s="88"/>
      <c r="L12" s="88"/>
      <c r="M12" s="88"/>
    </row>
    <row r="13" spans="1:13">
      <c r="A13" s="746"/>
      <c r="B13" s="15" t="s">
        <v>15</v>
      </c>
      <c r="C13" s="16">
        <f>E71</f>
        <v>164375</v>
      </c>
      <c r="D13" s="16">
        <f>F71</f>
        <v>164375</v>
      </c>
      <c r="E13" s="16">
        <f>G71</f>
        <v>164375</v>
      </c>
      <c r="F13" s="16">
        <f>H71</f>
        <v>144375</v>
      </c>
      <c r="H13" s="8"/>
      <c r="I13" s="8"/>
      <c r="J13" s="88"/>
      <c r="K13" s="88"/>
      <c r="L13" s="88"/>
      <c r="M13" s="88"/>
    </row>
    <row r="14" spans="1:13">
      <c r="A14" s="747"/>
      <c r="B14" s="15" t="s">
        <v>16</v>
      </c>
      <c r="C14" s="19">
        <f>E77</f>
        <v>128875</v>
      </c>
      <c r="D14" s="19">
        <f>F77</f>
        <v>128875</v>
      </c>
      <c r="E14" s="19">
        <f>G77</f>
        <v>128875</v>
      </c>
      <c r="F14" s="19">
        <f>H77</f>
        <v>113875</v>
      </c>
      <c r="H14" s="8"/>
      <c r="I14" s="8"/>
      <c r="J14" s="88"/>
      <c r="K14" s="88"/>
      <c r="L14" s="88"/>
      <c r="M14" s="88"/>
    </row>
    <row r="15" spans="1:13">
      <c r="A15" s="748" t="s">
        <v>11</v>
      </c>
      <c r="B15" s="21" t="s">
        <v>13</v>
      </c>
      <c r="C15" s="22">
        <f>1040000/16</f>
        <v>65000</v>
      </c>
      <c r="D15" s="22">
        <f>C15</f>
        <v>65000</v>
      </c>
      <c r="E15" s="22">
        <f>C15</f>
        <v>65000</v>
      </c>
      <c r="F15" s="22">
        <f>C15</f>
        <v>65000</v>
      </c>
      <c r="H15" s="4"/>
      <c r="I15" s="8"/>
      <c r="J15" s="88"/>
      <c r="K15" s="88"/>
      <c r="L15" s="88"/>
      <c r="M15" s="88"/>
    </row>
    <row r="16" spans="1:13">
      <c r="A16" s="749"/>
      <c r="B16" s="21" t="s">
        <v>14</v>
      </c>
      <c r="C16" s="22">
        <f>170000/16</f>
        <v>10625</v>
      </c>
      <c r="D16" s="22">
        <f>C16</f>
        <v>10625</v>
      </c>
      <c r="E16" s="22">
        <f>C16</f>
        <v>10625</v>
      </c>
      <c r="F16" s="22">
        <f>C16</f>
        <v>10625</v>
      </c>
      <c r="H16" s="8"/>
      <c r="I16" s="8"/>
      <c r="J16" s="88"/>
      <c r="K16" s="88"/>
      <c r="L16" s="88"/>
      <c r="M16" s="88"/>
    </row>
    <row r="17" spans="1:13">
      <c r="A17" s="749"/>
      <c r="B17" s="25" t="s">
        <v>17</v>
      </c>
      <c r="C17" s="22">
        <f>E81</f>
        <v>141000</v>
      </c>
      <c r="D17" s="22">
        <f>F81</f>
        <v>141000</v>
      </c>
      <c r="E17" s="22">
        <f>G81</f>
        <v>141000</v>
      </c>
      <c r="F17" s="22">
        <f>H81</f>
        <v>114000</v>
      </c>
      <c r="H17" s="8"/>
      <c r="I17" s="8"/>
      <c r="J17" s="88"/>
      <c r="K17" s="88"/>
      <c r="L17" s="88"/>
      <c r="M17" s="88"/>
    </row>
    <row r="18" spans="1:13">
      <c r="A18" s="749"/>
      <c r="B18" s="26" t="s">
        <v>18</v>
      </c>
      <c r="C18" s="27">
        <f>E85</f>
        <v>51250</v>
      </c>
      <c r="D18" s="22">
        <f>F85</f>
        <v>51250</v>
      </c>
      <c r="E18" s="22">
        <f>G85</f>
        <v>51250</v>
      </c>
      <c r="F18" s="22">
        <f>H85</f>
        <v>51250</v>
      </c>
      <c r="H18" s="8"/>
      <c r="I18" s="90"/>
      <c r="J18" s="88"/>
      <c r="K18" s="88"/>
      <c r="L18" s="88"/>
      <c r="M18" s="88"/>
    </row>
    <row r="19" spans="1:13">
      <c r="A19" s="750"/>
      <c r="B19" s="26" t="s">
        <v>19</v>
      </c>
      <c r="C19" s="27">
        <f>E89</f>
        <v>65000</v>
      </c>
      <c r="D19" s="22">
        <f>F89</f>
        <v>65000</v>
      </c>
      <c r="E19" s="22">
        <f>G89</f>
        <v>65000</v>
      </c>
      <c r="F19" s="22">
        <f>H89</f>
        <v>45000</v>
      </c>
      <c r="H19" s="8"/>
      <c r="I19" s="90"/>
      <c r="J19" s="88"/>
      <c r="K19" s="88"/>
      <c r="L19" s="88"/>
      <c r="M19" s="88"/>
    </row>
    <row r="20" spans="1:13">
      <c r="A20" s="579" t="s">
        <v>98</v>
      </c>
      <c r="B20" s="452" t="s">
        <v>103</v>
      </c>
      <c r="C20" s="453">
        <f>2000000/16</f>
        <v>125000</v>
      </c>
      <c r="D20" s="453">
        <f>C20</f>
        <v>125000</v>
      </c>
      <c r="E20" s="453">
        <f>C20</f>
        <v>125000</v>
      </c>
      <c r="F20" s="453">
        <f>C20</f>
        <v>125000</v>
      </c>
      <c r="H20" s="8"/>
      <c r="I20" s="90"/>
      <c r="J20" s="88"/>
      <c r="K20" s="88"/>
      <c r="L20" s="88"/>
      <c r="M20" s="88"/>
    </row>
    <row r="21" spans="1:13">
      <c r="A21" s="579"/>
      <c r="B21" s="454" t="s">
        <v>104</v>
      </c>
      <c r="C21" s="453">
        <f>E95</f>
        <v>96250</v>
      </c>
      <c r="D21" s="453">
        <f>F95</f>
        <v>96250</v>
      </c>
      <c r="E21" s="453">
        <f>G95</f>
        <v>96250</v>
      </c>
      <c r="F21" s="455">
        <f>H95</f>
        <v>86250</v>
      </c>
      <c r="H21" s="8"/>
      <c r="I21" s="90"/>
      <c r="J21" s="88"/>
      <c r="K21" s="88"/>
      <c r="L21" s="88"/>
      <c r="M21" s="88"/>
    </row>
    <row r="22" spans="1:13">
      <c r="A22" s="579"/>
      <c r="B22" s="454" t="s">
        <v>106</v>
      </c>
      <c r="C22" s="453">
        <f t="shared" ref="C22:E22" si="4">E98</f>
        <v>79250</v>
      </c>
      <c r="D22" s="453">
        <f t="shared" si="4"/>
        <v>79250</v>
      </c>
      <c r="E22" s="453">
        <f t="shared" si="4"/>
        <v>79250</v>
      </c>
      <c r="F22" s="455">
        <v>0</v>
      </c>
      <c r="H22" s="8"/>
      <c r="I22" s="90"/>
      <c r="J22" s="88"/>
      <c r="K22" s="88"/>
      <c r="L22" s="88"/>
      <c r="M22" s="88"/>
    </row>
    <row r="23" spans="1:13">
      <c r="A23" s="579"/>
      <c r="B23" s="452" t="s">
        <v>164</v>
      </c>
      <c r="C23" s="453">
        <f>E102</f>
        <v>66250</v>
      </c>
      <c r="D23" s="453">
        <f>F102</f>
        <v>66250</v>
      </c>
      <c r="E23" s="453">
        <f>G102</f>
        <v>66250</v>
      </c>
      <c r="F23" s="453">
        <f>H102</f>
        <v>66250</v>
      </c>
      <c r="H23" s="8"/>
      <c r="I23" s="90"/>
      <c r="J23" s="88"/>
      <c r="K23" s="88"/>
      <c r="L23" s="88"/>
      <c r="M23" s="88"/>
    </row>
    <row r="24" spans="1:13">
      <c r="A24" s="579"/>
      <c r="B24" s="454" t="s">
        <v>108</v>
      </c>
      <c r="C24" s="453">
        <f>280000/16</f>
        <v>17500</v>
      </c>
      <c r="D24" s="453">
        <f>C24</f>
        <v>17500</v>
      </c>
      <c r="E24" s="453">
        <f>C24</f>
        <v>17500</v>
      </c>
      <c r="F24" s="453">
        <f>C24</f>
        <v>17500</v>
      </c>
      <c r="H24" s="8"/>
      <c r="I24" s="90"/>
      <c r="J24" s="88"/>
      <c r="K24" s="88"/>
      <c r="L24" s="88"/>
      <c r="M24" s="88"/>
    </row>
    <row r="25" spans="1:13" ht="15" customHeight="1">
      <c r="A25" s="580" t="s">
        <v>12</v>
      </c>
      <c r="B25" s="29" t="s">
        <v>20</v>
      </c>
      <c r="C25" s="30">
        <f>300000/16</f>
        <v>18750</v>
      </c>
      <c r="D25" s="30">
        <f>C25</f>
        <v>18750</v>
      </c>
      <c r="E25" s="30">
        <f>C25</f>
        <v>18750</v>
      </c>
      <c r="F25" s="30">
        <f>C25</f>
        <v>18750</v>
      </c>
      <c r="H25" s="768"/>
      <c r="I25" s="91"/>
      <c r="J25" s="92"/>
      <c r="K25" s="88"/>
      <c r="L25" s="88"/>
      <c r="M25" s="88"/>
    </row>
    <row r="26" spans="1:13">
      <c r="A26" s="580"/>
      <c r="B26" s="32" t="s">
        <v>21</v>
      </c>
      <c r="C26" s="33">
        <f>130000/16</f>
        <v>8125</v>
      </c>
      <c r="D26" s="33">
        <f>C26</f>
        <v>8125</v>
      </c>
      <c r="E26" s="33">
        <f>C26</f>
        <v>8125</v>
      </c>
      <c r="F26" s="33">
        <f>C26</f>
        <v>8125</v>
      </c>
      <c r="H26" s="767"/>
      <c r="I26" s="91"/>
      <c r="J26" s="92"/>
      <c r="K26" s="88"/>
      <c r="L26" s="88"/>
      <c r="M26" s="88"/>
    </row>
    <row r="27" spans="1:13">
      <c r="A27" s="580"/>
      <c r="B27" s="35" t="s">
        <v>22</v>
      </c>
      <c r="C27" s="36">
        <f>E107</f>
        <v>57500</v>
      </c>
      <c r="D27" s="37">
        <f>F107</f>
        <v>57500</v>
      </c>
      <c r="E27" s="37">
        <f>G107</f>
        <v>57500</v>
      </c>
      <c r="F27" s="37">
        <f>H107</f>
        <v>57500</v>
      </c>
      <c r="H27" s="767"/>
      <c r="I27" s="8"/>
      <c r="J27" s="88"/>
      <c r="K27" s="88"/>
      <c r="L27" s="88"/>
      <c r="M27" s="88"/>
    </row>
    <row r="28" spans="1:13">
      <c r="A28" s="580"/>
      <c r="B28" s="35" t="s">
        <v>23</v>
      </c>
      <c r="C28" s="36">
        <f>E112</f>
        <v>134250</v>
      </c>
      <c r="D28" s="37">
        <f>F112</f>
        <v>134250</v>
      </c>
      <c r="E28" s="37">
        <f>G112</f>
        <v>134250</v>
      </c>
      <c r="F28" s="37">
        <f>H112</f>
        <v>80250</v>
      </c>
      <c r="H28" s="767"/>
      <c r="I28" s="8"/>
      <c r="J28" s="88"/>
      <c r="K28" s="88"/>
      <c r="L28" s="88"/>
      <c r="M28" s="88"/>
    </row>
    <row r="29" spans="1:13">
      <c r="A29" s="580"/>
      <c r="B29" s="35" t="s">
        <v>24</v>
      </c>
      <c r="C29" s="36">
        <f>E115</f>
        <v>177375</v>
      </c>
      <c r="D29" s="37">
        <f>F115</f>
        <v>177375</v>
      </c>
      <c r="E29" s="37">
        <f>G115</f>
        <v>177375</v>
      </c>
      <c r="F29" s="37">
        <f>H115</f>
        <v>113375</v>
      </c>
      <c r="H29" s="767"/>
      <c r="I29" s="8"/>
      <c r="J29" s="88"/>
      <c r="K29" s="88"/>
      <c r="L29" s="88"/>
      <c r="M29" s="88"/>
    </row>
    <row r="30" spans="1:13">
      <c r="A30" s="581"/>
      <c r="B30" s="38" t="s">
        <v>163</v>
      </c>
      <c r="C30" s="36">
        <f>E118</f>
        <v>98750</v>
      </c>
      <c r="D30" s="37">
        <f>F118</f>
        <v>98750</v>
      </c>
      <c r="E30" s="37">
        <f>G118</f>
        <v>98750</v>
      </c>
      <c r="F30" s="37">
        <f>H118</f>
        <v>78750</v>
      </c>
      <c r="H30" s="34"/>
      <c r="I30" s="8"/>
      <c r="J30" s="88"/>
      <c r="K30" s="88"/>
      <c r="L30" s="88"/>
      <c r="M30" s="88"/>
    </row>
    <row r="31" spans="1:13" ht="30">
      <c r="A31" s="460" t="s">
        <v>165</v>
      </c>
      <c r="B31" s="40" t="s">
        <v>111</v>
      </c>
      <c r="C31" s="41">
        <v>25000</v>
      </c>
      <c r="D31" s="41">
        <v>25000</v>
      </c>
      <c r="E31" s="41">
        <v>25000</v>
      </c>
      <c r="F31" s="41">
        <v>25000</v>
      </c>
      <c r="H31" s="34"/>
      <c r="I31" s="8"/>
      <c r="J31" s="88"/>
      <c r="K31" s="88"/>
      <c r="L31" s="88"/>
      <c r="M31" s="88"/>
    </row>
    <row r="32" spans="1:13">
      <c r="A32" s="42"/>
      <c r="B32" s="43" t="s">
        <v>25</v>
      </c>
      <c r="C32" s="44">
        <f>SUM(C5:C31)</f>
        <v>4253987.5</v>
      </c>
      <c r="D32" s="44">
        <f>SUM(D5:D31)</f>
        <v>3149087.5</v>
      </c>
      <c r="E32" s="44">
        <f>SUM(E5:E31)</f>
        <v>3014120.8333333335</v>
      </c>
      <c r="F32" s="44">
        <f>SUM(F5:F31)</f>
        <v>1624937.5</v>
      </c>
      <c r="H32" s="4"/>
      <c r="I32" s="8"/>
      <c r="J32" s="88"/>
      <c r="K32" s="88"/>
      <c r="L32" s="88"/>
      <c r="M32" s="88"/>
    </row>
    <row r="33" spans="1:13">
      <c r="A33" s="45" t="s">
        <v>112</v>
      </c>
      <c r="B33" s="461">
        <v>0.76</v>
      </c>
      <c r="C33" s="47">
        <f>C32/B33</f>
        <v>5597351.9736842103</v>
      </c>
      <c r="D33" s="47">
        <f>D32/B33</f>
        <v>4143536.1842105263</v>
      </c>
      <c r="E33" s="47">
        <f>E32/B33</f>
        <v>3965948.4649122809</v>
      </c>
      <c r="F33" s="47">
        <f>F32/B33</f>
        <v>2138075.6578947366</v>
      </c>
      <c r="H33" s="8"/>
      <c r="I33" s="4"/>
      <c r="J33" s="89"/>
      <c r="K33" s="89"/>
      <c r="L33" s="89"/>
      <c r="M33" s="89"/>
    </row>
    <row r="34" spans="1:13">
      <c r="A34" s="48" t="s">
        <v>113</v>
      </c>
      <c r="B34" s="462">
        <v>3200</v>
      </c>
      <c r="C34" s="50">
        <f>C33/B34</f>
        <v>1749.1724917763158</v>
      </c>
      <c r="D34" s="50">
        <f>D33/B34</f>
        <v>1294.8550575657894</v>
      </c>
      <c r="E34" s="50">
        <f>E33/B34</f>
        <v>1239.3588952850878</v>
      </c>
      <c r="F34" s="50">
        <f>F33/B34</f>
        <v>668.1486430921052</v>
      </c>
      <c r="H34" s="51"/>
      <c r="I34" s="51"/>
      <c r="J34" s="51"/>
      <c r="K34" s="51"/>
      <c r="L34" s="51"/>
      <c r="M34" s="51"/>
    </row>
    <row r="35" spans="1:13">
      <c r="B35" s="48" t="s">
        <v>166</v>
      </c>
      <c r="C35" s="463">
        <v>1852</v>
      </c>
      <c r="D35" s="463">
        <v>1344</v>
      </c>
      <c r="E35" s="463">
        <v>1232</v>
      </c>
      <c r="F35" s="463">
        <v>664</v>
      </c>
      <c r="H35" s="51"/>
      <c r="I35" s="51"/>
      <c r="J35" s="51"/>
      <c r="K35" s="51"/>
      <c r="L35" s="51"/>
      <c r="M35" s="51"/>
    </row>
    <row r="36" spans="1:13">
      <c r="A36" s="725" t="s">
        <v>28</v>
      </c>
      <c r="B36" s="723"/>
      <c r="C36" s="723"/>
      <c r="D36" s="723"/>
      <c r="E36" s="723"/>
      <c r="F36" s="724"/>
      <c r="H36" s="766"/>
      <c r="I36" s="767"/>
      <c r="J36" s="767"/>
      <c r="K36" s="767"/>
      <c r="L36" s="767"/>
      <c r="M36" s="767"/>
    </row>
    <row r="37" spans="1:13">
      <c r="H37" s="51"/>
      <c r="I37" s="51"/>
      <c r="J37" s="51"/>
      <c r="K37" s="51"/>
      <c r="L37" s="51"/>
      <c r="M37" s="51"/>
    </row>
    <row r="38" spans="1:13">
      <c r="B38" s="52" t="s">
        <v>30</v>
      </c>
      <c r="C38" s="53" t="s">
        <v>5</v>
      </c>
      <c r="D38" s="53">
        <f>SUM(D39:D42)</f>
        <v>10</v>
      </c>
      <c r="E38" s="53" t="s">
        <v>32</v>
      </c>
      <c r="H38" s="51"/>
      <c r="I38" s="4"/>
      <c r="J38" s="4"/>
      <c r="K38" s="4"/>
      <c r="L38" s="4"/>
      <c r="M38" s="51"/>
    </row>
    <row r="39" spans="1:13" ht="15" customHeight="1">
      <c r="B39" s="54" t="s">
        <v>115</v>
      </c>
      <c r="C39" s="55">
        <v>200000</v>
      </c>
      <c r="D39" s="56">
        <v>2</v>
      </c>
      <c r="E39" s="56">
        <f t="shared" ref="E39:E42" si="5">D39*C39</f>
        <v>400000</v>
      </c>
      <c r="H39" s="51"/>
      <c r="I39" s="93"/>
      <c r="J39" s="8"/>
      <c r="K39" s="8"/>
      <c r="L39" s="8"/>
      <c r="M39" s="51"/>
    </row>
    <row r="40" spans="1:13" ht="15" customHeight="1">
      <c r="B40" s="57" t="s">
        <v>167</v>
      </c>
      <c r="C40" s="55">
        <v>205000</v>
      </c>
      <c r="D40" s="56">
        <v>2</v>
      </c>
      <c r="E40" s="56">
        <f t="shared" si="5"/>
        <v>410000</v>
      </c>
      <c r="H40" s="51"/>
      <c r="I40" s="91"/>
      <c r="J40" s="8"/>
      <c r="K40" s="8"/>
      <c r="L40" s="8"/>
      <c r="M40" s="51"/>
    </row>
    <row r="41" spans="1:13" ht="15" customHeight="1">
      <c r="B41" s="57" t="s">
        <v>116</v>
      </c>
      <c r="C41" s="55">
        <v>289900</v>
      </c>
      <c r="D41" s="56">
        <v>2</v>
      </c>
      <c r="E41" s="56">
        <f>C41*D41</f>
        <v>579800</v>
      </c>
      <c r="H41" s="51"/>
      <c r="I41" s="91"/>
      <c r="J41" s="8"/>
      <c r="K41" s="8"/>
      <c r="L41" s="8"/>
      <c r="M41" s="51"/>
    </row>
    <row r="42" spans="1:13" ht="15" customHeight="1">
      <c r="B42" s="57" t="s">
        <v>40</v>
      </c>
      <c r="C42" s="55">
        <v>295000</v>
      </c>
      <c r="D42" s="56">
        <v>4</v>
      </c>
      <c r="E42" s="56">
        <f t="shared" si="5"/>
        <v>1180000</v>
      </c>
      <c r="H42" s="51"/>
      <c r="I42" s="91"/>
      <c r="J42" s="8"/>
      <c r="K42" s="8"/>
      <c r="L42" s="8"/>
      <c r="M42" s="51"/>
    </row>
    <row r="43" spans="1:13">
      <c r="H43" s="51"/>
      <c r="I43" s="51"/>
      <c r="J43" s="51"/>
      <c r="K43" s="51"/>
      <c r="L43" s="51"/>
      <c r="M43" s="51"/>
    </row>
    <row r="44" spans="1:13">
      <c r="B44" s="53" t="s">
        <v>30</v>
      </c>
      <c r="C44" s="53" t="s">
        <v>6</v>
      </c>
      <c r="D44" s="53">
        <f>SUM(D45:D48)</f>
        <v>10</v>
      </c>
      <c r="E44" s="53" t="s">
        <v>32</v>
      </c>
      <c r="H44" s="51"/>
      <c r="I44" s="4"/>
      <c r="J44" s="4"/>
      <c r="K44" s="4"/>
      <c r="L44" s="4"/>
      <c r="M44" s="51"/>
    </row>
    <row r="45" spans="1:13" ht="15" customHeight="1">
      <c r="B45" s="54" t="s">
        <v>115</v>
      </c>
      <c r="C45" s="58">
        <f>260000/2</f>
        <v>130000</v>
      </c>
      <c r="D45" s="56">
        <v>2</v>
      </c>
      <c r="E45" s="56">
        <f t="shared" ref="E45:E48" si="6">D45*C45</f>
        <v>260000</v>
      </c>
      <c r="H45" s="51"/>
      <c r="I45" s="93"/>
      <c r="J45" s="8"/>
      <c r="K45" s="8"/>
      <c r="L45" s="8"/>
      <c r="M45" s="51"/>
    </row>
    <row r="46" spans="1:13" ht="15" customHeight="1">
      <c r="B46" s="57" t="s">
        <v>167</v>
      </c>
      <c r="C46" s="58">
        <f>265000/2</f>
        <v>132500</v>
      </c>
      <c r="D46" s="56">
        <v>2</v>
      </c>
      <c r="E46" s="56">
        <f t="shared" si="6"/>
        <v>265000</v>
      </c>
      <c r="H46" s="51"/>
      <c r="I46" s="91"/>
      <c r="J46" s="94"/>
      <c r="K46" s="8"/>
      <c r="L46" s="94"/>
      <c r="M46" s="51"/>
    </row>
    <row r="47" spans="1:13" ht="15" customHeight="1">
      <c r="B47" s="57" t="s">
        <v>116</v>
      </c>
      <c r="C47" s="55">
        <f>349900/2</f>
        <v>174950</v>
      </c>
      <c r="D47" s="56">
        <v>2</v>
      </c>
      <c r="E47" s="56">
        <f>C47*D47</f>
        <v>349900</v>
      </c>
      <c r="H47" s="51"/>
      <c r="I47" s="91"/>
      <c r="J47" s="8"/>
      <c r="K47" s="8"/>
      <c r="L47" s="8"/>
      <c r="M47" s="51"/>
    </row>
    <row r="48" spans="1:13" ht="15" customHeight="1">
      <c r="B48" s="57" t="s">
        <v>40</v>
      </c>
      <c r="C48" s="58">
        <f>295000/2</f>
        <v>147500</v>
      </c>
      <c r="D48" s="56">
        <v>4</v>
      </c>
      <c r="E48" s="56">
        <f t="shared" si="6"/>
        <v>590000</v>
      </c>
      <c r="H48" s="51"/>
      <c r="I48" s="91"/>
      <c r="J48" s="8"/>
      <c r="K48" s="8"/>
      <c r="L48" s="8"/>
      <c r="M48" s="51"/>
    </row>
    <row r="49" spans="1:13">
      <c r="H49" s="51"/>
      <c r="I49" s="51"/>
      <c r="J49" s="51"/>
      <c r="K49" s="51"/>
      <c r="L49" s="51"/>
      <c r="M49" s="51"/>
    </row>
    <row r="50" spans="1:13">
      <c r="B50" s="53" t="s">
        <v>30</v>
      </c>
      <c r="C50" s="53" t="s">
        <v>7</v>
      </c>
      <c r="D50" s="53">
        <f>SUM(D51:D54)</f>
        <v>10</v>
      </c>
      <c r="E50" s="53" t="s">
        <v>32</v>
      </c>
      <c r="H50" s="51"/>
      <c r="I50" s="4"/>
      <c r="J50" s="4"/>
      <c r="K50" s="4"/>
      <c r="L50" s="4"/>
      <c r="M50" s="51"/>
    </row>
    <row r="51" spans="1:13" ht="15" customHeight="1">
      <c r="B51" s="54" t="s">
        <v>115</v>
      </c>
      <c r="C51" s="706">
        <f>320000/3</f>
        <v>106666.66666666667</v>
      </c>
      <c r="D51" s="56">
        <v>2</v>
      </c>
      <c r="E51" s="470">
        <f t="shared" ref="E51:E52" si="7">D51*C51</f>
        <v>213333.33333333334</v>
      </c>
      <c r="H51" s="51"/>
      <c r="I51" s="93"/>
      <c r="J51" s="8"/>
      <c r="K51" s="8"/>
      <c r="L51" s="8"/>
      <c r="M51" s="51"/>
    </row>
    <row r="52" spans="1:13" ht="15" customHeight="1">
      <c r="B52" s="57" t="s">
        <v>167</v>
      </c>
      <c r="C52" s="60">
        <f>(265000+90000)/3</f>
        <v>118333.33333333333</v>
      </c>
      <c r="D52" s="56">
        <v>2</v>
      </c>
      <c r="E52" s="470">
        <f t="shared" si="7"/>
        <v>236666.66666666666</v>
      </c>
      <c r="H52" s="51"/>
      <c r="I52" s="91"/>
      <c r="J52" s="94"/>
      <c r="K52" s="8"/>
      <c r="L52" s="8"/>
      <c r="M52" s="51"/>
    </row>
    <row r="53" spans="1:13" ht="15" customHeight="1">
      <c r="B53" s="57" t="s">
        <v>116</v>
      </c>
      <c r="C53" s="61">
        <f>429900/3</f>
        <v>143300</v>
      </c>
      <c r="D53" s="56">
        <v>2</v>
      </c>
      <c r="E53" s="56">
        <f>C53*D53</f>
        <v>286600</v>
      </c>
      <c r="H53" s="51"/>
      <c r="I53" s="91"/>
      <c r="J53" s="8"/>
      <c r="K53" s="8"/>
      <c r="L53" s="8"/>
      <c r="M53" s="51"/>
    </row>
    <row r="54" spans="1:13" ht="15" customHeight="1">
      <c r="B54" s="62" t="s">
        <v>40</v>
      </c>
      <c r="C54" s="63">
        <f>445000/3</f>
        <v>148333.33333333334</v>
      </c>
      <c r="D54" s="64">
        <v>4</v>
      </c>
      <c r="E54" s="470">
        <f>C54*D54</f>
        <v>593333.33333333337</v>
      </c>
      <c r="F54">
        <v>465000</v>
      </c>
      <c r="H54" s="51"/>
      <c r="I54" s="91"/>
      <c r="J54" s="8"/>
      <c r="K54" s="8"/>
      <c r="L54" s="8"/>
      <c r="M54" s="51"/>
    </row>
    <row r="55" spans="1:13">
      <c r="B55" s="59"/>
      <c r="C55" s="59"/>
      <c r="D55" s="59"/>
      <c r="E55" s="59"/>
      <c r="H55" s="51"/>
      <c r="I55" s="8"/>
      <c r="J55" s="8"/>
      <c r="K55" s="8"/>
      <c r="L55" s="8"/>
      <c r="M55" s="51"/>
    </row>
    <row r="56" spans="1:13">
      <c r="B56" s="53" t="s">
        <v>30</v>
      </c>
      <c r="C56" s="53" t="s">
        <v>8</v>
      </c>
      <c r="D56" s="53">
        <f>SUM(D57:D60)</f>
        <v>10</v>
      </c>
      <c r="E56" s="53" t="s">
        <v>32</v>
      </c>
      <c r="H56" s="51"/>
      <c r="I56" s="4"/>
      <c r="J56" s="4"/>
      <c r="K56" s="4"/>
      <c r="L56" s="4"/>
      <c r="M56" s="51"/>
    </row>
    <row r="57" spans="1:13" ht="15" customHeight="1">
      <c r="B57" s="54" t="s">
        <v>115</v>
      </c>
      <c r="C57" s="58">
        <v>40000</v>
      </c>
      <c r="D57" s="56">
        <v>2</v>
      </c>
      <c r="E57" s="56">
        <f>D57*C57</f>
        <v>80000</v>
      </c>
      <c r="H57" s="51"/>
      <c r="I57" s="93"/>
      <c r="J57" s="8"/>
      <c r="K57" s="8"/>
      <c r="L57" s="8"/>
      <c r="M57" s="51"/>
    </row>
    <row r="58" spans="1:13" ht="15" customHeight="1">
      <c r="B58" s="57" t="s">
        <v>167</v>
      </c>
      <c r="C58" s="58">
        <v>90000</v>
      </c>
      <c r="D58" s="56">
        <v>2</v>
      </c>
      <c r="E58" s="56">
        <f t="shared" ref="E58:E60" si="8">C58*D58</f>
        <v>180000</v>
      </c>
      <c r="H58" s="51"/>
      <c r="I58" s="91"/>
      <c r="J58" s="94"/>
      <c r="K58" s="8"/>
      <c r="L58" s="8"/>
      <c r="M58" s="51"/>
    </row>
    <row r="59" spans="1:13" ht="15" customHeight="1">
      <c r="B59" s="707" t="s">
        <v>264</v>
      </c>
      <c r="C59" s="55">
        <v>0</v>
      </c>
      <c r="D59" s="56">
        <v>2</v>
      </c>
      <c r="E59" s="56">
        <f t="shared" si="8"/>
        <v>0</v>
      </c>
      <c r="H59" s="51"/>
      <c r="I59" s="91"/>
      <c r="J59" s="8"/>
      <c r="K59" s="8"/>
      <c r="L59" s="8"/>
      <c r="M59" s="51"/>
    </row>
    <row r="60" spans="1:13" ht="15" customHeight="1">
      <c r="B60" s="707" t="s">
        <v>40</v>
      </c>
      <c r="C60" s="58">
        <v>0</v>
      </c>
      <c r="D60" s="56">
        <v>4</v>
      </c>
      <c r="E60" s="56">
        <f t="shared" si="8"/>
        <v>0</v>
      </c>
      <c r="H60" s="51"/>
      <c r="I60" s="91"/>
      <c r="J60" s="8"/>
      <c r="K60" s="8"/>
      <c r="L60" s="8"/>
      <c r="M60" s="51"/>
    </row>
    <row r="62" spans="1:13" ht="30">
      <c r="A62" s="269" t="s">
        <v>3</v>
      </c>
      <c r="B62" s="269" t="s">
        <v>44</v>
      </c>
      <c r="C62" s="269" t="s">
        <v>45</v>
      </c>
      <c r="D62" s="269" t="s">
        <v>46</v>
      </c>
      <c r="E62" s="269" t="s">
        <v>5</v>
      </c>
      <c r="F62" s="269" t="s">
        <v>6</v>
      </c>
      <c r="G62" s="269" t="s">
        <v>7</v>
      </c>
      <c r="H62" s="269" t="s">
        <v>8</v>
      </c>
    </row>
    <row r="63" spans="1:13">
      <c r="A63" s="475" t="s">
        <v>9</v>
      </c>
      <c r="B63" s="70"/>
      <c r="C63" s="70"/>
      <c r="D63" s="70"/>
      <c r="E63" s="70"/>
      <c r="F63" s="70"/>
      <c r="G63" s="70"/>
      <c r="H63" s="70"/>
    </row>
    <row r="64" spans="1:13" s="1" customFormat="1">
      <c r="A64" s="757" t="s">
        <v>168</v>
      </c>
      <c r="B64" s="476" t="s">
        <v>50</v>
      </c>
      <c r="C64" s="476" t="s">
        <v>122</v>
      </c>
      <c r="D64" s="476" t="s">
        <v>52</v>
      </c>
      <c r="E64" s="477">
        <f>125000/16</f>
        <v>7812.5</v>
      </c>
      <c r="F64" s="477">
        <f>E64</f>
        <v>7812.5</v>
      </c>
      <c r="G64" s="477">
        <f>E64</f>
        <v>7812.5</v>
      </c>
      <c r="H64" s="477">
        <f>E64</f>
        <v>7812.5</v>
      </c>
    </row>
    <row r="65" spans="1:8" s="1" customFormat="1">
      <c r="A65" s="757"/>
      <c r="B65" s="476" t="s">
        <v>123</v>
      </c>
      <c r="C65" s="476" t="s">
        <v>64</v>
      </c>
      <c r="D65" s="476" t="s">
        <v>49</v>
      </c>
      <c r="E65" s="477">
        <v>50000</v>
      </c>
      <c r="F65" s="477">
        <f>E65</f>
        <v>50000</v>
      </c>
      <c r="G65" s="477">
        <f>E65</f>
        <v>50000</v>
      </c>
      <c r="H65" s="477">
        <f>E65</f>
        <v>50000</v>
      </c>
    </row>
    <row r="66" spans="1:8" s="1" customFormat="1">
      <c r="A66" s="478"/>
      <c r="B66" s="479" t="s">
        <v>58</v>
      </c>
      <c r="C66" s="479"/>
      <c r="D66" s="479"/>
      <c r="E66" s="480">
        <f>SUM(E64:E65)</f>
        <v>57812.5</v>
      </c>
      <c r="F66" s="480">
        <f>SUM(F64:F65)</f>
        <v>57812.5</v>
      </c>
      <c r="G66" s="480">
        <f>SUM(G64:G65)</f>
        <v>57812.5</v>
      </c>
      <c r="H66" s="480">
        <f>SUM(H64:H65)</f>
        <v>57812.5</v>
      </c>
    </row>
    <row r="67" spans="1:8" ht="15" customHeight="1">
      <c r="A67" s="758" t="s">
        <v>15</v>
      </c>
      <c r="B67" s="481" t="s">
        <v>169</v>
      </c>
      <c r="C67" s="482" t="s">
        <v>129</v>
      </c>
      <c r="D67" s="482" t="s">
        <v>49</v>
      </c>
      <c r="E67" s="483">
        <f>620000/16</f>
        <v>38750</v>
      </c>
      <c r="F67" s="484">
        <f>E67</f>
        <v>38750</v>
      </c>
      <c r="G67" s="484">
        <f>E67</f>
        <v>38750</v>
      </c>
      <c r="H67" s="484">
        <f>E67</f>
        <v>38750</v>
      </c>
    </row>
    <row r="68" spans="1:8">
      <c r="A68" s="759"/>
      <c r="B68" s="485" t="s">
        <v>50</v>
      </c>
      <c r="C68" s="482" t="s">
        <v>122</v>
      </c>
      <c r="D68" s="482" t="s">
        <v>52</v>
      </c>
      <c r="E68" s="486">
        <f>250000/16</f>
        <v>15625</v>
      </c>
      <c r="F68" s="487">
        <f>E68</f>
        <v>15625</v>
      </c>
      <c r="G68" s="488">
        <f>E68</f>
        <v>15625</v>
      </c>
      <c r="H68" s="489">
        <f>E68</f>
        <v>15625</v>
      </c>
    </row>
    <row r="69" spans="1:8">
      <c r="A69" s="759"/>
      <c r="B69" s="490" t="s">
        <v>53</v>
      </c>
      <c r="C69" s="491" t="s">
        <v>54</v>
      </c>
      <c r="D69" s="491"/>
      <c r="E69" s="492">
        <v>60000</v>
      </c>
      <c r="F69" s="493">
        <f>E69</f>
        <v>60000</v>
      </c>
      <c r="G69" s="493">
        <f>E69</f>
        <v>60000</v>
      </c>
      <c r="H69" s="493">
        <v>50000</v>
      </c>
    </row>
    <row r="70" spans="1:8">
      <c r="A70" s="760"/>
      <c r="B70" s="481" t="s">
        <v>55</v>
      </c>
      <c r="C70" s="482" t="s">
        <v>56</v>
      </c>
      <c r="D70" s="482" t="s">
        <v>127</v>
      </c>
      <c r="E70" s="494">
        <v>50000</v>
      </c>
      <c r="F70" s="495">
        <f>E70</f>
        <v>50000</v>
      </c>
      <c r="G70" s="495">
        <f>E70</f>
        <v>50000</v>
      </c>
      <c r="H70" s="493">
        <v>40000</v>
      </c>
    </row>
    <row r="71" spans="1:8">
      <c r="A71" s="496"/>
      <c r="B71" s="497" t="s">
        <v>58</v>
      </c>
      <c r="C71" s="497"/>
      <c r="D71" s="497"/>
      <c r="E71" s="498">
        <f t="shared" ref="E71:H71" si="9">SUM(E67:E70)</f>
        <v>164375</v>
      </c>
      <c r="F71" s="498">
        <f t="shared" si="9"/>
        <v>164375</v>
      </c>
      <c r="G71" s="498">
        <f t="shared" si="9"/>
        <v>164375</v>
      </c>
      <c r="H71" s="498">
        <f t="shared" si="9"/>
        <v>144375</v>
      </c>
    </row>
    <row r="72" spans="1:8">
      <c r="A72" s="499" t="s">
        <v>16</v>
      </c>
      <c r="B72" s="500" t="s">
        <v>170</v>
      </c>
      <c r="C72" s="482" t="s">
        <v>171</v>
      </c>
      <c r="D72" s="482" t="s">
        <v>49</v>
      </c>
      <c r="E72" s="501">
        <f>580000/16</f>
        <v>36250</v>
      </c>
      <c r="F72" s="502">
        <f>E72</f>
        <v>36250</v>
      </c>
      <c r="G72" s="502">
        <f>E72</f>
        <v>36250</v>
      </c>
      <c r="H72" s="502">
        <f>E72</f>
        <v>36250</v>
      </c>
    </row>
    <row r="73" spans="1:8">
      <c r="A73" s="499"/>
      <c r="B73" s="482" t="s">
        <v>50</v>
      </c>
      <c r="C73" s="482" t="s">
        <v>60</v>
      </c>
      <c r="D73" s="482" t="s">
        <v>52</v>
      </c>
      <c r="E73" s="486">
        <f>250000/16</f>
        <v>15625</v>
      </c>
      <c r="F73" s="487">
        <f>E73</f>
        <v>15625</v>
      </c>
      <c r="G73" s="487">
        <f>E73</f>
        <v>15625</v>
      </c>
      <c r="H73" s="487">
        <f>E73</f>
        <v>15625</v>
      </c>
    </row>
    <row r="74" spans="1:8">
      <c r="A74" s="499"/>
      <c r="B74" s="500" t="s">
        <v>172</v>
      </c>
      <c r="C74" s="482" t="s">
        <v>56</v>
      </c>
      <c r="D74" s="482" t="s">
        <v>57</v>
      </c>
      <c r="E74" s="492">
        <v>50000</v>
      </c>
      <c r="F74" s="493">
        <f t="shared" ref="F74:F76" si="10">E74</f>
        <v>50000</v>
      </c>
      <c r="G74" s="493">
        <f>E74</f>
        <v>50000</v>
      </c>
      <c r="H74" s="493">
        <v>40000</v>
      </c>
    </row>
    <row r="75" spans="1:8">
      <c r="A75" s="499"/>
      <c r="B75" s="500" t="s">
        <v>62</v>
      </c>
      <c r="C75" s="482" t="s">
        <v>63</v>
      </c>
      <c r="D75" s="482" t="s">
        <v>64</v>
      </c>
      <c r="E75" s="492">
        <v>5000</v>
      </c>
      <c r="F75" s="493">
        <f t="shared" si="10"/>
        <v>5000</v>
      </c>
      <c r="G75" s="493">
        <f t="shared" ref="G75:H76" si="11">E75</f>
        <v>5000</v>
      </c>
      <c r="H75" s="493">
        <f t="shared" si="11"/>
        <v>5000</v>
      </c>
    </row>
    <row r="76" spans="1:8">
      <c r="A76" s="499"/>
      <c r="B76" s="500" t="s">
        <v>65</v>
      </c>
      <c r="C76" s="482" t="s">
        <v>63</v>
      </c>
      <c r="D76" s="482" t="s">
        <v>64</v>
      </c>
      <c r="E76" s="494">
        <v>22000</v>
      </c>
      <c r="F76" s="495">
        <f t="shared" si="10"/>
        <v>22000</v>
      </c>
      <c r="G76" s="495">
        <f t="shared" si="11"/>
        <v>22000</v>
      </c>
      <c r="H76" s="495">
        <v>17000</v>
      </c>
    </row>
    <row r="77" spans="1:8">
      <c r="A77" s="503"/>
      <c r="B77" s="504" t="s">
        <v>58</v>
      </c>
      <c r="C77" s="504"/>
      <c r="D77" s="504"/>
      <c r="E77" s="498">
        <f t="shared" ref="E77:H77" si="12">SUM(E72:E76)</f>
        <v>128875</v>
      </c>
      <c r="F77" s="498">
        <f t="shared" si="12"/>
        <v>128875</v>
      </c>
      <c r="G77" s="498">
        <f t="shared" si="12"/>
        <v>128875</v>
      </c>
      <c r="H77" s="498">
        <f t="shared" si="12"/>
        <v>113875</v>
      </c>
    </row>
    <row r="78" spans="1:8">
      <c r="A78" s="113" t="s">
        <v>11</v>
      </c>
    </row>
    <row r="79" spans="1:8" ht="15" customHeight="1">
      <c r="A79" s="505" t="s">
        <v>66</v>
      </c>
      <c r="B79" s="506" t="s">
        <v>173</v>
      </c>
      <c r="C79" s="506" t="s">
        <v>56</v>
      </c>
      <c r="D79" s="506" t="s">
        <v>57</v>
      </c>
      <c r="E79" s="507">
        <v>45000</v>
      </c>
      <c r="F79" s="508">
        <f>E79</f>
        <v>45000</v>
      </c>
      <c r="G79" s="508">
        <f>E79</f>
        <v>45000</v>
      </c>
      <c r="H79" s="508">
        <f>E79</f>
        <v>45000</v>
      </c>
    </row>
    <row r="80" spans="1:8">
      <c r="A80" s="505"/>
      <c r="B80" s="509" t="s">
        <v>67</v>
      </c>
      <c r="C80" s="398" t="s">
        <v>64</v>
      </c>
      <c r="D80" s="510" t="s">
        <v>64</v>
      </c>
      <c r="E80" s="511">
        <v>96000</v>
      </c>
      <c r="F80" s="512">
        <f t="shared" ref="F80" si="13">E80</f>
        <v>96000</v>
      </c>
      <c r="G80" s="512">
        <f t="shared" ref="G80" si="14">E80</f>
        <v>96000</v>
      </c>
      <c r="H80" s="512">
        <v>69000</v>
      </c>
    </row>
    <row r="81" spans="1:8">
      <c r="A81" s="513"/>
      <c r="B81" s="514" t="s">
        <v>58</v>
      </c>
      <c r="C81" s="514"/>
      <c r="D81" s="514"/>
      <c r="E81" s="515">
        <f>SUM(E79:E80)</f>
        <v>141000</v>
      </c>
      <c r="F81" s="516">
        <f>SUM(F79:F80)</f>
        <v>141000</v>
      </c>
      <c r="G81" s="516">
        <f>SUM(G79:G80)</f>
        <v>141000</v>
      </c>
      <c r="H81" s="516">
        <f>SUM(H79:H80)</f>
        <v>114000</v>
      </c>
    </row>
    <row r="82" spans="1:8" ht="15" customHeight="1">
      <c r="A82" s="398" t="s">
        <v>70</v>
      </c>
      <c r="B82" s="509" t="s">
        <v>131</v>
      </c>
      <c r="C82" s="517" t="s">
        <v>129</v>
      </c>
      <c r="D82" s="510" t="s">
        <v>49</v>
      </c>
      <c r="E82" s="518">
        <f>490000/16</f>
        <v>30625</v>
      </c>
      <c r="F82" s="519">
        <f>E82</f>
        <v>30625</v>
      </c>
      <c r="G82" s="519">
        <f>E82</f>
        <v>30625</v>
      </c>
      <c r="H82" s="519">
        <f>E82</f>
        <v>30625</v>
      </c>
    </row>
    <row r="83" spans="1:8">
      <c r="A83" s="398"/>
      <c r="B83" s="510" t="s">
        <v>72</v>
      </c>
      <c r="C83" s="517" t="s">
        <v>52</v>
      </c>
      <c r="D83" s="510" t="s">
        <v>52</v>
      </c>
      <c r="E83" s="520">
        <f>170000/16</f>
        <v>10625</v>
      </c>
      <c r="F83" s="521">
        <f>E83</f>
        <v>10625</v>
      </c>
      <c r="G83" s="521">
        <f>E83</f>
        <v>10625</v>
      </c>
      <c r="H83" s="521">
        <f>E83</f>
        <v>10625</v>
      </c>
    </row>
    <row r="84" spans="1:8" ht="15" customHeight="1">
      <c r="A84" s="398"/>
      <c r="B84" s="510" t="s">
        <v>73</v>
      </c>
      <c r="C84" s="517" t="s">
        <v>174</v>
      </c>
      <c r="D84" s="510" t="s">
        <v>49</v>
      </c>
      <c r="E84" s="522">
        <v>10000</v>
      </c>
      <c r="F84" s="523">
        <f t="shared" ref="F84:G84" si="15">E84</f>
        <v>10000</v>
      </c>
      <c r="G84" s="523">
        <f t="shared" si="15"/>
        <v>10000</v>
      </c>
      <c r="H84" s="523">
        <f>F84</f>
        <v>10000</v>
      </c>
    </row>
    <row r="85" spans="1:8">
      <c r="A85" s="524"/>
      <c r="B85" s="525" t="s">
        <v>58</v>
      </c>
      <c r="C85" s="514"/>
      <c r="D85" s="514"/>
      <c r="E85" s="515">
        <f t="shared" ref="E85:H85" si="16">SUM(E82:E84)</f>
        <v>51250</v>
      </c>
      <c r="F85" s="516">
        <f t="shared" si="16"/>
        <v>51250</v>
      </c>
      <c r="G85" s="516">
        <f t="shared" si="16"/>
        <v>51250</v>
      </c>
      <c r="H85" s="516">
        <f t="shared" si="16"/>
        <v>51250</v>
      </c>
    </row>
    <row r="86" spans="1:8" ht="15" customHeight="1">
      <c r="A86" s="398" t="s">
        <v>175</v>
      </c>
      <c r="B86" s="510" t="s">
        <v>131</v>
      </c>
      <c r="C86" s="398" t="s">
        <v>129</v>
      </c>
      <c r="D86" s="510" t="s">
        <v>49</v>
      </c>
      <c r="E86" s="518"/>
      <c r="F86" s="519"/>
      <c r="G86" s="519"/>
      <c r="H86" s="519"/>
    </row>
    <row r="87" spans="1:8" ht="15" customHeight="1">
      <c r="A87" s="398"/>
      <c r="B87" s="509" t="s">
        <v>138</v>
      </c>
      <c r="C87" s="398" t="s">
        <v>159</v>
      </c>
      <c r="D87" s="510" t="s">
        <v>64</v>
      </c>
      <c r="E87" s="518">
        <v>65000</v>
      </c>
      <c r="F87" s="526">
        <f>E87</f>
        <v>65000</v>
      </c>
      <c r="G87" s="526">
        <f>E87</f>
        <v>65000</v>
      </c>
      <c r="H87" s="526">
        <v>45000</v>
      </c>
    </row>
    <row r="88" spans="1:8">
      <c r="A88" s="398"/>
      <c r="B88" s="510" t="s">
        <v>72</v>
      </c>
      <c r="C88" s="527" t="s">
        <v>52</v>
      </c>
      <c r="D88" s="528" t="s">
        <v>52</v>
      </c>
      <c r="E88" s="529"/>
      <c r="F88" s="530">
        <f>E88</f>
        <v>0</v>
      </c>
      <c r="G88" s="530">
        <f>E88</f>
        <v>0</v>
      </c>
      <c r="H88" s="530">
        <f>E88</f>
        <v>0</v>
      </c>
    </row>
    <row r="89" spans="1:8">
      <c r="A89" s="388"/>
      <c r="B89" s="514" t="s">
        <v>58</v>
      </c>
      <c r="C89" s="514"/>
      <c r="D89" s="514"/>
      <c r="E89" s="531">
        <f t="shared" ref="E89:H89" si="17">SUM(E86:E88)</f>
        <v>65000</v>
      </c>
      <c r="F89" s="443">
        <f t="shared" si="17"/>
        <v>65000</v>
      </c>
      <c r="G89" s="443">
        <f t="shared" si="17"/>
        <v>65000</v>
      </c>
      <c r="H89" s="443">
        <f t="shared" si="17"/>
        <v>45000</v>
      </c>
    </row>
    <row r="90" spans="1:8">
      <c r="A90" s="532" t="s">
        <v>98</v>
      </c>
      <c r="B90" s="533"/>
      <c r="C90" s="533"/>
      <c r="D90" s="533"/>
      <c r="E90" s="335"/>
      <c r="F90" s="335"/>
      <c r="G90" s="335"/>
      <c r="H90" s="335"/>
    </row>
    <row r="91" spans="1:8" ht="15" customHeight="1">
      <c r="A91" s="534" t="s">
        <v>104</v>
      </c>
      <c r="B91" s="295" t="s">
        <v>141</v>
      </c>
      <c r="C91" s="295" t="s">
        <v>176</v>
      </c>
      <c r="D91" s="295" t="s">
        <v>49</v>
      </c>
      <c r="E91" s="535">
        <f>550000/16</f>
        <v>34375</v>
      </c>
      <c r="F91" s="535">
        <f>E91</f>
        <v>34375</v>
      </c>
      <c r="G91" s="535">
        <f>E91</f>
        <v>34375</v>
      </c>
      <c r="H91" s="535">
        <f>E91</f>
        <v>34375</v>
      </c>
    </row>
    <row r="92" spans="1:8">
      <c r="A92" s="536"/>
      <c r="B92" s="295" t="s">
        <v>177</v>
      </c>
      <c r="C92" s="295" t="s">
        <v>52</v>
      </c>
      <c r="D92" s="295" t="s">
        <v>52</v>
      </c>
      <c r="E92" s="535">
        <f>230000/16</f>
        <v>14375</v>
      </c>
      <c r="F92" s="535">
        <f>E92</f>
        <v>14375</v>
      </c>
      <c r="G92" s="535">
        <f>E92</f>
        <v>14375</v>
      </c>
      <c r="H92" s="535">
        <f>E92</f>
        <v>14375</v>
      </c>
    </row>
    <row r="93" spans="1:8">
      <c r="A93" s="536"/>
      <c r="B93" s="295" t="s">
        <v>143</v>
      </c>
      <c r="C93" s="295" t="s">
        <v>144</v>
      </c>
      <c r="D93" s="295" t="s">
        <v>49</v>
      </c>
      <c r="E93" s="535">
        <v>2500</v>
      </c>
      <c r="F93" s="535">
        <f>E93</f>
        <v>2500</v>
      </c>
      <c r="G93" s="535">
        <f>E93</f>
        <v>2500</v>
      </c>
      <c r="H93" s="535">
        <f>E93</f>
        <v>2500</v>
      </c>
    </row>
    <row r="94" spans="1:8">
      <c r="A94" s="537"/>
      <c r="B94" s="295" t="s">
        <v>145</v>
      </c>
      <c r="C94" s="295" t="s">
        <v>56</v>
      </c>
      <c r="D94" s="295" t="s">
        <v>57</v>
      </c>
      <c r="E94" s="535">
        <v>45000</v>
      </c>
      <c r="F94" s="535">
        <f>E94</f>
        <v>45000</v>
      </c>
      <c r="G94" s="535">
        <f>E94</f>
        <v>45000</v>
      </c>
      <c r="H94" s="535">
        <v>35000</v>
      </c>
    </row>
    <row r="95" spans="1:8">
      <c r="A95" s="538"/>
      <c r="B95" s="388" t="s">
        <v>58</v>
      </c>
      <c r="C95" s="388"/>
      <c r="D95" s="388"/>
      <c r="E95" s="539">
        <f>SUM(E91:E94)</f>
        <v>96250</v>
      </c>
      <c r="F95" s="539">
        <f>SUM(F91:F94)</f>
        <v>96250</v>
      </c>
      <c r="G95" s="539">
        <f>SUM(G91:G94)</f>
        <v>96250</v>
      </c>
      <c r="H95" s="539">
        <f>SUM(H91:H94)</f>
        <v>86250</v>
      </c>
    </row>
    <row r="96" spans="1:8" ht="15" customHeight="1">
      <c r="A96" s="761" t="s">
        <v>106</v>
      </c>
      <c r="B96" s="295" t="s">
        <v>141</v>
      </c>
      <c r="C96" s="295" t="s">
        <v>178</v>
      </c>
      <c r="D96" s="540"/>
      <c r="E96" s="535">
        <f>340000/16</f>
        <v>21250</v>
      </c>
      <c r="F96" s="535">
        <f>E96</f>
        <v>21250</v>
      </c>
      <c r="G96" s="535">
        <f>E96</f>
        <v>21250</v>
      </c>
      <c r="H96" s="535"/>
    </row>
    <row r="97" spans="1:9" ht="15" customHeight="1">
      <c r="A97" s="762"/>
      <c r="B97" s="295" t="s">
        <v>149</v>
      </c>
      <c r="C97" s="295" t="s">
        <v>179</v>
      </c>
      <c r="D97" s="295"/>
      <c r="E97" s="535">
        <v>58000</v>
      </c>
      <c r="F97" s="535">
        <f>E97</f>
        <v>58000</v>
      </c>
      <c r="G97" s="535">
        <f>E97</f>
        <v>58000</v>
      </c>
      <c r="H97" s="535"/>
    </row>
    <row r="98" spans="1:9" ht="30" customHeight="1">
      <c r="A98" s="541"/>
      <c r="B98" s="388" t="s">
        <v>58</v>
      </c>
      <c r="C98" s="388"/>
      <c r="D98" s="542"/>
      <c r="E98" s="539">
        <f>SUM(E96:E97)</f>
        <v>79250</v>
      </c>
      <c r="F98" s="539">
        <f t="shared" ref="F98:G98" si="18">SUM(F96:F97)</f>
        <v>79250</v>
      </c>
      <c r="G98" s="539">
        <f t="shared" si="18"/>
        <v>79250</v>
      </c>
      <c r="H98" s="539"/>
    </row>
    <row r="99" spans="1:9">
      <c r="A99" s="543" t="s">
        <v>164</v>
      </c>
      <c r="B99" s="295" t="s">
        <v>180</v>
      </c>
      <c r="C99" s="295" t="s">
        <v>181</v>
      </c>
      <c r="D99" s="295" t="s">
        <v>49</v>
      </c>
      <c r="E99" s="535">
        <f>340000/16</f>
        <v>21250</v>
      </c>
      <c r="F99" s="535">
        <f>E99</f>
        <v>21250</v>
      </c>
      <c r="G99" s="535">
        <f>E99</f>
        <v>21250</v>
      </c>
      <c r="H99" s="535">
        <f>E99</f>
        <v>21250</v>
      </c>
    </row>
    <row r="100" spans="1:9">
      <c r="A100" s="543"/>
      <c r="B100" s="295" t="s">
        <v>182</v>
      </c>
      <c r="C100" s="295" t="s">
        <v>52</v>
      </c>
      <c r="D100" s="295" t="s">
        <v>64</v>
      </c>
      <c r="E100" s="535">
        <v>30000</v>
      </c>
      <c r="F100" s="535">
        <f>E100</f>
        <v>30000</v>
      </c>
      <c r="G100" s="535">
        <f>E100</f>
        <v>30000</v>
      </c>
      <c r="H100" s="535">
        <f>E100</f>
        <v>30000</v>
      </c>
    </row>
    <row r="101" spans="1:9">
      <c r="A101" s="543"/>
      <c r="B101" s="295"/>
      <c r="C101" s="295" t="s">
        <v>148</v>
      </c>
      <c r="D101" s="295" t="s">
        <v>57</v>
      </c>
      <c r="E101" s="535">
        <v>15000</v>
      </c>
      <c r="F101" s="535">
        <f>E101</f>
        <v>15000</v>
      </c>
      <c r="G101" s="535">
        <f>E101</f>
        <v>15000</v>
      </c>
      <c r="H101" s="535">
        <f>E101</f>
        <v>15000</v>
      </c>
    </row>
    <row r="102" spans="1:9" ht="15" customHeight="1">
      <c r="A102" s="388"/>
      <c r="B102" s="388" t="s">
        <v>58</v>
      </c>
      <c r="C102" s="388"/>
      <c r="D102" s="388"/>
      <c r="E102" s="539">
        <f>SUM(E99:E101)</f>
        <v>66250</v>
      </c>
      <c r="F102" s="539">
        <f>SUM(F99:F101)</f>
        <v>66250</v>
      </c>
      <c r="G102" s="539">
        <f>SUM(G99:G101)</f>
        <v>66250</v>
      </c>
      <c r="H102" s="539">
        <f>SUM(H99:H101)</f>
        <v>66250</v>
      </c>
    </row>
    <row r="103" spans="1:9">
      <c r="A103" s="544" t="s">
        <v>12</v>
      </c>
      <c r="B103" s="545"/>
      <c r="C103" s="545"/>
      <c r="D103" s="545"/>
      <c r="E103" s="349"/>
      <c r="F103" s="349"/>
      <c r="G103" s="349"/>
      <c r="H103" s="349"/>
    </row>
    <row r="104" spans="1:9" ht="15" customHeight="1">
      <c r="A104" s="546" t="s">
        <v>79</v>
      </c>
      <c r="B104" s="355" t="s">
        <v>80</v>
      </c>
      <c r="C104" s="547" t="s">
        <v>81</v>
      </c>
      <c r="D104" s="355" t="s">
        <v>49</v>
      </c>
      <c r="E104" s="548">
        <f>300000/16</f>
        <v>18750</v>
      </c>
      <c r="F104" s="548">
        <f>E104</f>
        <v>18750</v>
      </c>
      <c r="G104" s="548">
        <f>E104</f>
        <v>18750</v>
      </c>
      <c r="H104" s="548">
        <f>E104</f>
        <v>18750</v>
      </c>
      <c r="I104" s="349"/>
    </row>
    <row r="105" spans="1:9" ht="15" customHeight="1">
      <c r="A105" s="549"/>
      <c r="B105" s="550" t="s">
        <v>82</v>
      </c>
      <c r="C105" s="355" t="s">
        <v>83</v>
      </c>
      <c r="D105" s="355" t="s">
        <v>52</v>
      </c>
      <c r="E105" s="548">
        <f>300000/16</f>
        <v>18750</v>
      </c>
      <c r="F105" s="548">
        <f>E105</f>
        <v>18750</v>
      </c>
      <c r="G105" s="548">
        <f>E105</f>
        <v>18750</v>
      </c>
      <c r="H105" s="548">
        <f>E105</f>
        <v>18750</v>
      </c>
      <c r="I105" s="349"/>
    </row>
    <row r="106" spans="1:9" ht="15" customHeight="1">
      <c r="A106" s="549"/>
      <c r="B106" s="550" t="s">
        <v>183</v>
      </c>
      <c r="C106" s="355" t="s">
        <v>184</v>
      </c>
      <c r="D106" s="355" t="s">
        <v>64</v>
      </c>
      <c r="E106" s="548">
        <v>20000</v>
      </c>
      <c r="F106" s="548">
        <f>E106</f>
        <v>20000</v>
      </c>
      <c r="G106" s="548">
        <f>E106</f>
        <v>20000</v>
      </c>
      <c r="H106" s="548">
        <f>E106</f>
        <v>20000</v>
      </c>
      <c r="I106" s="349"/>
    </row>
    <row r="107" spans="1:9">
      <c r="A107" s="479"/>
      <c r="B107" s="551" t="s">
        <v>58</v>
      </c>
      <c r="C107" s="497"/>
      <c r="D107" s="497"/>
      <c r="E107" s="552">
        <f>SUM(E104:E106)</f>
        <v>57500</v>
      </c>
      <c r="F107" s="552">
        <f>SUM(F104:F106)</f>
        <v>57500</v>
      </c>
      <c r="G107" s="552">
        <f>SUM(G104:G106)</f>
        <v>57500</v>
      </c>
      <c r="H107" s="552">
        <f>SUM(H104:H106)</f>
        <v>57500</v>
      </c>
    </row>
    <row r="108" spans="1:9" ht="15" customHeight="1">
      <c r="A108" s="763" t="s">
        <v>86</v>
      </c>
      <c r="B108" s="550" t="s">
        <v>80</v>
      </c>
      <c r="C108" s="355" t="s">
        <v>87</v>
      </c>
      <c r="D108" s="355" t="s">
        <v>49</v>
      </c>
      <c r="E108" s="548">
        <f>660000/16</f>
        <v>41250</v>
      </c>
      <c r="F108" s="553">
        <f>E108</f>
        <v>41250</v>
      </c>
      <c r="G108" s="548">
        <f>E108</f>
        <v>41250</v>
      </c>
      <c r="H108" s="548">
        <f>E108</f>
        <v>41250</v>
      </c>
    </row>
    <row r="109" spans="1:9" ht="15" customHeight="1">
      <c r="A109" s="763"/>
      <c r="B109" s="550" t="s">
        <v>82</v>
      </c>
      <c r="C109" s="355" t="s">
        <v>51</v>
      </c>
      <c r="D109" s="355" t="s">
        <v>52</v>
      </c>
      <c r="E109" s="548">
        <f>400000/16</f>
        <v>25000</v>
      </c>
      <c r="F109" s="553">
        <f>E109</f>
        <v>25000</v>
      </c>
      <c r="G109" s="548">
        <f>E109</f>
        <v>25000</v>
      </c>
      <c r="H109" s="548">
        <f>E109</f>
        <v>25000</v>
      </c>
    </row>
    <row r="110" spans="1:9" ht="15" customHeight="1">
      <c r="A110" s="763"/>
      <c r="B110" s="355" t="s">
        <v>88</v>
      </c>
      <c r="C110" s="355" t="s">
        <v>89</v>
      </c>
      <c r="D110" s="355" t="s">
        <v>64</v>
      </c>
      <c r="E110" s="548">
        <v>40000</v>
      </c>
      <c r="F110" s="554">
        <f t="shared" ref="F110:F111" si="19">E110</f>
        <v>40000</v>
      </c>
      <c r="G110" s="555">
        <f t="shared" ref="G110:G111" si="20">E110</f>
        <v>40000</v>
      </c>
      <c r="H110" s="555"/>
    </row>
    <row r="111" spans="1:9" ht="15" customHeight="1">
      <c r="A111" s="763"/>
      <c r="B111" s="355" t="s">
        <v>90</v>
      </c>
      <c r="C111" s="355" t="s">
        <v>91</v>
      </c>
      <c r="D111" s="355" t="s">
        <v>64</v>
      </c>
      <c r="E111" s="548">
        <v>28000</v>
      </c>
      <c r="F111" s="556">
        <f t="shared" si="19"/>
        <v>28000</v>
      </c>
      <c r="G111" s="557">
        <f t="shared" si="20"/>
        <v>28000</v>
      </c>
      <c r="H111" s="557">
        <v>14000</v>
      </c>
    </row>
    <row r="112" spans="1:9">
      <c r="A112" s="558"/>
      <c r="B112" s="497" t="s">
        <v>58</v>
      </c>
      <c r="C112" s="497"/>
      <c r="D112" s="497"/>
      <c r="E112" s="552">
        <f t="shared" ref="E112:H112" si="21">SUM(E108:E111)</f>
        <v>134250</v>
      </c>
      <c r="F112" s="559">
        <f t="shared" si="21"/>
        <v>134250</v>
      </c>
      <c r="G112" s="559">
        <f t="shared" si="21"/>
        <v>134250</v>
      </c>
      <c r="H112" s="559">
        <f t="shared" si="21"/>
        <v>80250</v>
      </c>
    </row>
    <row r="113" spans="1:8" ht="15" customHeight="1">
      <c r="A113" s="560" t="s">
        <v>92</v>
      </c>
      <c r="B113" s="561" t="s">
        <v>93</v>
      </c>
      <c r="C113" s="562" t="s">
        <v>94</v>
      </c>
      <c r="D113" s="561" t="s">
        <v>64</v>
      </c>
      <c r="E113" s="563">
        <v>168000</v>
      </c>
      <c r="F113" s="564">
        <f>E113</f>
        <v>168000</v>
      </c>
      <c r="G113" s="564">
        <f>E113</f>
        <v>168000</v>
      </c>
      <c r="H113" s="564">
        <v>104000</v>
      </c>
    </row>
    <row r="114" spans="1:8" ht="15" customHeight="1">
      <c r="A114" s="565"/>
      <c r="B114" s="561" t="s">
        <v>80</v>
      </c>
      <c r="C114" s="566" t="s">
        <v>95</v>
      </c>
      <c r="D114" s="566" t="s">
        <v>49</v>
      </c>
      <c r="E114" s="567">
        <f>150000/16</f>
        <v>9375</v>
      </c>
      <c r="F114" s="567">
        <f>E114</f>
        <v>9375</v>
      </c>
      <c r="G114" s="567">
        <f>E114</f>
        <v>9375</v>
      </c>
      <c r="H114" s="567">
        <f>E114</f>
        <v>9375</v>
      </c>
    </row>
    <row r="115" spans="1:8">
      <c r="A115" s="568"/>
      <c r="B115" s="569" t="s">
        <v>58</v>
      </c>
      <c r="C115" s="570"/>
      <c r="D115" s="570"/>
      <c r="E115" s="571">
        <f>SUM(E113:E114)</f>
        <v>177375</v>
      </c>
      <c r="F115" s="571">
        <f t="shared" ref="F115:H115" si="22">SUM(F113:F114)</f>
        <v>177375</v>
      </c>
      <c r="G115" s="571">
        <f t="shared" si="22"/>
        <v>177375</v>
      </c>
      <c r="H115" s="571">
        <f t="shared" si="22"/>
        <v>113375</v>
      </c>
    </row>
    <row r="116" spans="1:8" ht="15" customHeight="1">
      <c r="A116" s="764" t="s">
        <v>185</v>
      </c>
      <c r="B116" s="561" t="s">
        <v>84</v>
      </c>
      <c r="C116" s="355" t="s">
        <v>85</v>
      </c>
      <c r="D116" s="355" t="s">
        <v>57</v>
      </c>
      <c r="E116" s="572">
        <v>80000</v>
      </c>
      <c r="F116" s="573">
        <f>E116</f>
        <v>80000</v>
      </c>
      <c r="G116" s="573">
        <f>E116</f>
        <v>80000</v>
      </c>
      <c r="H116" s="573">
        <v>60000</v>
      </c>
    </row>
    <row r="117" spans="1:8" ht="15" customHeight="1">
      <c r="A117" s="765"/>
      <c r="B117" s="574" t="s">
        <v>80</v>
      </c>
      <c r="C117" s="355" t="s">
        <v>176</v>
      </c>
      <c r="D117" s="575" t="s">
        <v>49</v>
      </c>
      <c r="E117" s="572">
        <f>300000/16</f>
        <v>18750</v>
      </c>
      <c r="F117" s="572">
        <f>E117</f>
        <v>18750</v>
      </c>
      <c r="G117" s="572">
        <f>E117</f>
        <v>18750</v>
      </c>
      <c r="H117" s="572">
        <f>E117</f>
        <v>18750</v>
      </c>
    </row>
    <row r="118" spans="1:8">
      <c r="A118" s="576"/>
      <c r="B118" s="577" t="s">
        <v>58</v>
      </c>
      <c r="C118" s="504"/>
      <c r="D118" s="577"/>
      <c r="E118" s="578">
        <f>SUM(E116:E117)</f>
        <v>98750</v>
      </c>
      <c r="F118" s="578">
        <f t="shared" ref="F118:H118" si="23">SUM(F116:F117)</f>
        <v>98750</v>
      </c>
      <c r="G118" s="578">
        <f t="shared" si="23"/>
        <v>98750</v>
      </c>
      <c r="H118" s="578">
        <f t="shared" si="23"/>
        <v>78750</v>
      </c>
    </row>
  </sheetData>
  <mergeCells count="12">
    <mergeCell ref="A3:F3"/>
    <mergeCell ref="H3:M3"/>
    <mergeCell ref="A36:F36"/>
    <mergeCell ref="H36:M36"/>
    <mergeCell ref="A9:A14"/>
    <mergeCell ref="H25:H29"/>
    <mergeCell ref="A15:A19"/>
    <mergeCell ref="A64:A65"/>
    <mergeCell ref="A67:A70"/>
    <mergeCell ref="A96:A97"/>
    <mergeCell ref="A108:A111"/>
    <mergeCell ref="A116:A117"/>
  </mergeCells>
  <hyperlinks>
    <hyperlink ref="B72" r:id="rId1" xr:uid="{00000000-0004-0000-0200-000000000000}"/>
    <hyperlink ref="B75" r:id="rId2" xr:uid="{00000000-0004-0000-0200-000001000000}"/>
    <hyperlink ref="B76" r:id="rId3" xr:uid="{00000000-0004-0000-0200-000002000000}"/>
    <hyperlink ref="B80" r:id="rId4" xr:uid="{00000000-0004-0000-0200-000003000000}"/>
    <hyperlink ref="B87" r:id="rId5" xr:uid="{00000000-0004-0000-0200-000004000000}"/>
    <hyperlink ref="B105" r:id="rId6" xr:uid="{00000000-0004-0000-0200-000005000000}"/>
    <hyperlink ref="B108" r:id="rId7" xr:uid="{00000000-0004-0000-0200-000006000000}"/>
    <hyperlink ref="B109" r:id="rId8" xr:uid="{00000000-0004-0000-0200-000007000000}"/>
  </hyperlinks>
  <pageMargins left="0.7" right="0.7" top="0.75" bottom="0.75" header="0.3" footer="0.3"/>
  <pageSetup paperSize="9" orientation="portrait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F0F66-2C4B-44E5-96E5-E1F6D802F4CA}">
  <dimension ref="A2:M118"/>
  <sheetViews>
    <sheetView tabSelected="1" topLeftCell="A31" zoomScale="130" zoomScaleNormal="130" workbookViewId="0">
      <selection activeCell="F37" sqref="F37"/>
    </sheetView>
  </sheetViews>
  <sheetFormatPr baseColWidth="10" defaultColWidth="11.42578125" defaultRowHeight="15"/>
  <cols>
    <col min="1" max="1" width="16.85546875" customWidth="1"/>
    <col min="2" max="2" width="25.42578125" customWidth="1"/>
    <col min="3" max="3" width="12.5703125" customWidth="1"/>
    <col min="4" max="4" width="13.140625" customWidth="1"/>
    <col min="5" max="6" width="11.28515625" customWidth="1"/>
    <col min="9" max="9" width="25.42578125" customWidth="1"/>
  </cols>
  <sheetData>
    <row r="2" spans="1:13" ht="14.25" customHeight="1"/>
    <row r="3" spans="1:13">
      <c r="A3" s="722" t="s">
        <v>1</v>
      </c>
      <c r="B3" s="723"/>
      <c r="C3" s="723"/>
      <c r="D3" s="723"/>
      <c r="E3" s="723"/>
      <c r="F3" s="724"/>
      <c r="H3" s="766"/>
      <c r="I3" s="767"/>
      <c r="J3" s="767"/>
      <c r="K3" s="767"/>
      <c r="L3" s="767"/>
      <c r="M3" s="767"/>
    </row>
    <row r="4" spans="1:13">
      <c r="A4" s="189" t="s">
        <v>3</v>
      </c>
      <c r="B4" s="3" t="s">
        <v>4</v>
      </c>
      <c r="C4" s="444" t="s">
        <v>5</v>
      </c>
      <c r="D4" s="444" t="s">
        <v>6</v>
      </c>
      <c r="E4" s="444" t="s">
        <v>7</v>
      </c>
      <c r="F4" s="444" t="s">
        <v>8</v>
      </c>
      <c r="H4" s="4"/>
      <c r="I4" s="4"/>
      <c r="J4" s="4"/>
      <c r="K4" s="4"/>
      <c r="L4" s="4"/>
      <c r="M4" s="4"/>
    </row>
    <row r="5" spans="1:13">
      <c r="A5" s="445" t="s">
        <v>9</v>
      </c>
      <c r="B5" s="446" t="s">
        <v>97</v>
      </c>
      <c r="C5" s="7">
        <f>E39</f>
        <v>400000</v>
      </c>
      <c r="D5" s="7">
        <f>E45</f>
        <v>260000</v>
      </c>
      <c r="E5" s="7">
        <f>E51</f>
        <v>213333.33333333334</v>
      </c>
      <c r="F5" s="7">
        <f>E57</f>
        <v>80000</v>
      </c>
      <c r="H5" s="8"/>
      <c r="I5" s="8"/>
      <c r="J5" s="88"/>
      <c r="K5" s="88"/>
      <c r="L5" s="88"/>
      <c r="M5" s="89"/>
    </row>
    <row r="6" spans="1:13">
      <c r="A6" s="149" t="s">
        <v>11</v>
      </c>
      <c r="B6" s="447" t="s">
        <v>97</v>
      </c>
      <c r="C6" s="11">
        <f>E40</f>
        <v>410000</v>
      </c>
      <c r="D6" s="11">
        <f>E46</f>
        <v>265000</v>
      </c>
      <c r="E6" s="11">
        <f>E52</f>
        <v>236666.66666666666</v>
      </c>
      <c r="F6" s="11">
        <f>E58</f>
        <v>180000</v>
      </c>
      <c r="H6" s="8"/>
      <c r="I6" s="8"/>
      <c r="J6" s="88"/>
      <c r="K6" s="88"/>
      <c r="L6" s="88"/>
      <c r="M6" s="89"/>
    </row>
    <row r="7" spans="1:13">
      <c r="A7" s="448" t="s">
        <v>98</v>
      </c>
      <c r="B7" s="449" t="s">
        <v>97</v>
      </c>
      <c r="C7" s="450">
        <f>E41</f>
        <v>579800</v>
      </c>
      <c r="D7" s="450">
        <f>E47</f>
        <v>349900</v>
      </c>
      <c r="E7" s="450">
        <f>E53</f>
        <v>286600</v>
      </c>
      <c r="F7" s="450">
        <f>E59</f>
        <v>0</v>
      </c>
      <c r="H7" s="8"/>
      <c r="I7" s="8"/>
      <c r="J7" s="88"/>
      <c r="K7" s="88"/>
      <c r="L7" s="88"/>
      <c r="M7" s="88"/>
    </row>
    <row r="8" spans="1:13">
      <c r="A8" s="35" t="s">
        <v>12</v>
      </c>
      <c r="B8" s="451" t="s">
        <v>99</v>
      </c>
      <c r="C8" s="13">
        <f t="shared" ref="C8" si="0">E42</f>
        <v>1180000</v>
      </c>
      <c r="D8" s="13">
        <f t="shared" ref="D8" si="1">E48</f>
        <v>590000</v>
      </c>
      <c r="E8" s="13">
        <f t="shared" ref="E8" si="2">E54</f>
        <v>593333.33333333337</v>
      </c>
      <c r="F8" s="13">
        <f t="shared" ref="F8" si="3">E60</f>
        <v>0</v>
      </c>
      <c r="H8" s="8"/>
      <c r="I8" s="8"/>
      <c r="J8" s="88"/>
      <c r="K8" s="88"/>
      <c r="L8" s="88"/>
      <c r="M8" s="89"/>
    </row>
    <row r="9" spans="1:13">
      <c r="A9" s="746" t="s">
        <v>9</v>
      </c>
      <c r="B9" s="15" t="s">
        <v>13</v>
      </c>
      <c r="C9" s="16">
        <f>(250000*2)/12</f>
        <v>41666.666666666664</v>
      </c>
      <c r="D9" s="16">
        <f>C9</f>
        <v>41666.666666666664</v>
      </c>
      <c r="E9" s="16">
        <f>C9</f>
        <v>41666.666666666664</v>
      </c>
      <c r="F9" s="16">
        <f>C9</f>
        <v>41666.666666666664</v>
      </c>
      <c r="H9" s="4"/>
      <c r="I9" s="8"/>
      <c r="J9" s="88"/>
      <c r="K9" s="88"/>
      <c r="L9" s="88"/>
      <c r="M9" s="88"/>
    </row>
    <row r="10" spans="1:13">
      <c r="A10" s="746"/>
      <c r="B10" s="15" t="s">
        <v>14</v>
      </c>
      <c r="C10" s="16">
        <f>100000/12</f>
        <v>8333.3333333333339</v>
      </c>
      <c r="D10" s="16">
        <f>C10</f>
        <v>8333.3333333333339</v>
      </c>
      <c r="E10" s="16">
        <f>C10</f>
        <v>8333.3333333333339</v>
      </c>
      <c r="F10" s="16">
        <f>C10</f>
        <v>8333.3333333333339</v>
      </c>
      <c r="H10" s="8"/>
      <c r="I10" s="8"/>
      <c r="J10" s="88"/>
      <c r="K10" s="88"/>
      <c r="L10" s="88"/>
      <c r="M10" s="88"/>
    </row>
    <row r="11" spans="1:13">
      <c r="A11" s="746"/>
      <c r="B11" s="18" t="s">
        <v>162</v>
      </c>
      <c r="C11" s="16">
        <f>E66</f>
        <v>60416.666666666664</v>
      </c>
      <c r="D11" s="16">
        <f>F66</f>
        <v>60416.666666666664</v>
      </c>
      <c r="E11" s="16">
        <f>G66</f>
        <v>60416.666666666664</v>
      </c>
      <c r="F11" s="16">
        <f>H66</f>
        <v>60416.666666666664</v>
      </c>
      <c r="H11" s="8"/>
      <c r="I11" s="8"/>
      <c r="J11" s="88"/>
      <c r="K11" s="88"/>
      <c r="L11" s="88"/>
      <c r="M11" s="88"/>
    </row>
    <row r="12" spans="1:13">
      <c r="A12" s="746"/>
      <c r="B12" s="18" t="s">
        <v>163</v>
      </c>
      <c r="C12" s="16">
        <v>50000</v>
      </c>
      <c r="D12" s="16">
        <f>C12</f>
        <v>50000</v>
      </c>
      <c r="E12" s="16">
        <f>C12</f>
        <v>50000</v>
      </c>
      <c r="F12" s="16">
        <v>40000</v>
      </c>
      <c r="H12" s="8"/>
      <c r="I12" s="8"/>
      <c r="J12" s="88"/>
      <c r="K12" s="88"/>
      <c r="L12" s="88"/>
      <c r="M12" s="88"/>
    </row>
    <row r="13" spans="1:13">
      <c r="A13" s="746"/>
      <c r="B13" s="15" t="s">
        <v>15</v>
      </c>
      <c r="C13" s="16">
        <f>E71</f>
        <v>168333.33333333331</v>
      </c>
      <c r="D13" s="16">
        <f>F71</f>
        <v>168333.33333333331</v>
      </c>
      <c r="E13" s="16">
        <f>G71</f>
        <v>168333.33333333331</v>
      </c>
      <c r="F13" s="16">
        <f>H71</f>
        <v>148333.33333333331</v>
      </c>
      <c r="H13" s="8"/>
      <c r="I13" s="8"/>
      <c r="J13" s="88"/>
      <c r="K13" s="88"/>
      <c r="L13" s="88"/>
      <c r="M13" s="88"/>
    </row>
    <row r="14" spans="1:13">
      <c r="A14" s="747"/>
      <c r="B14" s="15" t="s">
        <v>16</v>
      </c>
      <c r="C14" s="19">
        <f>E77</f>
        <v>138666.66666666669</v>
      </c>
      <c r="D14" s="19">
        <f>F77</f>
        <v>138666.66666666669</v>
      </c>
      <c r="E14" s="19">
        <f>G77</f>
        <v>138666.66666666669</v>
      </c>
      <c r="F14" s="19">
        <f>H77</f>
        <v>123666.66666666667</v>
      </c>
      <c r="H14" s="8"/>
      <c r="I14" s="8"/>
      <c r="J14" s="88"/>
      <c r="K14" s="88"/>
      <c r="L14" s="88"/>
      <c r="M14" s="88"/>
    </row>
    <row r="15" spans="1:13">
      <c r="A15" s="748" t="s">
        <v>11</v>
      </c>
      <c r="B15" s="21" t="s">
        <v>13</v>
      </c>
      <c r="C15" s="22">
        <f>(390000*2)/12</f>
        <v>65000</v>
      </c>
      <c r="D15" s="22">
        <f>C15</f>
        <v>65000</v>
      </c>
      <c r="E15" s="22">
        <f>C15</f>
        <v>65000</v>
      </c>
      <c r="F15" s="22">
        <f>C15</f>
        <v>65000</v>
      </c>
      <c r="H15" s="4"/>
      <c r="I15" s="8"/>
      <c r="J15" s="88"/>
      <c r="K15" s="88"/>
      <c r="L15" s="88"/>
      <c r="M15" s="88"/>
    </row>
    <row r="16" spans="1:13">
      <c r="A16" s="749"/>
      <c r="B16" s="21" t="s">
        <v>14</v>
      </c>
      <c r="C16" s="22">
        <f>170000/12</f>
        <v>14166.666666666666</v>
      </c>
      <c r="D16" s="22">
        <f>C16</f>
        <v>14166.666666666666</v>
      </c>
      <c r="E16" s="22">
        <f>C16</f>
        <v>14166.666666666666</v>
      </c>
      <c r="F16" s="22">
        <f>C16</f>
        <v>14166.666666666666</v>
      </c>
      <c r="H16" s="8"/>
      <c r="I16" s="8"/>
      <c r="J16" s="88"/>
      <c r="K16" s="88"/>
      <c r="L16" s="88"/>
      <c r="M16" s="88"/>
    </row>
    <row r="17" spans="1:13">
      <c r="A17" s="749"/>
      <c r="B17" s="25" t="s">
        <v>17</v>
      </c>
      <c r="C17" s="22">
        <f>E81</f>
        <v>141000</v>
      </c>
      <c r="D17" s="22">
        <f>F81</f>
        <v>141000</v>
      </c>
      <c r="E17" s="22">
        <f>G81</f>
        <v>141000</v>
      </c>
      <c r="F17" s="22">
        <f>H81</f>
        <v>114000</v>
      </c>
      <c r="H17" s="8"/>
      <c r="I17" s="8"/>
      <c r="J17" s="88"/>
      <c r="K17" s="88"/>
      <c r="L17" s="88"/>
      <c r="M17" s="88"/>
    </row>
    <row r="18" spans="1:13">
      <c r="A18" s="749"/>
      <c r="B18" s="26" t="s">
        <v>18</v>
      </c>
      <c r="C18" s="27">
        <f>E85</f>
        <v>65000</v>
      </c>
      <c r="D18" s="22">
        <f>F85</f>
        <v>65000</v>
      </c>
      <c r="E18" s="22">
        <f>G85</f>
        <v>65000</v>
      </c>
      <c r="F18" s="22">
        <f>H85</f>
        <v>65000</v>
      </c>
      <c r="H18" s="8"/>
      <c r="I18" s="90"/>
      <c r="J18" s="88"/>
      <c r="K18" s="88"/>
      <c r="L18" s="88"/>
      <c r="M18" s="88"/>
    </row>
    <row r="19" spans="1:13">
      <c r="A19" s="750"/>
      <c r="B19" s="26" t="s">
        <v>19</v>
      </c>
      <c r="C19" s="27">
        <f>E89</f>
        <v>65000</v>
      </c>
      <c r="D19" s="22">
        <f>F89</f>
        <v>65000</v>
      </c>
      <c r="E19" s="22">
        <f>G89</f>
        <v>65000</v>
      </c>
      <c r="F19" s="22">
        <f>H89</f>
        <v>45000</v>
      </c>
      <c r="H19" s="8"/>
      <c r="I19" s="90"/>
      <c r="J19" s="88"/>
      <c r="K19" s="88"/>
      <c r="L19" s="88"/>
      <c r="M19" s="88"/>
    </row>
    <row r="20" spans="1:13">
      <c r="A20" s="579" t="s">
        <v>98</v>
      </c>
      <c r="B20" s="452" t="s">
        <v>103</v>
      </c>
      <c r="C20" s="453">
        <f>1550000/12</f>
        <v>129166.66666666667</v>
      </c>
      <c r="D20" s="453">
        <f>C20</f>
        <v>129166.66666666667</v>
      </c>
      <c r="E20" s="453">
        <f>C20</f>
        <v>129166.66666666667</v>
      </c>
      <c r="F20" s="453">
        <f>C20</f>
        <v>129166.66666666667</v>
      </c>
      <c r="H20" s="8"/>
      <c r="I20" s="90"/>
      <c r="J20" s="88"/>
      <c r="K20" s="88"/>
      <c r="L20" s="88"/>
      <c r="M20" s="88"/>
    </row>
    <row r="21" spans="1:13">
      <c r="A21" s="579"/>
      <c r="B21" s="454" t="s">
        <v>104</v>
      </c>
      <c r="C21" s="453">
        <f>E95</f>
        <v>95833.333333333343</v>
      </c>
      <c r="D21" s="453">
        <f>F95</f>
        <v>95833.333333333343</v>
      </c>
      <c r="E21" s="453">
        <f>G95</f>
        <v>95833.333333333343</v>
      </c>
      <c r="F21" s="455">
        <f>H95</f>
        <v>85833.333333333343</v>
      </c>
      <c r="H21" s="8"/>
      <c r="I21" s="90"/>
      <c r="J21" s="88"/>
      <c r="K21" s="88"/>
      <c r="L21" s="88"/>
      <c r="M21" s="88"/>
    </row>
    <row r="22" spans="1:13">
      <c r="A22" s="579"/>
      <c r="B22" s="454" t="s">
        <v>106</v>
      </c>
      <c r="C22" s="453">
        <f t="shared" ref="C22:E22" si="4">E98</f>
        <v>86333.333333333328</v>
      </c>
      <c r="D22" s="453">
        <f t="shared" si="4"/>
        <v>86333.333333333328</v>
      </c>
      <c r="E22" s="453">
        <f t="shared" si="4"/>
        <v>86333.333333333328</v>
      </c>
      <c r="F22" s="455">
        <v>0</v>
      </c>
      <c r="H22" s="8"/>
      <c r="I22" s="90"/>
      <c r="J22" s="88"/>
      <c r="K22" s="88"/>
      <c r="L22" s="88"/>
      <c r="M22" s="88"/>
    </row>
    <row r="23" spans="1:13">
      <c r="A23" s="579"/>
      <c r="B23" s="452" t="s">
        <v>164</v>
      </c>
      <c r="C23" s="453">
        <f>E102</f>
        <v>73333.333333333328</v>
      </c>
      <c r="D23" s="453">
        <f>F102</f>
        <v>73333.333333333328</v>
      </c>
      <c r="E23" s="453">
        <f>G102</f>
        <v>73333.333333333328</v>
      </c>
      <c r="F23" s="453">
        <f>H102</f>
        <v>73333.333333333328</v>
      </c>
      <c r="H23" s="8"/>
      <c r="I23" s="90"/>
      <c r="J23" s="88"/>
      <c r="K23" s="88"/>
      <c r="L23" s="88"/>
      <c r="M23" s="88"/>
    </row>
    <row r="24" spans="1:13">
      <c r="A24" s="579"/>
      <c r="B24" s="454" t="s">
        <v>108</v>
      </c>
      <c r="C24" s="453">
        <f>220000/16</f>
        <v>13750</v>
      </c>
      <c r="D24" s="453">
        <f>C24</f>
        <v>13750</v>
      </c>
      <c r="E24" s="453">
        <f>C24</f>
        <v>13750</v>
      </c>
      <c r="F24" s="453">
        <f>C24</f>
        <v>13750</v>
      </c>
      <c r="H24" s="8"/>
      <c r="I24" s="90"/>
      <c r="J24" s="88"/>
      <c r="K24" s="88"/>
      <c r="L24" s="88"/>
      <c r="M24" s="88"/>
    </row>
    <row r="25" spans="1:13" ht="15" customHeight="1">
      <c r="A25" s="580" t="s">
        <v>12</v>
      </c>
      <c r="B25" s="29" t="s">
        <v>20</v>
      </c>
      <c r="C25" s="30">
        <f>320000/12</f>
        <v>26666.666666666668</v>
      </c>
      <c r="D25" s="30">
        <f>C25</f>
        <v>26666.666666666668</v>
      </c>
      <c r="E25" s="30">
        <f>C25</f>
        <v>26666.666666666668</v>
      </c>
      <c r="F25" s="30">
        <f>C25</f>
        <v>26666.666666666668</v>
      </c>
      <c r="H25" s="768"/>
      <c r="I25" s="91"/>
      <c r="J25" s="92"/>
      <c r="K25" s="88"/>
      <c r="L25" s="88"/>
      <c r="M25" s="88"/>
    </row>
    <row r="26" spans="1:13">
      <c r="A26" s="580"/>
      <c r="B26" s="32" t="s">
        <v>21</v>
      </c>
      <c r="C26" s="33">
        <f>120000/12</f>
        <v>10000</v>
      </c>
      <c r="D26" s="33">
        <f>C26</f>
        <v>10000</v>
      </c>
      <c r="E26" s="33">
        <f>C26</f>
        <v>10000</v>
      </c>
      <c r="F26" s="33">
        <f>C26</f>
        <v>10000</v>
      </c>
      <c r="H26" s="767"/>
      <c r="I26" s="91"/>
      <c r="J26" s="92"/>
      <c r="K26" s="88"/>
      <c r="L26" s="88"/>
      <c r="M26" s="88"/>
    </row>
    <row r="27" spans="1:13">
      <c r="A27" s="580"/>
      <c r="B27" s="35" t="s">
        <v>22</v>
      </c>
      <c r="C27" s="36">
        <f>E107</f>
        <v>75000</v>
      </c>
      <c r="D27" s="37">
        <f>F107</f>
        <v>75000</v>
      </c>
      <c r="E27" s="37">
        <f>G107</f>
        <v>75000</v>
      </c>
      <c r="F27" s="37">
        <f>H107</f>
        <v>75000</v>
      </c>
      <c r="H27" s="767"/>
      <c r="I27" s="8"/>
      <c r="J27" s="88"/>
      <c r="K27" s="88"/>
      <c r="L27" s="88"/>
      <c r="M27" s="88"/>
    </row>
    <row r="28" spans="1:13">
      <c r="A28" s="580"/>
      <c r="B28" s="35" t="s">
        <v>23</v>
      </c>
      <c r="C28" s="36">
        <f>E112</f>
        <v>150916.66666666669</v>
      </c>
      <c r="D28" s="37">
        <f>F112</f>
        <v>150916.66666666669</v>
      </c>
      <c r="E28" s="37">
        <f>G112</f>
        <v>150916.66666666669</v>
      </c>
      <c r="F28" s="37">
        <f>H112</f>
        <v>96916.666666666672</v>
      </c>
      <c r="H28" s="767"/>
      <c r="I28" s="8"/>
      <c r="J28" s="88"/>
      <c r="K28" s="88"/>
      <c r="L28" s="88"/>
      <c r="M28" s="88"/>
    </row>
    <row r="29" spans="1:13">
      <c r="A29" s="580"/>
      <c r="B29" s="35" t="s">
        <v>24</v>
      </c>
      <c r="C29" s="36">
        <f>E115</f>
        <v>177375</v>
      </c>
      <c r="D29" s="37">
        <f>F115</f>
        <v>177375</v>
      </c>
      <c r="E29" s="37">
        <f>G115</f>
        <v>177375</v>
      </c>
      <c r="F29" s="37">
        <f>H115</f>
        <v>113375</v>
      </c>
      <c r="H29" s="767"/>
      <c r="I29" s="8"/>
      <c r="J29" s="88"/>
      <c r="K29" s="88"/>
      <c r="L29" s="88"/>
      <c r="M29" s="88"/>
    </row>
    <row r="30" spans="1:13">
      <c r="A30" s="581"/>
      <c r="B30" s="38" t="s">
        <v>163</v>
      </c>
      <c r="C30" s="36">
        <f>E118</f>
        <v>108333.33333333333</v>
      </c>
      <c r="D30" s="37">
        <f>F118</f>
        <v>108333.33333333333</v>
      </c>
      <c r="E30" s="37">
        <f>G118</f>
        <v>108333.33333333333</v>
      </c>
      <c r="F30" s="37">
        <f>H118</f>
        <v>88333.333333333328</v>
      </c>
      <c r="H30" s="708"/>
      <c r="I30" s="8"/>
      <c r="J30" s="88"/>
      <c r="K30" s="88"/>
      <c r="L30" s="88"/>
      <c r="M30" s="88"/>
    </row>
    <row r="31" spans="1:13" ht="30">
      <c r="A31" s="460" t="s">
        <v>165</v>
      </c>
      <c r="B31" s="40" t="s">
        <v>111</v>
      </c>
      <c r="C31" s="41">
        <v>25000</v>
      </c>
      <c r="D31" s="41">
        <v>25000</v>
      </c>
      <c r="E31" s="41">
        <v>25000</v>
      </c>
      <c r="F31" s="41">
        <v>25000</v>
      </c>
      <c r="H31" s="708"/>
      <c r="I31" s="8"/>
      <c r="J31" s="88"/>
      <c r="K31" s="88"/>
      <c r="L31" s="88"/>
      <c r="M31" s="88"/>
    </row>
    <row r="32" spans="1:13">
      <c r="A32" s="42"/>
      <c r="B32" s="43" t="s">
        <v>25</v>
      </c>
      <c r="C32" s="44">
        <f>SUM(C5:C31)</f>
        <v>4359091.666666666</v>
      </c>
      <c r="D32" s="44">
        <f>SUM(D5:D31)</f>
        <v>3254191.666666667</v>
      </c>
      <c r="E32" s="44">
        <f>SUM(E5:E31)</f>
        <v>3119225.0000000005</v>
      </c>
      <c r="F32" s="44">
        <f>SUM(F5:F31)</f>
        <v>1722958.3333333333</v>
      </c>
      <c r="H32" s="4"/>
      <c r="I32" s="8"/>
      <c r="J32" s="88"/>
      <c r="K32" s="88"/>
      <c r="L32" s="88"/>
      <c r="M32" s="88"/>
    </row>
    <row r="33" spans="1:13">
      <c r="A33" s="45" t="s">
        <v>112</v>
      </c>
      <c r="B33" s="461">
        <v>0.76</v>
      </c>
      <c r="C33" s="47">
        <f>C32/B33</f>
        <v>5735646.9298245609</v>
      </c>
      <c r="D33" s="47">
        <f>D32/B33</f>
        <v>4281831.1403508773</v>
      </c>
      <c r="E33" s="47">
        <f>E32/B33</f>
        <v>4104243.4210526319</v>
      </c>
      <c r="F33" s="47">
        <f>F32/B33</f>
        <v>2267050.4385964912</v>
      </c>
      <c r="H33" s="8"/>
      <c r="I33" s="4"/>
      <c r="J33" s="89"/>
      <c r="K33" s="89"/>
      <c r="L33" s="89"/>
      <c r="M33" s="89"/>
    </row>
    <row r="34" spans="1:13">
      <c r="A34" s="48" t="s">
        <v>113</v>
      </c>
      <c r="B34" s="462">
        <v>3100</v>
      </c>
      <c r="C34" s="50">
        <f>C33/B34</f>
        <v>1850.2086870401808</v>
      </c>
      <c r="D34" s="50">
        <f>D33/B34</f>
        <v>1381.2358517260895</v>
      </c>
      <c r="E34" s="50">
        <f>E33/B34</f>
        <v>1323.9494906621394</v>
      </c>
      <c r="F34" s="50">
        <f>F33/B34</f>
        <v>731.30659309564237</v>
      </c>
      <c r="H34" s="51"/>
      <c r="I34" s="51"/>
      <c r="J34" s="51"/>
      <c r="K34" s="51"/>
      <c r="L34" s="51"/>
      <c r="M34" s="51"/>
    </row>
    <row r="35" spans="1:13">
      <c r="B35" s="48" t="s">
        <v>166</v>
      </c>
      <c r="C35" s="463">
        <v>1863</v>
      </c>
      <c r="D35" s="463">
        <v>1381</v>
      </c>
      <c r="E35" s="463">
        <v>1324</v>
      </c>
      <c r="F35" s="463">
        <v>731</v>
      </c>
      <c r="H35" s="51"/>
      <c r="I35" s="51"/>
      <c r="J35" s="51"/>
      <c r="K35" s="51"/>
      <c r="L35" s="51"/>
      <c r="M35" s="51"/>
    </row>
    <row r="36" spans="1:13">
      <c r="A36" s="725" t="s">
        <v>28</v>
      </c>
      <c r="B36" s="723"/>
      <c r="C36" s="723"/>
      <c r="D36" s="723"/>
      <c r="E36" s="723"/>
      <c r="F36" s="724"/>
      <c r="H36" s="766"/>
      <c r="I36" s="767"/>
      <c r="J36" s="767"/>
      <c r="K36" s="767"/>
      <c r="L36" s="767"/>
      <c r="M36" s="767"/>
    </row>
    <row r="37" spans="1:13">
      <c r="H37" s="51"/>
      <c r="I37" s="51"/>
      <c r="J37" s="51"/>
      <c r="K37" s="51"/>
      <c r="L37" s="51"/>
      <c r="M37" s="51"/>
    </row>
    <row r="38" spans="1:13">
      <c r="B38" s="52" t="s">
        <v>30</v>
      </c>
      <c r="C38" s="53" t="s">
        <v>5</v>
      </c>
      <c r="D38" s="53">
        <f>SUM(D39:D42)</f>
        <v>10</v>
      </c>
      <c r="E38" s="53" t="s">
        <v>32</v>
      </c>
      <c r="H38" s="51"/>
      <c r="I38" s="4"/>
      <c r="J38" s="4"/>
      <c r="K38" s="4"/>
      <c r="L38" s="4"/>
      <c r="M38" s="51"/>
    </row>
    <row r="39" spans="1:13" ht="15" customHeight="1">
      <c r="B39" s="54" t="s">
        <v>115</v>
      </c>
      <c r="C39" s="55">
        <v>200000</v>
      </c>
      <c r="D39" s="56">
        <v>2</v>
      </c>
      <c r="E39" s="56">
        <f t="shared" ref="E39:E42" si="5">D39*C39</f>
        <v>400000</v>
      </c>
      <c r="H39" s="51"/>
      <c r="I39" s="93"/>
      <c r="J39" s="8"/>
      <c r="K39" s="8"/>
      <c r="L39" s="8"/>
      <c r="M39" s="51"/>
    </row>
    <row r="40" spans="1:13" ht="15" customHeight="1">
      <c r="B40" s="57" t="s">
        <v>167</v>
      </c>
      <c r="C40" s="55">
        <v>205000</v>
      </c>
      <c r="D40" s="56">
        <v>2</v>
      </c>
      <c r="E40" s="56">
        <f t="shared" si="5"/>
        <v>410000</v>
      </c>
      <c r="H40" s="51"/>
      <c r="I40" s="91"/>
      <c r="J40" s="8"/>
      <c r="K40" s="8"/>
      <c r="L40" s="8"/>
      <c r="M40" s="51"/>
    </row>
    <row r="41" spans="1:13" ht="15" customHeight="1">
      <c r="B41" s="57" t="s">
        <v>116</v>
      </c>
      <c r="C41" s="55">
        <v>289900</v>
      </c>
      <c r="D41" s="56">
        <v>2</v>
      </c>
      <c r="E41" s="56">
        <f>C41*D41</f>
        <v>579800</v>
      </c>
      <c r="H41" s="51"/>
      <c r="I41" s="91"/>
      <c r="J41" s="8"/>
      <c r="K41" s="8"/>
      <c r="L41" s="8"/>
      <c r="M41" s="51"/>
    </row>
    <row r="42" spans="1:13" ht="15" customHeight="1">
      <c r="B42" s="57" t="s">
        <v>40</v>
      </c>
      <c r="C42" s="55">
        <v>295000</v>
      </c>
      <c r="D42" s="56">
        <v>4</v>
      </c>
      <c r="E42" s="56">
        <f t="shared" si="5"/>
        <v>1180000</v>
      </c>
      <c r="H42" s="51"/>
      <c r="I42" s="91"/>
      <c r="J42" s="8"/>
      <c r="K42" s="8"/>
      <c r="L42" s="8"/>
      <c r="M42" s="51"/>
    </row>
    <row r="43" spans="1:13">
      <c r="H43" s="51"/>
      <c r="I43" s="51"/>
      <c r="J43" s="51"/>
      <c r="K43" s="51"/>
      <c r="L43" s="51"/>
      <c r="M43" s="51"/>
    </row>
    <row r="44" spans="1:13">
      <c r="B44" s="53" t="s">
        <v>30</v>
      </c>
      <c r="C44" s="53" t="s">
        <v>6</v>
      </c>
      <c r="D44" s="53">
        <f>SUM(D45:D48)</f>
        <v>10</v>
      </c>
      <c r="E44" s="53" t="s">
        <v>32</v>
      </c>
      <c r="H44" s="51"/>
      <c r="I44" s="4"/>
      <c r="J44" s="4"/>
      <c r="K44" s="4"/>
      <c r="L44" s="4"/>
      <c r="M44" s="51"/>
    </row>
    <row r="45" spans="1:13" ht="15" customHeight="1">
      <c r="B45" s="54" t="s">
        <v>115</v>
      </c>
      <c r="C45" s="58">
        <f>260000/2</f>
        <v>130000</v>
      </c>
      <c r="D45" s="56">
        <v>2</v>
      </c>
      <c r="E45" s="56">
        <f t="shared" ref="E45:E48" si="6">D45*C45</f>
        <v>260000</v>
      </c>
      <c r="H45" s="51"/>
      <c r="I45" s="93"/>
      <c r="J45" s="8"/>
      <c r="K45" s="8"/>
      <c r="L45" s="8"/>
      <c r="M45" s="51"/>
    </row>
    <row r="46" spans="1:13" ht="15" customHeight="1">
      <c r="B46" s="57" t="s">
        <v>167</v>
      </c>
      <c r="C46" s="58">
        <f>265000/2</f>
        <v>132500</v>
      </c>
      <c r="D46" s="56">
        <v>2</v>
      </c>
      <c r="E46" s="56">
        <f t="shared" si="6"/>
        <v>265000</v>
      </c>
      <c r="H46" s="51"/>
      <c r="I46" s="91"/>
      <c r="J46" s="94"/>
      <c r="K46" s="8"/>
      <c r="L46" s="94"/>
      <c r="M46" s="51"/>
    </row>
    <row r="47" spans="1:13" ht="15" customHeight="1">
      <c r="B47" s="57" t="s">
        <v>116</v>
      </c>
      <c r="C47" s="55">
        <f>349900/2</f>
        <v>174950</v>
      </c>
      <c r="D47" s="56">
        <v>2</v>
      </c>
      <c r="E47" s="56">
        <f>C47*D47</f>
        <v>349900</v>
      </c>
      <c r="H47" s="51"/>
      <c r="I47" s="91"/>
      <c r="J47" s="8"/>
      <c r="K47" s="8"/>
      <c r="L47" s="8"/>
      <c r="M47" s="51"/>
    </row>
    <row r="48" spans="1:13" ht="15" customHeight="1">
      <c r="B48" s="57" t="s">
        <v>40</v>
      </c>
      <c r="C48" s="58">
        <f>295000/2</f>
        <v>147500</v>
      </c>
      <c r="D48" s="56">
        <v>4</v>
      </c>
      <c r="E48" s="56">
        <f t="shared" si="6"/>
        <v>590000</v>
      </c>
      <c r="H48" s="51"/>
      <c r="I48" s="91"/>
      <c r="J48" s="8"/>
      <c r="K48" s="8"/>
      <c r="L48" s="8"/>
      <c r="M48" s="51"/>
    </row>
    <row r="49" spans="1:13">
      <c r="H49" s="51"/>
      <c r="I49" s="51"/>
      <c r="J49" s="51"/>
      <c r="K49" s="51"/>
      <c r="L49" s="51"/>
      <c r="M49" s="51"/>
    </row>
    <row r="50" spans="1:13">
      <c r="B50" s="53" t="s">
        <v>30</v>
      </c>
      <c r="C50" s="53" t="s">
        <v>7</v>
      </c>
      <c r="D50" s="53">
        <f>SUM(D51:D54)</f>
        <v>10</v>
      </c>
      <c r="E50" s="53" t="s">
        <v>32</v>
      </c>
      <c r="H50" s="51"/>
      <c r="I50" s="4"/>
      <c r="J50" s="4"/>
      <c r="K50" s="4"/>
      <c r="L50" s="4"/>
      <c r="M50" s="51"/>
    </row>
    <row r="51" spans="1:13" ht="15" customHeight="1">
      <c r="B51" s="54" t="s">
        <v>115</v>
      </c>
      <c r="C51" s="706">
        <f>320000/3</f>
        <v>106666.66666666667</v>
      </c>
      <c r="D51" s="56">
        <v>2</v>
      </c>
      <c r="E51" s="470">
        <f t="shared" ref="E51:E52" si="7">D51*C51</f>
        <v>213333.33333333334</v>
      </c>
      <c r="H51" s="51"/>
      <c r="I51" s="93"/>
      <c r="J51" s="8"/>
      <c r="K51" s="8"/>
      <c r="L51" s="8"/>
      <c r="M51" s="51"/>
    </row>
    <row r="52" spans="1:13" ht="15" customHeight="1">
      <c r="B52" s="57" t="s">
        <v>167</v>
      </c>
      <c r="C52" s="60">
        <f>(265000+90000)/3</f>
        <v>118333.33333333333</v>
      </c>
      <c r="D52" s="56">
        <v>2</v>
      </c>
      <c r="E52" s="470">
        <f t="shared" si="7"/>
        <v>236666.66666666666</v>
      </c>
      <c r="H52" s="51"/>
      <c r="I52" s="91"/>
      <c r="J52" s="94"/>
      <c r="K52" s="8"/>
      <c r="L52" s="8"/>
      <c r="M52" s="51"/>
    </row>
    <row r="53" spans="1:13" ht="15" customHeight="1">
      <c r="B53" s="57" t="s">
        <v>116</v>
      </c>
      <c r="C53" s="61">
        <f>429900/3</f>
        <v>143300</v>
      </c>
      <c r="D53" s="56">
        <v>2</v>
      </c>
      <c r="E53" s="56">
        <f>C53*D53</f>
        <v>286600</v>
      </c>
      <c r="H53" s="51"/>
      <c r="I53" s="91"/>
      <c r="J53" s="8"/>
      <c r="K53" s="8"/>
      <c r="L53" s="8"/>
      <c r="M53" s="51"/>
    </row>
    <row r="54" spans="1:13" ht="15" customHeight="1">
      <c r="B54" s="62" t="s">
        <v>40</v>
      </c>
      <c r="C54" s="63">
        <f>445000/3</f>
        <v>148333.33333333334</v>
      </c>
      <c r="D54" s="64">
        <v>4</v>
      </c>
      <c r="E54" s="470">
        <f>C54*D54</f>
        <v>593333.33333333337</v>
      </c>
      <c r="F54">
        <v>465000</v>
      </c>
      <c r="H54" s="51"/>
      <c r="I54" s="91"/>
      <c r="J54" s="8"/>
      <c r="K54" s="8"/>
      <c r="L54" s="8"/>
      <c r="M54" s="51"/>
    </row>
    <row r="55" spans="1:13">
      <c r="B55" s="59"/>
      <c r="C55" s="59"/>
      <c r="D55" s="59"/>
      <c r="E55" s="59"/>
      <c r="H55" s="51"/>
      <c r="I55" s="8"/>
      <c r="J55" s="8"/>
      <c r="K55" s="8"/>
      <c r="L55" s="8"/>
      <c r="M55" s="51"/>
    </row>
    <row r="56" spans="1:13">
      <c r="B56" s="53" t="s">
        <v>30</v>
      </c>
      <c r="C56" s="53" t="s">
        <v>8</v>
      </c>
      <c r="D56" s="53">
        <f>SUM(D57:D60)</f>
        <v>10</v>
      </c>
      <c r="E56" s="53" t="s">
        <v>32</v>
      </c>
      <c r="H56" s="51"/>
      <c r="I56" s="4"/>
      <c r="J56" s="4"/>
      <c r="K56" s="4"/>
      <c r="L56" s="4"/>
      <c r="M56" s="51"/>
    </row>
    <row r="57" spans="1:13" ht="15" customHeight="1">
      <c r="B57" s="54" t="s">
        <v>115</v>
      </c>
      <c r="C57" s="58">
        <v>40000</v>
      </c>
      <c r="D57" s="56">
        <v>2</v>
      </c>
      <c r="E57" s="56">
        <f>D57*C57</f>
        <v>80000</v>
      </c>
      <c r="H57" s="51"/>
      <c r="I57" s="93"/>
      <c r="J57" s="8"/>
      <c r="K57" s="8"/>
      <c r="L57" s="8"/>
      <c r="M57" s="51"/>
    </row>
    <row r="58" spans="1:13" ht="15" customHeight="1">
      <c r="B58" s="57" t="s">
        <v>167</v>
      </c>
      <c r="C58" s="58">
        <v>90000</v>
      </c>
      <c r="D58" s="56">
        <v>2</v>
      </c>
      <c r="E58" s="56">
        <f t="shared" ref="E58:E60" si="8">C58*D58</f>
        <v>180000</v>
      </c>
      <c r="H58" s="51"/>
      <c r="I58" s="91"/>
      <c r="J58" s="94"/>
      <c r="K58" s="8"/>
      <c r="L58" s="8"/>
      <c r="M58" s="51"/>
    </row>
    <row r="59" spans="1:13" ht="15" customHeight="1">
      <c r="B59" s="707" t="s">
        <v>264</v>
      </c>
      <c r="C59" s="55">
        <v>0</v>
      </c>
      <c r="D59" s="56">
        <v>2</v>
      </c>
      <c r="E59" s="56">
        <f t="shared" si="8"/>
        <v>0</v>
      </c>
      <c r="H59" s="51"/>
      <c r="I59" s="91"/>
      <c r="J59" s="8"/>
      <c r="K59" s="8"/>
      <c r="L59" s="8"/>
      <c r="M59" s="51"/>
    </row>
    <row r="60" spans="1:13" ht="15" customHeight="1">
      <c r="B60" s="707" t="s">
        <v>40</v>
      </c>
      <c r="C60" s="58">
        <v>0</v>
      </c>
      <c r="D60" s="56">
        <v>4</v>
      </c>
      <c r="E60" s="56">
        <f t="shared" si="8"/>
        <v>0</v>
      </c>
      <c r="H60" s="51"/>
      <c r="I60" s="91"/>
      <c r="J60" s="8"/>
      <c r="K60" s="8"/>
      <c r="L60" s="8"/>
      <c r="M60" s="51"/>
    </row>
    <row r="62" spans="1:13" ht="30">
      <c r="A62" s="269" t="s">
        <v>3</v>
      </c>
      <c r="B62" s="269" t="s">
        <v>44</v>
      </c>
      <c r="C62" s="269" t="s">
        <v>45</v>
      </c>
      <c r="D62" s="269" t="s">
        <v>46</v>
      </c>
      <c r="E62" s="269" t="s">
        <v>5</v>
      </c>
      <c r="F62" s="269" t="s">
        <v>6</v>
      </c>
      <c r="G62" s="269" t="s">
        <v>7</v>
      </c>
      <c r="H62" s="269" t="s">
        <v>8</v>
      </c>
    </row>
    <row r="63" spans="1:13">
      <c r="A63" s="475" t="s">
        <v>9</v>
      </c>
      <c r="B63" s="70"/>
      <c r="C63" s="70"/>
      <c r="D63" s="70"/>
      <c r="E63" s="70"/>
      <c r="F63" s="70"/>
      <c r="G63" s="70"/>
      <c r="H63" s="70"/>
    </row>
    <row r="64" spans="1:13" s="1" customFormat="1">
      <c r="A64" s="850" t="s">
        <v>168</v>
      </c>
      <c r="B64" s="476" t="s">
        <v>50</v>
      </c>
      <c r="C64" s="476" t="s">
        <v>122</v>
      </c>
      <c r="D64" s="476" t="s">
        <v>52</v>
      </c>
      <c r="E64" s="477">
        <f>125000/12</f>
        <v>10416.666666666666</v>
      </c>
      <c r="F64" s="477">
        <f>E64</f>
        <v>10416.666666666666</v>
      </c>
      <c r="G64" s="477">
        <f>E64</f>
        <v>10416.666666666666</v>
      </c>
      <c r="H64" s="477">
        <f>E64</f>
        <v>10416.666666666666</v>
      </c>
    </row>
    <row r="65" spans="1:8" s="1" customFormat="1">
      <c r="A65" s="850"/>
      <c r="B65" s="476" t="s">
        <v>123</v>
      </c>
      <c r="C65" s="476" t="s">
        <v>64</v>
      </c>
      <c r="D65" s="476" t="s">
        <v>49</v>
      </c>
      <c r="E65" s="477">
        <v>50000</v>
      </c>
      <c r="F65" s="477">
        <f>E65</f>
        <v>50000</v>
      </c>
      <c r="G65" s="477">
        <f>E65</f>
        <v>50000</v>
      </c>
      <c r="H65" s="477">
        <f>E65</f>
        <v>50000</v>
      </c>
    </row>
    <row r="66" spans="1:8" s="1" customFormat="1">
      <c r="A66" s="478"/>
      <c r="B66" s="479" t="s">
        <v>58</v>
      </c>
      <c r="C66" s="479"/>
      <c r="D66" s="479"/>
      <c r="E66" s="480">
        <f>SUM(E64:E65)</f>
        <v>60416.666666666664</v>
      </c>
      <c r="F66" s="480">
        <f>SUM(F64:F65)</f>
        <v>60416.666666666664</v>
      </c>
      <c r="G66" s="480">
        <f>SUM(G64:G65)</f>
        <v>60416.666666666664</v>
      </c>
      <c r="H66" s="480">
        <f>SUM(H64:H65)</f>
        <v>60416.666666666664</v>
      </c>
    </row>
    <row r="67" spans="1:8" ht="15" customHeight="1">
      <c r="A67" s="758" t="s">
        <v>15</v>
      </c>
      <c r="B67" s="481" t="s">
        <v>169</v>
      </c>
      <c r="C67" s="482" t="s">
        <v>129</v>
      </c>
      <c r="D67" s="482" t="s">
        <v>49</v>
      </c>
      <c r="E67" s="483">
        <f>450000/12</f>
        <v>37500</v>
      </c>
      <c r="F67" s="484">
        <f>E67</f>
        <v>37500</v>
      </c>
      <c r="G67" s="484">
        <f>E67</f>
        <v>37500</v>
      </c>
      <c r="H67" s="484">
        <f>E67</f>
        <v>37500</v>
      </c>
    </row>
    <row r="68" spans="1:8">
      <c r="A68" s="759"/>
      <c r="B68" s="485" t="s">
        <v>50</v>
      </c>
      <c r="C68" s="482" t="s">
        <v>122</v>
      </c>
      <c r="D68" s="482" t="s">
        <v>52</v>
      </c>
      <c r="E68" s="486">
        <f>250000/12</f>
        <v>20833.333333333332</v>
      </c>
      <c r="F68" s="487">
        <f>E68</f>
        <v>20833.333333333332</v>
      </c>
      <c r="G68" s="488">
        <f>E68</f>
        <v>20833.333333333332</v>
      </c>
      <c r="H68" s="489">
        <f>E68</f>
        <v>20833.333333333332</v>
      </c>
    </row>
    <row r="69" spans="1:8">
      <c r="A69" s="759"/>
      <c r="B69" s="490" t="s">
        <v>53</v>
      </c>
      <c r="C69" s="491" t="s">
        <v>54</v>
      </c>
      <c r="D69" s="491"/>
      <c r="E69" s="492">
        <v>60000</v>
      </c>
      <c r="F69" s="493">
        <f>E69</f>
        <v>60000</v>
      </c>
      <c r="G69" s="493">
        <f>E69</f>
        <v>60000</v>
      </c>
      <c r="H69" s="493">
        <v>50000</v>
      </c>
    </row>
    <row r="70" spans="1:8">
      <c r="A70" s="760"/>
      <c r="B70" s="481" t="s">
        <v>55</v>
      </c>
      <c r="C70" s="482" t="s">
        <v>56</v>
      </c>
      <c r="D70" s="482" t="s">
        <v>127</v>
      </c>
      <c r="E70" s="494">
        <v>50000</v>
      </c>
      <c r="F70" s="495">
        <f>E70</f>
        <v>50000</v>
      </c>
      <c r="G70" s="495">
        <f>E70</f>
        <v>50000</v>
      </c>
      <c r="H70" s="493">
        <v>40000</v>
      </c>
    </row>
    <row r="71" spans="1:8">
      <c r="A71" s="496"/>
      <c r="B71" s="497" t="s">
        <v>58</v>
      </c>
      <c r="C71" s="497"/>
      <c r="D71" s="497"/>
      <c r="E71" s="498">
        <f t="shared" ref="E71:H71" si="9">SUM(E67:E70)</f>
        <v>168333.33333333331</v>
      </c>
      <c r="F71" s="498">
        <f t="shared" si="9"/>
        <v>168333.33333333331</v>
      </c>
      <c r="G71" s="498">
        <f t="shared" si="9"/>
        <v>168333.33333333331</v>
      </c>
      <c r="H71" s="498">
        <f t="shared" si="9"/>
        <v>148333.33333333331</v>
      </c>
    </row>
    <row r="72" spans="1:8">
      <c r="A72" s="847" t="s">
        <v>16</v>
      </c>
      <c r="B72" s="500" t="s">
        <v>170</v>
      </c>
      <c r="C72" s="482" t="s">
        <v>171</v>
      </c>
      <c r="D72" s="482" t="s">
        <v>49</v>
      </c>
      <c r="E72" s="501">
        <f>490000/12</f>
        <v>40833.333333333336</v>
      </c>
      <c r="F72" s="502">
        <f>E72</f>
        <v>40833.333333333336</v>
      </c>
      <c r="G72" s="502">
        <f>E72</f>
        <v>40833.333333333336</v>
      </c>
      <c r="H72" s="502">
        <f>E72</f>
        <v>40833.333333333336</v>
      </c>
    </row>
    <row r="73" spans="1:8">
      <c r="A73" s="848"/>
      <c r="B73" s="482" t="s">
        <v>50</v>
      </c>
      <c r="C73" s="482" t="s">
        <v>60</v>
      </c>
      <c r="D73" s="482" t="s">
        <v>52</v>
      </c>
      <c r="E73" s="486">
        <f>250000/12</f>
        <v>20833.333333333332</v>
      </c>
      <c r="F73" s="487">
        <f>E73</f>
        <v>20833.333333333332</v>
      </c>
      <c r="G73" s="487">
        <f>E73</f>
        <v>20833.333333333332</v>
      </c>
      <c r="H73" s="487">
        <f>E73</f>
        <v>20833.333333333332</v>
      </c>
    </row>
    <row r="74" spans="1:8">
      <c r="A74" s="848"/>
      <c r="B74" s="500" t="s">
        <v>172</v>
      </c>
      <c r="C74" s="482" t="s">
        <v>56</v>
      </c>
      <c r="D74" s="482" t="s">
        <v>57</v>
      </c>
      <c r="E74" s="492">
        <v>50000</v>
      </c>
      <c r="F74" s="493">
        <f t="shared" ref="F74:F76" si="10">E74</f>
        <v>50000</v>
      </c>
      <c r="G74" s="493">
        <f>E74</f>
        <v>50000</v>
      </c>
      <c r="H74" s="493">
        <v>40000</v>
      </c>
    </row>
    <row r="75" spans="1:8">
      <c r="A75" s="848"/>
      <c r="B75" s="500" t="s">
        <v>62</v>
      </c>
      <c r="C75" s="482" t="s">
        <v>63</v>
      </c>
      <c r="D75" s="482" t="s">
        <v>64</v>
      </c>
      <c r="E75" s="492">
        <v>5000</v>
      </c>
      <c r="F75" s="493">
        <f t="shared" si="10"/>
        <v>5000</v>
      </c>
      <c r="G75" s="493">
        <f t="shared" ref="G75:H76" si="11">E75</f>
        <v>5000</v>
      </c>
      <c r="H75" s="493">
        <f t="shared" si="11"/>
        <v>5000</v>
      </c>
    </row>
    <row r="76" spans="1:8">
      <c r="A76" s="849"/>
      <c r="B76" s="500" t="s">
        <v>65</v>
      </c>
      <c r="C76" s="482" t="s">
        <v>63</v>
      </c>
      <c r="D76" s="482" t="s">
        <v>64</v>
      </c>
      <c r="E76" s="494">
        <v>22000</v>
      </c>
      <c r="F76" s="495">
        <f t="shared" si="10"/>
        <v>22000</v>
      </c>
      <c r="G76" s="495">
        <f t="shared" si="11"/>
        <v>22000</v>
      </c>
      <c r="H76" s="495">
        <v>17000</v>
      </c>
    </row>
    <row r="77" spans="1:8">
      <c r="A77" s="503"/>
      <c r="B77" s="504" t="s">
        <v>58</v>
      </c>
      <c r="C77" s="504"/>
      <c r="D77" s="504"/>
      <c r="E77" s="498">
        <f t="shared" ref="E77:H77" si="12">SUM(E72:E76)</f>
        <v>138666.66666666669</v>
      </c>
      <c r="F77" s="498">
        <f t="shared" si="12"/>
        <v>138666.66666666669</v>
      </c>
      <c r="G77" s="498">
        <f t="shared" si="12"/>
        <v>138666.66666666669</v>
      </c>
      <c r="H77" s="498">
        <f t="shared" si="12"/>
        <v>123666.66666666667</v>
      </c>
    </row>
    <row r="78" spans="1:8">
      <c r="A78" s="113" t="s">
        <v>11</v>
      </c>
    </row>
    <row r="79" spans="1:8" ht="15" customHeight="1">
      <c r="A79" s="845" t="s">
        <v>66</v>
      </c>
      <c r="B79" s="506" t="s">
        <v>173</v>
      </c>
      <c r="C79" s="506" t="s">
        <v>56</v>
      </c>
      <c r="D79" s="506" t="s">
        <v>57</v>
      </c>
      <c r="E79" s="507">
        <v>45000</v>
      </c>
      <c r="F79" s="508">
        <f>E79</f>
        <v>45000</v>
      </c>
      <c r="G79" s="508">
        <f>E79</f>
        <v>45000</v>
      </c>
      <c r="H79" s="508">
        <f>E79</f>
        <v>45000</v>
      </c>
    </row>
    <row r="80" spans="1:8">
      <c r="A80" s="846"/>
      <c r="B80" s="509" t="s">
        <v>67</v>
      </c>
      <c r="C80" s="398" t="s">
        <v>64</v>
      </c>
      <c r="D80" s="510" t="s">
        <v>64</v>
      </c>
      <c r="E80" s="511">
        <v>96000</v>
      </c>
      <c r="F80" s="512">
        <f t="shared" ref="F80" si="13">E80</f>
        <v>96000</v>
      </c>
      <c r="G80" s="512">
        <f t="shared" ref="G80" si="14">E80</f>
        <v>96000</v>
      </c>
      <c r="H80" s="512">
        <v>69000</v>
      </c>
    </row>
    <row r="81" spans="1:8">
      <c r="A81" s="513"/>
      <c r="B81" s="514" t="s">
        <v>58</v>
      </c>
      <c r="C81" s="514"/>
      <c r="D81" s="514"/>
      <c r="E81" s="515">
        <f>SUM(E79:E80)</f>
        <v>141000</v>
      </c>
      <c r="F81" s="516">
        <f>SUM(F79:F80)</f>
        <v>141000</v>
      </c>
      <c r="G81" s="516">
        <f>SUM(G79:G80)</f>
        <v>141000</v>
      </c>
      <c r="H81" s="516">
        <f>SUM(H79:H80)</f>
        <v>114000</v>
      </c>
    </row>
    <row r="82" spans="1:8" ht="15" customHeight="1">
      <c r="A82" s="851" t="s">
        <v>70</v>
      </c>
      <c r="B82" s="509" t="s">
        <v>131</v>
      </c>
      <c r="C82" s="517" t="s">
        <v>129</v>
      </c>
      <c r="D82" s="510" t="s">
        <v>49</v>
      </c>
      <c r="E82" s="518">
        <f>490000/12</f>
        <v>40833.333333333336</v>
      </c>
      <c r="F82" s="519">
        <f>E82</f>
        <v>40833.333333333336</v>
      </c>
      <c r="G82" s="519">
        <f>E82</f>
        <v>40833.333333333336</v>
      </c>
      <c r="H82" s="519">
        <f>E82</f>
        <v>40833.333333333336</v>
      </c>
    </row>
    <row r="83" spans="1:8">
      <c r="A83" s="852"/>
      <c r="B83" s="510" t="s">
        <v>72</v>
      </c>
      <c r="C83" s="517" t="s">
        <v>52</v>
      </c>
      <c r="D83" s="510" t="s">
        <v>52</v>
      </c>
      <c r="E83" s="520">
        <f>170000/12</f>
        <v>14166.666666666666</v>
      </c>
      <c r="F83" s="521">
        <f>E83</f>
        <v>14166.666666666666</v>
      </c>
      <c r="G83" s="521">
        <f>E83</f>
        <v>14166.666666666666</v>
      </c>
      <c r="H83" s="521">
        <f>E83</f>
        <v>14166.666666666666</v>
      </c>
    </row>
    <row r="84" spans="1:8" ht="15" customHeight="1">
      <c r="A84" s="853"/>
      <c r="B84" s="510" t="s">
        <v>73</v>
      </c>
      <c r="C84" s="517" t="s">
        <v>174</v>
      </c>
      <c r="D84" s="510" t="s">
        <v>49</v>
      </c>
      <c r="E84" s="522">
        <v>10000</v>
      </c>
      <c r="F84" s="523">
        <f t="shared" ref="F84:G84" si="15">E84</f>
        <v>10000</v>
      </c>
      <c r="G84" s="523">
        <f t="shared" si="15"/>
        <v>10000</v>
      </c>
      <c r="H84" s="523">
        <f>F84</f>
        <v>10000</v>
      </c>
    </row>
    <row r="85" spans="1:8">
      <c r="A85" s="524"/>
      <c r="B85" s="525" t="s">
        <v>58</v>
      </c>
      <c r="C85" s="514"/>
      <c r="D85" s="514"/>
      <c r="E85" s="515">
        <f t="shared" ref="E85:H85" si="16">SUM(E82:E84)</f>
        <v>65000</v>
      </c>
      <c r="F85" s="516">
        <f t="shared" si="16"/>
        <v>65000</v>
      </c>
      <c r="G85" s="516">
        <f t="shared" si="16"/>
        <v>65000</v>
      </c>
      <c r="H85" s="516">
        <f t="shared" si="16"/>
        <v>65000</v>
      </c>
    </row>
    <row r="86" spans="1:8" ht="15" customHeight="1">
      <c r="A86" s="851" t="s">
        <v>175</v>
      </c>
      <c r="B86" s="510" t="s">
        <v>131</v>
      </c>
      <c r="C86" s="398" t="s">
        <v>129</v>
      </c>
      <c r="D86" s="510" t="s">
        <v>49</v>
      </c>
      <c r="E86" s="518"/>
      <c r="F86" s="519"/>
      <c r="G86" s="519"/>
      <c r="H86" s="519"/>
    </row>
    <row r="87" spans="1:8" ht="15" customHeight="1">
      <c r="A87" s="852"/>
      <c r="B87" s="509" t="s">
        <v>138</v>
      </c>
      <c r="C87" s="398" t="s">
        <v>159</v>
      </c>
      <c r="D87" s="510" t="s">
        <v>64</v>
      </c>
      <c r="E87" s="518">
        <v>65000</v>
      </c>
      <c r="F87" s="526">
        <f>E87</f>
        <v>65000</v>
      </c>
      <c r="G87" s="526">
        <f>E87</f>
        <v>65000</v>
      </c>
      <c r="H87" s="526">
        <v>45000</v>
      </c>
    </row>
    <row r="88" spans="1:8">
      <c r="A88" s="853"/>
      <c r="B88" s="510" t="s">
        <v>72</v>
      </c>
      <c r="C88" s="527" t="s">
        <v>52</v>
      </c>
      <c r="D88" s="528" t="s">
        <v>52</v>
      </c>
      <c r="E88" s="529"/>
      <c r="F88" s="530">
        <f>E88</f>
        <v>0</v>
      </c>
      <c r="G88" s="530">
        <f>E88</f>
        <v>0</v>
      </c>
      <c r="H88" s="530">
        <f>E88</f>
        <v>0</v>
      </c>
    </row>
    <row r="89" spans="1:8">
      <c r="A89" s="388"/>
      <c r="B89" s="514" t="s">
        <v>58</v>
      </c>
      <c r="C89" s="514"/>
      <c r="D89" s="514"/>
      <c r="E89" s="531">
        <f t="shared" ref="E89:H89" si="17">SUM(E86:E88)</f>
        <v>65000</v>
      </c>
      <c r="F89" s="443">
        <f t="shared" si="17"/>
        <v>65000</v>
      </c>
      <c r="G89" s="443">
        <f t="shared" si="17"/>
        <v>65000</v>
      </c>
      <c r="H89" s="443">
        <f t="shared" si="17"/>
        <v>45000</v>
      </c>
    </row>
    <row r="90" spans="1:8">
      <c r="A90" s="532" t="s">
        <v>98</v>
      </c>
      <c r="B90" s="533"/>
      <c r="C90" s="533"/>
      <c r="D90" s="533"/>
      <c r="E90" s="335"/>
      <c r="F90" s="335"/>
      <c r="G90" s="335"/>
      <c r="H90" s="335"/>
    </row>
    <row r="91" spans="1:8" ht="15" customHeight="1">
      <c r="A91" s="534" t="s">
        <v>104</v>
      </c>
      <c r="B91" s="295" t="s">
        <v>141</v>
      </c>
      <c r="C91" s="295" t="s">
        <v>176</v>
      </c>
      <c r="D91" s="295" t="s">
        <v>49</v>
      </c>
      <c r="E91" s="535">
        <f>350000/12</f>
        <v>29166.666666666668</v>
      </c>
      <c r="F91" s="535">
        <f>E91</f>
        <v>29166.666666666668</v>
      </c>
      <c r="G91" s="535">
        <f>E91</f>
        <v>29166.666666666668</v>
      </c>
      <c r="H91" s="535">
        <f>E91</f>
        <v>29166.666666666668</v>
      </c>
    </row>
    <row r="92" spans="1:8">
      <c r="A92" s="536"/>
      <c r="B92" s="295" t="s">
        <v>177</v>
      </c>
      <c r="C92" s="295" t="s">
        <v>52</v>
      </c>
      <c r="D92" s="295" t="s">
        <v>52</v>
      </c>
      <c r="E92" s="535">
        <f>230000/12</f>
        <v>19166.666666666668</v>
      </c>
      <c r="F92" s="535">
        <f>E92</f>
        <v>19166.666666666668</v>
      </c>
      <c r="G92" s="535">
        <f>E92</f>
        <v>19166.666666666668</v>
      </c>
      <c r="H92" s="535">
        <f>E92</f>
        <v>19166.666666666668</v>
      </c>
    </row>
    <row r="93" spans="1:8">
      <c r="A93" s="536"/>
      <c r="B93" s="295" t="s">
        <v>143</v>
      </c>
      <c r="C93" s="295" t="s">
        <v>144</v>
      </c>
      <c r="D93" s="295" t="s">
        <v>49</v>
      </c>
      <c r="E93" s="535">
        <v>2500</v>
      </c>
      <c r="F93" s="535">
        <f>E93</f>
        <v>2500</v>
      </c>
      <c r="G93" s="535">
        <f>E93</f>
        <v>2500</v>
      </c>
      <c r="H93" s="535">
        <f>E93</f>
        <v>2500</v>
      </c>
    </row>
    <row r="94" spans="1:8">
      <c r="A94" s="537"/>
      <c r="B94" s="295" t="s">
        <v>145</v>
      </c>
      <c r="C94" s="295" t="s">
        <v>56</v>
      </c>
      <c r="D94" s="295" t="s">
        <v>57</v>
      </c>
      <c r="E94" s="535">
        <v>45000</v>
      </c>
      <c r="F94" s="535">
        <f>E94</f>
        <v>45000</v>
      </c>
      <c r="G94" s="535">
        <f>E94</f>
        <v>45000</v>
      </c>
      <c r="H94" s="535">
        <v>35000</v>
      </c>
    </row>
    <row r="95" spans="1:8" ht="15.75" thickBot="1">
      <c r="A95" s="538"/>
      <c r="B95" s="388" t="s">
        <v>58</v>
      </c>
      <c r="C95" s="388"/>
      <c r="D95" s="388"/>
      <c r="E95" s="539">
        <f>SUM(E91:E94)</f>
        <v>95833.333333333343</v>
      </c>
      <c r="F95" s="539">
        <f>SUM(F91:F94)</f>
        <v>95833.333333333343</v>
      </c>
      <c r="G95" s="539">
        <f>SUM(G91:G94)</f>
        <v>95833.333333333343</v>
      </c>
      <c r="H95" s="539">
        <f>SUM(H91:H94)</f>
        <v>85833.333333333343</v>
      </c>
    </row>
    <row r="96" spans="1:8" ht="15" customHeight="1">
      <c r="A96" s="761" t="s">
        <v>106</v>
      </c>
      <c r="B96" s="295" t="s">
        <v>141</v>
      </c>
      <c r="C96" s="295" t="s">
        <v>178</v>
      </c>
      <c r="D96" s="540"/>
      <c r="E96" s="535">
        <f>340000/12</f>
        <v>28333.333333333332</v>
      </c>
      <c r="F96" s="535">
        <f>E96</f>
        <v>28333.333333333332</v>
      </c>
      <c r="G96" s="535">
        <f>E96</f>
        <v>28333.333333333332</v>
      </c>
      <c r="H96" s="535"/>
    </row>
    <row r="97" spans="1:9" ht="15" customHeight="1">
      <c r="A97" s="762"/>
      <c r="B97" s="295" t="s">
        <v>149</v>
      </c>
      <c r="C97" s="295" t="s">
        <v>179</v>
      </c>
      <c r="D97" s="295"/>
      <c r="E97" s="535">
        <v>58000</v>
      </c>
      <c r="F97" s="535">
        <f>E97</f>
        <v>58000</v>
      </c>
      <c r="G97" s="535">
        <f>E97</f>
        <v>58000</v>
      </c>
      <c r="H97" s="535"/>
    </row>
    <row r="98" spans="1:9" ht="30" customHeight="1">
      <c r="A98" s="541"/>
      <c r="B98" s="388" t="s">
        <v>58</v>
      </c>
      <c r="C98" s="388"/>
      <c r="D98" s="542"/>
      <c r="E98" s="539">
        <f>SUM(E96:E97)</f>
        <v>86333.333333333328</v>
      </c>
      <c r="F98" s="539">
        <f t="shared" ref="F98:G98" si="18">SUM(F96:F97)</f>
        <v>86333.333333333328</v>
      </c>
      <c r="G98" s="539">
        <f t="shared" si="18"/>
        <v>86333.333333333328</v>
      </c>
      <c r="H98" s="539"/>
    </row>
    <row r="99" spans="1:9">
      <c r="A99" s="543" t="s">
        <v>164</v>
      </c>
      <c r="B99" s="295" t="s">
        <v>180</v>
      </c>
      <c r="C99" s="295" t="s">
        <v>181</v>
      </c>
      <c r="D99" s="295" t="s">
        <v>49</v>
      </c>
      <c r="E99" s="535">
        <f>340000/12</f>
        <v>28333.333333333332</v>
      </c>
      <c r="F99" s="535">
        <f>E99</f>
        <v>28333.333333333332</v>
      </c>
      <c r="G99" s="535">
        <f>E99</f>
        <v>28333.333333333332</v>
      </c>
      <c r="H99" s="535">
        <f>E99</f>
        <v>28333.333333333332</v>
      </c>
    </row>
    <row r="100" spans="1:9">
      <c r="A100" s="543"/>
      <c r="B100" s="295" t="s">
        <v>182</v>
      </c>
      <c r="C100" s="295" t="s">
        <v>52</v>
      </c>
      <c r="D100" s="295" t="s">
        <v>64</v>
      </c>
      <c r="E100" s="535">
        <v>30000</v>
      </c>
      <c r="F100" s="535">
        <f>E100</f>
        <v>30000</v>
      </c>
      <c r="G100" s="535">
        <f>E100</f>
        <v>30000</v>
      </c>
      <c r="H100" s="535">
        <f>E100</f>
        <v>30000</v>
      </c>
    </row>
    <row r="101" spans="1:9">
      <c r="A101" s="543"/>
      <c r="B101" s="295"/>
      <c r="C101" s="295" t="s">
        <v>148</v>
      </c>
      <c r="D101" s="295" t="s">
        <v>57</v>
      </c>
      <c r="E101" s="535">
        <v>15000</v>
      </c>
      <c r="F101" s="535">
        <f>E101</f>
        <v>15000</v>
      </c>
      <c r="G101" s="535">
        <f>E101</f>
        <v>15000</v>
      </c>
      <c r="H101" s="535">
        <f>E101</f>
        <v>15000</v>
      </c>
    </row>
    <row r="102" spans="1:9" ht="15" customHeight="1">
      <c r="A102" s="388"/>
      <c r="B102" s="388" t="s">
        <v>58</v>
      </c>
      <c r="C102" s="388"/>
      <c r="D102" s="388"/>
      <c r="E102" s="539">
        <f>SUM(E99:E101)</f>
        <v>73333.333333333328</v>
      </c>
      <c r="F102" s="539">
        <f>SUM(F99:F101)</f>
        <v>73333.333333333328</v>
      </c>
      <c r="G102" s="539">
        <f>SUM(G99:G101)</f>
        <v>73333.333333333328</v>
      </c>
      <c r="H102" s="539">
        <f>SUM(H99:H101)</f>
        <v>73333.333333333328</v>
      </c>
    </row>
    <row r="103" spans="1:9" ht="15.75" thickBot="1">
      <c r="A103" s="544" t="s">
        <v>12</v>
      </c>
      <c r="B103" s="545"/>
      <c r="C103" s="545"/>
      <c r="D103" s="545"/>
      <c r="E103" s="349"/>
      <c r="F103" s="349"/>
      <c r="G103" s="349"/>
      <c r="H103" s="349"/>
    </row>
    <row r="104" spans="1:9" ht="15" customHeight="1">
      <c r="A104" s="546" t="s">
        <v>79</v>
      </c>
      <c r="B104" s="355" t="s">
        <v>80</v>
      </c>
      <c r="C104" s="547" t="s">
        <v>81</v>
      </c>
      <c r="D104" s="355" t="s">
        <v>49</v>
      </c>
      <c r="E104" s="548">
        <f>360000/12</f>
        <v>30000</v>
      </c>
      <c r="F104" s="548">
        <f>E104</f>
        <v>30000</v>
      </c>
      <c r="G104" s="548">
        <f>E104</f>
        <v>30000</v>
      </c>
      <c r="H104" s="548">
        <f>E104</f>
        <v>30000</v>
      </c>
      <c r="I104" s="349"/>
    </row>
    <row r="105" spans="1:9" ht="15" customHeight="1">
      <c r="A105" s="549"/>
      <c r="B105" s="550" t="s">
        <v>82</v>
      </c>
      <c r="C105" s="355" t="s">
        <v>83</v>
      </c>
      <c r="D105" s="355" t="s">
        <v>52</v>
      </c>
      <c r="E105" s="548">
        <f>300000/12</f>
        <v>25000</v>
      </c>
      <c r="F105" s="548">
        <f>E105</f>
        <v>25000</v>
      </c>
      <c r="G105" s="548">
        <f>E105</f>
        <v>25000</v>
      </c>
      <c r="H105" s="548">
        <f>E105</f>
        <v>25000</v>
      </c>
      <c r="I105" s="349"/>
    </row>
    <row r="106" spans="1:9" ht="15" customHeight="1">
      <c r="A106" s="549"/>
      <c r="B106" s="550" t="s">
        <v>183</v>
      </c>
      <c r="C106" s="355" t="s">
        <v>184</v>
      </c>
      <c r="D106" s="355" t="s">
        <v>64</v>
      </c>
      <c r="E106" s="548">
        <v>20000</v>
      </c>
      <c r="F106" s="548">
        <f>E106</f>
        <v>20000</v>
      </c>
      <c r="G106" s="548">
        <f>E106</f>
        <v>20000</v>
      </c>
      <c r="H106" s="548">
        <f>E106</f>
        <v>20000</v>
      </c>
      <c r="I106" s="349"/>
    </row>
    <row r="107" spans="1:9">
      <c r="A107" s="479"/>
      <c r="B107" s="551" t="s">
        <v>58</v>
      </c>
      <c r="C107" s="497"/>
      <c r="D107" s="497"/>
      <c r="E107" s="552">
        <f>SUM(E104:E106)</f>
        <v>75000</v>
      </c>
      <c r="F107" s="552">
        <f>SUM(F104:F106)</f>
        <v>75000</v>
      </c>
      <c r="G107" s="552">
        <f>SUM(G104:G106)</f>
        <v>75000</v>
      </c>
      <c r="H107" s="552">
        <f>SUM(H104:H106)</f>
        <v>75000</v>
      </c>
    </row>
    <row r="108" spans="1:9" ht="15" customHeight="1">
      <c r="A108" s="763" t="s">
        <v>86</v>
      </c>
      <c r="B108" s="550" t="s">
        <v>80</v>
      </c>
      <c r="C108" s="355" t="s">
        <v>87</v>
      </c>
      <c r="D108" s="355" t="s">
        <v>49</v>
      </c>
      <c r="E108" s="548">
        <f>645000/12</f>
        <v>53750</v>
      </c>
      <c r="F108" s="553">
        <f>E108</f>
        <v>53750</v>
      </c>
      <c r="G108" s="548">
        <f>E108</f>
        <v>53750</v>
      </c>
      <c r="H108" s="548">
        <f>E108</f>
        <v>53750</v>
      </c>
    </row>
    <row r="109" spans="1:9" ht="15" customHeight="1">
      <c r="A109" s="763"/>
      <c r="B109" s="550" t="s">
        <v>82</v>
      </c>
      <c r="C109" s="355" t="s">
        <v>51</v>
      </c>
      <c r="D109" s="355" t="s">
        <v>52</v>
      </c>
      <c r="E109" s="548">
        <f>350000/12</f>
        <v>29166.666666666668</v>
      </c>
      <c r="F109" s="553">
        <f>E109</f>
        <v>29166.666666666668</v>
      </c>
      <c r="G109" s="548">
        <f>E109</f>
        <v>29166.666666666668</v>
      </c>
      <c r="H109" s="548">
        <f>E109</f>
        <v>29166.666666666668</v>
      </c>
    </row>
    <row r="110" spans="1:9" ht="15" customHeight="1">
      <c r="A110" s="763"/>
      <c r="B110" s="355" t="s">
        <v>88</v>
      </c>
      <c r="C110" s="355" t="s">
        <v>89</v>
      </c>
      <c r="D110" s="355" t="s">
        <v>64</v>
      </c>
      <c r="E110" s="548">
        <v>40000</v>
      </c>
      <c r="F110" s="554">
        <f t="shared" ref="F110:F111" si="19">E110</f>
        <v>40000</v>
      </c>
      <c r="G110" s="555">
        <f t="shared" ref="G110:G111" si="20">E110</f>
        <v>40000</v>
      </c>
      <c r="H110" s="555"/>
    </row>
    <row r="111" spans="1:9" ht="15" customHeight="1">
      <c r="A111" s="763"/>
      <c r="B111" s="355" t="s">
        <v>90</v>
      </c>
      <c r="C111" s="355" t="s">
        <v>91</v>
      </c>
      <c r="D111" s="355" t="s">
        <v>64</v>
      </c>
      <c r="E111" s="548">
        <v>28000</v>
      </c>
      <c r="F111" s="556">
        <f t="shared" si="19"/>
        <v>28000</v>
      </c>
      <c r="G111" s="557">
        <f t="shared" si="20"/>
        <v>28000</v>
      </c>
      <c r="H111" s="557">
        <v>14000</v>
      </c>
    </row>
    <row r="112" spans="1:9">
      <c r="A112" s="558"/>
      <c r="B112" s="497" t="s">
        <v>58</v>
      </c>
      <c r="C112" s="497"/>
      <c r="D112" s="497"/>
      <c r="E112" s="552">
        <f t="shared" ref="E112:H112" si="21">SUM(E108:E111)</f>
        <v>150916.66666666669</v>
      </c>
      <c r="F112" s="559">
        <f t="shared" si="21"/>
        <v>150916.66666666669</v>
      </c>
      <c r="G112" s="559">
        <f t="shared" si="21"/>
        <v>150916.66666666669</v>
      </c>
      <c r="H112" s="559">
        <f t="shared" si="21"/>
        <v>96916.666666666672</v>
      </c>
    </row>
    <row r="113" spans="1:8" ht="15" customHeight="1">
      <c r="A113" s="560" t="s">
        <v>92</v>
      </c>
      <c r="B113" s="561" t="s">
        <v>93</v>
      </c>
      <c r="C113" s="562" t="s">
        <v>94</v>
      </c>
      <c r="D113" s="561" t="s">
        <v>64</v>
      </c>
      <c r="E113" s="563">
        <v>168000</v>
      </c>
      <c r="F113" s="564">
        <f>E113</f>
        <v>168000</v>
      </c>
      <c r="G113" s="564">
        <f>E113</f>
        <v>168000</v>
      </c>
      <c r="H113" s="564">
        <v>104000</v>
      </c>
    </row>
    <row r="114" spans="1:8" ht="15" customHeight="1">
      <c r="A114" s="565"/>
      <c r="B114" s="561" t="s">
        <v>80</v>
      </c>
      <c r="C114" s="566" t="s">
        <v>95</v>
      </c>
      <c r="D114" s="566" t="s">
        <v>49</v>
      </c>
      <c r="E114" s="567">
        <f>150000/16</f>
        <v>9375</v>
      </c>
      <c r="F114" s="567">
        <f>E114</f>
        <v>9375</v>
      </c>
      <c r="G114" s="567">
        <f>E114</f>
        <v>9375</v>
      </c>
      <c r="H114" s="567">
        <f>E114</f>
        <v>9375</v>
      </c>
    </row>
    <row r="115" spans="1:8">
      <c r="A115" s="568"/>
      <c r="B115" s="569" t="s">
        <v>58</v>
      </c>
      <c r="C115" s="570"/>
      <c r="D115" s="570"/>
      <c r="E115" s="571">
        <f>SUM(E113:E114)</f>
        <v>177375</v>
      </c>
      <c r="F115" s="571">
        <f t="shared" ref="F115:H115" si="22">SUM(F113:F114)</f>
        <v>177375</v>
      </c>
      <c r="G115" s="571">
        <f t="shared" si="22"/>
        <v>177375</v>
      </c>
      <c r="H115" s="571">
        <f t="shared" si="22"/>
        <v>113375</v>
      </c>
    </row>
    <row r="116" spans="1:8" ht="15" customHeight="1">
      <c r="A116" s="764" t="s">
        <v>185</v>
      </c>
      <c r="B116" s="561" t="s">
        <v>84</v>
      </c>
      <c r="C116" s="355" t="s">
        <v>85</v>
      </c>
      <c r="D116" s="355" t="s">
        <v>57</v>
      </c>
      <c r="E116" s="572">
        <v>80000</v>
      </c>
      <c r="F116" s="573">
        <f>E116</f>
        <v>80000</v>
      </c>
      <c r="G116" s="573">
        <f>E116</f>
        <v>80000</v>
      </c>
      <c r="H116" s="573">
        <v>60000</v>
      </c>
    </row>
    <row r="117" spans="1:8" ht="15" customHeight="1">
      <c r="A117" s="765"/>
      <c r="B117" s="574" t="s">
        <v>80</v>
      </c>
      <c r="C117" s="355" t="s">
        <v>176</v>
      </c>
      <c r="D117" s="575" t="s">
        <v>49</v>
      </c>
      <c r="E117" s="572">
        <f>340000/12</f>
        <v>28333.333333333332</v>
      </c>
      <c r="F117" s="572">
        <f>E117</f>
        <v>28333.333333333332</v>
      </c>
      <c r="G117" s="572">
        <f>E117</f>
        <v>28333.333333333332</v>
      </c>
      <c r="H117" s="572">
        <f>E117</f>
        <v>28333.333333333332</v>
      </c>
    </row>
    <row r="118" spans="1:8">
      <c r="A118" s="576"/>
      <c r="B118" s="577" t="s">
        <v>58</v>
      </c>
      <c r="C118" s="504"/>
      <c r="D118" s="577"/>
      <c r="E118" s="578">
        <f>SUM(E116:E117)</f>
        <v>108333.33333333333</v>
      </c>
      <c r="F118" s="578">
        <f t="shared" ref="F118:H118" si="23">SUM(F116:F117)</f>
        <v>108333.33333333333</v>
      </c>
      <c r="G118" s="578">
        <f t="shared" si="23"/>
        <v>108333.33333333333</v>
      </c>
      <c r="H118" s="578">
        <f t="shared" si="23"/>
        <v>88333.333333333328</v>
      </c>
    </row>
  </sheetData>
  <mergeCells count="16">
    <mergeCell ref="A64:A65"/>
    <mergeCell ref="A67:A70"/>
    <mergeCell ref="A96:A97"/>
    <mergeCell ref="A108:A111"/>
    <mergeCell ref="A116:A117"/>
    <mergeCell ref="A82:A84"/>
    <mergeCell ref="A86:A88"/>
    <mergeCell ref="A79:A80"/>
    <mergeCell ref="A72:A76"/>
    <mergeCell ref="A3:F3"/>
    <mergeCell ref="H3:M3"/>
    <mergeCell ref="A9:A14"/>
    <mergeCell ref="A15:A19"/>
    <mergeCell ref="H25:H29"/>
    <mergeCell ref="A36:F36"/>
    <mergeCell ref="H36:M36"/>
  </mergeCells>
  <hyperlinks>
    <hyperlink ref="B72" r:id="rId1" xr:uid="{A5839BEA-A5A6-4BC5-9D42-5B756ED34ADB}"/>
    <hyperlink ref="B75" r:id="rId2" xr:uid="{93ADCFF2-B8C6-4849-B833-F23AEF3512DB}"/>
    <hyperlink ref="B76" r:id="rId3" xr:uid="{1D7C5B7A-862F-4BBB-B201-5170DDCC648C}"/>
    <hyperlink ref="B80" r:id="rId4" xr:uid="{0BACEAA5-3057-48E4-A28D-0FD91B2D19A8}"/>
    <hyperlink ref="B87" r:id="rId5" xr:uid="{2F27FBA3-9043-4835-851C-0B36176BAA1A}"/>
    <hyperlink ref="B105" r:id="rId6" xr:uid="{958E3D55-F81F-4C49-82DA-96D5F7774E2A}"/>
    <hyperlink ref="B108" r:id="rId7" xr:uid="{74BF0393-4961-4E88-BBFE-16ED4713284E}"/>
    <hyperlink ref="B109" r:id="rId8" xr:uid="{B0086324-8FA5-4931-9791-BFE3EDBD0F2A}"/>
  </hyperlinks>
  <pageMargins left="0.7" right="0.7" top="0.75" bottom="0.75" header="0.3" footer="0.3"/>
  <pageSetup paperSize="9"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126"/>
  <sheetViews>
    <sheetView topLeftCell="A32" zoomScale="130" zoomScaleNormal="130" workbookViewId="0">
      <selection activeCell="B39" sqref="B39"/>
    </sheetView>
  </sheetViews>
  <sheetFormatPr baseColWidth="10" defaultColWidth="11.42578125" defaultRowHeight="15"/>
  <cols>
    <col min="1" max="1" width="16.85546875" customWidth="1"/>
    <col min="2" max="2" width="25.42578125" customWidth="1"/>
    <col min="3" max="3" width="12.5703125" customWidth="1"/>
    <col min="4" max="4" width="13.140625" customWidth="1"/>
    <col min="5" max="6" width="11.28515625" customWidth="1"/>
    <col min="9" max="9" width="25.42578125" customWidth="1"/>
  </cols>
  <sheetData>
    <row r="2" spans="1:13" ht="14.25" customHeight="1"/>
    <row r="3" spans="1:13">
      <c r="A3" s="722" t="s">
        <v>1</v>
      </c>
      <c r="B3" s="723"/>
      <c r="C3" s="723"/>
      <c r="D3" s="723"/>
      <c r="E3" s="723"/>
      <c r="F3" s="724"/>
      <c r="H3" s="766"/>
      <c r="I3" s="767"/>
      <c r="J3" s="767"/>
      <c r="K3" s="767"/>
      <c r="L3" s="767"/>
      <c r="M3" s="767"/>
    </row>
    <row r="4" spans="1:13">
      <c r="A4" s="189" t="s">
        <v>3</v>
      </c>
      <c r="B4" s="3" t="s">
        <v>4</v>
      </c>
      <c r="C4" s="444" t="s">
        <v>5</v>
      </c>
      <c r="D4" s="444" t="s">
        <v>6</v>
      </c>
      <c r="E4" s="444" t="s">
        <v>7</v>
      </c>
      <c r="F4" s="444" t="s">
        <v>8</v>
      </c>
      <c r="H4" s="4"/>
      <c r="I4" s="4"/>
      <c r="J4" s="4"/>
      <c r="K4" s="4"/>
      <c r="L4" s="4"/>
      <c r="M4" s="4"/>
    </row>
    <row r="5" spans="1:13">
      <c r="A5" s="445" t="s">
        <v>9</v>
      </c>
      <c r="B5" s="446" t="s">
        <v>97</v>
      </c>
      <c r="C5" s="7">
        <f>E43</f>
        <v>400000</v>
      </c>
      <c r="D5" s="7">
        <f>E50</f>
        <v>200000</v>
      </c>
      <c r="E5" s="7">
        <f>E57</f>
        <v>180000</v>
      </c>
      <c r="F5" s="7">
        <f>E64</f>
        <v>80000</v>
      </c>
      <c r="H5" s="8"/>
      <c r="I5" s="8"/>
      <c r="J5" s="88"/>
      <c r="K5" s="88"/>
      <c r="L5" s="88"/>
      <c r="M5" s="89"/>
    </row>
    <row r="6" spans="1:13">
      <c r="A6" s="149" t="s">
        <v>11</v>
      </c>
      <c r="B6" s="447" t="s">
        <v>97</v>
      </c>
      <c r="C6" s="11">
        <f>E44</f>
        <v>410000</v>
      </c>
      <c r="D6" s="11">
        <f>E51</f>
        <v>265000</v>
      </c>
      <c r="E6" s="11">
        <f>E58</f>
        <v>236666.66666666666</v>
      </c>
      <c r="F6" s="11">
        <f>E65</f>
        <v>180000</v>
      </c>
      <c r="H6" s="8"/>
      <c r="I6" s="8"/>
      <c r="J6" s="88"/>
      <c r="K6" s="88"/>
      <c r="L6" s="88"/>
      <c r="M6" s="89"/>
    </row>
    <row r="7" spans="1:13">
      <c r="A7" s="448" t="s">
        <v>98</v>
      </c>
      <c r="B7" s="449" t="s">
        <v>97</v>
      </c>
      <c r="C7" s="450">
        <f>E45</f>
        <v>579800</v>
      </c>
      <c r="D7" s="450">
        <f>E52</f>
        <v>349900</v>
      </c>
      <c r="E7" s="450">
        <f>E59</f>
        <v>286600</v>
      </c>
      <c r="F7" s="450">
        <f>E66</f>
        <v>0</v>
      </c>
      <c r="H7" s="8"/>
      <c r="I7" s="8"/>
      <c r="J7" s="88"/>
      <c r="K7" s="88"/>
      <c r="L7" s="88"/>
      <c r="M7" s="88"/>
    </row>
    <row r="8" spans="1:13">
      <c r="A8" s="35" t="s">
        <v>12</v>
      </c>
      <c r="B8" s="451" t="s">
        <v>97</v>
      </c>
      <c r="C8" s="13">
        <f t="shared" ref="C8:C9" si="0">E46</f>
        <v>720000</v>
      </c>
      <c r="D8" s="13">
        <f t="shared" ref="D8:D9" si="1">E53</f>
        <v>390000</v>
      </c>
      <c r="E8" s="13">
        <f t="shared" ref="E8:E9" si="2">E60</f>
        <v>310000</v>
      </c>
      <c r="F8" s="13">
        <f t="shared" ref="F8:F9" si="3">E67</f>
        <v>0</v>
      </c>
      <c r="H8" s="8"/>
      <c r="I8" s="8"/>
      <c r="J8" s="88"/>
      <c r="K8" s="88"/>
      <c r="L8" s="88"/>
      <c r="M8" s="89"/>
    </row>
    <row r="9" spans="1:13">
      <c r="A9" s="35" t="s">
        <v>186</v>
      </c>
      <c r="B9" s="451" t="s">
        <v>97</v>
      </c>
      <c r="C9" s="13">
        <f t="shared" si="0"/>
        <v>540000</v>
      </c>
      <c r="D9" s="13">
        <f t="shared" si="1"/>
        <v>350000</v>
      </c>
      <c r="E9" s="13">
        <f t="shared" si="2"/>
        <v>260000</v>
      </c>
      <c r="F9" s="13">
        <f t="shared" si="3"/>
        <v>126000</v>
      </c>
      <c r="H9" s="8"/>
      <c r="I9" s="8"/>
      <c r="J9" s="88"/>
      <c r="K9" s="88"/>
      <c r="L9" s="88"/>
      <c r="M9" s="89"/>
    </row>
    <row r="10" spans="1:13">
      <c r="A10" s="745" t="s">
        <v>9</v>
      </c>
      <c r="B10" s="15" t="s">
        <v>13</v>
      </c>
      <c r="C10" s="16">
        <f>(320000*2)/16</f>
        <v>40000</v>
      </c>
      <c r="D10" s="16">
        <f>C10</f>
        <v>40000</v>
      </c>
      <c r="E10" s="16">
        <f>C10</f>
        <v>40000</v>
      </c>
      <c r="F10" s="16">
        <f>C10</f>
        <v>40000</v>
      </c>
      <c r="H10" s="4"/>
      <c r="I10" s="8"/>
      <c r="J10" s="88"/>
      <c r="K10" s="88"/>
      <c r="L10" s="88"/>
      <c r="M10" s="88"/>
    </row>
    <row r="11" spans="1:13">
      <c r="A11" s="746"/>
      <c r="B11" s="15" t="s">
        <v>14</v>
      </c>
      <c r="C11" s="16">
        <f>100000/16</f>
        <v>6250</v>
      </c>
      <c r="D11" s="16">
        <f>C11</f>
        <v>6250</v>
      </c>
      <c r="E11" s="16">
        <f>C11</f>
        <v>6250</v>
      </c>
      <c r="F11" s="16">
        <f>C11</f>
        <v>6250</v>
      </c>
      <c r="H11" s="8"/>
      <c r="I11" s="8"/>
      <c r="J11" s="88"/>
      <c r="K11" s="88"/>
      <c r="L11" s="88"/>
      <c r="M11" s="88"/>
    </row>
    <row r="12" spans="1:13">
      <c r="A12" s="746"/>
      <c r="B12" s="18" t="s">
        <v>162</v>
      </c>
      <c r="C12" s="16">
        <f>E74</f>
        <v>57812.5</v>
      </c>
      <c r="D12" s="16">
        <f>F74</f>
        <v>57812.5</v>
      </c>
      <c r="E12" s="16">
        <f>G74</f>
        <v>57812.5</v>
      </c>
      <c r="F12" s="16">
        <f>H74</f>
        <v>57812.5</v>
      </c>
      <c r="H12" s="8"/>
      <c r="I12" s="8"/>
      <c r="J12" s="88"/>
      <c r="K12" s="88"/>
      <c r="L12" s="88"/>
      <c r="M12" s="88"/>
    </row>
    <row r="13" spans="1:13">
      <c r="A13" s="746"/>
      <c r="B13" s="18" t="s">
        <v>163</v>
      </c>
      <c r="C13" s="16">
        <v>50000</v>
      </c>
      <c r="D13" s="16">
        <f>C13</f>
        <v>50000</v>
      </c>
      <c r="E13" s="16">
        <f>C13</f>
        <v>50000</v>
      </c>
      <c r="F13" s="16">
        <v>40000</v>
      </c>
      <c r="H13" s="8"/>
      <c r="I13" s="8"/>
      <c r="J13" s="88"/>
      <c r="K13" s="88"/>
      <c r="L13" s="88"/>
      <c r="M13" s="88"/>
    </row>
    <row r="14" spans="1:13">
      <c r="A14" s="746"/>
      <c r="B14" s="15" t="s">
        <v>15</v>
      </c>
      <c r="C14" s="16">
        <f>E79</f>
        <v>164375</v>
      </c>
      <c r="D14" s="16">
        <f>F79</f>
        <v>164375</v>
      </c>
      <c r="E14" s="16">
        <f>G79</f>
        <v>164375</v>
      </c>
      <c r="F14" s="16">
        <f>H79</f>
        <v>144375</v>
      </c>
      <c r="H14" s="8"/>
      <c r="I14" s="8"/>
      <c r="J14" s="88"/>
      <c r="K14" s="88"/>
      <c r="L14" s="88"/>
      <c r="M14" s="88"/>
    </row>
    <row r="15" spans="1:13">
      <c r="A15" s="747"/>
      <c r="B15" s="15" t="s">
        <v>16</v>
      </c>
      <c r="C15" s="19">
        <f>E85</f>
        <v>128875</v>
      </c>
      <c r="D15" s="19">
        <f>F85</f>
        <v>128875</v>
      </c>
      <c r="E15" s="19">
        <f>G85</f>
        <v>128875</v>
      </c>
      <c r="F15" s="19">
        <f>H85</f>
        <v>113875</v>
      </c>
      <c r="H15" s="8"/>
      <c r="I15" s="8"/>
      <c r="J15" s="88"/>
      <c r="K15" s="88"/>
      <c r="L15" s="88"/>
      <c r="M15" s="88"/>
    </row>
    <row r="16" spans="1:13">
      <c r="A16" s="748" t="s">
        <v>11</v>
      </c>
      <c r="B16" s="21" t="s">
        <v>13</v>
      </c>
      <c r="C16" s="22">
        <f>1040000/16</f>
        <v>65000</v>
      </c>
      <c r="D16" s="22">
        <f>C16</f>
        <v>65000</v>
      </c>
      <c r="E16" s="22">
        <f>C16</f>
        <v>65000</v>
      </c>
      <c r="F16" s="22">
        <f>C16</f>
        <v>65000</v>
      </c>
      <c r="H16" s="4"/>
      <c r="I16" s="8"/>
      <c r="J16" s="88"/>
      <c r="K16" s="88"/>
      <c r="L16" s="88"/>
      <c r="M16" s="88"/>
    </row>
    <row r="17" spans="1:13">
      <c r="A17" s="749"/>
      <c r="B17" s="21" t="s">
        <v>14</v>
      </c>
      <c r="C17" s="22">
        <f>170000/16</f>
        <v>10625</v>
      </c>
      <c r="D17" s="22">
        <f>C17</f>
        <v>10625</v>
      </c>
      <c r="E17" s="22">
        <f>C17</f>
        <v>10625</v>
      </c>
      <c r="F17" s="22">
        <f>C17</f>
        <v>10625</v>
      </c>
      <c r="H17" s="8"/>
      <c r="I17" s="8"/>
      <c r="J17" s="88"/>
      <c r="K17" s="88"/>
      <c r="L17" s="88"/>
      <c r="M17" s="88"/>
    </row>
    <row r="18" spans="1:13">
      <c r="A18" s="749"/>
      <c r="B18" s="25" t="s">
        <v>17</v>
      </c>
      <c r="C18" s="22">
        <f>E89</f>
        <v>141000</v>
      </c>
      <c r="D18" s="22">
        <f>F89</f>
        <v>141000</v>
      </c>
      <c r="E18" s="22">
        <f>G89</f>
        <v>141000</v>
      </c>
      <c r="F18" s="22">
        <f>H89</f>
        <v>114000</v>
      </c>
      <c r="H18" s="8"/>
      <c r="I18" s="8"/>
      <c r="J18" s="88"/>
      <c r="K18" s="88"/>
      <c r="L18" s="88"/>
      <c r="M18" s="88"/>
    </row>
    <row r="19" spans="1:13">
      <c r="A19" s="749"/>
      <c r="B19" s="26" t="s">
        <v>18</v>
      </c>
      <c r="C19" s="27">
        <f>E93</f>
        <v>51250</v>
      </c>
      <c r="D19" s="22">
        <f>F93</f>
        <v>51250</v>
      </c>
      <c r="E19" s="22">
        <f>G93</f>
        <v>51250</v>
      </c>
      <c r="F19" s="22">
        <f>H93</f>
        <v>51250</v>
      </c>
      <c r="H19" s="8"/>
      <c r="I19" s="90"/>
      <c r="J19" s="88"/>
      <c r="K19" s="88"/>
      <c r="L19" s="88"/>
      <c r="M19" s="88"/>
    </row>
    <row r="20" spans="1:13">
      <c r="A20" s="750"/>
      <c r="B20" s="26" t="s">
        <v>19</v>
      </c>
      <c r="C20" s="27">
        <f>E97</f>
        <v>65000</v>
      </c>
      <c r="D20" s="22">
        <f>F97</f>
        <v>65000</v>
      </c>
      <c r="E20" s="22">
        <f>G97</f>
        <v>65000</v>
      </c>
      <c r="F20" s="22">
        <f>H97</f>
        <v>45000</v>
      </c>
      <c r="H20" s="8"/>
      <c r="I20" s="90"/>
      <c r="J20" s="88"/>
      <c r="K20" s="88"/>
      <c r="L20" s="88"/>
      <c r="M20" s="88"/>
    </row>
    <row r="21" spans="1:13">
      <c r="A21" s="751" t="s">
        <v>98</v>
      </c>
      <c r="B21" s="452" t="s">
        <v>103</v>
      </c>
      <c r="C21" s="453">
        <f>2000000/16</f>
        <v>125000</v>
      </c>
      <c r="D21" s="453">
        <f>C21</f>
        <v>125000</v>
      </c>
      <c r="E21" s="453">
        <f>C21</f>
        <v>125000</v>
      </c>
      <c r="F21" s="453">
        <f>C21</f>
        <v>125000</v>
      </c>
      <c r="H21" s="8"/>
      <c r="I21" s="90"/>
      <c r="J21" s="88"/>
      <c r="K21" s="88"/>
      <c r="L21" s="88"/>
      <c r="M21" s="88"/>
    </row>
    <row r="22" spans="1:13">
      <c r="A22" s="752"/>
      <c r="B22" s="454" t="s">
        <v>104</v>
      </c>
      <c r="C22" s="453">
        <f>E103</f>
        <v>96250</v>
      </c>
      <c r="D22" s="453">
        <f>F103</f>
        <v>96250</v>
      </c>
      <c r="E22" s="453">
        <f>G103</f>
        <v>96250</v>
      </c>
      <c r="F22" s="455">
        <f>H103</f>
        <v>86250</v>
      </c>
      <c r="H22" s="8"/>
      <c r="I22" s="90"/>
      <c r="J22" s="88"/>
      <c r="K22" s="88"/>
      <c r="L22" s="88"/>
      <c r="M22" s="88"/>
    </row>
    <row r="23" spans="1:13">
      <c r="A23" s="752"/>
      <c r="B23" s="454" t="s">
        <v>106</v>
      </c>
      <c r="C23" s="453">
        <f t="shared" ref="C23:E23" si="4">E106</f>
        <v>79250</v>
      </c>
      <c r="D23" s="453">
        <f t="shared" si="4"/>
        <v>79250</v>
      </c>
      <c r="E23" s="453">
        <f t="shared" si="4"/>
        <v>79250</v>
      </c>
      <c r="F23" s="455">
        <v>0</v>
      </c>
      <c r="H23" s="8"/>
      <c r="I23" s="90"/>
      <c r="J23" s="88"/>
      <c r="K23" s="88"/>
      <c r="L23" s="88"/>
      <c r="M23" s="88"/>
    </row>
    <row r="24" spans="1:13">
      <c r="A24" s="752"/>
      <c r="B24" s="452" t="s">
        <v>164</v>
      </c>
      <c r="C24" s="453">
        <f>E110</f>
        <v>66250</v>
      </c>
      <c r="D24" s="453">
        <f>F110</f>
        <v>66250</v>
      </c>
      <c r="E24" s="453">
        <f>G110</f>
        <v>66250</v>
      </c>
      <c r="F24" s="453">
        <f>H110</f>
        <v>66250</v>
      </c>
      <c r="H24" s="8"/>
      <c r="I24" s="90"/>
      <c r="J24" s="88"/>
      <c r="K24" s="88"/>
      <c r="L24" s="88"/>
      <c r="M24" s="88"/>
    </row>
    <row r="25" spans="1:13">
      <c r="A25" s="753"/>
      <c r="B25" s="454" t="s">
        <v>108</v>
      </c>
      <c r="C25" s="453">
        <f>280000/16</f>
        <v>17500</v>
      </c>
      <c r="D25" s="453">
        <f>C25</f>
        <v>17500</v>
      </c>
      <c r="E25" s="453">
        <f>C25</f>
        <v>17500</v>
      </c>
      <c r="F25" s="453">
        <f>C25</f>
        <v>17500</v>
      </c>
      <c r="H25" s="8"/>
      <c r="I25" s="90"/>
      <c r="J25" s="88"/>
      <c r="K25" s="88"/>
      <c r="L25" s="88"/>
      <c r="M25" s="88"/>
    </row>
    <row r="26" spans="1:13" ht="15" customHeight="1">
      <c r="A26" s="769" t="s">
        <v>12</v>
      </c>
      <c r="B26" s="29" t="s">
        <v>20</v>
      </c>
      <c r="C26" s="30">
        <f>300000/16</f>
        <v>18750</v>
      </c>
      <c r="D26" s="30">
        <f>C26</f>
        <v>18750</v>
      </c>
      <c r="E26" s="30">
        <f>C26</f>
        <v>18750</v>
      </c>
      <c r="F26" s="30">
        <f>C26</f>
        <v>18750</v>
      </c>
      <c r="H26" s="456"/>
      <c r="I26" s="91"/>
      <c r="J26" s="92"/>
      <c r="K26" s="88"/>
      <c r="L26" s="88"/>
      <c r="M26" s="88"/>
    </row>
    <row r="27" spans="1:13">
      <c r="A27" s="770"/>
      <c r="B27" s="32" t="s">
        <v>21</v>
      </c>
      <c r="C27" s="33">
        <f>130000/16</f>
        <v>8125</v>
      </c>
      <c r="D27" s="33">
        <f>C27</f>
        <v>8125</v>
      </c>
      <c r="E27" s="33">
        <f>C27</f>
        <v>8125</v>
      </c>
      <c r="F27" s="33">
        <f>C27</f>
        <v>8125</v>
      </c>
      <c r="H27" s="34"/>
      <c r="I27" s="91"/>
      <c r="J27" s="92"/>
      <c r="K27" s="88"/>
      <c r="L27" s="88"/>
      <c r="M27" s="88"/>
    </row>
    <row r="28" spans="1:13">
      <c r="A28" s="771"/>
      <c r="B28" s="38" t="s">
        <v>163</v>
      </c>
      <c r="C28" s="36">
        <f>E126</f>
        <v>98750</v>
      </c>
      <c r="D28" s="37">
        <f>F126</f>
        <v>98750</v>
      </c>
      <c r="E28" s="37">
        <f>G126</f>
        <v>98750</v>
      </c>
      <c r="F28" s="37">
        <f>H126</f>
        <v>78750</v>
      </c>
      <c r="H28" s="34"/>
      <c r="I28" s="8"/>
      <c r="J28" s="88"/>
      <c r="K28" s="88"/>
      <c r="L28" s="88"/>
      <c r="M28" s="88"/>
    </row>
    <row r="29" spans="1:13" ht="15" customHeight="1">
      <c r="A29" s="457" t="s">
        <v>187</v>
      </c>
      <c r="B29" s="32" t="s">
        <v>188</v>
      </c>
      <c r="C29" s="33">
        <v>80000</v>
      </c>
      <c r="D29" s="33">
        <f t="shared" ref="D29:D34" si="5">C29</f>
        <v>80000</v>
      </c>
      <c r="E29" s="33">
        <f>D29</f>
        <v>80000</v>
      </c>
      <c r="F29" s="33">
        <f>C29</f>
        <v>80000</v>
      </c>
      <c r="H29" s="34"/>
      <c r="I29" s="91"/>
      <c r="J29" s="92"/>
      <c r="K29" s="88"/>
      <c r="L29" s="88"/>
      <c r="M29" s="88"/>
    </row>
    <row r="30" spans="1:13">
      <c r="A30" s="458"/>
      <c r="B30" s="35" t="s">
        <v>189</v>
      </c>
      <c r="C30" s="36">
        <f>212000/2</f>
        <v>106000</v>
      </c>
      <c r="D30" s="37">
        <f t="shared" si="5"/>
        <v>106000</v>
      </c>
      <c r="E30" s="37">
        <f>C30</f>
        <v>106000</v>
      </c>
      <c r="F30" s="37">
        <f>212000/3</f>
        <v>70666.666666666672</v>
      </c>
      <c r="H30" s="34"/>
      <c r="I30" s="8"/>
      <c r="J30" s="88"/>
      <c r="K30" s="88"/>
      <c r="L30" s="88"/>
      <c r="M30" s="88"/>
    </row>
    <row r="31" spans="1:13">
      <c r="A31" s="769" t="s">
        <v>186</v>
      </c>
      <c r="B31" s="35" t="s">
        <v>190</v>
      </c>
      <c r="C31" s="36">
        <v>50000</v>
      </c>
      <c r="D31" s="37">
        <f t="shared" si="5"/>
        <v>50000</v>
      </c>
      <c r="E31" s="37">
        <f>C31</f>
        <v>50000</v>
      </c>
      <c r="F31" s="37">
        <f>C31</f>
        <v>50000</v>
      </c>
      <c r="H31" s="34"/>
      <c r="I31" s="8"/>
      <c r="J31" s="88"/>
      <c r="K31" s="88"/>
      <c r="L31" s="88"/>
      <c r="M31" s="88"/>
    </row>
    <row r="32" spans="1:13">
      <c r="A32" s="770"/>
      <c r="B32" s="35" t="s">
        <v>191</v>
      </c>
      <c r="C32" s="36">
        <v>100000</v>
      </c>
      <c r="D32" s="37">
        <f t="shared" si="5"/>
        <v>100000</v>
      </c>
      <c r="E32" s="37">
        <f>C32</f>
        <v>100000</v>
      </c>
      <c r="F32" s="37">
        <f>C32</f>
        <v>100000</v>
      </c>
      <c r="H32" s="34"/>
      <c r="I32" s="8"/>
      <c r="J32" s="88"/>
      <c r="K32" s="88"/>
      <c r="L32" s="88"/>
      <c r="M32" s="88"/>
    </row>
    <row r="33" spans="1:13">
      <c r="A33" s="770"/>
      <c r="B33" s="35" t="s">
        <v>192</v>
      </c>
      <c r="C33" s="36">
        <v>225000</v>
      </c>
      <c r="D33" s="37">
        <f t="shared" si="5"/>
        <v>225000</v>
      </c>
      <c r="E33" s="37">
        <f>C33</f>
        <v>225000</v>
      </c>
      <c r="F33" s="37">
        <f>C33</f>
        <v>225000</v>
      </c>
      <c r="H33" s="34"/>
      <c r="I33" s="8"/>
      <c r="J33" s="88"/>
      <c r="K33" s="88"/>
      <c r="L33" s="88"/>
      <c r="M33" s="88"/>
    </row>
    <row r="34" spans="1:13">
      <c r="A34" s="771"/>
      <c r="B34" s="459" t="s">
        <v>193</v>
      </c>
      <c r="C34" s="36">
        <v>50000</v>
      </c>
      <c r="D34" s="37">
        <f t="shared" si="5"/>
        <v>50000</v>
      </c>
      <c r="E34" s="37">
        <f>C34</f>
        <v>50000</v>
      </c>
      <c r="F34" s="37">
        <f>C34</f>
        <v>50000</v>
      </c>
      <c r="H34" s="34"/>
      <c r="I34" s="8"/>
      <c r="J34" s="88"/>
      <c r="K34" s="88"/>
      <c r="L34" s="88"/>
      <c r="M34" s="88"/>
    </row>
    <row r="35" spans="1:13" ht="30">
      <c r="A35" s="460" t="s">
        <v>165</v>
      </c>
      <c r="B35" s="40" t="s">
        <v>111</v>
      </c>
      <c r="C35" s="41">
        <v>25000</v>
      </c>
      <c r="D35" s="41">
        <v>25000</v>
      </c>
      <c r="E35" s="41">
        <v>25000</v>
      </c>
      <c r="F35" s="41">
        <v>25000</v>
      </c>
      <c r="H35" s="34"/>
      <c r="I35" s="8"/>
      <c r="J35" s="88"/>
      <c r="K35" s="88"/>
      <c r="L35" s="88"/>
      <c r="M35" s="88"/>
    </row>
    <row r="36" spans="1:13">
      <c r="A36" s="42"/>
      <c r="B36" s="43" t="s">
        <v>25</v>
      </c>
      <c r="C36" s="44">
        <f>SUM(C5:C35)</f>
        <v>4575862.5</v>
      </c>
      <c r="D36" s="44">
        <f>SUM(D5:D35)</f>
        <v>3480962.5</v>
      </c>
      <c r="E36" s="44">
        <f>SUM(E5:E35)</f>
        <v>3199329.1666666665</v>
      </c>
      <c r="F36" s="44">
        <f>SUM(F5:F35)</f>
        <v>2075479.1666666667</v>
      </c>
      <c r="H36" s="4"/>
      <c r="I36" s="8"/>
      <c r="J36" s="88"/>
      <c r="K36" s="88"/>
      <c r="L36" s="88"/>
      <c r="M36" s="88"/>
    </row>
    <row r="37" spans="1:13">
      <c r="A37" s="45" t="s">
        <v>112</v>
      </c>
      <c r="B37" s="461">
        <v>0.76</v>
      </c>
      <c r="C37" s="47">
        <f>C36/B37</f>
        <v>6020871.7105263155</v>
      </c>
      <c r="D37" s="47">
        <f>D36/B37</f>
        <v>4580213.8157894732</v>
      </c>
      <c r="E37" s="47">
        <f>E36/B37</f>
        <v>4209643.6403508773</v>
      </c>
      <c r="F37" s="47">
        <f>F36/B37</f>
        <v>2730893.6403508773</v>
      </c>
      <c r="H37" s="8"/>
      <c r="I37" s="4"/>
      <c r="J37" s="89"/>
      <c r="K37" s="89"/>
      <c r="L37" s="89"/>
      <c r="M37" s="89"/>
    </row>
    <row r="38" spans="1:13">
      <c r="A38" s="48" t="s">
        <v>113</v>
      </c>
      <c r="B38" s="462">
        <v>3000</v>
      </c>
      <c r="C38" s="50">
        <f>C37/B38</f>
        <v>2006.9572368421052</v>
      </c>
      <c r="D38" s="50">
        <f>D37/B38</f>
        <v>1526.7379385964912</v>
      </c>
      <c r="E38" s="50">
        <f>E37/B38</f>
        <v>1403.2145467836258</v>
      </c>
      <c r="F38" s="50">
        <f>F37/B38</f>
        <v>910.29788011695905</v>
      </c>
      <c r="H38" s="51"/>
      <c r="I38" s="51"/>
      <c r="J38" s="51"/>
      <c r="K38" s="51"/>
      <c r="L38" s="51"/>
      <c r="M38" s="51"/>
    </row>
    <row r="39" spans="1:13">
      <c r="B39" s="48" t="s">
        <v>166</v>
      </c>
      <c r="C39" s="463">
        <v>1852</v>
      </c>
      <c r="D39" s="463">
        <v>1344</v>
      </c>
      <c r="E39" s="463">
        <v>1232</v>
      </c>
      <c r="F39" s="463">
        <v>664</v>
      </c>
      <c r="H39" s="51"/>
      <c r="I39" s="51"/>
      <c r="J39" s="51"/>
      <c r="K39" s="51"/>
      <c r="L39" s="51"/>
      <c r="M39" s="51"/>
    </row>
    <row r="40" spans="1:13">
      <c r="A40" s="725" t="s">
        <v>28</v>
      </c>
      <c r="B40" s="723"/>
      <c r="C40" s="723"/>
      <c r="D40" s="723"/>
      <c r="E40" s="723"/>
      <c r="F40" s="724"/>
      <c r="H40" s="766"/>
      <c r="I40" s="767"/>
      <c r="J40" s="767"/>
      <c r="K40" s="767"/>
      <c r="L40" s="767"/>
      <c r="M40" s="767"/>
    </row>
    <row r="41" spans="1:13">
      <c r="H41" s="51"/>
      <c r="I41" s="51"/>
      <c r="J41" s="51"/>
      <c r="K41" s="51"/>
      <c r="L41" s="51"/>
      <c r="M41" s="51"/>
    </row>
    <row r="42" spans="1:13">
      <c r="B42" s="52" t="s">
        <v>30</v>
      </c>
      <c r="C42" s="53" t="s">
        <v>5</v>
      </c>
      <c r="D42" s="53">
        <f>SUM(D43:D46)</f>
        <v>8</v>
      </c>
      <c r="E42" s="53" t="s">
        <v>32</v>
      </c>
      <c r="H42" s="51"/>
      <c r="I42" s="4"/>
      <c r="J42" s="4"/>
      <c r="K42" s="4"/>
      <c r="L42" s="4"/>
      <c r="M42" s="51"/>
    </row>
    <row r="43" spans="1:13" ht="15" customHeight="1">
      <c r="B43" s="54" t="s">
        <v>115</v>
      </c>
      <c r="C43" s="55">
        <v>200000</v>
      </c>
      <c r="D43" s="56">
        <v>2</v>
      </c>
      <c r="E43" s="56">
        <f t="shared" ref="E43:E46" si="6">D43*C43</f>
        <v>400000</v>
      </c>
      <c r="H43" s="51"/>
      <c r="I43" s="93"/>
      <c r="J43" s="8"/>
      <c r="K43" s="8"/>
      <c r="L43" s="8"/>
      <c r="M43" s="51"/>
    </row>
    <row r="44" spans="1:13" ht="15" customHeight="1">
      <c r="B44" s="57" t="s">
        <v>167</v>
      </c>
      <c r="C44" s="55">
        <v>205000</v>
      </c>
      <c r="D44" s="56">
        <v>2</v>
      </c>
      <c r="E44" s="56">
        <f t="shared" si="6"/>
        <v>410000</v>
      </c>
      <c r="H44" s="51"/>
      <c r="I44" s="91"/>
      <c r="J44" s="8"/>
      <c r="K44" s="8"/>
      <c r="L44" s="8"/>
      <c r="M44" s="51"/>
    </row>
    <row r="45" spans="1:13" ht="15" customHeight="1">
      <c r="B45" s="57" t="s">
        <v>116</v>
      </c>
      <c r="C45" s="55">
        <v>289900</v>
      </c>
      <c r="D45" s="56">
        <v>2</v>
      </c>
      <c r="E45" s="56">
        <f>C45*D45</f>
        <v>579800</v>
      </c>
      <c r="H45" s="51"/>
      <c r="I45" s="91"/>
      <c r="J45" s="8"/>
      <c r="K45" s="8"/>
      <c r="L45" s="8"/>
      <c r="M45" s="51"/>
    </row>
    <row r="46" spans="1:13" ht="15" customHeight="1">
      <c r="B46" s="464" t="s">
        <v>40</v>
      </c>
      <c r="C46" s="61">
        <v>360000</v>
      </c>
      <c r="D46" s="465">
        <v>2</v>
      </c>
      <c r="E46" s="465">
        <f t="shared" si="6"/>
        <v>720000</v>
      </c>
      <c r="H46" s="51"/>
      <c r="I46" s="91"/>
      <c r="J46" s="8"/>
      <c r="K46" s="8"/>
      <c r="L46" s="8"/>
      <c r="M46" s="51"/>
    </row>
    <row r="47" spans="1:13" ht="15" customHeight="1">
      <c r="B47" s="466" t="s">
        <v>194</v>
      </c>
      <c r="C47" s="467">
        <v>270000</v>
      </c>
      <c r="D47" s="468">
        <v>2</v>
      </c>
      <c r="E47" s="468">
        <f>C47*D47</f>
        <v>540000</v>
      </c>
      <c r="H47" s="51"/>
      <c r="I47" s="91"/>
      <c r="J47" s="8"/>
      <c r="K47" s="8"/>
      <c r="L47" s="8"/>
      <c r="M47" s="51"/>
    </row>
    <row r="48" spans="1:13">
      <c r="H48" s="51"/>
      <c r="I48" s="51"/>
      <c r="J48" s="51"/>
      <c r="K48" s="51"/>
      <c r="L48" s="51"/>
      <c r="M48" s="51"/>
    </row>
    <row r="49" spans="2:13">
      <c r="B49" s="53" t="s">
        <v>30</v>
      </c>
      <c r="C49" s="53" t="s">
        <v>6</v>
      </c>
      <c r="D49" s="53">
        <f>SUM(D50:D53)</f>
        <v>8</v>
      </c>
      <c r="E49" s="53" t="s">
        <v>32</v>
      </c>
      <c r="H49" s="51"/>
      <c r="I49" s="4"/>
      <c r="J49" s="4"/>
      <c r="K49" s="4"/>
      <c r="L49" s="4"/>
      <c r="M49" s="51"/>
    </row>
    <row r="50" spans="2:13" ht="15" customHeight="1">
      <c r="B50" s="54" t="s">
        <v>115</v>
      </c>
      <c r="C50" s="58">
        <v>100000</v>
      </c>
      <c r="D50" s="56">
        <v>2</v>
      </c>
      <c r="E50" s="56">
        <f t="shared" ref="E50:E53" si="7">D50*C50</f>
        <v>200000</v>
      </c>
      <c r="H50" s="51"/>
      <c r="I50" s="93"/>
      <c r="J50" s="8"/>
      <c r="K50" s="8"/>
      <c r="L50" s="8"/>
      <c r="M50" s="51"/>
    </row>
    <row r="51" spans="2:13" ht="15" customHeight="1">
      <c r="B51" s="57" t="s">
        <v>167</v>
      </c>
      <c r="C51" s="58">
        <f>265000/2</f>
        <v>132500</v>
      </c>
      <c r="D51" s="56">
        <v>2</v>
      </c>
      <c r="E51" s="56">
        <f t="shared" si="7"/>
        <v>265000</v>
      </c>
      <c r="H51" s="51"/>
      <c r="I51" s="91"/>
      <c r="J51" s="94"/>
      <c r="K51" s="8"/>
      <c r="L51" s="94"/>
      <c r="M51" s="51"/>
    </row>
    <row r="52" spans="2:13" ht="15" customHeight="1">
      <c r="B52" s="57" t="s">
        <v>116</v>
      </c>
      <c r="C52" s="55">
        <f>349900/2</f>
        <v>174950</v>
      </c>
      <c r="D52" s="56">
        <v>2</v>
      </c>
      <c r="E52" s="56">
        <f>C52*D52</f>
        <v>349900</v>
      </c>
      <c r="H52" s="51"/>
      <c r="I52" s="91"/>
      <c r="J52" s="8"/>
      <c r="K52" s="8"/>
      <c r="L52" s="8"/>
      <c r="M52" s="51"/>
    </row>
    <row r="53" spans="2:13" ht="15" customHeight="1">
      <c r="B53" s="464" t="s">
        <v>40</v>
      </c>
      <c r="C53" s="469">
        <f>390000/2</f>
        <v>195000</v>
      </c>
      <c r="D53" s="465">
        <v>2</v>
      </c>
      <c r="E53" s="465">
        <f t="shared" si="7"/>
        <v>390000</v>
      </c>
      <c r="H53" s="51"/>
      <c r="I53" s="91"/>
      <c r="J53" s="8"/>
      <c r="K53" s="8"/>
      <c r="L53" s="8"/>
      <c r="M53" s="51"/>
    </row>
    <row r="54" spans="2:13" ht="15" customHeight="1">
      <c r="B54" s="466" t="s">
        <v>194</v>
      </c>
      <c r="C54" s="467">
        <f>350000/2</f>
        <v>175000</v>
      </c>
      <c r="D54" s="468">
        <v>2</v>
      </c>
      <c r="E54" s="468">
        <f>C54*D54</f>
        <v>350000</v>
      </c>
      <c r="H54" s="51"/>
      <c r="I54" s="91"/>
      <c r="J54" s="8"/>
      <c r="K54" s="8"/>
      <c r="L54" s="8"/>
      <c r="M54" s="51"/>
    </row>
    <row r="55" spans="2:13">
      <c r="H55" s="51"/>
      <c r="I55" s="51"/>
      <c r="J55" s="51"/>
      <c r="K55" s="51"/>
      <c r="L55" s="51"/>
      <c r="M55" s="51"/>
    </row>
    <row r="56" spans="2:13">
      <c r="B56" s="53" t="s">
        <v>30</v>
      </c>
      <c r="C56" s="53" t="s">
        <v>7</v>
      </c>
      <c r="D56" s="53">
        <f>SUM(D57:D60)</f>
        <v>8</v>
      </c>
      <c r="E56" s="53" t="s">
        <v>32</v>
      </c>
      <c r="H56" s="51"/>
      <c r="I56" s="4"/>
      <c r="J56" s="4"/>
      <c r="K56" s="4"/>
      <c r="L56" s="4"/>
      <c r="M56" s="51"/>
    </row>
    <row r="57" spans="2:13" ht="15" customHeight="1">
      <c r="B57" s="54" t="s">
        <v>115</v>
      </c>
      <c r="C57" s="59">
        <f>(200000+70000)/3</f>
        <v>90000</v>
      </c>
      <c r="D57" s="56">
        <v>2</v>
      </c>
      <c r="E57" s="56">
        <f t="shared" ref="E57:E58" si="8">D57*C57</f>
        <v>180000</v>
      </c>
      <c r="H57" s="51"/>
      <c r="I57" s="93"/>
      <c r="J57" s="8"/>
      <c r="K57" s="8"/>
      <c r="L57" s="8"/>
      <c r="M57" s="51"/>
    </row>
    <row r="58" spans="2:13" ht="15" customHeight="1">
      <c r="B58" s="57" t="s">
        <v>167</v>
      </c>
      <c r="C58" s="60">
        <f>(265000+90000)/3</f>
        <v>118333.33333333333</v>
      </c>
      <c r="D58" s="56">
        <v>2</v>
      </c>
      <c r="E58" s="470">
        <f t="shared" si="8"/>
        <v>236666.66666666666</v>
      </c>
      <c r="H58" s="51"/>
      <c r="I58" s="91"/>
      <c r="J58" s="94"/>
      <c r="K58" s="8"/>
      <c r="L58" s="8"/>
      <c r="M58" s="51"/>
    </row>
    <row r="59" spans="2:13" ht="15" customHeight="1">
      <c r="B59" s="57" t="s">
        <v>116</v>
      </c>
      <c r="C59" s="61">
        <f>429900/3</f>
        <v>143300</v>
      </c>
      <c r="D59" s="56">
        <v>2</v>
      </c>
      <c r="E59" s="56">
        <f>C59*D59</f>
        <v>286600</v>
      </c>
      <c r="H59" s="51"/>
      <c r="I59" s="91"/>
      <c r="J59" s="8"/>
      <c r="K59" s="8"/>
      <c r="L59" s="8"/>
      <c r="M59" s="51"/>
    </row>
    <row r="60" spans="2:13" ht="15" customHeight="1">
      <c r="B60" s="471" t="s">
        <v>40</v>
      </c>
      <c r="C60" s="472">
        <f>465000/3</f>
        <v>155000</v>
      </c>
      <c r="D60" s="473">
        <v>2</v>
      </c>
      <c r="E60" s="465">
        <f>C60*D60</f>
        <v>310000</v>
      </c>
      <c r="H60" s="51"/>
      <c r="I60" s="91"/>
      <c r="J60" s="8"/>
      <c r="K60" s="8"/>
      <c r="L60" s="8"/>
      <c r="M60" s="51"/>
    </row>
    <row r="61" spans="2:13" ht="15" customHeight="1">
      <c r="B61" s="466" t="s">
        <v>194</v>
      </c>
      <c r="C61" s="63">
        <f>390000/3</f>
        <v>130000</v>
      </c>
      <c r="D61" s="468">
        <v>2</v>
      </c>
      <c r="E61" s="474">
        <f>C61*D61</f>
        <v>260000</v>
      </c>
      <c r="H61" s="51"/>
      <c r="I61" s="91"/>
      <c r="J61" s="8"/>
      <c r="K61" s="8"/>
      <c r="L61" s="8"/>
      <c r="M61" s="51"/>
    </row>
    <row r="62" spans="2:13">
      <c r="B62" s="59"/>
      <c r="C62" s="59"/>
      <c r="D62" s="59"/>
      <c r="E62" s="59"/>
      <c r="H62" s="51"/>
      <c r="I62" s="8"/>
      <c r="J62" s="8"/>
      <c r="K62" s="8"/>
      <c r="L62" s="8"/>
      <c r="M62" s="51"/>
    </row>
    <row r="63" spans="2:13">
      <c r="B63" s="53" t="s">
        <v>30</v>
      </c>
      <c r="C63" s="53" t="s">
        <v>8</v>
      </c>
      <c r="D63" s="53">
        <f>SUM(D64:D67)</f>
        <v>8</v>
      </c>
      <c r="E63" s="53" t="s">
        <v>32</v>
      </c>
      <c r="H63" s="51"/>
      <c r="I63" s="4"/>
      <c r="J63" s="4"/>
      <c r="K63" s="4"/>
      <c r="L63" s="4"/>
      <c r="M63" s="51"/>
    </row>
    <row r="64" spans="2:13" ht="15" customHeight="1">
      <c r="B64" s="54" t="s">
        <v>115</v>
      </c>
      <c r="C64" s="58">
        <v>40000</v>
      </c>
      <c r="D64" s="56">
        <v>2</v>
      </c>
      <c r="E64" s="56">
        <f>D64*C64</f>
        <v>80000</v>
      </c>
      <c r="H64" s="51"/>
      <c r="I64" s="93"/>
      <c r="J64" s="8"/>
      <c r="K64" s="8"/>
      <c r="L64" s="8"/>
      <c r="M64" s="51"/>
    </row>
    <row r="65" spans="1:13" ht="15" customHeight="1">
      <c r="B65" s="57" t="s">
        <v>167</v>
      </c>
      <c r="C65" s="58">
        <v>90000</v>
      </c>
      <c r="D65" s="56">
        <v>2</v>
      </c>
      <c r="E65" s="56">
        <f t="shared" ref="E65:E68" si="9">C65*D65</f>
        <v>180000</v>
      </c>
      <c r="H65" s="51"/>
      <c r="I65" s="91"/>
      <c r="J65" s="94"/>
      <c r="K65" s="8"/>
      <c r="L65" s="8"/>
      <c r="M65" s="51"/>
    </row>
    <row r="66" spans="1:13" ht="15" customHeight="1">
      <c r="B66" s="57" t="s">
        <v>119</v>
      </c>
      <c r="C66" s="55">
        <v>0</v>
      </c>
      <c r="D66" s="56">
        <v>2</v>
      </c>
      <c r="E66" s="56">
        <f t="shared" si="9"/>
        <v>0</v>
      </c>
      <c r="H66" s="51"/>
      <c r="I66" s="91"/>
      <c r="J66" s="8"/>
      <c r="K66" s="8"/>
      <c r="L66" s="8"/>
      <c r="M66" s="51"/>
    </row>
    <row r="67" spans="1:13" ht="15" customHeight="1">
      <c r="B67" s="464" t="s">
        <v>120</v>
      </c>
      <c r="C67" s="469">
        <v>0</v>
      </c>
      <c r="D67" s="465">
        <v>2</v>
      </c>
      <c r="E67" s="465">
        <f t="shared" si="9"/>
        <v>0</v>
      </c>
      <c r="H67" s="51"/>
      <c r="I67" s="91"/>
      <c r="J67" s="8"/>
      <c r="K67" s="8"/>
      <c r="L67" s="8"/>
      <c r="M67" s="51"/>
    </row>
    <row r="68" spans="1:13" ht="15" customHeight="1">
      <c r="B68" s="466" t="s">
        <v>194</v>
      </c>
      <c r="C68" s="467">
        <v>63000</v>
      </c>
      <c r="D68" s="468">
        <v>2</v>
      </c>
      <c r="E68" s="468">
        <f t="shared" si="9"/>
        <v>126000</v>
      </c>
      <c r="H68" s="51"/>
      <c r="I68" s="91"/>
      <c r="J68" s="8"/>
      <c r="K68" s="8"/>
      <c r="L68" s="8"/>
      <c r="M68" s="51"/>
    </row>
    <row r="70" spans="1:13" ht="30">
      <c r="A70" s="269" t="s">
        <v>3</v>
      </c>
      <c r="B70" s="269" t="s">
        <v>44</v>
      </c>
      <c r="C70" s="269" t="s">
        <v>45</v>
      </c>
      <c r="D70" s="269" t="s">
        <v>46</v>
      </c>
      <c r="E70" s="269" t="s">
        <v>5</v>
      </c>
      <c r="F70" s="269" t="s">
        <v>6</v>
      </c>
      <c r="G70" s="269" t="s">
        <v>7</v>
      </c>
      <c r="H70" s="269" t="s">
        <v>8</v>
      </c>
    </row>
    <row r="71" spans="1:13">
      <c r="A71" s="475" t="s">
        <v>9</v>
      </c>
      <c r="B71" s="70"/>
      <c r="C71" s="70"/>
      <c r="D71" s="70"/>
      <c r="E71" s="70"/>
      <c r="F71" s="70"/>
      <c r="G71" s="70"/>
      <c r="H71" s="70"/>
    </row>
    <row r="72" spans="1:13" s="1" customFormat="1">
      <c r="A72" s="757" t="s">
        <v>168</v>
      </c>
      <c r="B72" s="476" t="s">
        <v>50</v>
      </c>
      <c r="C72" s="476" t="s">
        <v>122</v>
      </c>
      <c r="D72" s="476" t="s">
        <v>52</v>
      </c>
      <c r="E72" s="477">
        <f>125000/16</f>
        <v>7812.5</v>
      </c>
      <c r="F72" s="477">
        <f>E72</f>
        <v>7812.5</v>
      </c>
      <c r="G72" s="477">
        <f>E72</f>
        <v>7812.5</v>
      </c>
      <c r="H72" s="477">
        <f>E72</f>
        <v>7812.5</v>
      </c>
    </row>
    <row r="73" spans="1:13" s="1" customFormat="1">
      <c r="A73" s="757"/>
      <c r="B73" s="476" t="s">
        <v>123</v>
      </c>
      <c r="C73" s="476" t="s">
        <v>64</v>
      </c>
      <c r="D73" s="476" t="s">
        <v>49</v>
      </c>
      <c r="E73" s="477">
        <v>50000</v>
      </c>
      <c r="F73" s="477">
        <f>E73</f>
        <v>50000</v>
      </c>
      <c r="G73" s="477">
        <f>E73</f>
        <v>50000</v>
      </c>
      <c r="H73" s="477">
        <f>E73</f>
        <v>50000</v>
      </c>
    </row>
    <row r="74" spans="1:13" s="1" customFormat="1">
      <c r="A74" s="478"/>
      <c r="B74" s="479" t="s">
        <v>58</v>
      </c>
      <c r="C74" s="479"/>
      <c r="D74" s="479"/>
      <c r="E74" s="480">
        <f>SUM(E72:E73)</f>
        <v>57812.5</v>
      </c>
      <c r="F74" s="480">
        <f>SUM(F72:F73)</f>
        <v>57812.5</v>
      </c>
      <c r="G74" s="480">
        <f>SUM(G72:G73)</f>
        <v>57812.5</v>
      </c>
      <c r="H74" s="480">
        <f>SUM(H72:H73)</f>
        <v>57812.5</v>
      </c>
    </row>
    <row r="75" spans="1:13" ht="15" customHeight="1">
      <c r="A75" s="758" t="s">
        <v>15</v>
      </c>
      <c r="B75" s="481" t="s">
        <v>169</v>
      </c>
      <c r="C75" s="482" t="s">
        <v>129</v>
      </c>
      <c r="D75" s="482" t="s">
        <v>49</v>
      </c>
      <c r="E75" s="483">
        <f>620000/16</f>
        <v>38750</v>
      </c>
      <c r="F75" s="484">
        <f>E75</f>
        <v>38750</v>
      </c>
      <c r="G75" s="484">
        <f>E75</f>
        <v>38750</v>
      </c>
      <c r="H75" s="484">
        <f>E75</f>
        <v>38750</v>
      </c>
    </row>
    <row r="76" spans="1:13">
      <c r="A76" s="759"/>
      <c r="B76" s="485" t="s">
        <v>50</v>
      </c>
      <c r="C76" s="482" t="s">
        <v>122</v>
      </c>
      <c r="D76" s="482" t="s">
        <v>52</v>
      </c>
      <c r="E76" s="486">
        <f>250000/16</f>
        <v>15625</v>
      </c>
      <c r="F76" s="487">
        <f>E76</f>
        <v>15625</v>
      </c>
      <c r="G76" s="488">
        <f>E76</f>
        <v>15625</v>
      </c>
      <c r="H76" s="489">
        <f>E76</f>
        <v>15625</v>
      </c>
    </row>
    <row r="77" spans="1:13">
      <c r="A77" s="759"/>
      <c r="B77" s="490" t="s">
        <v>53</v>
      </c>
      <c r="C77" s="491" t="s">
        <v>54</v>
      </c>
      <c r="D77" s="491"/>
      <c r="E77" s="492">
        <v>60000</v>
      </c>
      <c r="F77" s="493">
        <f>E77</f>
        <v>60000</v>
      </c>
      <c r="G77" s="493">
        <f>E77</f>
        <v>60000</v>
      </c>
      <c r="H77" s="493">
        <v>50000</v>
      </c>
    </row>
    <row r="78" spans="1:13">
      <c r="A78" s="760"/>
      <c r="B78" s="481" t="s">
        <v>55</v>
      </c>
      <c r="C78" s="482" t="s">
        <v>56</v>
      </c>
      <c r="D78" s="482" t="s">
        <v>127</v>
      </c>
      <c r="E78" s="494">
        <v>50000</v>
      </c>
      <c r="F78" s="495">
        <f>E78</f>
        <v>50000</v>
      </c>
      <c r="G78" s="495">
        <f>E78</f>
        <v>50000</v>
      </c>
      <c r="H78" s="493">
        <v>40000</v>
      </c>
    </row>
    <row r="79" spans="1:13">
      <c r="A79" s="496"/>
      <c r="B79" s="497" t="s">
        <v>58</v>
      </c>
      <c r="C79" s="497"/>
      <c r="D79" s="497"/>
      <c r="E79" s="498">
        <f t="shared" ref="E79:H79" si="10">SUM(E75:E78)</f>
        <v>164375</v>
      </c>
      <c r="F79" s="498">
        <f t="shared" si="10"/>
        <v>164375</v>
      </c>
      <c r="G79" s="498">
        <f t="shared" si="10"/>
        <v>164375</v>
      </c>
      <c r="H79" s="498">
        <f t="shared" si="10"/>
        <v>144375</v>
      </c>
    </row>
    <row r="80" spans="1:13">
      <c r="A80" s="499" t="s">
        <v>16</v>
      </c>
      <c r="B80" s="500" t="s">
        <v>170</v>
      </c>
      <c r="C80" s="482" t="s">
        <v>171</v>
      </c>
      <c r="D80" s="482" t="s">
        <v>49</v>
      </c>
      <c r="E80" s="501">
        <f>580000/16</f>
        <v>36250</v>
      </c>
      <c r="F80" s="502">
        <f>E80</f>
        <v>36250</v>
      </c>
      <c r="G80" s="502">
        <f>E80</f>
        <v>36250</v>
      </c>
      <c r="H80" s="502">
        <f>E80</f>
        <v>36250</v>
      </c>
    </row>
    <row r="81" spans="1:8">
      <c r="A81" s="499"/>
      <c r="B81" s="482" t="s">
        <v>50</v>
      </c>
      <c r="C81" s="482" t="s">
        <v>60</v>
      </c>
      <c r="D81" s="482" t="s">
        <v>52</v>
      </c>
      <c r="E81" s="486">
        <f>250000/16</f>
        <v>15625</v>
      </c>
      <c r="F81" s="487">
        <f>E81</f>
        <v>15625</v>
      </c>
      <c r="G81" s="487">
        <f>E81</f>
        <v>15625</v>
      </c>
      <c r="H81" s="487">
        <f>E81</f>
        <v>15625</v>
      </c>
    </row>
    <row r="82" spans="1:8">
      <c r="A82" s="499"/>
      <c r="B82" s="500" t="s">
        <v>172</v>
      </c>
      <c r="C82" s="482" t="s">
        <v>56</v>
      </c>
      <c r="D82" s="482" t="s">
        <v>57</v>
      </c>
      <c r="E82" s="492">
        <v>50000</v>
      </c>
      <c r="F82" s="493">
        <f t="shared" ref="F82:F84" si="11">E82</f>
        <v>50000</v>
      </c>
      <c r="G82" s="493">
        <f>E82</f>
        <v>50000</v>
      </c>
      <c r="H82" s="493">
        <v>40000</v>
      </c>
    </row>
    <row r="83" spans="1:8">
      <c r="A83" s="499"/>
      <c r="B83" s="500" t="s">
        <v>62</v>
      </c>
      <c r="C83" s="482" t="s">
        <v>63</v>
      </c>
      <c r="D83" s="482" t="s">
        <v>64</v>
      </c>
      <c r="E83" s="492">
        <v>5000</v>
      </c>
      <c r="F83" s="493">
        <f t="shared" si="11"/>
        <v>5000</v>
      </c>
      <c r="G83" s="493">
        <f t="shared" ref="G83:H84" si="12">E83</f>
        <v>5000</v>
      </c>
      <c r="H83" s="493">
        <f t="shared" si="12"/>
        <v>5000</v>
      </c>
    </row>
    <row r="84" spans="1:8">
      <c r="A84" s="499"/>
      <c r="B84" s="500" t="s">
        <v>65</v>
      </c>
      <c r="C84" s="482" t="s">
        <v>63</v>
      </c>
      <c r="D84" s="482" t="s">
        <v>64</v>
      </c>
      <c r="E84" s="494">
        <v>22000</v>
      </c>
      <c r="F84" s="495">
        <f t="shared" si="11"/>
        <v>22000</v>
      </c>
      <c r="G84" s="495">
        <f t="shared" si="12"/>
        <v>22000</v>
      </c>
      <c r="H84" s="495">
        <v>17000</v>
      </c>
    </row>
    <row r="85" spans="1:8">
      <c r="A85" s="503"/>
      <c r="B85" s="504" t="s">
        <v>58</v>
      </c>
      <c r="C85" s="504"/>
      <c r="D85" s="504"/>
      <c r="E85" s="498">
        <f t="shared" ref="E85:H85" si="13">SUM(E80:E84)</f>
        <v>128875</v>
      </c>
      <c r="F85" s="498">
        <f t="shared" si="13"/>
        <v>128875</v>
      </c>
      <c r="G85" s="498">
        <f t="shared" si="13"/>
        <v>128875</v>
      </c>
      <c r="H85" s="498">
        <f t="shared" si="13"/>
        <v>113875</v>
      </c>
    </row>
    <row r="86" spans="1:8">
      <c r="A86" s="113" t="s">
        <v>11</v>
      </c>
    </row>
    <row r="87" spans="1:8" ht="15" customHeight="1">
      <c r="A87" s="505" t="s">
        <v>66</v>
      </c>
      <c r="B87" s="506" t="s">
        <v>173</v>
      </c>
      <c r="C87" s="506" t="s">
        <v>56</v>
      </c>
      <c r="D87" s="506" t="s">
        <v>57</v>
      </c>
      <c r="E87" s="507">
        <v>45000</v>
      </c>
      <c r="F87" s="508">
        <f>E87</f>
        <v>45000</v>
      </c>
      <c r="G87" s="508">
        <f>E87</f>
        <v>45000</v>
      </c>
      <c r="H87" s="508">
        <f>E87</f>
        <v>45000</v>
      </c>
    </row>
    <row r="88" spans="1:8">
      <c r="A88" s="505"/>
      <c r="B88" s="509" t="s">
        <v>67</v>
      </c>
      <c r="C88" s="398" t="s">
        <v>64</v>
      </c>
      <c r="D88" s="510" t="s">
        <v>64</v>
      </c>
      <c r="E88" s="511">
        <v>96000</v>
      </c>
      <c r="F88" s="512">
        <f t="shared" ref="F88" si="14">E88</f>
        <v>96000</v>
      </c>
      <c r="G88" s="512">
        <f t="shared" ref="G88" si="15">E88</f>
        <v>96000</v>
      </c>
      <c r="H88" s="512">
        <v>69000</v>
      </c>
    </row>
    <row r="89" spans="1:8">
      <c r="A89" s="513"/>
      <c r="B89" s="514" t="s">
        <v>58</v>
      </c>
      <c r="C89" s="514"/>
      <c r="D89" s="514"/>
      <c r="E89" s="515">
        <f>SUM(E87:E88)</f>
        <v>141000</v>
      </c>
      <c r="F89" s="516">
        <f>SUM(F87:F88)</f>
        <v>141000</v>
      </c>
      <c r="G89" s="516">
        <f>SUM(G87:G88)</f>
        <v>141000</v>
      </c>
      <c r="H89" s="516">
        <f>SUM(H87:H88)</f>
        <v>114000</v>
      </c>
    </row>
    <row r="90" spans="1:8" ht="15" customHeight="1">
      <c r="A90" s="398" t="s">
        <v>70</v>
      </c>
      <c r="B90" s="509" t="s">
        <v>131</v>
      </c>
      <c r="C90" s="517" t="s">
        <v>129</v>
      </c>
      <c r="D90" s="510" t="s">
        <v>49</v>
      </c>
      <c r="E90" s="518">
        <f>490000/16</f>
        <v>30625</v>
      </c>
      <c r="F90" s="519">
        <f>E90</f>
        <v>30625</v>
      </c>
      <c r="G90" s="519">
        <f>E90</f>
        <v>30625</v>
      </c>
      <c r="H90" s="519">
        <f>E90</f>
        <v>30625</v>
      </c>
    </row>
    <row r="91" spans="1:8">
      <c r="A91" s="398"/>
      <c r="B91" s="510" t="s">
        <v>72</v>
      </c>
      <c r="C91" s="517" t="s">
        <v>52</v>
      </c>
      <c r="D91" s="510" t="s">
        <v>52</v>
      </c>
      <c r="E91" s="520">
        <f>170000/16</f>
        <v>10625</v>
      </c>
      <c r="F91" s="521">
        <f>E91</f>
        <v>10625</v>
      </c>
      <c r="G91" s="521">
        <f>E91</f>
        <v>10625</v>
      </c>
      <c r="H91" s="521">
        <f>E91</f>
        <v>10625</v>
      </c>
    </row>
    <row r="92" spans="1:8" ht="15" customHeight="1">
      <c r="A92" s="398"/>
      <c r="B92" s="510" t="s">
        <v>73</v>
      </c>
      <c r="C92" s="517" t="s">
        <v>174</v>
      </c>
      <c r="D92" s="510" t="s">
        <v>49</v>
      </c>
      <c r="E92" s="522">
        <v>10000</v>
      </c>
      <c r="F92" s="523">
        <f t="shared" ref="F92:G92" si="16">E92</f>
        <v>10000</v>
      </c>
      <c r="G92" s="523">
        <f t="shared" si="16"/>
        <v>10000</v>
      </c>
      <c r="H92" s="523">
        <f>F92</f>
        <v>10000</v>
      </c>
    </row>
    <row r="93" spans="1:8">
      <c r="A93" s="524"/>
      <c r="B93" s="525" t="s">
        <v>58</v>
      </c>
      <c r="C93" s="514"/>
      <c r="D93" s="514"/>
      <c r="E93" s="515">
        <f t="shared" ref="E93:H93" si="17">SUM(E90:E92)</f>
        <v>51250</v>
      </c>
      <c r="F93" s="516">
        <f t="shared" si="17"/>
        <v>51250</v>
      </c>
      <c r="G93" s="516">
        <f t="shared" si="17"/>
        <v>51250</v>
      </c>
      <c r="H93" s="516">
        <f t="shared" si="17"/>
        <v>51250</v>
      </c>
    </row>
    <row r="94" spans="1:8" ht="15" customHeight="1">
      <c r="A94" s="398" t="s">
        <v>175</v>
      </c>
      <c r="B94" s="510" t="s">
        <v>131</v>
      </c>
      <c r="C94" s="398" t="s">
        <v>129</v>
      </c>
      <c r="D94" s="510" t="s">
        <v>49</v>
      </c>
      <c r="E94" s="518"/>
      <c r="F94" s="519"/>
      <c r="G94" s="519"/>
      <c r="H94" s="519"/>
    </row>
    <row r="95" spans="1:8" ht="15" customHeight="1">
      <c r="A95" s="398"/>
      <c r="B95" s="509" t="s">
        <v>138</v>
      </c>
      <c r="C95" s="398" t="s">
        <v>159</v>
      </c>
      <c r="D95" s="510" t="s">
        <v>64</v>
      </c>
      <c r="E95" s="518">
        <v>65000</v>
      </c>
      <c r="F95" s="526">
        <f>E95</f>
        <v>65000</v>
      </c>
      <c r="G95" s="526">
        <f>E95</f>
        <v>65000</v>
      </c>
      <c r="H95" s="526">
        <v>45000</v>
      </c>
    </row>
    <row r="96" spans="1:8">
      <c r="A96" s="398"/>
      <c r="B96" s="510" t="s">
        <v>72</v>
      </c>
      <c r="C96" s="527" t="s">
        <v>52</v>
      </c>
      <c r="D96" s="528" t="s">
        <v>52</v>
      </c>
      <c r="E96" s="529"/>
      <c r="F96" s="530">
        <f>E96</f>
        <v>0</v>
      </c>
      <c r="G96" s="530">
        <f>E96</f>
        <v>0</v>
      </c>
      <c r="H96" s="530">
        <f>E96</f>
        <v>0</v>
      </c>
    </row>
    <row r="97" spans="1:9">
      <c r="A97" s="388"/>
      <c r="B97" s="514" t="s">
        <v>58</v>
      </c>
      <c r="C97" s="514"/>
      <c r="D97" s="514"/>
      <c r="E97" s="531">
        <f t="shared" ref="E97:H97" si="18">SUM(E94:E96)</f>
        <v>65000</v>
      </c>
      <c r="F97" s="443">
        <f t="shared" si="18"/>
        <v>65000</v>
      </c>
      <c r="G97" s="443">
        <f t="shared" si="18"/>
        <v>65000</v>
      </c>
      <c r="H97" s="443">
        <f t="shared" si="18"/>
        <v>45000</v>
      </c>
    </row>
    <row r="98" spans="1:9">
      <c r="A98" s="532" t="s">
        <v>98</v>
      </c>
      <c r="B98" s="533"/>
      <c r="C98" s="533"/>
      <c r="D98" s="533"/>
      <c r="E98" s="335"/>
      <c r="F98" s="335"/>
      <c r="G98" s="335"/>
      <c r="H98" s="335"/>
    </row>
    <row r="99" spans="1:9" ht="15" customHeight="1">
      <c r="A99" s="534" t="s">
        <v>104</v>
      </c>
      <c r="B99" s="295" t="s">
        <v>141</v>
      </c>
      <c r="C99" s="295" t="s">
        <v>176</v>
      </c>
      <c r="D99" s="295" t="s">
        <v>49</v>
      </c>
      <c r="E99" s="535">
        <f>550000/16</f>
        <v>34375</v>
      </c>
      <c r="F99" s="535">
        <f>E99</f>
        <v>34375</v>
      </c>
      <c r="G99" s="535">
        <f>E99</f>
        <v>34375</v>
      </c>
      <c r="H99" s="535">
        <f>E99</f>
        <v>34375</v>
      </c>
    </row>
    <row r="100" spans="1:9">
      <c r="A100" s="536"/>
      <c r="B100" s="295" t="s">
        <v>177</v>
      </c>
      <c r="C100" s="295" t="s">
        <v>52</v>
      </c>
      <c r="D100" s="295" t="s">
        <v>52</v>
      </c>
      <c r="E100" s="535">
        <f>230000/16</f>
        <v>14375</v>
      </c>
      <c r="F100" s="535">
        <f>E100</f>
        <v>14375</v>
      </c>
      <c r="G100" s="535">
        <f>E100</f>
        <v>14375</v>
      </c>
      <c r="H100" s="535">
        <f>E100</f>
        <v>14375</v>
      </c>
    </row>
    <row r="101" spans="1:9">
      <c r="A101" s="536"/>
      <c r="B101" s="295" t="s">
        <v>143</v>
      </c>
      <c r="C101" s="295" t="s">
        <v>144</v>
      </c>
      <c r="D101" s="295" t="s">
        <v>49</v>
      </c>
      <c r="E101" s="535">
        <v>2500</v>
      </c>
      <c r="F101" s="535">
        <f>E101</f>
        <v>2500</v>
      </c>
      <c r="G101" s="535">
        <f>E101</f>
        <v>2500</v>
      </c>
      <c r="H101" s="535">
        <f>E101</f>
        <v>2500</v>
      </c>
    </row>
    <row r="102" spans="1:9">
      <c r="A102" s="537"/>
      <c r="B102" s="295" t="s">
        <v>145</v>
      </c>
      <c r="C102" s="295" t="s">
        <v>56</v>
      </c>
      <c r="D102" s="295" t="s">
        <v>57</v>
      </c>
      <c r="E102" s="535">
        <v>45000</v>
      </c>
      <c r="F102" s="535">
        <f>E102</f>
        <v>45000</v>
      </c>
      <c r="G102" s="535">
        <f>E102</f>
        <v>45000</v>
      </c>
      <c r="H102" s="535">
        <v>35000</v>
      </c>
    </row>
    <row r="103" spans="1:9">
      <c r="A103" s="538"/>
      <c r="B103" s="388" t="s">
        <v>58</v>
      </c>
      <c r="C103" s="388"/>
      <c r="D103" s="388"/>
      <c r="E103" s="539">
        <f>SUM(E99:E102)</f>
        <v>96250</v>
      </c>
      <c r="F103" s="539">
        <f>SUM(F99:F102)</f>
        <v>96250</v>
      </c>
      <c r="G103" s="539">
        <f>SUM(G99:G102)</f>
        <v>96250</v>
      </c>
      <c r="H103" s="539">
        <f>SUM(H99:H102)</f>
        <v>86250</v>
      </c>
    </row>
    <row r="104" spans="1:9" ht="15" customHeight="1">
      <c r="A104" s="761" t="s">
        <v>106</v>
      </c>
      <c r="B104" s="295" t="s">
        <v>141</v>
      </c>
      <c r="C104" s="295" t="s">
        <v>178</v>
      </c>
      <c r="D104" s="540"/>
      <c r="E104" s="535">
        <f>340000/16</f>
        <v>21250</v>
      </c>
      <c r="F104" s="535">
        <f>E104</f>
        <v>21250</v>
      </c>
      <c r="G104" s="535">
        <f>E104</f>
        <v>21250</v>
      </c>
      <c r="H104" s="535"/>
    </row>
    <row r="105" spans="1:9" ht="15" customHeight="1">
      <c r="A105" s="762"/>
      <c r="B105" s="295" t="s">
        <v>149</v>
      </c>
      <c r="C105" s="295" t="s">
        <v>179</v>
      </c>
      <c r="D105" s="295"/>
      <c r="E105" s="535">
        <v>58000</v>
      </c>
      <c r="F105" s="535">
        <f>E105</f>
        <v>58000</v>
      </c>
      <c r="G105" s="535">
        <f>E105</f>
        <v>58000</v>
      </c>
      <c r="H105" s="535"/>
    </row>
    <row r="106" spans="1:9" ht="30" customHeight="1">
      <c r="A106" s="541"/>
      <c r="B106" s="388" t="s">
        <v>58</v>
      </c>
      <c r="C106" s="388"/>
      <c r="D106" s="542"/>
      <c r="E106" s="539">
        <f>SUM(E104:E105)</f>
        <v>79250</v>
      </c>
      <c r="F106" s="539">
        <f t="shared" ref="F106:G106" si="19">SUM(F104:F105)</f>
        <v>79250</v>
      </c>
      <c r="G106" s="539">
        <f t="shared" si="19"/>
        <v>79250</v>
      </c>
      <c r="H106" s="539"/>
    </row>
    <row r="107" spans="1:9">
      <c r="A107" s="543" t="s">
        <v>164</v>
      </c>
      <c r="B107" s="295" t="s">
        <v>180</v>
      </c>
      <c r="C107" s="295" t="s">
        <v>181</v>
      </c>
      <c r="D107" s="295" t="s">
        <v>49</v>
      </c>
      <c r="E107" s="535">
        <f>340000/16</f>
        <v>21250</v>
      </c>
      <c r="F107" s="535">
        <f>E107</f>
        <v>21250</v>
      </c>
      <c r="G107" s="535">
        <f>E107</f>
        <v>21250</v>
      </c>
      <c r="H107" s="535">
        <f>E107</f>
        <v>21250</v>
      </c>
    </row>
    <row r="108" spans="1:9">
      <c r="A108" s="543"/>
      <c r="B108" s="295" t="s">
        <v>182</v>
      </c>
      <c r="C108" s="295" t="s">
        <v>52</v>
      </c>
      <c r="D108" s="295" t="s">
        <v>64</v>
      </c>
      <c r="E108" s="535">
        <v>30000</v>
      </c>
      <c r="F108" s="535">
        <f>E108</f>
        <v>30000</v>
      </c>
      <c r="G108" s="535">
        <f>E108</f>
        <v>30000</v>
      </c>
      <c r="H108" s="535">
        <f>E108</f>
        <v>30000</v>
      </c>
    </row>
    <row r="109" spans="1:9">
      <c r="A109" s="543"/>
      <c r="B109" s="295"/>
      <c r="C109" s="295" t="s">
        <v>148</v>
      </c>
      <c r="D109" s="295" t="s">
        <v>57</v>
      </c>
      <c r="E109" s="535">
        <v>15000</v>
      </c>
      <c r="F109" s="535">
        <f>E109</f>
        <v>15000</v>
      </c>
      <c r="G109" s="535">
        <f>E109</f>
        <v>15000</v>
      </c>
      <c r="H109" s="535">
        <f>E109</f>
        <v>15000</v>
      </c>
    </row>
    <row r="110" spans="1:9" ht="15" customHeight="1">
      <c r="A110" s="388"/>
      <c r="B110" s="388" t="s">
        <v>58</v>
      </c>
      <c r="C110" s="388"/>
      <c r="D110" s="388"/>
      <c r="E110" s="539">
        <f>SUM(E107:E109)</f>
        <v>66250</v>
      </c>
      <c r="F110" s="539">
        <f>SUM(F107:F109)</f>
        <v>66250</v>
      </c>
      <c r="G110" s="539">
        <f>SUM(G107:G109)</f>
        <v>66250</v>
      </c>
      <c r="H110" s="539">
        <f>SUM(H107:H109)</f>
        <v>66250</v>
      </c>
    </row>
    <row r="111" spans="1:9">
      <c r="A111" s="544" t="s">
        <v>12</v>
      </c>
      <c r="B111" s="545"/>
      <c r="C111" s="545"/>
      <c r="D111" s="545"/>
      <c r="E111" s="349"/>
      <c r="F111" s="349"/>
      <c r="G111" s="349"/>
      <c r="H111" s="349"/>
    </row>
    <row r="112" spans="1:9" ht="15" customHeight="1">
      <c r="A112" s="546" t="s">
        <v>79</v>
      </c>
      <c r="B112" s="355" t="s">
        <v>80</v>
      </c>
      <c r="C112" s="547" t="s">
        <v>81</v>
      </c>
      <c r="D112" s="355" t="s">
        <v>49</v>
      </c>
      <c r="E112" s="548">
        <f>300000/16</f>
        <v>18750</v>
      </c>
      <c r="F112" s="548">
        <f>E112</f>
        <v>18750</v>
      </c>
      <c r="G112" s="548">
        <f>E112</f>
        <v>18750</v>
      </c>
      <c r="H112" s="548">
        <f>E112</f>
        <v>18750</v>
      </c>
      <c r="I112" s="349"/>
    </row>
    <row r="113" spans="1:9" ht="15" customHeight="1">
      <c r="A113" s="549"/>
      <c r="B113" s="550" t="s">
        <v>82</v>
      </c>
      <c r="C113" s="355" t="s">
        <v>83</v>
      </c>
      <c r="D113" s="355" t="s">
        <v>52</v>
      </c>
      <c r="E113" s="548">
        <f>300000/16</f>
        <v>18750</v>
      </c>
      <c r="F113" s="548">
        <f>E113</f>
        <v>18750</v>
      </c>
      <c r="G113" s="548">
        <f>E113</f>
        <v>18750</v>
      </c>
      <c r="H113" s="548">
        <f>E113</f>
        <v>18750</v>
      </c>
      <c r="I113" s="349"/>
    </row>
    <row r="114" spans="1:9" ht="15" customHeight="1">
      <c r="A114" s="549"/>
      <c r="B114" s="550" t="s">
        <v>183</v>
      </c>
      <c r="C114" s="355" t="s">
        <v>184</v>
      </c>
      <c r="D114" s="355" t="s">
        <v>64</v>
      </c>
      <c r="E114" s="548">
        <v>20000</v>
      </c>
      <c r="F114" s="548">
        <f>E114</f>
        <v>20000</v>
      </c>
      <c r="G114" s="548">
        <f>E114</f>
        <v>20000</v>
      </c>
      <c r="H114" s="548">
        <f>E114</f>
        <v>20000</v>
      </c>
      <c r="I114" s="349"/>
    </row>
    <row r="115" spans="1:9">
      <c r="A115" s="479"/>
      <c r="B115" s="551" t="s">
        <v>58</v>
      </c>
      <c r="C115" s="497"/>
      <c r="D115" s="497"/>
      <c r="E115" s="552"/>
      <c r="F115" s="552"/>
      <c r="G115" s="552"/>
      <c r="H115" s="552"/>
    </row>
    <row r="116" spans="1:9" ht="15" customHeight="1">
      <c r="A116" s="763" t="s">
        <v>86</v>
      </c>
      <c r="B116" s="550" t="s">
        <v>80</v>
      </c>
      <c r="C116" s="355" t="s">
        <v>87</v>
      </c>
      <c r="D116" s="355" t="s">
        <v>49</v>
      </c>
      <c r="E116" s="548">
        <f>660000/16</f>
        <v>41250</v>
      </c>
      <c r="F116" s="553">
        <f>E116</f>
        <v>41250</v>
      </c>
      <c r="G116" s="548">
        <f>E116</f>
        <v>41250</v>
      </c>
      <c r="H116" s="548">
        <f>E116</f>
        <v>41250</v>
      </c>
    </row>
    <row r="117" spans="1:9" ht="15" customHeight="1">
      <c r="A117" s="763"/>
      <c r="B117" s="550" t="s">
        <v>82</v>
      </c>
      <c r="C117" s="355" t="s">
        <v>51</v>
      </c>
      <c r="D117" s="355" t="s">
        <v>52</v>
      </c>
      <c r="E117" s="548">
        <f>400000/16</f>
        <v>25000</v>
      </c>
      <c r="F117" s="553">
        <f>E117</f>
        <v>25000</v>
      </c>
      <c r="G117" s="548">
        <f>E117</f>
        <v>25000</v>
      </c>
      <c r="H117" s="548">
        <f>E117</f>
        <v>25000</v>
      </c>
    </row>
    <row r="118" spans="1:9" ht="15" customHeight="1">
      <c r="A118" s="763"/>
      <c r="B118" s="355" t="s">
        <v>88</v>
      </c>
      <c r="C118" s="355" t="s">
        <v>89</v>
      </c>
      <c r="D118" s="355" t="s">
        <v>64</v>
      </c>
      <c r="E118" s="548">
        <v>40000</v>
      </c>
      <c r="F118" s="554">
        <f t="shared" ref="F118:F119" si="20">E118</f>
        <v>40000</v>
      </c>
      <c r="G118" s="555">
        <f t="shared" ref="G118:G119" si="21">E118</f>
        <v>40000</v>
      </c>
      <c r="H118" s="555"/>
    </row>
    <row r="119" spans="1:9" ht="15" customHeight="1">
      <c r="A119" s="763"/>
      <c r="B119" s="355" t="s">
        <v>90</v>
      </c>
      <c r="C119" s="355" t="s">
        <v>91</v>
      </c>
      <c r="D119" s="355" t="s">
        <v>64</v>
      </c>
      <c r="E119" s="548">
        <v>28000</v>
      </c>
      <c r="F119" s="556">
        <f t="shared" si="20"/>
        <v>28000</v>
      </c>
      <c r="G119" s="557">
        <f t="shared" si="21"/>
        <v>28000</v>
      </c>
      <c r="H119" s="557">
        <v>14000</v>
      </c>
    </row>
    <row r="120" spans="1:9">
      <c r="A120" s="558"/>
      <c r="B120" s="497" t="s">
        <v>58</v>
      </c>
      <c r="C120" s="497"/>
      <c r="D120" s="497"/>
      <c r="E120" s="552"/>
      <c r="F120" s="559"/>
      <c r="G120" s="559"/>
      <c r="H120" s="559"/>
    </row>
    <row r="121" spans="1:9" ht="15" customHeight="1">
      <c r="A121" s="560" t="s">
        <v>92</v>
      </c>
      <c r="B121" s="561" t="s">
        <v>93</v>
      </c>
      <c r="C121" s="562" t="s">
        <v>94</v>
      </c>
      <c r="D121" s="561" t="s">
        <v>64</v>
      </c>
      <c r="E121" s="563">
        <v>168000</v>
      </c>
      <c r="F121" s="564">
        <f>E121</f>
        <v>168000</v>
      </c>
      <c r="G121" s="564">
        <f>E121</f>
        <v>168000</v>
      </c>
      <c r="H121" s="564">
        <v>104000</v>
      </c>
    </row>
    <row r="122" spans="1:9" ht="15" customHeight="1">
      <c r="A122" s="565"/>
      <c r="B122" s="561" t="s">
        <v>80</v>
      </c>
      <c r="C122" s="566" t="s">
        <v>95</v>
      </c>
      <c r="D122" s="566" t="s">
        <v>49</v>
      </c>
      <c r="E122" s="567">
        <f>150000/16</f>
        <v>9375</v>
      </c>
      <c r="F122" s="567">
        <f>E122</f>
        <v>9375</v>
      </c>
      <c r="G122" s="567">
        <f>E122</f>
        <v>9375</v>
      </c>
      <c r="H122" s="567">
        <f>E122</f>
        <v>9375</v>
      </c>
    </row>
    <row r="123" spans="1:9">
      <c r="A123" s="568"/>
      <c r="B123" s="569" t="s">
        <v>58</v>
      </c>
      <c r="C123" s="570"/>
      <c r="D123" s="570"/>
      <c r="E123" s="571"/>
      <c r="F123" s="571"/>
      <c r="G123" s="571"/>
      <c r="H123" s="571"/>
    </row>
    <row r="124" spans="1:9" ht="15" customHeight="1">
      <c r="A124" s="764" t="s">
        <v>185</v>
      </c>
      <c r="B124" s="561" t="s">
        <v>84</v>
      </c>
      <c r="C124" s="355" t="s">
        <v>85</v>
      </c>
      <c r="D124" s="355" t="s">
        <v>57</v>
      </c>
      <c r="E124" s="572">
        <v>80000</v>
      </c>
      <c r="F124" s="573">
        <f>E124</f>
        <v>80000</v>
      </c>
      <c r="G124" s="573">
        <f>E124</f>
        <v>80000</v>
      </c>
      <c r="H124" s="573">
        <v>60000</v>
      </c>
    </row>
    <row r="125" spans="1:9" ht="15" customHeight="1">
      <c r="A125" s="765"/>
      <c r="B125" s="574" t="s">
        <v>80</v>
      </c>
      <c r="C125" s="355" t="s">
        <v>176</v>
      </c>
      <c r="D125" s="575" t="s">
        <v>49</v>
      </c>
      <c r="E125" s="572">
        <f>300000/16</f>
        <v>18750</v>
      </c>
      <c r="F125" s="572">
        <f>E125</f>
        <v>18750</v>
      </c>
      <c r="G125" s="572">
        <f>E125</f>
        <v>18750</v>
      </c>
      <c r="H125" s="572">
        <f>E125</f>
        <v>18750</v>
      </c>
    </row>
    <row r="126" spans="1:9">
      <c r="A126" s="576"/>
      <c r="B126" s="577" t="s">
        <v>58</v>
      </c>
      <c r="C126" s="504"/>
      <c r="D126" s="577"/>
      <c r="E126" s="578">
        <f>SUM(E124:E125)</f>
        <v>98750</v>
      </c>
      <c r="F126" s="578">
        <f t="shared" ref="F126:H126" si="22">SUM(F124:F125)</f>
        <v>98750</v>
      </c>
      <c r="G126" s="578">
        <f t="shared" si="22"/>
        <v>98750</v>
      </c>
      <c r="H126" s="578">
        <f t="shared" si="22"/>
        <v>78750</v>
      </c>
    </row>
  </sheetData>
  <mergeCells count="14">
    <mergeCell ref="A3:F3"/>
    <mergeCell ref="H3:M3"/>
    <mergeCell ref="A40:F40"/>
    <mergeCell ref="H40:M40"/>
    <mergeCell ref="A10:A15"/>
    <mergeCell ref="A16:A20"/>
    <mergeCell ref="A21:A25"/>
    <mergeCell ref="A26:A28"/>
    <mergeCell ref="A31:A34"/>
    <mergeCell ref="A72:A73"/>
    <mergeCell ref="A75:A78"/>
    <mergeCell ref="A104:A105"/>
    <mergeCell ref="A116:A119"/>
    <mergeCell ref="A124:A125"/>
  </mergeCells>
  <hyperlinks>
    <hyperlink ref="B80" r:id="rId1" xr:uid="{00000000-0004-0000-0300-000000000000}"/>
    <hyperlink ref="B83" r:id="rId2" xr:uid="{00000000-0004-0000-0300-000001000000}"/>
    <hyperlink ref="B84" r:id="rId3" xr:uid="{00000000-0004-0000-0300-000002000000}"/>
    <hyperlink ref="B88" r:id="rId4" xr:uid="{00000000-0004-0000-0300-000003000000}"/>
    <hyperlink ref="B95" r:id="rId5" xr:uid="{00000000-0004-0000-0300-000004000000}"/>
    <hyperlink ref="B113" r:id="rId6" xr:uid="{00000000-0004-0000-0300-000005000000}"/>
    <hyperlink ref="B116" r:id="rId7" xr:uid="{00000000-0004-0000-0300-000006000000}"/>
    <hyperlink ref="B117" r:id="rId8" xr:uid="{00000000-0004-0000-0300-000007000000}"/>
  </hyperlinks>
  <pageMargins left="0.7" right="0.7" top="0.75" bottom="0.75" header="0.3" footer="0.3"/>
  <pageSetup paperSize="9" orientation="portrait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9"/>
  <sheetViews>
    <sheetView topLeftCell="A49" zoomScale="118" zoomScaleNormal="118" workbookViewId="0">
      <selection activeCell="C60" sqref="C60"/>
    </sheetView>
  </sheetViews>
  <sheetFormatPr baseColWidth="10" defaultColWidth="11.42578125" defaultRowHeight="15"/>
  <cols>
    <col min="1" max="1" width="17.5703125" customWidth="1"/>
    <col min="2" max="2" width="25.42578125" customWidth="1"/>
    <col min="3" max="3" width="15.7109375" customWidth="1"/>
    <col min="4" max="4" width="13.42578125" customWidth="1"/>
    <col min="5" max="6" width="13.7109375" bestFit="1" customWidth="1"/>
    <col min="7" max="8" width="12.140625" customWidth="1"/>
    <col min="9" max="9" width="25.42578125" customWidth="1"/>
    <col min="11" max="11" width="16.5703125" customWidth="1"/>
  </cols>
  <sheetData>
    <row r="1" spans="1:13">
      <c r="A1" s="48"/>
    </row>
    <row r="2" spans="1:13" ht="14.25" customHeight="1"/>
    <row r="3" spans="1:13">
      <c r="A3" s="744" t="s">
        <v>195</v>
      </c>
      <c r="B3" s="723"/>
      <c r="C3" s="723"/>
      <c r="D3" s="723"/>
      <c r="E3" s="723"/>
      <c r="F3" s="724"/>
      <c r="H3" s="2"/>
      <c r="I3" s="34"/>
      <c r="J3" s="34"/>
      <c r="K3" s="34"/>
      <c r="L3" s="34"/>
      <c r="M3" s="34"/>
    </row>
    <row r="4" spans="1:13">
      <c r="A4" s="189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190" t="s">
        <v>9</v>
      </c>
      <c r="B5" s="363" t="s">
        <v>99</v>
      </c>
      <c r="C5" s="192">
        <f>E45</f>
        <v>600000</v>
      </c>
      <c r="D5" s="192">
        <f>E51</f>
        <v>360000</v>
      </c>
      <c r="E5" s="192">
        <f>E57</f>
        <v>366666.66666666669</v>
      </c>
      <c r="F5" s="192">
        <f>E63</f>
        <v>188000</v>
      </c>
      <c r="H5" s="8"/>
      <c r="I5" s="8"/>
      <c r="J5" s="88"/>
      <c r="K5" s="88"/>
      <c r="L5" s="88"/>
      <c r="M5" s="89"/>
    </row>
    <row r="6" spans="1:13">
      <c r="A6" s="196" t="s">
        <v>11</v>
      </c>
      <c r="B6" s="197" t="s">
        <v>10</v>
      </c>
      <c r="C6" s="198">
        <f>E46</f>
        <v>390000</v>
      </c>
      <c r="D6" s="198">
        <f>E52</f>
        <v>307800</v>
      </c>
      <c r="E6" s="198">
        <f>E58</f>
        <v>275400</v>
      </c>
      <c r="F6" s="198">
        <f>E64</f>
        <v>194400</v>
      </c>
      <c r="H6" s="8"/>
      <c r="I6" s="8"/>
      <c r="J6" s="88"/>
      <c r="K6" s="88"/>
      <c r="L6" s="88"/>
      <c r="M6" s="89"/>
    </row>
    <row r="7" spans="1:13">
      <c r="A7" s="199" t="s">
        <v>98</v>
      </c>
      <c r="B7" s="200" t="s">
        <v>10</v>
      </c>
      <c r="C7" s="201">
        <f>E47</f>
        <v>834000</v>
      </c>
      <c r="D7" s="201">
        <f>E53</f>
        <v>417000</v>
      </c>
      <c r="E7" s="201">
        <f>E59</f>
        <v>346000</v>
      </c>
      <c r="F7" s="201">
        <f>E65</f>
        <v>144000</v>
      </c>
      <c r="H7" s="8"/>
      <c r="I7" s="8"/>
      <c r="J7" s="88"/>
      <c r="K7" s="88"/>
      <c r="L7" s="88"/>
      <c r="M7" s="88"/>
    </row>
    <row r="8" spans="1:13">
      <c r="A8" s="202" t="s">
        <v>12</v>
      </c>
      <c r="B8" s="364" t="s">
        <v>10</v>
      </c>
      <c r="C8" s="204">
        <f t="shared" ref="C8" si="0">E48</f>
        <v>960000</v>
      </c>
      <c r="D8" s="204">
        <f t="shared" ref="D8" si="1">E54</f>
        <v>480000</v>
      </c>
      <c r="E8" s="204">
        <f t="shared" ref="E8" si="2">E60</f>
        <v>420000</v>
      </c>
      <c r="F8" s="204">
        <f t="shared" ref="F8" si="3">E66</f>
        <v>105000</v>
      </c>
      <c r="H8" s="8"/>
      <c r="I8" s="8"/>
      <c r="J8" s="88"/>
      <c r="K8" s="88"/>
      <c r="L8" s="88"/>
      <c r="M8" s="89"/>
    </row>
    <row r="9" spans="1:13">
      <c r="A9" s="208" t="s">
        <v>196</v>
      </c>
      <c r="B9" s="209"/>
      <c r="C9" s="210">
        <f>SUM(C5:C8)</f>
        <v>2784000</v>
      </c>
      <c r="D9" s="210">
        <f>SUM(D5:D8)</f>
        <v>1564800</v>
      </c>
      <c r="E9" s="210">
        <f>SUM(E5:E8)</f>
        <v>1408066.6666666667</v>
      </c>
      <c r="F9" s="210">
        <f>SUM(F5:F8)</f>
        <v>631400</v>
      </c>
      <c r="H9" s="8"/>
      <c r="I9" s="8"/>
      <c r="J9" s="88"/>
      <c r="K9" s="88"/>
      <c r="L9" s="88"/>
      <c r="M9" s="89"/>
    </row>
    <row r="10" spans="1:13">
      <c r="A10" s="804" t="s">
        <v>9</v>
      </c>
      <c r="B10" s="211" t="s">
        <v>13</v>
      </c>
      <c r="C10" s="212">
        <f>(230000*2)/35</f>
        <v>13142.857142857143</v>
      </c>
      <c r="D10" s="212">
        <f>C10</f>
        <v>13142.857142857143</v>
      </c>
      <c r="E10" s="212">
        <f>C10</f>
        <v>13142.857142857143</v>
      </c>
      <c r="F10" s="212">
        <f>C10</f>
        <v>13142.857142857143</v>
      </c>
      <c r="H10" s="4"/>
      <c r="I10" s="8"/>
      <c r="J10" s="88"/>
      <c r="K10" s="88"/>
      <c r="L10" s="88"/>
      <c r="M10" s="88"/>
    </row>
    <row r="11" spans="1:13">
      <c r="A11" s="805"/>
      <c r="B11" s="211" t="s">
        <v>14</v>
      </c>
      <c r="C11" s="212">
        <f>240000/35</f>
        <v>6857.1428571428569</v>
      </c>
      <c r="D11" s="212">
        <f>C11</f>
        <v>6857.1428571428569</v>
      </c>
      <c r="E11" s="212">
        <f>C11</f>
        <v>6857.1428571428569</v>
      </c>
      <c r="F11" s="212">
        <f>C11</f>
        <v>6857.1428571428569</v>
      </c>
      <c r="H11" s="8"/>
      <c r="I11" s="8"/>
      <c r="J11" s="88"/>
      <c r="K11" s="88"/>
      <c r="L11" s="88"/>
      <c r="M11" s="88"/>
    </row>
    <row r="12" spans="1:13">
      <c r="A12" s="805"/>
      <c r="B12" s="213" t="s">
        <v>197</v>
      </c>
      <c r="C12" s="212">
        <v>50000</v>
      </c>
      <c r="D12" s="212">
        <v>50000</v>
      </c>
      <c r="E12" s="212">
        <v>50000</v>
      </c>
      <c r="F12" s="212">
        <v>40000</v>
      </c>
      <c r="H12" s="8"/>
      <c r="I12" s="8"/>
      <c r="J12" s="88"/>
      <c r="K12" s="88"/>
      <c r="L12" s="88"/>
      <c r="M12" s="88"/>
    </row>
    <row r="13" spans="1:13">
      <c r="A13" s="805"/>
      <c r="B13" s="365" t="s">
        <v>198</v>
      </c>
      <c r="C13" s="215">
        <f>E75</f>
        <v>109571.42857142858</v>
      </c>
      <c r="D13" s="215">
        <f t="shared" ref="D13:F13" si="4">F75</f>
        <v>109571.42857142858</v>
      </c>
      <c r="E13" s="215">
        <f t="shared" si="4"/>
        <v>109571.42857142858</v>
      </c>
      <c r="F13" s="215">
        <f t="shared" si="4"/>
        <v>94571.42857142858</v>
      </c>
      <c r="H13" s="8"/>
      <c r="I13" s="8"/>
      <c r="J13" s="88"/>
      <c r="K13" s="88"/>
      <c r="L13" s="88"/>
      <c r="M13" s="88"/>
    </row>
    <row r="14" spans="1:13">
      <c r="A14" s="805"/>
      <c r="B14" s="216" t="s">
        <v>199</v>
      </c>
      <c r="C14" s="217">
        <f>E80</f>
        <v>142571.42857142858</v>
      </c>
      <c r="D14" s="217">
        <f t="shared" ref="D14:F14" si="5">F80</f>
        <v>142571.42857142858</v>
      </c>
      <c r="E14" s="217">
        <f t="shared" si="5"/>
        <v>142571.42857142858</v>
      </c>
      <c r="F14" s="217">
        <f t="shared" si="5"/>
        <v>122571.42857142858</v>
      </c>
      <c r="H14" s="8"/>
      <c r="I14" s="8"/>
      <c r="J14" s="88"/>
      <c r="K14" s="88"/>
      <c r="L14" s="88"/>
      <c r="M14" s="88"/>
    </row>
    <row r="15" spans="1:13">
      <c r="A15" s="806"/>
      <c r="B15" s="216" t="s">
        <v>200</v>
      </c>
      <c r="C15" s="217">
        <f>540000/35</f>
        <v>15428.571428571429</v>
      </c>
      <c r="D15" s="215">
        <f>C15</f>
        <v>15428.571428571429</v>
      </c>
      <c r="E15" s="215">
        <f>C15</f>
        <v>15428.571428571429</v>
      </c>
      <c r="F15" s="215">
        <f>C15</f>
        <v>15428.571428571429</v>
      </c>
      <c r="H15" s="8"/>
      <c r="I15" s="8"/>
      <c r="J15" s="88"/>
      <c r="K15" s="88"/>
      <c r="L15" s="88"/>
      <c r="M15" s="88"/>
    </row>
    <row r="16" spans="1:13">
      <c r="A16" s="218" t="s">
        <v>201</v>
      </c>
      <c r="B16" s="219" t="s">
        <v>202</v>
      </c>
      <c r="C16" s="220">
        <f>E86</f>
        <v>97428.57142857142</v>
      </c>
      <c r="D16" s="220">
        <f>F86</f>
        <v>97428.57142857142</v>
      </c>
      <c r="E16" s="220">
        <f>G86</f>
        <v>97428.57142857142</v>
      </c>
      <c r="F16" s="220">
        <f>H86</f>
        <v>92428.57142857142</v>
      </c>
      <c r="H16" s="8"/>
      <c r="I16" s="8"/>
      <c r="J16" s="88"/>
      <c r="K16" s="88"/>
      <c r="L16" s="88"/>
      <c r="M16" s="88"/>
    </row>
    <row r="17" spans="1:13">
      <c r="A17" s="798" t="s">
        <v>11</v>
      </c>
      <c r="B17" s="222" t="s">
        <v>13</v>
      </c>
      <c r="C17" s="223">
        <f>1180000/35</f>
        <v>33714.285714285717</v>
      </c>
      <c r="D17" s="223">
        <f>C17</f>
        <v>33714.285714285717</v>
      </c>
      <c r="E17" s="223">
        <f>C17</f>
        <v>33714.285714285717</v>
      </c>
      <c r="F17" s="223">
        <f>C17</f>
        <v>33714.285714285717</v>
      </c>
      <c r="H17" s="4"/>
      <c r="I17" s="8"/>
      <c r="J17" s="88"/>
      <c r="K17" s="88"/>
      <c r="L17" s="88"/>
      <c r="M17" s="88"/>
    </row>
    <row r="18" spans="1:13">
      <c r="A18" s="799"/>
      <c r="B18" s="222" t="s">
        <v>14</v>
      </c>
      <c r="C18" s="223">
        <f>170000/35</f>
        <v>4857.1428571428569</v>
      </c>
      <c r="D18" s="223">
        <f>C18</f>
        <v>4857.1428571428569</v>
      </c>
      <c r="E18" s="223">
        <f>C18</f>
        <v>4857.1428571428569</v>
      </c>
      <c r="F18" s="223">
        <f>C18</f>
        <v>4857.1428571428569</v>
      </c>
      <c r="H18" s="8"/>
      <c r="I18" s="8"/>
      <c r="J18" s="88"/>
      <c r="K18" s="88"/>
      <c r="L18" s="88"/>
      <c r="M18" s="88"/>
    </row>
    <row r="19" spans="1:13">
      <c r="A19" s="799"/>
      <c r="B19" s="224" t="s">
        <v>102</v>
      </c>
      <c r="C19" s="223">
        <f>E91</f>
        <v>47000</v>
      </c>
      <c r="D19" s="223">
        <f>F91</f>
        <v>47000</v>
      </c>
      <c r="E19" s="223">
        <f>G91</f>
        <v>47000</v>
      </c>
      <c r="F19" s="223">
        <f>H91</f>
        <v>42000</v>
      </c>
      <c r="H19" s="8"/>
      <c r="I19" s="8"/>
      <c r="J19" s="88"/>
      <c r="K19" s="88"/>
      <c r="L19" s="88"/>
      <c r="M19" s="88"/>
    </row>
    <row r="20" spans="1:13">
      <c r="A20" s="799"/>
      <c r="B20" s="225" t="s">
        <v>17</v>
      </c>
      <c r="C20" s="223">
        <f>E93</f>
        <v>50000</v>
      </c>
      <c r="D20" s="223">
        <f>F93</f>
        <v>50000</v>
      </c>
      <c r="E20" s="223">
        <f>G93</f>
        <v>50000</v>
      </c>
      <c r="F20" s="223">
        <f>H93</f>
        <v>40000</v>
      </c>
      <c r="H20" s="8"/>
      <c r="I20" s="8"/>
      <c r="J20" s="88"/>
      <c r="K20" s="88"/>
      <c r="L20" s="88"/>
      <c r="M20" s="88"/>
    </row>
    <row r="21" spans="1:13">
      <c r="A21" s="799"/>
      <c r="B21" s="226" t="s">
        <v>203</v>
      </c>
      <c r="C21" s="227">
        <f>E96</f>
        <v>65714.28571428571</v>
      </c>
      <c r="D21" s="227">
        <f t="shared" ref="D21:F21" si="6">F96</f>
        <v>65714.28571428571</v>
      </c>
      <c r="E21" s="227">
        <f t="shared" si="6"/>
        <v>65714.28571428571</v>
      </c>
      <c r="F21" s="227">
        <f t="shared" si="6"/>
        <v>65714.28571428571</v>
      </c>
      <c r="H21" s="8"/>
      <c r="I21" s="90"/>
      <c r="J21" s="88"/>
      <c r="K21" s="88"/>
      <c r="L21" s="88"/>
      <c r="M21" s="88"/>
    </row>
    <row r="22" spans="1:13">
      <c r="A22" s="799"/>
      <c r="B22" s="228" t="s">
        <v>18</v>
      </c>
      <c r="C22" s="227">
        <f>E101</f>
        <v>72571.42857142858</v>
      </c>
      <c r="D22" s="223">
        <f>F101</f>
        <v>72571.42857142858</v>
      </c>
      <c r="E22" s="223">
        <f>G101</f>
        <v>72571.42857142858</v>
      </c>
      <c r="F22" s="223">
        <f>H101</f>
        <v>62571.428571428572</v>
      </c>
      <c r="H22" s="8"/>
      <c r="I22" s="90"/>
      <c r="J22" s="88"/>
      <c r="K22" s="88"/>
      <c r="L22" s="88"/>
      <c r="M22" s="88"/>
    </row>
    <row r="23" spans="1:13">
      <c r="A23" s="800"/>
      <c r="B23" s="226" t="s">
        <v>200</v>
      </c>
      <c r="C23" s="227">
        <f>1020000/35</f>
        <v>29142.857142857141</v>
      </c>
      <c r="D23" s="227">
        <f>C23</f>
        <v>29142.857142857141</v>
      </c>
      <c r="E23" s="227">
        <f>C23</f>
        <v>29142.857142857141</v>
      </c>
      <c r="F23" s="227">
        <f>C23</f>
        <v>29142.857142857141</v>
      </c>
      <c r="H23" s="8"/>
      <c r="I23" s="90"/>
      <c r="J23" s="88"/>
      <c r="K23" s="88"/>
      <c r="L23" s="88"/>
      <c r="M23" s="88"/>
    </row>
    <row r="24" spans="1:13">
      <c r="A24" s="801" t="s">
        <v>98</v>
      </c>
      <c r="B24" s="229" t="s">
        <v>204</v>
      </c>
      <c r="C24" s="230">
        <f>760000/35</f>
        <v>21714.285714285714</v>
      </c>
      <c r="D24" s="230">
        <f>C24</f>
        <v>21714.285714285714</v>
      </c>
      <c r="E24" s="230">
        <f>C24</f>
        <v>21714.285714285714</v>
      </c>
      <c r="F24" s="230">
        <f>C24</f>
        <v>21714.285714285714</v>
      </c>
      <c r="H24" s="8"/>
      <c r="I24" s="90"/>
      <c r="J24" s="88"/>
      <c r="K24" s="88"/>
      <c r="L24" s="88"/>
      <c r="M24" s="88"/>
    </row>
    <row r="25" spans="1:13">
      <c r="A25" s="802"/>
      <c r="B25" s="229" t="s">
        <v>205</v>
      </c>
      <c r="C25" s="230">
        <f>E108</f>
        <v>88785.71428571429</v>
      </c>
      <c r="D25" s="230">
        <f>F108</f>
        <v>88785.71428571429</v>
      </c>
      <c r="E25" s="230">
        <f>G108</f>
        <v>88785.71428571429</v>
      </c>
      <c r="F25" s="231">
        <f>H108</f>
        <v>68785.71428571429</v>
      </c>
      <c r="H25" s="8"/>
      <c r="I25" s="90"/>
      <c r="J25" s="88"/>
      <c r="K25" s="88"/>
      <c r="L25" s="88"/>
      <c r="M25" s="88"/>
    </row>
    <row r="26" spans="1:13">
      <c r="A26" s="802"/>
      <c r="B26" s="232" t="s">
        <v>106</v>
      </c>
      <c r="C26" s="230">
        <f>E116</f>
        <v>74714.28571428571</v>
      </c>
      <c r="D26" s="230">
        <f>F116</f>
        <v>74714.28571428571</v>
      </c>
      <c r="E26" s="230">
        <f>G116</f>
        <v>74714.28571428571</v>
      </c>
      <c r="F26" s="231">
        <v>0</v>
      </c>
      <c r="H26" s="8"/>
      <c r="I26" s="90"/>
      <c r="J26" s="88"/>
      <c r="K26" s="88"/>
      <c r="L26" s="88"/>
      <c r="M26" s="88"/>
    </row>
    <row r="27" spans="1:13">
      <c r="A27" s="802"/>
      <c r="B27" s="232" t="s">
        <v>105</v>
      </c>
      <c r="C27" s="230">
        <f>E113</f>
        <v>107142.85714285714</v>
      </c>
      <c r="D27" s="230">
        <f>F113</f>
        <v>107142.85714285714</v>
      </c>
      <c r="E27" s="230">
        <f>G113</f>
        <v>107142.85714285714</v>
      </c>
      <c r="F27" s="231">
        <f>H113</f>
        <v>92142.857142857145</v>
      </c>
      <c r="H27" s="8"/>
      <c r="I27" s="90"/>
      <c r="J27" s="88"/>
      <c r="K27" s="88"/>
      <c r="L27" s="88"/>
      <c r="M27" s="88"/>
    </row>
    <row r="28" spans="1:13">
      <c r="A28" s="802"/>
      <c r="B28" s="229" t="s">
        <v>107</v>
      </c>
      <c r="C28" s="233">
        <f t="shared" ref="C28:F28" si="7">E117</f>
        <v>230000</v>
      </c>
      <c r="D28" s="233">
        <f t="shared" si="7"/>
        <v>230000</v>
      </c>
      <c r="E28" s="233">
        <f t="shared" si="7"/>
        <v>230000</v>
      </c>
      <c r="F28" s="233">
        <f t="shared" si="7"/>
        <v>230000</v>
      </c>
      <c r="H28" s="8"/>
      <c r="I28" s="90"/>
      <c r="J28" s="88"/>
      <c r="K28" s="88"/>
      <c r="L28" s="88"/>
      <c r="M28" s="88"/>
    </row>
    <row r="29" spans="1:13">
      <c r="A29" s="803"/>
      <c r="B29" s="229" t="s">
        <v>200</v>
      </c>
      <c r="C29" s="233">
        <f>1020000/35</f>
        <v>29142.857142857141</v>
      </c>
      <c r="D29" s="233">
        <f>C29</f>
        <v>29142.857142857141</v>
      </c>
      <c r="E29" s="233">
        <f>C29</f>
        <v>29142.857142857141</v>
      </c>
      <c r="F29" s="233">
        <f>C29</f>
        <v>29142.857142857141</v>
      </c>
      <c r="H29" s="8"/>
      <c r="I29" s="90"/>
      <c r="J29" s="88"/>
      <c r="K29" s="88"/>
      <c r="L29" s="88"/>
      <c r="M29" s="88"/>
    </row>
    <row r="30" spans="1:13" ht="15" customHeight="1">
      <c r="A30" s="807" t="s">
        <v>12</v>
      </c>
      <c r="B30" s="234" t="s">
        <v>20</v>
      </c>
      <c r="C30" s="366">
        <f>460000/35</f>
        <v>13142.857142857143</v>
      </c>
      <c r="D30" s="367">
        <f>C30</f>
        <v>13142.857142857143</v>
      </c>
      <c r="E30" s="367">
        <f>C30</f>
        <v>13142.857142857143</v>
      </c>
      <c r="F30" s="367">
        <f>C30</f>
        <v>13142.857142857143</v>
      </c>
      <c r="H30" s="31"/>
      <c r="I30" s="91"/>
      <c r="J30" s="92"/>
      <c r="K30" s="88"/>
      <c r="L30" s="88"/>
      <c r="M30" s="88"/>
    </row>
    <row r="31" spans="1:13">
      <c r="A31" s="808"/>
      <c r="B31" s="236" t="s">
        <v>21</v>
      </c>
      <c r="C31" s="368">
        <f>140000/35</f>
        <v>4000</v>
      </c>
      <c r="D31" s="368">
        <f>C31</f>
        <v>4000</v>
      </c>
      <c r="E31" s="368">
        <f>C31</f>
        <v>4000</v>
      </c>
      <c r="F31" s="368">
        <f>C31</f>
        <v>4000</v>
      </c>
      <c r="H31" s="34"/>
      <c r="I31" s="91"/>
      <c r="J31" s="92"/>
      <c r="K31" s="88"/>
      <c r="L31" s="88"/>
      <c r="M31" s="88"/>
    </row>
    <row r="32" spans="1:13">
      <c r="A32" s="808"/>
      <c r="B32" s="236" t="s">
        <v>41</v>
      </c>
      <c r="C32" s="368">
        <v>55000</v>
      </c>
      <c r="D32" s="369">
        <v>55000</v>
      </c>
      <c r="E32" s="369">
        <v>55000</v>
      </c>
      <c r="F32" s="369">
        <v>39000</v>
      </c>
      <c r="H32" s="34"/>
      <c r="I32" s="91"/>
      <c r="J32" s="92"/>
      <c r="K32" s="88"/>
      <c r="L32" s="88"/>
      <c r="M32" s="88"/>
    </row>
    <row r="33" spans="1:13">
      <c r="A33" s="808"/>
      <c r="B33" s="238" t="s">
        <v>155</v>
      </c>
      <c r="C33" s="239">
        <f>E124</f>
        <v>101428.57142857142</v>
      </c>
      <c r="D33" s="240">
        <f>F124</f>
        <v>101428.57142857142</v>
      </c>
      <c r="E33" s="240">
        <f>G124</f>
        <v>101428.57142857142</v>
      </c>
      <c r="F33" s="240">
        <f>H124</f>
        <v>45428.571428571428</v>
      </c>
      <c r="H33" s="34"/>
      <c r="I33" s="8"/>
      <c r="J33" s="88"/>
      <c r="K33" s="88"/>
      <c r="L33" s="88"/>
      <c r="M33" s="88"/>
    </row>
    <row r="34" spans="1:13">
      <c r="A34" s="808"/>
      <c r="B34" s="700" t="s">
        <v>185</v>
      </c>
      <c r="C34" s="701">
        <f>E129</f>
        <v>83714.28571428571</v>
      </c>
      <c r="D34" s="701">
        <f>C34</f>
        <v>83714.28571428571</v>
      </c>
      <c r="E34" s="701">
        <f>C34</f>
        <v>83714.28571428571</v>
      </c>
      <c r="F34" s="701">
        <f>H129</f>
        <v>73714.28571428571</v>
      </c>
      <c r="H34" s="34"/>
      <c r="I34" s="8"/>
      <c r="J34" s="88"/>
      <c r="K34" s="88"/>
      <c r="L34" s="88"/>
      <c r="M34" s="88"/>
    </row>
    <row r="35" spans="1:13">
      <c r="A35" s="809"/>
      <c r="B35" s="702" t="s">
        <v>207</v>
      </c>
      <c r="C35" s="701">
        <f>1360000/35</f>
        <v>38857.142857142855</v>
      </c>
      <c r="D35" s="701">
        <f>C35</f>
        <v>38857.142857142855</v>
      </c>
      <c r="E35" s="701">
        <f>C35</f>
        <v>38857.142857142855</v>
      </c>
      <c r="F35" s="701">
        <f>C35</f>
        <v>38857.142857142855</v>
      </c>
      <c r="H35" s="34"/>
      <c r="I35" s="8"/>
      <c r="J35" s="88"/>
      <c r="K35" s="88"/>
      <c r="L35" s="88"/>
      <c r="M35" s="88"/>
    </row>
    <row r="36" spans="1:13">
      <c r="A36" s="698" t="s">
        <v>206</v>
      </c>
      <c r="B36" s="697" t="s">
        <v>159</v>
      </c>
      <c r="C36" s="242">
        <f>E126</f>
        <v>187000</v>
      </c>
      <c r="D36" s="242">
        <f>F126</f>
        <v>187000</v>
      </c>
      <c r="E36" s="242">
        <f>G126</f>
        <v>187000</v>
      </c>
      <c r="F36" s="242">
        <f>H126</f>
        <v>132000</v>
      </c>
      <c r="H36" s="694"/>
      <c r="I36" s="8"/>
      <c r="J36" s="88"/>
      <c r="K36" s="88"/>
      <c r="L36" s="88"/>
      <c r="M36" s="88"/>
    </row>
    <row r="37" spans="1:13">
      <c r="A37" s="699" t="s">
        <v>259</v>
      </c>
      <c r="B37" s="243" t="s">
        <v>111</v>
      </c>
      <c r="C37" s="244">
        <v>25000</v>
      </c>
      <c r="D37" s="244">
        <v>25000</v>
      </c>
      <c r="E37" s="244">
        <v>25000</v>
      </c>
      <c r="F37" s="244">
        <v>25000</v>
      </c>
      <c r="H37" s="34"/>
      <c r="I37" s="8"/>
      <c r="J37" s="88"/>
      <c r="K37" s="88"/>
      <c r="L37" s="88"/>
      <c r="M37" s="88"/>
    </row>
    <row r="38" spans="1:13">
      <c r="A38" s="42"/>
      <c r="B38" s="304" t="s">
        <v>25</v>
      </c>
      <c r="C38" s="370">
        <f>SUM(C9:C37)</f>
        <v>4581642.8571428582</v>
      </c>
      <c r="D38" s="246">
        <f>SUM(D9:D37)</f>
        <v>3362442.8571428582</v>
      </c>
      <c r="E38" s="246">
        <f>SUM(E9:E37)</f>
        <v>3205709.5238095247</v>
      </c>
      <c r="F38" s="246">
        <f>SUM(F9:F37)</f>
        <v>2107328.5714285714</v>
      </c>
      <c r="H38" s="4"/>
      <c r="I38" s="8"/>
      <c r="J38" s="88"/>
      <c r="K38" s="88"/>
      <c r="L38" s="88"/>
      <c r="M38" s="88"/>
    </row>
    <row r="39" spans="1:13">
      <c r="A39" s="45" t="s">
        <v>112</v>
      </c>
      <c r="B39" s="247">
        <v>0.8</v>
      </c>
      <c r="C39" s="47">
        <f>C38/B39</f>
        <v>5727053.5714285728</v>
      </c>
      <c r="D39" s="47">
        <f>D38/B39</f>
        <v>4203053.5714285728</v>
      </c>
      <c r="E39" s="47">
        <f>E38/B39</f>
        <v>4007136.9047619058</v>
      </c>
      <c r="F39" s="47">
        <f>F38/B39</f>
        <v>2634160.7142857141</v>
      </c>
      <c r="H39" s="8"/>
      <c r="I39" s="4"/>
      <c r="J39" s="89"/>
      <c r="K39" s="89"/>
      <c r="L39" s="89"/>
      <c r="M39" s="89"/>
    </row>
    <row r="40" spans="1:13">
      <c r="A40" s="48" t="s">
        <v>113</v>
      </c>
      <c r="B40" s="49">
        <v>3150</v>
      </c>
      <c r="C40" s="50">
        <f>C39/B40</f>
        <v>1818.1122448979595</v>
      </c>
      <c r="D40" s="50">
        <f>D39/B40</f>
        <v>1334.3027210884359</v>
      </c>
      <c r="E40" s="50">
        <f>E39/B40</f>
        <v>1272.1069538926686</v>
      </c>
      <c r="F40" s="50">
        <f>F39/B40</f>
        <v>836.2414965986394</v>
      </c>
      <c r="H40" s="51"/>
      <c r="I40" s="51"/>
      <c r="J40" s="51"/>
      <c r="K40" s="51"/>
      <c r="L40" s="51"/>
      <c r="M40" s="51"/>
    </row>
    <row r="41" spans="1:13">
      <c r="H41" s="51"/>
      <c r="I41" s="51"/>
      <c r="J41" s="51"/>
      <c r="K41" s="51"/>
      <c r="L41" s="51"/>
      <c r="M41" s="51"/>
    </row>
    <row r="42" spans="1:13">
      <c r="A42" s="725" t="s">
        <v>28</v>
      </c>
      <c r="B42" s="723"/>
      <c r="C42" s="723"/>
      <c r="D42" s="723"/>
      <c r="E42" s="723"/>
      <c r="F42" s="724"/>
      <c r="H42" s="766"/>
      <c r="I42" s="767"/>
      <c r="J42" s="767"/>
      <c r="K42" s="767"/>
      <c r="L42" s="767"/>
      <c r="M42" s="767"/>
    </row>
    <row r="43" spans="1:13">
      <c r="H43" s="51"/>
      <c r="I43" s="51"/>
      <c r="J43" s="51"/>
      <c r="K43" s="51"/>
      <c r="L43" s="51"/>
      <c r="M43" s="51"/>
    </row>
    <row r="44" spans="1:13">
      <c r="B44" s="52" t="s">
        <v>30</v>
      </c>
      <c r="C44" s="53" t="s">
        <v>5</v>
      </c>
      <c r="D44" s="53">
        <f>SUM(D45:D48)</f>
        <v>13</v>
      </c>
      <c r="E44" s="53" t="s">
        <v>32</v>
      </c>
      <c r="H44" s="51"/>
      <c r="I44" s="4"/>
      <c r="J44" s="4"/>
      <c r="K44" s="4"/>
      <c r="L44" s="4"/>
      <c r="M44" s="51"/>
    </row>
    <row r="45" spans="1:13">
      <c r="B45" s="248" t="s">
        <v>208</v>
      </c>
      <c r="C45" s="249">
        <v>150000</v>
      </c>
      <c r="D45" s="250">
        <v>4</v>
      </c>
      <c r="E45" s="251">
        <f t="shared" ref="E45:E48" si="8">D45*C45</f>
        <v>600000</v>
      </c>
      <c r="H45" s="51"/>
      <c r="I45" s="93"/>
      <c r="J45" s="8"/>
      <c r="K45" s="8"/>
      <c r="L45" s="8"/>
      <c r="M45" s="51"/>
    </row>
    <row r="46" spans="1:13">
      <c r="B46" s="248" t="s">
        <v>209</v>
      </c>
      <c r="C46" s="249">
        <v>130000</v>
      </c>
      <c r="D46" s="250">
        <v>3</v>
      </c>
      <c r="E46" s="251">
        <f t="shared" si="8"/>
        <v>390000</v>
      </c>
      <c r="H46" s="51"/>
      <c r="I46" s="91"/>
      <c r="J46" s="8"/>
      <c r="K46" s="8"/>
      <c r="L46" s="8"/>
      <c r="M46" s="51"/>
    </row>
    <row r="47" spans="1:13">
      <c r="B47" s="248" t="s">
        <v>210</v>
      </c>
      <c r="C47" s="249">
        <v>278000</v>
      </c>
      <c r="D47" s="250">
        <v>3</v>
      </c>
      <c r="E47" s="251">
        <f>C47*D47</f>
        <v>834000</v>
      </c>
      <c r="H47" s="51"/>
      <c r="I47" s="91"/>
      <c r="J47" s="8"/>
      <c r="K47" s="8"/>
      <c r="L47" s="8"/>
      <c r="M47" s="51"/>
    </row>
    <row r="48" spans="1:13">
      <c r="B48" s="248" t="s">
        <v>41</v>
      </c>
      <c r="C48" s="249">
        <v>320000</v>
      </c>
      <c r="D48" s="250">
        <v>3</v>
      </c>
      <c r="E48" s="251">
        <f t="shared" si="8"/>
        <v>960000</v>
      </c>
      <c r="F48">
        <v>340000</v>
      </c>
      <c r="H48" s="51"/>
      <c r="I48" s="91"/>
      <c r="J48" s="8"/>
      <c r="K48" s="8"/>
      <c r="L48" s="8"/>
      <c r="M48" s="51"/>
    </row>
    <row r="49" spans="2:13">
      <c r="H49" s="51"/>
      <c r="I49" s="51"/>
      <c r="J49" s="51"/>
      <c r="K49" s="51"/>
      <c r="L49" s="51"/>
      <c r="M49" s="51"/>
    </row>
    <row r="50" spans="2:13">
      <c r="B50" s="53" t="s">
        <v>30</v>
      </c>
      <c r="C50" s="53" t="s">
        <v>6</v>
      </c>
      <c r="D50" s="53">
        <f>SUM(D51:D54)</f>
        <v>13</v>
      </c>
      <c r="E50" s="53" t="s">
        <v>32</v>
      </c>
      <c r="H50" s="51"/>
      <c r="I50" s="4"/>
      <c r="J50" s="4"/>
      <c r="K50" s="4"/>
      <c r="L50" s="4"/>
      <c r="M50" s="51"/>
    </row>
    <row r="51" spans="2:13">
      <c r="B51" s="254" t="s">
        <v>208</v>
      </c>
      <c r="C51" s="255">
        <f>180000/2</f>
        <v>90000</v>
      </c>
      <c r="D51" s="250">
        <v>4</v>
      </c>
      <c r="E51" s="251">
        <f t="shared" ref="E51:E54" si="9">D51*C51</f>
        <v>360000</v>
      </c>
      <c r="H51" s="51"/>
      <c r="I51" s="93"/>
      <c r="J51" s="8"/>
      <c r="K51" s="8"/>
      <c r="L51" s="8"/>
      <c r="M51" s="51"/>
    </row>
    <row r="52" spans="2:13">
      <c r="B52" s="254" t="s">
        <v>209</v>
      </c>
      <c r="C52" s="255">
        <f>205200/2</f>
        <v>102600</v>
      </c>
      <c r="D52" s="250">
        <v>3</v>
      </c>
      <c r="E52" s="251">
        <f t="shared" si="9"/>
        <v>307800</v>
      </c>
      <c r="H52" s="51"/>
      <c r="I52" s="91"/>
      <c r="J52" s="94"/>
      <c r="K52" s="8"/>
      <c r="L52" s="94"/>
      <c r="M52" s="51"/>
    </row>
    <row r="53" spans="2:13">
      <c r="B53" s="254" t="s">
        <v>210</v>
      </c>
      <c r="C53" s="249">
        <f>278000/2</f>
        <v>139000</v>
      </c>
      <c r="D53" s="250">
        <v>3</v>
      </c>
      <c r="E53" s="251">
        <f>C53*D53</f>
        <v>417000</v>
      </c>
      <c r="H53" s="51"/>
      <c r="I53" s="91"/>
      <c r="J53" s="8"/>
      <c r="K53" s="8"/>
      <c r="L53" s="8"/>
      <c r="M53" s="51"/>
    </row>
    <row r="54" spans="2:13">
      <c r="B54" s="704" t="s">
        <v>41</v>
      </c>
      <c r="C54" s="256">
        <f>320000/2</f>
        <v>160000</v>
      </c>
      <c r="D54" s="250">
        <v>3</v>
      </c>
      <c r="E54" s="251">
        <f t="shared" si="9"/>
        <v>480000</v>
      </c>
      <c r="F54">
        <v>185000</v>
      </c>
      <c r="H54" s="51"/>
      <c r="I54" s="91"/>
      <c r="J54" s="8"/>
      <c r="K54" s="8"/>
      <c r="L54" s="8"/>
      <c r="M54" s="51"/>
    </row>
    <row r="55" spans="2:13">
      <c r="H55" s="51"/>
      <c r="I55" s="51"/>
      <c r="J55" s="51"/>
      <c r="K55" s="51"/>
      <c r="L55" s="51"/>
      <c r="M55" s="51"/>
    </row>
    <row r="56" spans="2:13">
      <c r="B56" s="53" t="s">
        <v>30</v>
      </c>
      <c r="C56" s="53" t="s">
        <v>7</v>
      </c>
      <c r="D56" s="53">
        <f>SUM(D57:D60)</f>
        <v>13</v>
      </c>
      <c r="E56" s="53" t="s">
        <v>32</v>
      </c>
      <c r="H56" s="51"/>
      <c r="I56" s="4"/>
      <c r="J56" s="4"/>
      <c r="K56" s="4"/>
      <c r="L56" s="4"/>
      <c r="M56" s="51"/>
    </row>
    <row r="57" spans="2:13">
      <c r="B57" s="254" t="s">
        <v>208</v>
      </c>
      <c r="C57" s="257">
        <f>(180000+95000)/3</f>
        <v>91666.666666666672</v>
      </c>
      <c r="D57" s="250">
        <v>4</v>
      </c>
      <c r="E57" s="251">
        <f t="shared" ref="E57:E58" si="10">D57*C57</f>
        <v>366666.66666666669</v>
      </c>
      <c r="H57" s="51"/>
      <c r="I57" s="93"/>
      <c r="J57" s="8"/>
      <c r="K57" s="8"/>
      <c r="L57" s="8"/>
      <c r="M57" s="51"/>
    </row>
    <row r="58" spans="2:13">
      <c r="B58" s="254" t="s">
        <v>209</v>
      </c>
      <c r="C58" s="255">
        <f>275400/3</f>
        <v>91800</v>
      </c>
      <c r="D58" s="250">
        <v>3</v>
      </c>
      <c r="E58" s="251">
        <f t="shared" si="10"/>
        <v>275400</v>
      </c>
      <c r="H58" s="51"/>
      <c r="I58" s="91"/>
      <c r="J58" s="94"/>
      <c r="K58" s="8"/>
      <c r="L58" s="8"/>
      <c r="M58" s="51"/>
    </row>
    <row r="59" spans="2:13">
      <c r="B59" s="254" t="s">
        <v>210</v>
      </c>
      <c r="C59" s="258">
        <f>346000/3</f>
        <v>115333.33333333333</v>
      </c>
      <c r="D59" s="250">
        <v>3</v>
      </c>
      <c r="E59" s="251">
        <f>C59*D59</f>
        <v>346000</v>
      </c>
      <c r="H59" s="51"/>
      <c r="I59" s="91"/>
      <c r="J59" s="8"/>
      <c r="K59" s="8"/>
      <c r="L59" s="8"/>
      <c r="M59" s="51"/>
    </row>
    <row r="60" spans="2:13">
      <c r="B60" s="705" t="s">
        <v>41</v>
      </c>
      <c r="C60" s="260">
        <f>420000/3</f>
        <v>140000</v>
      </c>
      <c r="D60" s="261">
        <v>3</v>
      </c>
      <c r="E60" s="251">
        <f>C60*D60</f>
        <v>420000</v>
      </c>
      <c r="F60">
        <v>148333</v>
      </c>
      <c r="H60" s="51"/>
      <c r="I60" s="91"/>
      <c r="J60" s="8"/>
      <c r="K60" s="8"/>
      <c r="L60" s="8"/>
      <c r="M60" s="51"/>
    </row>
    <row r="61" spans="2:13">
      <c r="B61" s="59"/>
      <c r="C61" s="59"/>
      <c r="D61" s="59"/>
      <c r="E61" s="59"/>
      <c r="H61" s="51"/>
      <c r="I61" s="8"/>
      <c r="J61" s="8"/>
      <c r="K61" s="8"/>
      <c r="L61" s="8"/>
      <c r="M61" s="51"/>
    </row>
    <row r="62" spans="2:13">
      <c r="B62" s="53" t="s">
        <v>30</v>
      </c>
      <c r="C62" s="53" t="s">
        <v>8</v>
      </c>
      <c r="D62" s="53">
        <f>SUM(D63:D66)</f>
        <v>13</v>
      </c>
      <c r="E62" s="53" t="s">
        <v>32</v>
      </c>
      <c r="H62" s="51"/>
      <c r="I62" s="4"/>
      <c r="J62" s="4"/>
      <c r="K62" s="4"/>
      <c r="L62" s="4"/>
      <c r="M62" s="51"/>
    </row>
    <row r="63" spans="2:13">
      <c r="B63" s="262" t="s">
        <v>208</v>
      </c>
      <c r="C63" s="263">
        <v>47000</v>
      </c>
      <c r="D63" s="264">
        <v>4</v>
      </c>
      <c r="E63" s="265">
        <f>D63*C63</f>
        <v>188000</v>
      </c>
      <c r="H63" s="51"/>
      <c r="I63" s="93"/>
      <c r="J63" s="8"/>
      <c r="K63" s="8"/>
      <c r="L63" s="8"/>
      <c r="M63" s="51"/>
    </row>
    <row r="64" spans="2:13">
      <c r="B64" s="262" t="s">
        <v>209</v>
      </c>
      <c r="C64" s="263">
        <v>64800</v>
      </c>
      <c r="D64" s="264">
        <v>3</v>
      </c>
      <c r="E64" s="265">
        <f t="shared" ref="E64:E66" si="11">C64*D64</f>
        <v>194400</v>
      </c>
      <c r="H64" s="51"/>
      <c r="I64" s="91"/>
      <c r="J64" s="94"/>
      <c r="K64" s="8"/>
      <c r="L64" s="8"/>
      <c r="M64" s="51"/>
    </row>
    <row r="65" spans="1:21">
      <c r="B65" s="262" t="s">
        <v>263</v>
      </c>
      <c r="C65" s="266">
        <v>48000</v>
      </c>
      <c r="D65" s="264">
        <v>3</v>
      </c>
      <c r="E65" s="265">
        <f t="shared" si="11"/>
        <v>144000</v>
      </c>
      <c r="H65" s="51"/>
      <c r="I65" s="91"/>
      <c r="J65" s="8"/>
      <c r="K65" s="8"/>
      <c r="L65" s="8"/>
      <c r="M65" s="51"/>
    </row>
    <row r="66" spans="1:21" ht="30">
      <c r="B66" s="267" t="s">
        <v>262</v>
      </c>
      <c r="C66" s="268">
        <v>35000</v>
      </c>
      <c r="D66" s="264">
        <v>3</v>
      </c>
      <c r="E66" s="265">
        <f t="shared" si="11"/>
        <v>105000</v>
      </c>
      <c r="H66" s="51"/>
      <c r="I66" s="91"/>
      <c r="J66" s="8"/>
      <c r="K66" s="8"/>
      <c r="L66" s="8"/>
      <c r="M66" s="51"/>
    </row>
    <row r="68" spans="1:21">
      <c r="A68" s="269" t="s">
        <v>3</v>
      </c>
      <c r="B68" s="269" t="s">
        <v>44</v>
      </c>
      <c r="C68" s="269" t="s">
        <v>46</v>
      </c>
      <c r="D68" s="269" t="s">
        <v>45</v>
      </c>
      <c r="E68" s="269" t="s">
        <v>5</v>
      </c>
      <c r="F68" s="269" t="s">
        <v>6</v>
      </c>
      <c r="G68" s="269" t="s">
        <v>7</v>
      </c>
      <c r="H68" s="269" t="s">
        <v>8</v>
      </c>
    </row>
    <row r="69" spans="1:21">
      <c r="A69" s="270" t="s">
        <v>9</v>
      </c>
      <c r="B69" s="70"/>
      <c r="C69" s="70"/>
      <c r="D69" s="70"/>
      <c r="E69" s="70"/>
      <c r="F69" s="70"/>
      <c r="G69" s="70"/>
      <c r="H69" s="70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</row>
    <row r="70" spans="1:21" s="1" customFormat="1" ht="15" customHeight="1">
      <c r="A70" s="784" t="s">
        <v>212</v>
      </c>
      <c r="B70" s="271" t="s">
        <v>170</v>
      </c>
      <c r="C70" s="271" t="s">
        <v>49</v>
      </c>
      <c r="D70" s="271" t="s">
        <v>129</v>
      </c>
      <c r="E70" s="272">
        <f>900000/35</f>
        <v>25714.285714285714</v>
      </c>
      <c r="F70" s="272">
        <f>E70</f>
        <v>25714.285714285714</v>
      </c>
      <c r="G70" s="272">
        <f>E70</f>
        <v>25714.285714285714</v>
      </c>
      <c r="H70" s="272">
        <f>E70</f>
        <v>25714.285714285714</v>
      </c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</row>
    <row r="71" spans="1:21" ht="15" customHeight="1">
      <c r="A71" s="785"/>
      <c r="B71" s="273" t="s">
        <v>50</v>
      </c>
      <c r="C71" s="274" t="s">
        <v>122</v>
      </c>
      <c r="D71" s="273" t="s">
        <v>52</v>
      </c>
      <c r="E71" s="275">
        <f>240000/35</f>
        <v>6857.1428571428569</v>
      </c>
      <c r="F71" s="275">
        <f>E71</f>
        <v>6857.1428571428569</v>
      </c>
      <c r="G71" s="275">
        <f>E71</f>
        <v>6857.1428571428569</v>
      </c>
      <c r="H71" s="275">
        <f>E71</f>
        <v>6857.1428571428569</v>
      </c>
    </row>
    <row r="72" spans="1:21" ht="15" customHeight="1">
      <c r="A72" s="785"/>
      <c r="B72" s="276" t="s">
        <v>213</v>
      </c>
      <c r="C72" s="274" t="s">
        <v>214</v>
      </c>
      <c r="D72" s="273" t="s">
        <v>57</v>
      </c>
      <c r="E72" s="277">
        <v>50000</v>
      </c>
      <c r="F72" s="277">
        <f>E72</f>
        <v>50000</v>
      </c>
      <c r="G72" s="277">
        <f>E72</f>
        <v>50000</v>
      </c>
      <c r="H72" s="277">
        <v>40000</v>
      </c>
    </row>
    <row r="73" spans="1:21" ht="15" customHeight="1">
      <c r="A73" s="785"/>
      <c r="B73" s="278" t="s">
        <v>62</v>
      </c>
      <c r="C73" s="274" t="s">
        <v>64</v>
      </c>
      <c r="D73" s="273" t="s">
        <v>54</v>
      </c>
      <c r="E73" s="277">
        <v>5000</v>
      </c>
      <c r="F73" s="277">
        <f>E73</f>
        <v>5000</v>
      </c>
      <c r="G73" s="277">
        <f>E73</f>
        <v>5000</v>
      </c>
      <c r="H73" s="277">
        <f>F73</f>
        <v>5000</v>
      </c>
    </row>
    <row r="74" spans="1:21" ht="15" customHeight="1">
      <c r="A74" s="786"/>
      <c r="B74" s="278" t="s">
        <v>65</v>
      </c>
      <c r="C74" s="274" t="s">
        <v>64</v>
      </c>
      <c r="D74" s="273" t="s">
        <v>54</v>
      </c>
      <c r="E74" s="277">
        <v>22000</v>
      </c>
      <c r="F74" s="277">
        <f>E74</f>
        <v>22000</v>
      </c>
      <c r="G74" s="277">
        <f>E74</f>
        <v>22000</v>
      </c>
      <c r="H74" s="277">
        <v>17000</v>
      </c>
    </row>
    <row r="75" spans="1:21" ht="15" customHeight="1">
      <c r="A75" s="279"/>
      <c r="B75" s="280" t="s">
        <v>58</v>
      </c>
      <c r="C75" s="280"/>
      <c r="D75" s="280"/>
      <c r="E75" s="281">
        <f>SUM(E70:E74)</f>
        <v>109571.42857142858</v>
      </c>
      <c r="F75" s="281">
        <f t="shared" ref="F75:H75" si="12">SUM(F70:F74)</f>
        <v>109571.42857142858</v>
      </c>
      <c r="G75" s="281">
        <f t="shared" si="12"/>
        <v>109571.42857142858</v>
      </c>
      <c r="H75" s="281">
        <f t="shared" si="12"/>
        <v>94571.42857142858</v>
      </c>
    </row>
    <row r="76" spans="1:21" ht="15" customHeight="1">
      <c r="A76" s="787" t="s">
        <v>199</v>
      </c>
      <c r="B76" s="371" t="s">
        <v>170</v>
      </c>
      <c r="C76" s="372" t="s">
        <v>49</v>
      </c>
      <c r="D76" s="372" t="s">
        <v>129</v>
      </c>
      <c r="E76" s="373">
        <f>900000/35</f>
        <v>25714.285714285714</v>
      </c>
      <c r="F76" s="373">
        <f>E76</f>
        <v>25714.285714285714</v>
      </c>
      <c r="G76" s="373">
        <f>E76</f>
        <v>25714.285714285714</v>
      </c>
      <c r="H76" s="373">
        <f>E76</f>
        <v>25714.285714285714</v>
      </c>
    </row>
    <row r="77" spans="1:21">
      <c r="A77" s="788"/>
      <c r="B77" s="374" t="s">
        <v>50</v>
      </c>
      <c r="C77" s="375" t="s">
        <v>122</v>
      </c>
      <c r="D77" s="376" t="s">
        <v>52</v>
      </c>
      <c r="E77" s="377">
        <f>240000/35</f>
        <v>6857.1428571428569</v>
      </c>
      <c r="F77" s="377">
        <f>E77</f>
        <v>6857.1428571428569</v>
      </c>
      <c r="G77" s="377">
        <f>E77</f>
        <v>6857.1428571428569</v>
      </c>
      <c r="H77" s="377">
        <f>E77</f>
        <v>6857.1428571428569</v>
      </c>
    </row>
    <row r="78" spans="1:21">
      <c r="A78" s="788"/>
      <c r="B78" s="378" t="s">
        <v>53</v>
      </c>
      <c r="C78" s="379" t="s">
        <v>54</v>
      </c>
      <c r="D78" s="380" t="s">
        <v>54</v>
      </c>
      <c r="E78" s="381">
        <v>60000</v>
      </c>
      <c r="F78" s="382">
        <v>60000</v>
      </c>
      <c r="G78" s="382">
        <v>60000</v>
      </c>
      <c r="H78" s="382">
        <v>50000</v>
      </c>
    </row>
    <row r="79" spans="1:21">
      <c r="A79" s="789"/>
      <c r="B79" s="383" t="s">
        <v>215</v>
      </c>
      <c r="C79" s="384" t="s">
        <v>56</v>
      </c>
      <c r="D79" s="376" t="s">
        <v>127</v>
      </c>
      <c r="E79" s="385">
        <v>50000</v>
      </c>
      <c r="F79" s="385">
        <v>50000</v>
      </c>
      <c r="G79" s="386">
        <v>50000</v>
      </c>
      <c r="H79" s="386">
        <v>40000</v>
      </c>
    </row>
    <row r="80" spans="1:21">
      <c r="A80" s="387"/>
      <c r="B80" s="388" t="s">
        <v>58</v>
      </c>
      <c r="C80" s="389"/>
      <c r="D80" s="389"/>
      <c r="E80" s="390">
        <f>SUM(E76:E79)</f>
        <v>142571.42857142858</v>
      </c>
      <c r="F80" s="390">
        <f>SUM(F76:F79)</f>
        <v>142571.42857142858</v>
      </c>
      <c r="G80" s="391">
        <f>SUM(G76:G79)</f>
        <v>142571.42857142858</v>
      </c>
      <c r="H80" s="391">
        <f>SUM(H76:H79)</f>
        <v>122571.42857142858</v>
      </c>
      <c r="K80" s="1"/>
    </row>
    <row r="81" spans="1:8">
      <c r="A81" s="282" t="s">
        <v>201</v>
      </c>
      <c r="B81" s="8"/>
      <c r="C81" s="8"/>
      <c r="D81" s="8"/>
      <c r="E81" s="94"/>
      <c r="F81" s="94"/>
      <c r="G81" s="94"/>
      <c r="H81" s="94"/>
    </row>
    <row r="82" spans="1:8" ht="15" customHeight="1">
      <c r="A82" s="790" t="s">
        <v>202</v>
      </c>
      <c r="B82" s="392" t="s">
        <v>216</v>
      </c>
      <c r="C82" s="393" t="s">
        <v>49</v>
      </c>
      <c r="D82" s="393" t="s">
        <v>125</v>
      </c>
      <c r="E82" s="394">
        <f>1000000/35</f>
        <v>28571.428571428572</v>
      </c>
      <c r="F82" s="394">
        <f>E82</f>
        <v>28571.428571428572</v>
      </c>
      <c r="G82" s="394">
        <f>E82</f>
        <v>28571.428571428572</v>
      </c>
      <c r="H82" s="394">
        <f>E82</f>
        <v>28571.428571428572</v>
      </c>
    </row>
    <row r="83" spans="1:8">
      <c r="A83" s="791"/>
      <c r="B83" s="393" t="s">
        <v>217</v>
      </c>
      <c r="C83" s="393" t="s">
        <v>122</v>
      </c>
      <c r="D83" s="393" t="s">
        <v>52</v>
      </c>
      <c r="E83" s="394">
        <f>240000/35</f>
        <v>6857.1428571428569</v>
      </c>
      <c r="F83" s="394">
        <f>E83</f>
        <v>6857.1428571428569</v>
      </c>
      <c r="G83" s="394">
        <f>E83</f>
        <v>6857.1428571428569</v>
      </c>
      <c r="H83" s="394">
        <f>E83</f>
        <v>6857.1428571428569</v>
      </c>
    </row>
    <row r="84" spans="1:8">
      <c r="A84" s="791"/>
      <c r="B84" s="300" t="s">
        <v>218</v>
      </c>
      <c r="C84" s="300" t="s">
        <v>56</v>
      </c>
      <c r="D84" s="300" t="s">
        <v>57</v>
      </c>
      <c r="E84" s="301">
        <v>50000</v>
      </c>
      <c r="F84" s="301">
        <v>50000</v>
      </c>
      <c r="G84" s="301">
        <v>50000</v>
      </c>
      <c r="H84" s="301">
        <v>50000</v>
      </c>
    </row>
    <row r="85" spans="1:8">
      <c r="A85" s="792"/>
      <c r="B85" s="300" t="s">
        <v>219</v>
      </c>
      <c r="C85" s="300" t="s">
        <v>54</v>
      </c>
      <c r="D85" s="300" t="s">
        <v>54</v>
      </c>
      <c r="E85" s="301">
        <v>12000</v>
      </c>
      <c r="F85" s="301">
        <f>E85</f>
        <v>12000</v>
      </c>
      <c r="G85" s="301">
        <f>E85</f>
        <v>12000</v>
      </c>
      <c r="H85" s="301">
        <v>7000</v>
      </c>
    </row>
    <row r="86" spans="1:8">
      <c r="A86" s="302"/>
      <c r="B86" s="303" t="s">
        <v>58</v>
      </c>
      <c r="C86" s="304"/>
      <c r="D86" s="304"/>
      <c r="E86" s="305">
        <f>SUM(E82:E85)</f>
        <v>97428.57142857142</v>
      </c>
      <c r="F86" s="305">
        <f t="shared" ref="F86:H86" si="13">SUM(F82:F85)</f>
        <v>97428.57142857142</v>
      </c>
      <c r="G86" s="305">
        <f t="shared" si="13"/>
        <v>97428.57142857142</v>
      </c>
      <c r="H86" s="305">
        <f t="shared" si="13"/>
        <v>92428.57142857142</v>
      </c>
    </row>
    <row r="87" spans="1:8">
      <c r="A87" s="306" t="s">
        <v>11</v>
      </c>
    </row>
    <row r="88" spans="1:8" ht="15" customHeight="1">
      <c r="A88" s="793" t="s">
        <v>102</v>
      </c>
      <c r="B88" s="114" t="s">
        <v>220</v>
      </c>
      <c r="C88" s="114" t="s">
        <v>49</v>
      </c>
      <c r="D88" s="114" t="s">
        <v>129</v>
      </c>
      <c r="E88" s="307">
        <f>600000/35</f>
        <v>17142.857142857141</v>
      </c>
      <c r="F88" s="307">
        <f>E88</f>
        <v>17142.857142857141</v>
      </c>
      <c r="G88" s="307">
        <f>E88</f>
        <v>17142.857142857141</v>
      </c>
      <c r="H88" s="307">
        <f>E88</f>
        <v>17142.857142857141</v>
      </c>
    </row>
    <row r="89" spans="1:8">
      <c r="A89" s="794"/>
      <c r="B89" s="114" t="s">
        <v>132</v>
      </c>
      <c r="C89" s="114" t="s">
        <v>122</v>
      </c>
      <c r="D89" s="114" t="s">
        <v>52</v>
      </c>
      <c r="E89" s="307">
        <f>170000/35</f>
        <v>4857.1428571428569</v>
      </c>
      <c r="F89" s="307">
        <f>E89</f>
        <v>4857.1428571428569</v>
      </c>
      <c r="G89" s="307">
        <f>E89</f>
        <v>4857.1428571428569</v>
      </c>
      <c r="H89" s="307">
        <f>E89</f>
        <v>4857.1428571428569</v>
      </c>
    </row>
    <row r="90" spans="1:8">
      <c r="A90" s="795"/>
      <c r="B90" s="114" t="s">
        <v>221</v>
      </c>
      <c r="C90" s="114" t="s">
        <v>56</v>
      </c>
      <c r="D90" s="114" t="s">
        <v>57</v>
      </c>
      <c r="E90" s="307">
        <v>25000</v>
      </c>
      <c r="F90" s="307">
        <f>E90</f>
        <v>25000</v>
      </c>
      <c r="G90" s="307">
        <f>E90</f>
        <v>25000</v>
      </c>
      <c r="H90" s="307">
        <v>20000</v>
      </c>
    </row>
    <row r="91" spans="1:8">
      <c r="A91" s="117"/>
      <c r="B91" s="395" t="s">
        <v>58</v>
      </c>
      <c r="C91" s="75"/>
      <c r="D91" s="75"/>
      <c r="E91" s="396">
        <f>SUM(E88:E90)</f>
        <v>47000</v>
      </c>
      <c r="F91" s="308">
        <f>SUM(F88:F90)</f>
        <v>47000</v>
      </c>
      <c r="G91" s="308">
        <f>SUM(G88:G90)</f>
        <v>47000</v>
      </c>
      <c r="H91" s="308">
        <f>SUM(H88:H90)</f>
        <v>42000</v>
      </c>
    </row>
    <row r="92" spans="1:8">
      <c r="A92" s="309" t="s">
        <v>222</v>
      </c>
      <c r="B92" s="397" t="s">
        <v>223</v>
      </c>
      <c r="C92" s="398" t="s">
        <v>64</v>
      </c>
      <c r="D92" s="145" t="s">
        <v>64</v>
      </c>
      <c r="E92" s="399">
        <v>50000</v>
      </c>
      <c r="F92" s="313">
        <f t="shared" ref="F92" si="14">E92</f>
        <v>50000</v>
      </c>
      <c r="G92" s="314">
        <f t="shared" ref="G92" si="15">E92</f>
        <v>50000</v>
      </c>
      <c r="H92" s="314">
        <v>40000</v>
      </c>
    </row>
    <row r="93" spans="1:8">
      <c r="A93" s="302"/>
      <c r="B93" s="400" t="s">
        <v>58</v>
      </c>
      <c r="C93" s="304"/>
      <c r="D93" s="304"/>
      <c r="E93" s="401">
        <f>SUM(E92:E92)</f>
        <v>50000</v>
      </c>
      <c r="F93" s="316">
        <f>SUM(F92:F92)</f>
        <v>50000</v>
      </c>
      <c r="G93" s="316">
        <f>SUM(G92:G92)</f>
        <v>50000</v>
      </c>
      <c r="H93" s="316">
        <f>SUM(H92:H92)</f>
        <v>40000</v>
      </c>
    </row>
    <row r="94" spans="1:8">
      <c r="A94" s="796" t="s">
        <v>224</v>
      </c>
      <c r="B94" s="317" t="s">
        <v>131</v>
      </c>
      <c r="C94" s="317" t="s">
        <v>49</v>
      </c>
      <c r="D94" s="317" t="s">
        <v>225</v>
      </c>
      <c r="E94" s="318">
        <f>620000/35</f>
        <v>17714.285714285714</v>
      </c>
      <c r="F94" s="318">
        <f>E94</f>
        <v>17714.285714285714</v>
      </c>
      <c r="G94" s="318">
        <f>E94</f>
        <v>17714.285714285714</v>
      </c>
      <c r="H94" s="318">
        <f>E94</f>
        <v>17714.285714285714</v>
      </c>
    </row>
    <row r="95" spans="1:8">
      <c r="A95" s="797"/>
      <c r="B95" s="317" t="s">
        <v>226</v>
      </c>
      <c r="C95" s="317" t="s">
        <v>64</v>
      </c>
      <c r="D95" s="317" t="s">
        <v>54</v>
      </c>
      <c r="E95" s="318">
        <v>48000</v>
      </c>
      <c r="F95" s="318">
        <f>E95</f>
        <v>48000</v>
      </c>
      <c r="G95" s="318">
        <f>E95</f>
        <v>48000</v>
      </c>
      <c r="H95" s="318">
        <f>E95</f>
        <v>48000</v>
      </c>
    </row>
    <row r="96" spans="1:8">
      <c r="A96" s="319"/>
      <c r="B96" s="320" t="s">
        <v>58</v>
      </c>
      <c r="C96" s="321"/>
      <c r="D96" s="322"/>
      <c r="E96" s="323">
        <f>SUM(E94:E95)</f>
        <v>65714.28571428571</v>
      </c>
      <c r="F96" s="323">
        <f t="shared" ref="F96:H96" si="16">SUM(F94:F95)</f>
        <v>65714.28571428571</v>
      </c>
      <c r="G96" s="323">
        <f t="shared" si="16"/>
        <v>65714.28571428571</v>
      </c>
      <c r="H96" s="323">
        <f t="shared" si="16"/>
        <v>65714.28571428571</v>
      </c>
    </row>
    <row r="97" spans="1:8" ht="30">
      <c r="A97" s="402" t="s">
        <v>135</v>
      </c>
      <c r="B97" s="324" t="s">
        <v>131</v>
      </c>
      <c r="C97" s="325" t="s">
        <v>49</v>
      </c>
      <c r="D97" s="325" t="s">
        <v>129</v>
      </c>
      <c r="E97" s="326">
        <f>620000/35</f>
        <v>17714.285714285714</v>
      </c>
      <c r="F97" s="326">
        <f>E97</f>
        <v>17714.285714285714</v>
      </c>
      <c r="G97" s="326">
        <f>E97</f>
        <v>17714.285714285714</v>
      </c>
      <c r="H97" s="326">
        <f>E97</f>
        <v>17714.285714285714</v>
      </c>
    </row>
    <row r="98" spans="1:8">
      <c r="A98" s="403"/>
      <c r="B98" s="327" t="s">
        <v>227</v>
      </c>
      <c r="C98" s="328" t="s">
        <v>228</v>
      </c>
      <c r="D98" s="327" t="s">
        <v>52</v>
      </c>
      <c r="E98" s="329">
        <f>170000/35</f>
        <v>4857.1428571428569</v>
      </c>
      <c r="F98" s="329">
        <f>E98</f>
        <v>4857.1428571428569</v>
      </c>
      <c r="G98" s="329">
        <f>E98</f>
        <v>4857.1428571428569</v>
      </c>
      <c r="H98" s="329">
        <f>E98</f>
        <v>4857.1428571428569</v>
      </c>
    </row>
    <row r="99" spans="1:8">
      <c r="A99" s="404"/>
      <c r="B99" s="327" t="s">
        <v>73</v>
      </c>
      <c r="C99" s="328" t="s">
        <v>49</v>
      </c>
      <c r="D99" s="327" t="s">
        <v>229</v>
      </c>
      <c r="E99" s="326">
        <v>10000</v>
      </c>
      <c r="F99" s="330">
        <f t="shared" ref="F99:G99" si="17">E99</f>
        <v>10000</v>
      </c>
      <c r="G99" s="330">
        <f t="shared" si="17"/>
        <v>10000</v>
      </c>
      <c r="H99" s="330">
        <f>F99</f>
        <v>10000</v>
      </c>
    </row>
    <row r="100" spans="1:8">
      <c r="A100" s="405"/>
      <c r="B100" s="327" t="s">
        <v>230</v>
      </c>
      <c r="C100" s="328" t="s">
        <v>56</v>
      </c>
      <c r="D100" s="327" t="s">
        <v>57</v>
      </c>
      <c r="E100" s="326">
        <v>40000</v>
      </c>
      <c r="F100" s="330">
        <f>E100</f>
        <v>40000</v>
      </c>
      <c r="G100" s="330">
        <f>E100</f>
        <v>40000</v>
      </c>
      <c r="H100" s="330">
        <v>30000</v>
      </c>
    </row>
    <row r="101" spans="1:8">
      <c r="A101" s="331"/>
      <c r="B101" s="332" t="s">
        <v>58</v>
      </c>
      <c r="C101" s="303"/>
      <c r="D101" s="303"/>
      <c r="E101" s="333">
        <f>SUM(E97:E100)</f>
        <v>72571.42857142858</v>
      </c>
      <c r="F101" s="333">
        <f>SUM(F97:F100)</f>
        <v>72571.42857142858</v>
      </c>
      <c r="G101" s="333">
        <f>SUM(G97:G100)</f>
        <v>72571.42857142858</v>
      </c>
      <c r="H101" s="333">
        <f>SUM(H97:H100)</f>
        <v>62571.428571428572</v>
      </c>
    </row>
    <row r="102" spans="1:8">
      <c r="A102" s="334" t="s">
        <v>98</v>
      </c>
      <c r="B102" s="8"/>
      <c r="C102" s="8"/>
      <c r="D102" s="8"/>
      <c r="E102" s="335"/>
      <c r="F102" s="335"/>
      <c r="G102" s="335"/>
      <c r="H102" s="335"/>
    </row>
    <row r="103" spans="1:8" ht="15" customHeight="1">
      <c r="A103" s="772" t="s">
        <v>140</v>
      </c>
      <c r="B103" s="406" t="s">
        <v>141</v>
      </c>
      <c r="C103" s="407" t="s">
        <v>49</v>
      </c>
      <c r="D103" s="408" t="s">
        <v>129</v>
      </c>
      <c r="E103" s="409">
        <f>550000/35</f>
        <v>15714.285714285714</v>
      </c>
      <c r="F103" s="409">
        <f>E103</f>
        <v>15714.285714285714</v>
      </c>
      <c r="G103" s="409">
        <f>E103</f>
        <v>15714.285714285714</v>
      </c>
      <c r="H103" s="409">
        <f>E103</f>
        <v>15714.285714285714</v>
      </c>
    </row>
    <row r="104" spans="1:8">
      <c r="A104" s="773"/>
      <c r="B104" s="406" t="s">
        <v>177</v>
      </c>
      <c r="C104" s="407" t="s">
        <v>122</v>
      </c>
      <c r="D104" s="408" t="s">
        <v>52</v>
      </c>
      <c r="E104" s="409">
        <f>300000/35</f>
        <v>8571.4285714285706</v>
      </c>
      <c r="F104" s="409">
        <f>E104</f>
        <v>8571.4285714285706</v>
      </c>
      <c r="G104" s="409">
        <f>E104</f>
        <v>8571.4285714285706</v>
      </c>
      <c r="H104" s="409">
        <f>E104</f>
        <v>8571.4285714285706</v>
      </c>
    </row>
    <row r="105" spans="1:8">
      <c r="A105" s="773"/>
      <c r="B105" s="406" t="s">
        <v>143</v>
      </c>
      <c r="C105" s="407" t="s">
        <v>49</v>
      </c>
      <c r="D105" s="408" t="s">
        <v>144</v>
      </c>
      <c r="E105" s="409">
        <v>2500</v>
      </c>
      <c r="F105" s="409">
        <f>E105</f>
        <v>2500</v>
      </c>
      <c r="G105" s="409">
        <f>E105</f>
        <v>2500</v>
      </c>
      <c r="H105" s="409">
        <f>E105</f>
        <v>2500</v>
      </c>
    </row>
    <row r="106" spans="1:8">
      <c r="A106" s="773"/>
      <c r="B106" s="406" t="s">
        <v>145</v>
      </c>
      <c r="C106" s="407" t="s">
        <v>56</v>
      </c>
      <c r="D106" s="408" t="s">
        <v>127</v>
      </c>
      <c r="E106" s="409">
        <v>45000</v>
      </c>
      <c r="F106" s="409">
        <f>E106</f>
        <v>45000</v>
      </c>
      <c r="G106" s="409">
        <f>E106</f>
        <v>45000</v>
      </c>
      <c r="H106" s="409">
        <v>35000</v>
      </c>
    </row>
    <row r="107" spans="1:8">
      <c r="A107" s="774"/>
      <c r="B107" s="406" t="s">
        <v>231</v>
      </c>
      <c r="C107" s="407" t="s">
        <v>232</v>
      </c>
      <c r="D107" s="408" t="s">
        <v>144</v>
      </c>
      <c r="E107" s="409">
        <v>17000</v>
      </c>
      <c r="F107" s="409">
        <f>E107</f>
        <v>17000</v>
      </c>
      <c r="G107" s="409">
        <f>E107</f>
        <v>17000</v>
      </c>
      <c r="H107" s="409">
        <v>7000</v>
      </c>
    </row>
    <row r="108" spans="1:8">
      <c r="A108" s="338"/>
      <c r="B108" s="410" t="s">
        <v>58</v>
      </c>
      <c r="C108" s="340"/>
      <c r="D108" s="411"/>
      <c r="E108" s="341">
        <f>SUM(E103:E107)</f>
        <v>88785.71428571429</v>
      </c>
      <c r="F108" s="341">
        <f t="shared" ref="F108:H108" si="18">SUM(F103:F107)</f>
        <v>88785.71428571429</v>
      </c>
      <c r="G108" s="341">
        <f t="shared" si="18"/>
        <v>88785.71428571429</v>
      </c>
      <c r="H108" s="341">
        <f t="shared" si="18"/>
        <v>68785.71428571429</v>
      </c>
    </row>
    <row r="109" spans="1:8">
      <c r="A109" s="775" t="s">
        <v>105</v>
      </c>
      <c r="B109" s="406" t="s">
        <v>141</v>
      </c>
      <c r="C109" s="407" t="s">
        <v>49</v>
      </c>
      <c r="D109" s="408" t="s">
        <v>125</v>
      </c>
      <c r="E109" s="409">
        <f>1000000/35</f>
        <v>28571.428571428572</v>
      </c>
      <c r="F109" s="409">
        <f>E109</f>
        <v>28571.428571428572</v>
      </c>
      <c r="G109" s="409">
        <f>E109</f>
        <v>28571.428571428572</v>
      </c>
      <c r="H109" s="409">
        <f>E109</f>
        <v>28571.428571428572</v>
      </c>
    </row>
    <row r="110" spans="1:8" ht="30" customHeight="1">
      <c r="A110" s="776"/>
      <c r="B110" s="406" t="s">
        <v>177</v>
      </c>
      <c r="C110" s="412" t="s">
        <v>122</v>
      </c>
      <c r="D110" s="408" t="s">
        <v>52</v>
      </c>
      <c r="E110" s="409">
        <f>300000/35</f>
        <v>8571.4285714285706</v>
      </c>
      <c r="F110" s="409">
        <f>E110</f>
        <v>8571.4285714285706</v>
      </c>
      <c r="G110" s="409">
        <f>E110</f>
        <v>8571.4285714285706</v>
      </c>
      <c r="H110" s="409">
        <f>E110</f>
        <v>8571.4285714285706</v>
      </c>
    </row>
    <row r="111" spans="1:8">
      <c r="A111" s="776"/>
      <c r="B111" s="406" t="s">
        <v>146</v>
      </c>
      <c r="C111" s="412" t="s">
        <v>64</v>
      </c>
      <c r="D111" s="408" t="s">
        <v>233</v>
      </c>
      <c r="E111" s="409">
        <v>20000</v>
      </c>
      <c r="F111" s="409">
        <v>20000</v>
      </c>
      <c r="G111" s="409">
        <v>20000</v>
      </c>
      <c r="H111" s="409">
        <v>15000</v>
      </c>
    </row>
    <row r="112" spans="1:8" ht="15" customHeight="1">
      <c r="A112" s="777"/>
      <c r="B112" s="406" t="s">
        <v>147</v>
      </c>
      <c r="C112" s="407" t="s">
        <v>214</v>
      </c>
      <c r="D112" s="408" t="s">
        <v>127</v>
      </c>
      <c r="E112" s="409">
        <v>50000</v>
      </c>
      <c r="F112" s="409">
        <v>50000</v>
      </c>
      <c r="G112" s="409">
        <v>50000</v>
      </c>
      <c r="H112" s="409">
        <v>40000</v>
      </c>
    </row>
    <row r="113" spans="1:8">
      <c r="A113" s="343"/>
      <c r="B113" s="410" t="s">
        <v>58</v>
      </c>
      <c r="C113" s="340"/>
      <c r="D113" s="411"/>
      <c r="E113" s="341">
        <f>SUM(E109:E112)</f>
        <v>107142.85714285714</v>
      </c>
      <c r="F113" s="341">
        <f t="shared" ref="F113:H113" si="19">SUM(F109:F112)</f>
        <v>107142.85714285714</v>
      </c>
      <c r="G113" s="341">
        <f t="shared" si="19"/>
        <v>107142.85714285714</v>
      </c>
      <c r="H113" s="341">
        <f t="shared" si="19"/>
        <v>92142.857142857145</v>
      </c>
    </row>
    <row r="114" spans="1:8">
      <c r="A114" s="778" t="s">
        <v>106</v>
      </c>
      <c r="B114" s="406" t="s">
        <v>141</v>
      </c>
      <c r="C114" s="407" t="s">
        <v>49</v>
      </c>
      <c r="D114" s="413" t="s">
        <v>129</v>
      </c>
      <c r="E114" s="409">
        <f>340000/35</f>
        <v>9714.2857142857138</v>
      </c>
      <c r="F114" s="409">
        <f>E114</f>
        <v>9714.2857142857138</v>
      </c>
      <c r="G114" s="409">
        <f>E114</f>
        <v>9714.2857142857138</v>
      </c>
      <c r="H114" s="409"/>
    </row>
    <row r="115" spans="1:8" ht="15" customHeight="1">
      <c r="A115" s="774"/>
      <c r="B115" s="406" t="s">
        <v>149</v>
      </c>
      <c r="C115" s="407" t="s">
        <v>179</v>
      </c>
      <c r="D115" s="414"/>
      <c r="E115" s="409">
        <v>65000</v>
      </c>
      <c r="F115" s="409">
        <f>E115</f>
        <v>65000</v>
      </c>
      <c r="G115" s="409">
        <f>E115</f>
        <v>65000</v>
      </c>
      <c r="H115" s="409"/>
    </row>
    <row r="116" spans="1:8" ht="15" customHeight="1">
      <c r="A116" s="345"/>
      <c r="B116" s="410" t="s">
        <v>58</v>
      </c>
      <c r="C116" s="340"/>
      <c r="D116" s="415"/>
      <c r="E116" s="341">
        <f>SUM(E114:E115)</f>
        <v>74714.28571428571</v>
      </c>
      <c r="F116" s="341">
        <f t="shared" ref="F116:G116" si="20">SUM(F114:F115)</f>
        <v>74714.28571428571</v>
      </c>
      <c r="G116" s="341">
        <f t="shared" si="20"/>
        <v>74714.28571428571</v>
      </c>
      <c r="H116" s="341"/>
    </row>
    <row r="117" spans="1:8" ht="15" customHeight="1">
      <c r="A117" s="416" t="s">
        <v>107</v>
      </c>
      <c r="B117" s="406" t="s">
        <v>151</v>
      </c>
      <c r="C117" s="407" t="s">
        <v>234</v>
      </c>
      <c r="D117" s="408" t="s">
        <v>64</v>
      </c>
      <c r="E117" s="409">
        <v>230000</v>
      </c>
      <c r="F117" s="409">
        <v>230000</v>
      </c>
      <c r="G117" s="409">
        <v>230000</v>
      </c>
      <c r="H117" s="409">
        <v>230000</v>
      </c>
    </row>
    <row r="118" spans="1:8">
      <c r="A118" s="339"/>
      <c r="B118" s="410" t="s">
        <v>58</v>
      </c>
      <c r="C118" s="340"/>
      <c r="D118" s="411"/>
      <c r="E118" s="341">
        <f>SUM(E117)</f>
        <v>230000</v>
      </c>
      <c r="F118" s="341">
        <f t="shared" ref="F118:H118" si="21">SUM(F117)</f>
        <v>230000</v>
      </c>
      <c r="G118" s="341">
        <f t="shared" si="21"/>
        <v>230000</v>
      </c>
      <c r="H118" s="341">
        <f t="shared" si="21"/>
        <v>230000</v>
      </c>
    </row>
    <row r="119" spans="1:8">
      <c r="A119" s="348" t="s">
        <v>12</v>
      </c>
      <c r="B119" s="349"/>
      <c r="C119" s="349"/>
      <c r="D119" s="349"/>
      <c r="E119" s="350"/>
      <c r="F119" s="350"/>
      <c r="G119" s="350"/>
      <c r="H119" s="350"/>
    </row>
    <row r="120" spans="1:8" ht="15" customHeight="1">
      <c r="A120" s="779" t="s">
        <v>235</v>
      </c>
      <c r="B120" s="417" t="s">
        <v>80</v>
      </c>
      <c r="C120" s="418" t="s">
        <v>236</v>
      </c>
      <c r="D120" s="419" t="s">
        <v>129</v>
      </c>
      <c r="E120" s="420">
        <f>700000/35</f>
        <v>20000</v>
      </c>
      <c r="F120" s="420">
        <f>E120</f>
        <v>20000</v>
      </c>
      <c r="G120" s="420">
        <f>E120</f>
        <v>20000</v>
      </c>
      <c r="H120" s="420">
        <f>E120</f>
        <v>20000</v>
      </c>
    </row>
    <row r="121" spans="1:8">
      <c r="A121" s="780"/>
      <c r="B121" s="417" t="s">
        <v>82</v>
      </c>
      <c r="C121" s="418" t="s">
        <v>122</v>
      </c>
      <c r="D121" s="421" t="s">
        <v>52</v>
      </c>
      <c r="E121" s="422">
        <f>400000/35</f>
        <v>11428.571428571429</v>
      </c>
      <c r="F121" s="422">
        <f>E121</f>
        <v>11428.571428571429</v>
      </c>
      <c r="G121" s="422">
        <f>E121</f>
        <v>11428.571428571429</v>
      </c>
      <c r="H121" s="422">
        <f>E121</f>
        <v>11428.571428571429</v>
      </c>
    </row>
    <row r="122" spans="1:8">
      <c r="A122" s="780"/>
      <c r="B122" s="423" t="s">
        <v>237</v>
      </c>
      <c r="C122" s="418" t="s">
        <v>64</v>
      </c>
      <c r="D122" s="419" t="s">
        <v>54</v>
      </c>
      <c r="E122" s="420">
        <v>28000</v>
      </c>
      <c r="F122" s="424">
        <f>E122</f>
        <v>28000</v>
      </c>
      <c r="G122" s="424">
        <f>E122</f>
        <v>28000</v>
      </c>
      <c r="H122" s="424">
        <v>14000</v>
      </c>
    </row>
    <row r="123" spans="1:8" ht="15" customHeight="1">
      <c r="A123" s="781"/>
      <c r="B123" s="423" t="s">
        <v>88</v>
      </c>
      <c r="C123" s="418" t="s">
        <v>64</v>
      </c>
      <c r="D123" s="419" t="s">
        <v>89</v>
      </c>
      <c r="E123" s="420">
        <v>42000</v>
      </c>
      <c r="F123" s="424">
        <f t="shared" ref="F123" si="22">E123</f>
        <v>42000</v>
      </c>
      <c r="G123" s="424">
        <f t="shared" ref="G123" si="23">E123</f>
        <v>42000</v>
      </c>
      <c r="H123" s="424"/>
    </row>
    <row r="124" spans="1:8">
      <c r="A124" s="76"/>
      <c r="B124" s="425" t="s">
        <v>58</v>
      </c>
      <c r="C124" s="304"/>
      <c r="D124" s="426"/>
      <c r="E124" s="360">
        <f>SUM(E120:E123)</f>
        <v>101428.57142857142</v>
      </c>
      <c r="F124" s="360">
        <f>SUM(F120:F123)</f>
        <v>101428.57142857142</v>
      </c>
      <c r="G124" s="360">
        <f>SUM(G120:G123)</f>
        <v>101428.57142857142</v>
      </c>
      <c r="H124" s="360">
        <f>SUM(H120:H123)</f>
        <v>45428.571428571428</v>
      </c>
    </row>
    <row r="125" spans="1:8" ht="15" customHeight="1">
      <c r="A125" s="427" t="s">
        <v>238</v>
      </c>
      <c r="B125" s="428" t="s">
        <v>239</v>
      </c>
      <c r="C125" s="429" t="s">
        <v>64</v>
      </c>
      <c r="D125" s="430" t="s">
        <v>159</v>
      </c>
      <c r="E125" s="431">
        <v>187000</v>
      </c>
      <c r="F125" s="432">
        <f>E125</f>
        <v>187000</v>
      </c>
      <c r="G125" s="432">
        <f>E125</f>
        <v>187000</v>
      </c>
      <c r="H125" s="432">
        <v>132000</v>
      </c>
    </row>
    <row r="126" spans="1:8">
      <c r="A126" s="433"/>
      <c r="B126" s="434" t="s">
        <v>58</v>
      </c>
      <c r="C126" s="435"/>
      <c r="D126" s="436"/>
      <c r="E126" s="437">
        <f>SUM(E125:E125)</f>
        <v>187000</v>
      </c>
      <c r="F126" s="437">
        <f>SUM(F125:F125)</f>
        <v>187000</v>
      </c>
      <c r="G126" s="437">
        <f>SUM(G125:G125)</f>
        <v>187000</v>
      </c>
      <c r="H126" s="437">
        <f>SUM(H125:H125)</f>
        <v>132000</v>
      </c>
    </row>
    <row r="127" spans="1:8" ht="30">
      <c r="A127" s="782" t="s">
        <v>160</v>
      </c>
      <c r="B127" s="438" t="s">
        <v>84</v>
      </c>
      <c r="C127" s="418" t="s">
        <v>85</v>
      </c>
      <c r="D127" s="428" t="s">
        <v>127</v>
      </c>
      <c r="E127" s="439">
        <v>70000</v>
      </c>
      <c r="F127" s="440">
        <f>E127</f>
        <v>70000</v>
      </c>
      <c r="G127" s="440">
        <f>E127</f>
        <v>70000</v>
      </c>
      <c r="H127" s="440">
        <v>60000</v>
      </c>
    </row>
    <row r="128" spans="1:8" ht="30">
      <c r="A128" s="783"/>
      <c r="B128" s="441" t="s">
        <v>80</v>
      </c>
      <c r="C128" s="418" t="s">
        <v>176</v>
      </c>
      <c r="D128" s="442" t="s">
        <v>49</v>
      </c>
      <c r="E128" s="439">
        <f>480000/35</f>
        <v>13714.285714285714</v>
      </c>
      <c r="F128" s="439">
        <f>E128</f>
        <v>13714.285714285714</v>
      </c>
      <c r="G128" s="439">
        <f>E128</f>
        <v>13714.285714285714</v>
      </c>
      <c r="H128" s="439">
        <f>E128</f>
        <v>13714.285714285714</v>
      </c>
    </row>
    <row r="129" spans="1:8">
      <c r="A129" s="151"/>
      <c r="B129" s="100" t="s">
        <v>58</v>
      </c>
      <c r="C129" s="152"/>
      <c r="D129" s="100"/>
      <c r="E129" s="443">
        <f>SUM(E127:E128)</f>
        <v>83714.28571428571</v>
      </c>
      <c r="F129" s="443">
        <f t="shared" ref="F129:H129" si="24">SUM(F127:F128)</f>
        <v>83714.28571428571</v>
      </c>
      <c r="G129" s="443">
        <f t="shared" si="24"/>
        <v>83714.28571428571</v>
      </c>
      <c r="H129" s="443">
        <f t="shared" si="24"/>
        <v>73714.28571428571</v>
      </c>
    </row>
  </sheetData>
  <mergeCells count="17">
    <mergeCell ref="A3:F3"/>
    <mergeCell ref="A42:F42"/>
    <mergeCell ref="H42:M42"/>
    <mergeCell ref="A17:A23"/>
    <mergeCell ref="A24:A29"/>
    <mergeCell ref="A10:A15"/>
    <mergeCell ref="A30:A35"/>
    <mergeCell ref="A70:A74"/>
    <mergeCell ref="A76:A79"/>
    <mergeCell ref="A82:A85"/>
    <mergeCell ref="A88:A90"/>
    <mergeCell ref="A94:A95"/>
    <mergeCell ref="A103:A107"/>
    <mergeCell ref="A109:A112"/>
    <mergeCell ref="A114:A115"/>
    <mergeCell ref="A120:A123"/>
    <mergeCell ref="A127:A128"/>
  </mergeCells>
  <hyperlinks>
    <hyperlink ref="B45" r:id="rId1" xr:uid="{00000000-0004-0000-0400-000000000000}"/>
    <hyperlink ref="B46" r:id="rId2" xr:uid="{00000000-0004-0000-0400-000001000000}"/>
    <hyperlink ref="B47" r:id="rId3" xr:uid="{00000000-0004-0000-0400-000002000000}"/>
    <hyperlink ref="B73" r:id="rId4" xr:uid="{00000000-0004-0000-0400-000004000000}"/>
    <hyperlink ref="B74" r:id="rId5" xr:uid="{00000000-0004-0000-0400-000005000000}"/>
  </hyperlinks>
  <pageMargins left="0.7" right="0.7" top="0.75" bottom="0.75" header="0.3" footer="0.3"/>
  <pageSetup paperSize="9" orientation="portrait" r:id="rId6"/>
  <legacy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87A1-2C72-4F1E-9180-3C6C4BD65EB1}">
  <dimension ref="A1:U129"/>
  <sheetViews>
    <sheetView topLeftCell="A31" zoomScale="118" zoomScaleNormal="118" workbookViewId="0">
      <selection activeCell="C67" sqref="C67"/>
    </sheetView>
  </sheetViews>
  <sheetFormatPr baseColWidth="10" defaultColWidth="11.42578125" defaultRowHeight="15"/>
  <cols>
    <col min="1" max="1" width="17.5703125" customWidth="1"/>
    <col min="2" max="2" width="25.42578125" customWidth="1"/>
    <col min="3" max="3" width="15.7109375" customWidth="1"/>
    <col min="4" max="4" width="13.42578125" customWidth="1"/>
    <col min="5" max="6" width="13.7109375" bestFit="1" customWidth="1"/>
    <col min="7" max="8" width="12.140625" customWidth="1"/>
    <col min="9" max="9" width="25.42578125" customWidth="1"/>
    <col min="11" max="11" width="16.5703125" customWidth="1"/>
  </cols>
  <sheetData>
    <row r="1" spans="1:13">
      <c r="A1" s="48"/>
    </row>
    <row r="2" spans="1:13" ht="14.25" customHeight="1"/>
    <row r="3" spans="1:13">
      <c r="A3" s="744" t="s">
        <v>195</v>
      </c>
      <c r="B3" s="723"/>
      <c r="C3" s="723"/>
      <c r="D3" s="723"/>
      <c r="E3" s="723"/>
      <c r="F3" s="724"/>
      <c r="H3" s="2"/>
      <c r="I3" s="695"/>
      <c r="J3" s="695"/>
      <c r="K3" s="695"/>
      <c r="L3" s="695"/>
      <c r="M3" s="695"/>
    </row>
    <row r="4" spans="1:13">
      <c r="A4" s="189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190" t="s">
        <v>9</v>
      </c>
      <c r="B5" s="363" t="s">
        <v>10</v>
      </c>
      <c r="C5" s="192">
        <f>E45</f>
        <v>450000</v>
      </c>
      <c r="D5" s="192">
        <f>E51</f>
        <v>270000</v>
      </c>
      <c r="E5" s="192">
        <f>E57</f>
        <v>275000</v>
      </c>
      <c r="F5" s="192">
        <f>E63</f>
        <v>141000</v>
      </c>
      <c r="H5" s="8"/>
      <c r="I5" s="8"/>
      <c r="J5" s="88"/>
      <c r="K5" s="88"/>
      <c r="L5" s="88"/>
      <c r="M5" s="89"/>
    </row>
    <row r="6" spans="1:13">
      <c r="A6" s="196" t="s">
        <v>11</v>
      </c>
      <c r="B6" s="197" t="s">
        <v>10</v>
      </c>
      <c r="C6" s="198">
        <f>E46</f>
        <v>390000</v>
      </c>
      <c r="D6" s="198">
        <f>E52</f>
        <v>307800</v>
      </c>
      <c r="E6" s="198">
        <f>E58</f>
        <v>275400</v>
      </c>
      <c r="F6" s="198">
        <f>E64</f>
        <v>194400</v>
      </c>
      <c r="H6" s="8"/>
      <c r="I6" s="8"/>
      <c r="J6" s="88"/>
      <c r="K6" s="88"/>
      <c r="L6" s="88"/>
      <c r="M6" s="89"/>
    </row>
    <row r="7" spans="1:13">
      <c r="A7" s="199" t="s">
        <v>98</v>
      </c>
      <c r="B7" s="200" t="s">
        <v>10</v>
      </c>
      <c r="C7" s="201">
        <f>E47</f>
        <v>834000</v>
      </c>
      <c r="D7" s="201">
        <f>E53</f>
        <v>417000</v>
      </c>
      <c r="E7" s="201">
        <f>E59</f>
        <v>346000</v>
      </c>
      <c r="F7" s="201">
        <f>E65</f>
        <v>144000</v>
      </c>
      <c r="H7" s="8"/>
      <c r="I7" s="8"/>
      <c r="J7" s="88"/>
      <c r="K7" s="88"/>
      <c r="L7" s="88"/>
      <c r="M7" s="88"/>
    </row>
    <row r="8" spans="1:13">
      <c r="A8" s="202" t="s">
        <v>12</v>
      </c>
      <c r="B8" s="364" t="s">
        <v>99</v>
      </c>
      <c r="C8" s="204">
        <f t="shared" ref="C8" si="0">E48</f>
        <v>1280000</v>
      </c>
      <c r="D8" s="204">
        <f t="shared" ref="D8" si="1">E54</f>
        <v>640000</v>
      </c>
      <c r="E8" s="204">
        <f t="shared" ref="E8" si="2">E60</f>
        <v>560000</v>
      </c>
      <c r="F8" s="204">
        <f t="shared" ref="F8" si="3">E66</f>
        <v>140000</v>
      </c>
      <c r="H8" s="8"/>
      <c r="I8" s="8"/>
      <c r="J8" s="88"/>
      <c r="K8" s="88"/>
      <c r="L8" s="88"/>
      <c r="M8" s="89"/>
    </row>
    <row r="9" spans="1:13">
      <c r="A9" s="208" t="s">
        <v>196</v>
      </c>
      <c r="B9" s="209"/>
      <c r="C9" s="210">
        <f>SUM(C5:C8)</f>
        <v>2954000</v>
      </c>
      <c r="D9" s="210">
        <f>SUM(D5:D8)</f>
        <v>1634800</v>
      </c>
      <c r="E9" s="210">
        <f>SUM(E5:E8)</f>
        <v>1456400</v>
      </c>
      <c r="F9" s="210">
        <f>SUM(F5:F8)</f>
        <v>619400</v>
      </c>
      <c r="H9" s="8"/>
      <c r="I9" s="8"/>
      <c r="J9" s="88"/>
      <c r="K9" s="88"/>
      <c r="L9" s="88"/>
      <c r="M9" s="89"/>
    </row>
    <row r="10" spans="1:13">
      <c r="A10" s="804" t="s">
        <v>9</v>
      </c>
      <c r="B10" s="211" t="s">
        <v>13</v>
      </c>
      <c r="C10" s="212">
        <f>(230000*2)/35</f>
        <v>13142.857142857143</v>
      </c>
      <c r="D10" s="212">
        <f>C10</f>
        <v>13142.857142857143</v>
      </c>
      <c r="E10" s="212">
        <f>C10</f>
        <v>13142.857142857143</v>
      </c>
      <c r="F10" s="212">
        <f>C10</f>
        <v>13142.857142857143</v>
      </c>
      <c r="H10" s="4"/>
      <c r="I10" s="8"/>
      <c r="J10" s="88"/>
      <c r="K10" s="88"/>
      <c r="L10" s="88"/>
      <c r="M10" s="88"/>
    </row>
    <row r="11" spans="1:13">
      <c r="A11" s="805"/>
      <c r="B11" s="211" t="s">
        <v>14</v>
      </c>
      <c r="C11" s="212">
        <f>240000/35</f>
        <v>6857.1428571428569</v>
      </c>
      <c r="D11" s="212">
        <f>C11</f>
        <v>6857.1428571428569</v>
      </c>
      <c r="E11" s="212">
        <f>C11</f>
        <v>6857.1428571428569</v>
      </c>
      <c r="F11" s="212">
        <f>C11</f>
        <v>6857.1428571428569</v>
      </c>
      <c r="H11" s="8"/>
      <c r="I11" s="8"/>
      <c r="J11" s="88"/>
      <c r="K11" s="88"/>
      <c r="L11" s="88"/>
      <c r="M11" s="88"/>
    </row>
    <row r="12" spans="1:13">
      <c r="A12" s="805"/>
      <c r="B12" s="213" t="s">
        <v>197</v>
      </c>
      <c r="C12" s="212">
        <v>50000</v>
      </c>
      <c r="D12" s="212">
        <v>50000</v>
      </c>
      <c r="E12" s="212">
        <v>50000</v>
      </c>
      <c r="F12" s="212">
        <v>40000</v>
      </c>
      <c r="H12" s="8"/>
      <c r="I12" s="8"/>
      <c r="J12" s="88"/>
      <c r="K12" s="88"/>
      <c r="L12" s="88"/>
      <c r="M12" s="88"/>
    </row>
    <row r="13" spans="1:13">
      <c r="A13" s="805"/>
      <c r="B13" s="365" t="s">
        <v>198</v>
      </c>
      <c r="C13" s="215">
        <f>E75</f>
        <v>109571.42857142858</v>
      </c>
      <c r="D13" s="215">
        <f t="shared" ref="D13:F13" si="4">F75</f>
        <v>109571.42857142858</v>
      </c>
      <c r="E13" s="215">
        <f t="shared" si="4"/>
        <v>109571.42857142858</v>
      </c>
      <c r="F13" s="215">
        <f t="shared" si="4"/>
        <v>94571.42857142858</v>
      </c>
      <c r="H13" s="8"/>
      <c r="I13" s="8"/>
      <c r="J13" s="88"/>
      <c r="K13" s="88"/>
      <c r="L13" s="88"/>
      <c r="M13" s="88"/>
    </row>
    <row r="14" spans="1:13">
      <c r="A14" s="805"/>
      <c r="B14" s="216" t="s">
        <v>199</v>
      </c>
      <c r="C14" s="217">
        <f>E80</f>
        <v>142571.42857142858</v>
      </c>
      <c r="D14" s="217">
        <f t="shared" ref="D14:F14" si="5">F80</f>
        <v>142571.42857142858</v>
      </c>
      <c r="E14" s="217">
        <f t="shared" si="5"/>
        <v>142571.42857142858</v>
      </c>
      <c r="F14" s="217">
        <f t="shared" si="5"/>
        <v>122571.42857142858</v>
      </c>
      <c r="H14" s="8"/>
      <c r="I14" s="8"/>
      <c r="J14" s="88"/>
      <c r="K14" s="88"/>
      <c r="L14" s="88"/>
      <c r="M14" s="88"/>
    </row>
    <row r="15" spans="1:13">
      <c r="A15" s="806"/>
      <c r="B15" s="216" t="s">
        <v>200</v>
      </c>
      <c r="C15" s="217">
        <f>540000/35</f>
        <v>15428.571428571429</v>
      </c>
      <c r="D15" s="215">
        <f>C15</f>
        <v>15428.571428571429</v>
      </c>
      <c r="E15" s="215">
        <f>C15</f>
        <v>15428.571428571429</v>
      </c>
      <c r="F15" s="215">
        <f>C15</f>
        <v>15428.571428571429</v>
      </c>
      <c r="H15" s="8"/>
      <c r="I15" s="8"/>
      <c r="J15" s="88"/>
      <c r="K15" s="88"/>
      <c r="L15" s="88"/>
      <c r="M15" s="88"/>
    </row>
    <row r="16" spans="1:13">
      <c r="A16" s="696" t="s">
        <v>201</v>
      </c>
      <c r="B16" s="219" t="s">
        <v>202</v>
      </c>
      <c r="C16" s="220">
        <f>E86</f>
        <v>0</v>
      </c>
      <c r="D16" s="220">
        <f>F86</f>
        <v>0</v>
      </c>
      <c r="E16" s="220">
        <f>G86</f>
        <v>0</v>
      </c>
      <c r="F16" s="220">
        <f>H86</f>
        <v>0</v>
      </c>
      <c r="H16" s="8"/>
      <c r="I16" s="8"/>
      <c r="J16" s="88"/>
      <c r="K16" s="88"/>
      <c r="L16" s="88"/>
      <c r="M16" s="88"/>
    </row>
    <row r="17" spans="1:13">
      <c r="A17" s="798" t="s">
        <v>11</v>
      </c>
      <c r="B17" s="222" t="s">
        <v>13</v>
      </c>
      <c r="C17" s="223">
        <f>1180000/35</f>
        <v>33714.285714285717</v>
      </c>
      <c r="D17" s="223">
        <f>C17</f>
        <v>33714.285714285717</v>
      </c>
      <c r="E17" s="223">
        <f>C17</f>
        <v>33714.285714285717</v>
      </c>
      <c r="F17" s="223">
        <f>C17</f>
        <v>33714.285714285717</v>
      </c>
      <c r="H17" s="4"/>
      <c r="I17" s="8"/>
      <c r="J17" s="88"/>
      <c r="K17" s="88"/>
      <c r="L17" s="88"/>
      <c r="M17" s="88"/>
    </row>
    <row r="18" spans="1:13">
      <c r="A18" s="799"/>
      <c r="B18" s="222" t="s">
        <v>14</v>
      </c>
      <c r="C18" s="223">
        <f>170000/35</f>
        <v>4857.1428571428569</v>
      </c>
      <c r="D18" s="223">
        <f>C18</f>
        <v>4857.1428571428569</v>
      </c>
      <c r="E18" s="223">
        <f>C18</f>
        <v>4857.1428571428569</v>
      </c>
      <c r="F18" s="223">
        <f>C18</f>
        <v>4857.1428571428569</v>
      </c>
      <c r="H18" s="8"/>
      <c r="I18" s="8"/>
      <c r="J18" s="88"/>
      <c r="K18" s="88"/>
      <c r="L18" s="88"/>
      <c r="M18" s="88"/>
    </row>
    <row r="19" spans="1:13">
      <c r="A19" s="799"/>
      <c r="B19" s="224" t="s">
        <v>260</v>
      </c>
      <c r="C19" s="223">
        <v>25000</v>
      </c>
      <c r="D19" s="223">
        <f>C19</f>
        <v>25000</v>
      </c>
      <c r="E19" s="223">
        <f>C19</f>
        <v>25000</v>
      </c>
      <c r="F19" s="223">
        <v>20000</v>
      </c>
      <c r="H19" s="8"/>
      <c r="I19" s="8"/>
      <c r="J19" s="88"/>
      <c r="K19" s="88"/>
      <c r="L19" s="88"/>
      <c r="M19" s="88"/>
    </row>
    <row r="20" spans="1:13">
      <c r="A20" s="799"/>
      <c r="B20" s="225" t="s">
        <v>17</v>
      </c>
      <c r="C20" s="223">
        <f>E93</f>
        <v>0</v>
      </c>
      <c r="D20" s="223">
        <f>F93</f>
        <v>0</v>
      </c>
      <c r="E20" s="223">
        <f>G93</f>
        <v>0</v>
      </c>
      <c r="F20" s="223">
        <f>H93</f>
        <v>0</v>
      </c>
      <c r="H20" s="8"/>
      <c r="I20" s="8"/>
      <c r="J20" s="88"/>
      <c r="K20" s="88"/>
      <c r="L20" s="88"/>
      <c r="M20" s="88"/>
    </row>
    <row r="21" spans="1:13">
      <c r="A21" s="799"/>
      <c r="B21" s="226" t="s">
        <v>203</v>
      </c>
      <c r="C21" s="227">
        <f>E96</f>
        <v>65714.28571428571</v>
      </c>
      <c r="D21" s="227">
        <f t="shared" ref="D21:F21" si="6">F96</f>
        <v>65714.28571428571</v>
      </c>
      <c r="E21" s="227">
        <f t="shared" si="6"/>
        <v>65714.28571428571</v>
      </c>
      <c r="F21" s="227">
        <f t="shared" si="6"/>
        <v>65714.28571428571</v>
      </c>
      <c r="H21" s="8"/>
      <c r="I21" s="90"/>
      <c r="J21" s="88"/>
      <c r="K21" s="88"/>
      <c r="L21" s="88"/>
      <c r="M21" s="88"/>
    </row>
    <row r="22" spans="1:13">
      <c r="A22" s="799"/>
      <c r="B22" s="228" t="s">
        <v>18</v>
      </c>
      <c r="C22" s="227">
        <f>E101</f>
        <v>72571.42857142858</v>
      </c>
      <c r="D22" s="223">
        <f>F101</f>
        <v>72571.42857142858</v>
      </c>
      <c r="E22" s="223">
        <f>G101</f>
        <v>72571.42857142858</v>
      </c>
      <c r="F22" s="223">
        <f>H101</f>
        <v>62571.428571428572</v>
      </c>
      <c r="H22" s="8"/>
      <c r="I22" s="90"/>
      <c r="J22" s="88"/>
      <c r="K22" s="88"/>
      <c r="L22" s="88"/>
      <c r="M22" s="88"/>
    </row>
    <row r="23" spans="1:13">
      <c r="A23" s="800"/>
      <c r="B23" s="226" t="s">
        <v>200</v>
      </c>
      <c r="C23" s="227">
        <f>1020000/35</f>
        <v>29142.857142857141</v>
      </c>
      <c r="D23" s="227">
        <f>C23</f>
        <v>29142.857142857141</v>
      </c>
      <c r="E23" s="227">
        <f>C23</f>
        <v>29142.857142857141</v>
      </c>
      <c r="F23" s="227">
        <f>C23</f>
        <v>29142.857142857141</v>
      </c>
      <c r="H23" s="8"/>
      <c r="I23" s="90"/>
      <c r="J23" s="88"/>
      <c r="K23" s="88"/>
      <c r="L23" s="88"/>
      <c r="M23" s="88"/>
    </row>
    <row r="24" spans="1:13">
      <c r="A24" s="801" t="s">
        <v>98</v>
      </c>
      <c r="B24" s="229" t="s">
        <v>204</v>
      </c>
      <c r="C24" s="230">
        <f>760000/35</f>
        <v>21714.285714285714</v>
      </c>
      <c r="D24" s="230">
        <f>C24</f>
        <v>21714.285714285714</v>
      </c>
      <c r="E24" s="230">
        <f>C24</f>
        <v>21714.285714285714</v>
      </c>
      <c r="F24" s="230">
        <f>C24</f>
        <v>21714.285714285714</v>
      </c>
      <c r="H24" s="8"/>
      <c r="I24" s="90"/>
      <c r="J24" s="88"/>
      <c r="K24" s="88"/>
      <c r="L24" s="88"/>
      <c r="M24" s="88"/>
    </row>
    <row r="25" spans="1:13">
      <c r="A25" s="802"/>
      <c r="B25" s="229" t="s">
        <v>205</v>
      </c>
      <c r="C25" s="230">
        <f>E108</f>
        <v>71785.71428571429</v>
      </c>
      <c r="D25" s="230">
        <f>F108</f>
        <v>71785.71428571429</v>
      </c>
      <c r="E25" s="230">
        <f>G108</f>
        <v>71785.71428571429</v>
      </c>
      <c r="F25" s="231">
        <f>H108</f>
        <v>61785.714285714283</v>
      </c>
      <c r="H25" s="8"/>
      <c r="I25" s="90"/>
      <c r="J25" s="88"/>
      <c r="K25" s="88"/>
      <c r="L25" s="88"/>
      <c r="M25" s="88"/>
    </row>
    <row r="26" spans="1:13">
      <c r="A26" s="802"/>
      <c r="B26" s="232" t="s">
        <v>106</v>
      </c>
      <c r="C26" s="230">
        <f>E116</f>
        <v>74714.28571428571</v>
      </c>
      <c r="D26" s="230">
        <f>F116</f>
        <v>74714.28571428571</v>
      </c>
      <c r="E26" s="230">
        <f>G116</f>
        <v>74714.28571428571</v>
      </c>
      <c r="F26" s="231">
        <v>0</v>
      </c>
      <c r="H26" s="8"/>
      <c r="I26" s="90"/>
      <c r="J26" s="88"/>
      <c r="K26" s="88"/>
      <c r="L26" s="88"/>
      <c r="M26" s="88"/>
    </row>
    <row r="27" spans="1:13">
      <c r="A27" s="802"/>
      <c r="B27" s="232" t="s">
        <v>105</v>
      </c>
      <c r="C27" s="230">
        <f>E113</f>
        <v>107142.85714285714</v>
      </c>
      <c r="D27" s="230">
        <f>F113</f>
        <v>107142.85714285714</v>
      </c>
      <c r="E27" s="230">
        <f>G113</f>
        <v>107142.85714285714</v>
      </c>
      <c r="F27" s="231">
        <f>H113</f>
        <v>92142.857142857145</v>
      </c>
      <c r="H27" s="8"/>
      <c r="I27" s="90"/>
      <c r="J27" s="88"/>
      <c r="K27" s="88"/>
      <c r="L27" s="88"/>
      <c r="M27" s="88"/>
    </row>
    <row r="28" spans="1:13">
      <c r="A28" s="802"/>
      <c r="B28" s="229" t="s">
        <v>107</v>
      </c>
      <c r="C28" s="233">
        <f t="shared" ref="C28:F28" si="7">E117</f>
        <v>230000</v>
      </c>
      <c r="D28" s="233">
        <f t="shared" si="7"/>
        <v>230000</v>
      </c>
      <c r="E28" s="233">
        <f t="shared" si="7"/>
        <v>230000</v>
      </c>
      <c r="F28" s="233">
        <f t="shared" si="7"/>
        <v>230000</v>
      </c>
      <c r="H28" s="8"/>
      <c r="I28" s="90"/>
      <c r="J28" s="88"/>
      <c r="K28" s="88"/>
      <c r="L28" s="88"/>
      <c r="M28" s="88"/>
    </row>
    <row r="29" spans="1:13">
      <c r="A29" s="803"/>
      <c r="B29" s="229" t="s">
        <v>200</v>
      </c>
      <c r="C29" s="233">
        <f>1020000/35</f>
        <v>29142.857142857141</v>
      </c>
      <c r="D29" s="233">
        <f>C29</f>
        <v>29142.857142857141</v>
      </c>
      <c r="E29" s="233">
        <f>C29</f>
        <v>29142.857142857141</v>
      </c>
      <c r="F29" s="233">
        <f>C29</f>
        <v>29142.857142857141</v>
      </c>
      <c r="H29" s="8"/>
      <c r="I29" s="90"/>
      <c r="J29" s="88"/>
      <c r="K29" s="88"/>
      <c r="L29" s="88"/>
      <c r="M29" s="88"/>
    </row>
    <row r="30" spans="1:13" ht="15" customHeight="1">
      <c r="A30" s="807" t="s">
        <v>12</v>
      </c>
      <c r="B30" s="234" t="s">
        <v>20</v>
      </c>
      <c r="C30" s="366">
        <f>460000/35</f>
        <v>13142.857142857143</v>
      </c>
      <c r="D30" s="367">
        <f>C30</f>
        <v>13142.857142857143</v>
      </c>
      <c r="E30" s="367">
        <f>C30</f>
        <v>13142.857142857143</v>
      </c>
      <c r="F30" s="367">
        <f>C30</f>
        <v>13142.857142857143</v>
      </c>
      <c r="H30" s="31"/>
      <c r="I30" s="91"/>
      <c r="J30" s="92"/>
      <c r="K30" s="88"/>
      <c r="L30" s="88"/>
      <c r="M30" s="88"/>
    </row>
    <row r="31" spans="1:13">
      <c r="A31" s="808"/>
      <c r="B31" s="236" t="s">
        <v>21</v>
      </c>
      <c r="C31" s="369">
        <f>140000/35</f>
        <v>4000</v>
      </c>
      <c r="D31" s="369">
        <f>C31</f>
        <v>4000</v>
      </c>
      <c r="E31" s="369">
        <f>C31</f>
        <v>4000</v>
      </c>
      <c r="F31" s="369">
        <f>C31</f>
        <v>4000</v>
      </c>
      <c r="H31" s="695"/>
      <c r="I31" s="91"/>
      <c r="J31" s="92"/>
      <c r="K31" s="88"/>
      <c r="L31" s="88"/>
      <c r="M31" s="88"/>
    </row>
    <row r="32" spans="1:13">
      <c r="A32" s="808"/>
      <c r="B32" s="236" t="s">
        <v>40</v>
      </c>
      <c r="C32" s="369">
        <v>55000</v>
      </c>
      <c r="D32" s="369">
        <v>55000</v>
      </c>
      <c r="E32" s="369">
        <v>55000</v>
      </c>
      <c r="F32" s="369">
        <v>39000</v>
      </c>
      <c r="H32" s="695"/>
      <c r="I32" s="91"/>
      <c r="J32" s="92"/>
      <c r="K32" s="88"/>
      <c r="L32" s="88"/>
      <c r="M32" s="88"/>
    </row>
    <row r="33" spans="1:13">
      <c r="A33" s="809"/>
      <c r="B33" s="238" t="s">
        <v>155</v>
      </c>
      <c r="C33" s="239">
        <f>E124</f>
        <v>101428.57142857142</v>
      </c>
      <c r="D33" s="240">
        <f>F124</f>
        <v>101428.57142857142</v>
      </c>
      <c r="E33" s="240">
        <f>G124</f>
        <v>101428.57142857142</v>
      </c>
      <c r="F33" s="240">
        <f>H124</f>
        <v>45428.571428571428</v>
      </c>
      <c r="H33" s="695"/>
      <c r="I33" s="8"/>
      <c r="J33" s="88"/>
      <c r="K33" s="88"/>
      <c r="L33" s="88"/>
      <c r="M33" s="88"/>
    </row>
    <row r="34" spans="1:13">
      <c r="A34" s="810"/>
      <c r="B34" s="700" t="s">
        <v>185</v>
      </c>
      <c r="C34" s="701">
        <f>E129</f>
        <v>83714.28571428571</v>
      </c>
      <c r="D34" s="701">
        <f>C34</f>
        <v>83714.28571428571</v>
      </c>
      <c r="E34" s="701">
        <f>C34</f>
        <v>83714.28571428571</v>
      </c>
      <c r="F34" s="701">
        <f>H129</f>
        <v>73714.28571428571</v>
      </c>
      <c r="H34" s="695"/>
      <c r="I34" s="8"/>
      <c r="J34" s="88"/>
      <c r="K34" s="88"/>
      <c r="L34" s="88"/>
      <c r="M34" s="88"/>
    </row>
    <row r="35" spans="1:13">
      <c r="A35" s="811"/>
      <c r="B35" s="702" t="s">
        <v>207</v>
      </c>
      <c r="C35" s="701">
        <f>1360000/35</f>
        <v>38857.142857142855</v>
      </c>
      <c r="D35" s="701">
        <f>C35</f>
        <v>38857.142857142855</v>
      </c>
      <c r="E35" s="701">
        <f>C35</f>
        <v>38857.142857142855</v>
      </c>
      <c r="F35" s="701">
        <f>C35</f>
        <v>38857.142857142855</v>
      </c>
      <c r="H35" s="695"/>
      <c r="I35" s="8"/>
      <c r="J35" s="88"/>
      <c r="K35" s="88"/>
      <c r="L35" s="88"/>
      <c r="M35" s="88"/>
    </row>
    <row r="36" spans="1:13">
      <c r="A36" s="698" t="s">
        <v>206</v>
      </c>
      <c r="B36" s="697" t="s">
        <v>159</v>
      </c>
      <c r="C36" s="242">
        <f>E126</f>
        <v>187000</v>
      </c>
      <c r="D36" s="242">
        <f>F126</f>
        <v>187000</v>
      </c>
      <c r="E36" s="242">
        <f>G126</f>
        <v>187000</v>
      </c>
      <c r="F36" s="242">
        <f>H126</f>
        <v>132000</v>
      </c>
      <c r="H36" s="695"/>
      <c r="I36" s="8"/>
      <c r="J36" s="88"/>
      <c r="K36" s="88"/>
      <c r="L36" s="88"/>
      <c r="M36" s="88"/>
    </row>
    <row r="37" spans="1:13">
      <c r="A37" s="699" t="s">
        <v>259</v>
      </c>
      <c r="B37" s="243" t="s">
        <v>111</v>
      </c>
      <c r="C37" s="244">
        <v>25000</v>
      </c>
      <c r="D37" s="244">
        <v>25000</v>
      </c>
      <c r="E37" s="244">
        <v>25000</v>
      </c>
      <c r="F37" s="244">
        <v>25000</v>
      </c>
      <c r="H37" s="695"/>
      <c r="I37" s="8"/>
      <c r="J37" s="88"/>
      <c r="K37" s="88"/>
      <c r="L37" s="88"/>
      <c r="M37" s="88"/>
    </row>
    <row r="38" spans="1:13">
      <c r="A38" s="42"/>
      <c r="B38" s="304" t="s">
        <v>25</v>
      </c>
      <c r="C38" s="370">
        <f>SUM(C9:C37)</f>
        <v>4565214.2857142864</v>
      </c>
      <c r="D38" s="370">
        <f t="shared" ref="D38:F38" si="8">SUM(D9:D37)</f>
        <v>3246014.2857142868</v>
      </c>
      <c r="E38" s="370">
        <f t="shared" si="8"/>
        <v>3067614.2857142864</v>
      </c>
      <c r="F38" s="370">
        <f t="shared" si="8"/>
        <v>1933899.9999999998</v>
      </c>
      <c r="H38" s="4"/>
      <c r="I38" s="8"/>
      <c r="J38" s="88"/>
      <c r="K38" s="88"/>
      <c r="L38" s="88"/>
      <c r="M38" s="88"/>
    </row>
    <row r="39" spans="1:13">
      <c r="A39" s="45" t="s">
        <v>112</v>
      </c>
      <c r="B39" s="247">
        <v>0.8</v>
      </c>
      <c r="C39" s="47">
        <f>C38/B39</f>
        <v>5706517.8571428573</v>
      </c>
      <c r="D39" s="47">
        <f>D38/B39</f>
        <v>4057517.8571428582</v>
      </c>
      <c r="E39" s="47">
        <f>E38/B39</f>
        <v>3834517.8571428577</v>
      </c>
      <c r="F39" s="47">
        <f>F38/B39</f>
        <v>2417374.9999999995</v>
      </c>
      <c r="H39" s="8"/>
      <c r="I39" s="4"/>
      <c r="J39" s="89"/>
      <c r="K39" s="89"/>
      <c r="L39" s="89"/>
      <c r="M39" s="89"/>
    </row>
    <row r="40" spans="1:13">
      <c r="A40" s="48" t="s">
        <v>113</v>
      </c>
      <c r="B40" s="49">
        <v>3150</v>
      </c>
      <c r="C40" s="50">
        <f>C39/B40</f>
        <v>1811.5929705215419</v>
      </c>
      <c r="D40" s="50">
        <f>D39/B40</f>
        <v>1288.1009070294788</v>
      </c>
      <c r="E40" s="50">
        <f>E39/B40</f>
        <v>1217.3072562358279</v>
      </c>
      <c r="F40" s="50">
        <f>F39/B40</f>
        <v>767.42063492063482</v>
      </c>
      <c r="H40" s="51"/>
      <c r="I40" s="51"/>
      <c r="J40" s="51"/>
      <c r="K40" s="51"/>
      <c r="L40" s="51"/>
      <c r="M40" s="51"/>
    </row>
    <row r="41" spans="1:13">
      <c r="H41" s="51"/>
      <c r="I41" s="51"/>
      <c r="J41" s="51"/>
      <c r="K41" s="51"/>
      <c r="L41" s="51"/>
      <c r="M41" s="51"/>
    </row>
    <row r="42" spans="1:13">
      <c r="A42" s="725" t="s">
        <v>28</v>
      </c>
      <c r="B42" s="723"/>
      <c r="C42" s="723"/>
      <c r="D42" s="723"/>
      <c r="E42" s="723"/>
      <c r="F42" s="724"/>
      <c r="H42" s="766"/>
      <c r="I42" s="767"/>
      <c r="J42" s="767"/>
      <c r="K42" s="767"/>
      <c r="L42" s="767"/>
      <c r="M42" s="767"/>
    </row>
    <row r="43" spans="1:13">
      <c r="H43" s="51"/>
      <c r="I43" s="51"/>
      <c r="J43" s="51"/>
      <c r="K43" s="51"/>
      <c r="L43" s="51"/>
      <c r="M43" s="51"/>
    </row>
    <row r="44" spans="1:13">
      <c r="B44" s="52" t="s">
        <v>30</v>
      </c>
      <c r="C44" s="53" t="s">
        <v>5</v>
      </c>
      <c r="D44" s="53">
        <f>SUM(D45:D48)</f>
        <v>13</v>
      </c>
      <c r="E44" s="53" t="s">
        <v>32</v>
      </c>
      <c r="H44" s="51"/>
      <c r="I44" s="4"/>
      <c r="J44" s="4"/>
      <c r="K44" s="4"/>
      <c r="L44" s="4"/>
      <c r="M44" s="51"/>
    </row>
    <row r="45" spans="1:13">
      <c r="B45" s="248" t="s">
        <v>208</v>
      </c>
      <c r="C45" s="249">
        <v>150000</v>
      </c>
      <c r="D45" s="250">
        <v>3</v>
      </c>
      <c r="E45" s="251">
        <f t="shared" ref="E45:E48" si="9">D45*C45</f>
        <v>450000</v>
      </c>
      <c r="H45" s="51"/>
      <c r="I45" s="93"/>
      <c r="J45" s="8"/>
      <c r="K45" s="8"/>
      <c r="L45" s="8"/>
      <c r="M45" s="51"/>
    </row>
    <row r="46" spans="1:13">
      <c r="B46" s="248" t="s">
        <v>209</v>
      </c>
      <c r="C46" s="249">
        <v>130000</v>
      </c>
      <c r="D46" s="250">
        <v>3</v>
      </c>
      <c r="E46" s="251">
        <f t="shared" si="9"/>
        <v>390000</v>
      </c>
      <c r="H46" s="51"/>
      <c r="I46" s="91"/>
      <c r="J46" s="8"/>
      <c r="K46" s="8"/>
      <c r="L46" s="8"/>
      <c r="M46" s="51"/>
    </row>
    <row r="47" spans="1:13">
      <c r="B47" s="248" t="s">
        <v>210</v>
      </c>
      <c r="C47" s="249">
        <v>278000</v>
      </c>
      <c r="D47" s="250">
        <v>3</v>
      </c>
      <c r="E47" s="251">
        <f>C47*D47</f>
        <v>834000</v>
      </c>
      <c r="H47" s="51"/>
      <c r="I47" s="91"/>
      <c r="J47" s="8"/>
      <c r="K47" s="8"/>
      <c r="L47" s="8"/>
      <c r="M47" s="51"/>
    </row>
    <row r="48" spans="1:13">
      <c r="B48" s="248" t="s">
        <v>40</v>
      </c>
      <c r="C48" s="249">
        <v>320000</v>
      </c>
      <c r="D48" s="250">
        <v>4</v>
      </c>
      <c r="E48" s="251">
        <f t="shared" si="9"/>
        <v>1280000</v>
      </c>
      <c r="F48">
        <v>338000</v>
      </c>
      <c r="H48" s="51"/>
      <c r="I48" s="91"/>
      <c r="J48" s="8"/>
      <c r="K48" s="8"/>
      <c r="L48" s="8"/>
      <c r="M48" s="51"/>
    </row>
    <row r="49" spans="2:13">
      <c r="H49" s="51"/>
      <c r="I49" s="51"/>
      <c r="J49" s="51"/>
      <c r="K49" s="51"/>
      <c r="L49" s="51"/>
      <c r="M49" s="51"/>
    </row>
    <row r="50" spans="2:13">
      <c r="B50" s="53" t="s">
        <v>30</v>
      </c>
      <c r="C50" s="53" t="s">
        <v>6</v>
      </c>
      <c r="D50" s="53">
        <f>SUM(D51:D54)</f>
        <v>13</v>
      </c>
      <c r="E50" s="53" t="s">
        <v>32</v>
      </c>
      <c r="H50" s="51"/>
      <c r="I50" s="4"/>
      <c r="J50" s="4"/>
      <c r="K50" s="4"/>
      <c r="L50" s="4"/>
      <c r="M50" s="51"/>
    </row>
    <row r="51" spans="2:13">
      <c r="B51" s="254" t="s">
        <v>208</v>
      </c>
      <c r="C51" s="255">
        <f>180000/2</f>
        <v>90000</v>
      </c>
      <c r="D51" s="250">
        <v>3</v>
      </c>
      <c r="E51" s="251">
        <f t="shared" ref="E51:E54" si="10">D51*C51</f>
        <v>270000</v>
      </c>
      <c r="H51" s="51"/>
      <c r="I51" s="93"/>
      <c r="J51" s="8"/>
      <c r="K51" s="8"/>
      <c r="L51" s="8"/>
      <c r="M51" s="51"/>
    </row>
    <row r="52" spans="2:13">
      <c r="B52" s="254" t="s">
        <v>209</v>
      </c>
      <c r="C52" s="255">
        <f>205200/2</f>
        <v>102600</v>
      </c>
      <c r="D52" s="250">
        <v>3</v>
      </c>
      <c r="E52" s="251">
        <f t="shared" si="10"/>
        <v>307800</v>
      </c>
      <c r="H52" s="51"/>
      <c r="I52" s="91"/>
      <c r="J52" s="94"/>
      <c r="K52" s="8"/>
      <c r="L52" s="94"/>
      <c r="M52" s="51"/>
    </row>
    <row r="53" spans="2:13">
      <c r="B53" s="254" t="s">
        <v>210</v>
      </c>
      <c r="C53" s="249">
        <f>278000/2</f>
        <v>139000</v>
      </c>
      <c r="D53" s="250">
        <v>3</v>
      </c>
      <c r="E53" s="251">
        <f>C53*D53</f>
        <v>417000</v>
      </c>
      <c r="H53" s="51"/>
      <c r="I53" s="91"/>
      <c r="J53" s="8"/>
      <c r="K53" s="8"/>
      <c r="L53" s="8"/>
      <c r="M53" s="51"/>
    </row>
    <row r="54" spans="2:13">
      <c r="B54" s="254" t="s">
        <v>40</v>
      </c>
      <c r="C54" s="256">
        <f>320000/2</f>
        <v>160000</v>
      </c>
      <c r="D54" s="250">
        <v>4</v>
      </c>
      <c r="E54" s="251">
        <f t="shared" si="10"/>
        <v>640000</v>
      </c>
      <c r="F54">
        <v>169000</v>
      </c>
      <c r="H54" s="51"/>
      <c r="I54" s="91"/>
      <c r="J54" s="8"/>
      <c r="K54" s="8"/>
      <c r="L54" s="8"/>
      <c r="M54" s="51"/>
    </row>
    <row r="55" spans="2:13">
      <c r="H55" s="51"/>
      <c r="I55" s="51"/>
      <c r="J55" s="51"/>
      <c r="K55" s="51"/>
      <c r="L55" s="51"/>
      <c r="M55" s="51"/>
    </row>
    <row r="56" spans="2:13">
      <c r="B56" s="53" t="s">
        <v>30</v>
      </c>
      <c r="C56" s="53" t="s">
        <v>7</v>
      </c>
      <c r="D56" s="53">
        <f>SUM(D57:D60)</f>
        <v>13</v>
      </c>
      <c r="E56" s="53" t="s">
        <v>32</v>
      </c>
      <c r="H56" s="51"/>
      <c r="I56" s="4"/>
      <c r="J56" s="4"/>
      <c r="K56" s="4"/>
      <c r="L56" s="4"/>
      <c r="M56" s="51"/>
    </row>
    <row r="57" spans="2:13">
      <c r="B57" s="254" t="s">
        <v>208</v>
      </c>
      <c r="C57" s="257">
        <f>(180000+95000)/3</f>
        <v>91666.666666666672</v>
      </c>
      <c r="D57" s="250">
        <v>3</v>
      </c>
      <c r="E57" s="251">
        <f t="shared" ref="E57:E58" si="11">D57*C57</f>
        <v>275000</v>
      </c>
      <c r="H57" s="51"/>
      <c r="I57" s="93"/>
      <c r="J57" s="8"/>
      <c r="K57" s="8"/>
      <c r="L57" s="8"/>
      <c r="M57" s="51"/>
    </row>
    <row r="58" spans="2:13">
      <c r="B58" s="254" t="s">
        <v>209</v>
      </c>
      <c r="C58" s="255">
        <f>275400/3</f>
        <v>91800</v>
      </c>
      <c r="D58" s="250">
        <v>3</v>
      </c>
      <c r="E58" s="251">
        <f t="shared" si="11"/>
        <v>275400</v>
      </c>
      <c r="H58" s="51"/>
      <c r="I58" s="91"/>
      <c r="J58" s="94"/>
      <c r="K58" s="8"/>
      <c r="L58" s="8"/>
      <c r="M58" s="51"/>
    </row>
    <row r="59" spans="2:13">
      <c r="B59" s="254" t="s">
        <v>210</v>
      </c>
      <c r="C59" s="258">
        <f>346000/3</f>
        <v>115333.33333333333</v>
      </c>
      <c r="D59" s="250">
        <v>3</v>
      </c>
      <c r="E59" s="251">
        <f>C59*D59</f>
        <v>346000</v>
      </c>
      <c r="H59" s="51"/>
      <c r="I59" s="91"/>
      <c r="J59" s="8"/>
      <c r="K59" s="8"/>
      <c r="L59" s="8"/>
      <c r="M59" s="51"/>
    </row>
    <row r="60" spans="2:13">
      <c r="B60" s="259" t="s">
        <v>40</v>
      </c>
      <c r="C60" s="260">
        <f>420000/3</f>
        <v>140000</v>
      </c>
      <c r="D60" s="261">
        <v>4</v>
      </c>
      <c r="E60" s="251">
        <f>C60*D60</f>
        <v>560000</v>
      </c>
      <c r="F60">
        <v>169000</v>
      </c>
      <c r="H60" s="51"/>
      <c r="I60" s="91"/>
      <c r="J60" s="8"/>
      <c r="K60" s="8"/>
      <c r="L60" s="8"/>
      <c r="M60" s="51"/>
    </row>
    <row r="61" spans="2:13">
      <c r="B61" s="59"/>
      <c r="C61" s="59"/>
      <c r="D61" s="59"/>
      <c r="E61" s="59"/>
      <c r="H61" s="51"/>
      <c r="I61" s="8"/>
      <c r="J61" s="8"/>
      <c r="K61" s="8"/>
      <c r="L61" s="8"/>
      <c r="M61" s="51"/>
    </row>
    <row r="62" spans="2:13">
      <c r="B62" s="53" t="s">
        <v>30</v>
      </c>
      <c r="C62" s="53" t="s">
        <v>8</v>
      </c>
      <c r="D62" s="53">
        <f>SUM(D63:D66)</f>
        <v>13</v>
      </c>
      <c r="E62" s="53" t="s">
        <v>32</v>
      </c>
      <c r="H62" s="51"/>
      <c r="I62" s="4"/>
      <c r="J62" s="4"/>
      <c r="K62" s="4"/>
      <c r="L62" s="4"/>
      <c r="M62" s="51"/>
    </row>
    <row r="63" spans="2:13">
      <c r="B63" s="262" t="s">
        <v>208</v>
      </c>
      <c r="C63" s="263">
        <v>47000</v>
      </c>
      <c r="D63" s="264">
        <v>3</v>
      </c>
      <c r="E63" s="265">
        <f>D63*C63</f>
        <v>141000</v>
      </c>
      <c r="H63" s="51"/>
      <c r="I63" s="93"/>
      <c r="J63" s="8"/>
      <c r="K63" s="8"/>
      <c r="L63" s="8"/>
      <c r="M63" s="51"/>
    </row>
    <row r="64" spans="2:13">
      <c r="B64" s="262" t="s">
        <v>209</v>
      </c>
      <c r="C64" s="263">
        <v>64800</v>
      </c>
      <c r="D64" s="264">
        <v>3</v>
      </c>
      <c r="E64" s="265">
        <f t="shared" ref="E64:E66" si="12">C64*D64</f>
        <v>194400</v>
      </c>
      <c r="H64" s="51"/>
      <c r="I64" s="91"/>
      <c r="J64" s="94"/>
      <c r="K64" s="8"/>
      <c r="L64" s="8"/>
      <c r="M64" s="51"/>
    </row>
    <row r="65" spans="1:21">
      <c r="B65" s="262" t="s">
        <v>263</v>
      </c>
      <c r="C65" s="266">
        <v>48000</v>
      </c>
      <c r="D65" s="264">
        <v>3</v>
      </c>
      <c r="E65" s="265">
        <f t="shared" si="12"/>
        <v>144000</v>
      </c>
      <c r="H65" s="51"/>
      <c r="I65" s="91"/>
      <c r="J65" s="8"/>
      <c r="K65" s="8"/>
      <c r="L65" s="8"/>
      <c r="M65" s="51"/>
    </row>
    <row r="66" spans="1:21" ht="30">
      <c r="B66" s="267" t="s">
        <v>262</v>
      </c>
      <c r="C66" s="268">
        <v>35000</v>
      </c>
      <c r="D66" s="264">
        <v>4</v>
      </c>
      <c r="E66" s="265">
        <f t="shared" si="12"/>
        <v>140000</v>
      </c>
      <c r="H66" s="51"/>
      <c r="I66" s="91"/>
      <c r="J66" s="8"/>
      <c r="K66" s="8"/>
      <c r="L66" s="8"/>
      <c r="M66" s="51"/>
    </row>
    <row r="68" spans="1:21">
      <c r="A68" s="269" t="s">
        <v>3</v>
      </c>
      <c r="B68" s="269" t="s">
        <v>44</v>
      </c>
      <c r="C68" s="269" t="s">
        <v>46</v>
      </c>
      <c r="D68" s="269" t="s">
        <v>45</v>
      </c>
      <c r="E68" s="269" t="s">
        <v>5</v>
      </c>
      <c r="F68" s="269" t="s">
        <v>6</v>
      </c>
      <c r="G68" s="269" t="s">
        <v>7</v>
      </c>
      <c r="H68" s="269" t="s">
        <v>8</v>
      </c>
    </row>
    <row r="69" spans="1:21">
      <c r="A69" s="270" t="s">
        <v>9</v>
      </c>
      <c r="B69" s="70"/>
      <c r="C69" s="70"/>
      <c r="D69" s="70"/>
      <c r="E69" s="70"/>
      <c r="F69" s="70"/>
      <c r="G69" s="70"/>
      <c r="H69" s="70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</row>
    <row r="70" spans="1:21" s="1" customFormat="1" ht="15" customHeight="1">
      <c r="A70" s="784" t="s">
        <v>212</v>
      </c>
      <c r="B70" s="271" t="s">
        <v>170</v>
      </c>
      <c r="C70" s="271" t="s">
        <v>49</v>
      </c>
      <c r="D70" s="271" t="s">
        <v>129</v>
      </c>
      <c r="E70" s="272">
        <f>900000/35</f>
        <v>25714.285714285714</v>
      </c>
      <c r="F70" s="272">
        <f>E70</f>
        <v>25714.285714285714</v>
      </c>
      <c r="G70" s="272">
        <f>E70</f>
        <v>25714.285714285714</v>
      </c>
      <c r="H70" s="272">
        <f>E70</f>
        <v>25714.285714285714</v>
      </c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</row>
    <row r="71" spans="1:21" ht="15" customHeight="1">
      <c r="A71" s="785"/>
      <c r="B71" s="273" t="s">
        <v>50</v>
      </c>
      <c r="C71" s="274" t="s">
        <v>122</v>
      </c>
      <c r="D71" s="273" t="s">
        <v>52</v>
      </c>
      <c r="E71" s="275">
        <f>240000/35</f>
        <v>6857.1428571428569</v>
      </c>
      <c r="F71" s="275">
        <f>E71</f>
        <v>6857.1428571428569</v>
      </c>
      <c r="G71" s="275">
        <f>E71</f>
        <v>6857.1428571428569</v>
      </c>
      <c r="H71" s="275">
        <f>E71</f>
        <v>6857.1428571428569</v>
      </c>
    </row>
    <row r="72" spans="1:21" ht="15" customHeight="1">
      <c r="A72" s="785"/>
      <c r="B72" s="276" t="s">
        <v>213</v>
      </c>
      <c r="C72" s="274" t="s">
        <v>214</v>
      </c>
      <c r="D72" s="273" t="s">
        <v>57</v>
      </c>
      <c r="E72" s="277">
        <v>50000</v>
      </c>
      <c r="F72" s="277">
        <f>E72</f>
        <v>50000</v>
      </c>
      <c r="G72" s="277">
        <f>E72</f>
        <v>50000</v>
      </c>
      <c r="H72" s="277">
        <v>40000</v>
      </c>
    </row>
    <row r="73" spans="1:21" ht="15" customHeight="1">
      <c r="A73" s="785"/>
      <c r="B73" s="278" t="s">
        <v>62</v>
      </c>
      <c r="C73" s="274" t="s">
        <v>64</v>
      </c>
      <c r="D73" s="273" t="s">
        <v>54</v>
      </c>
      <c r="E73" s="277">
        <v>5000</v>
      </c>
      <c r="F73" s="277">
        <f>E73</f>
        <v>5000</v>
      </c>
      <c r="G73" s="277">
        <f>E73</f>
        <v>5000</v>
      </c>
      <c r="H73" s="277">
        <f>F73</f>
        <v>5000</v>
      </c>
    </row>
    <row r="74" spans="1:21" ht="15" customHeight="1">
      <c r="A74" s="786"/>
      <c r="B74" s="278" t="s">
        <v>65</v>
      </c>
      <c r="C74" s="274" t="s">
        <v>64</v>
      </c>
      <c r="D74" s="273" t="s">
        <v>54</v>
      </c>
      <c r="E74" s="277">
        <v>22000</v>
      </c>
      <c r="F74" s="277">
        <f>E74</f>
        <v>22000</v>
      </c>
      <c r="G74" s="277">
        <f>E74</f>
        <v>22000</v>
      </c>
      <c r="H74" s="277">
        <v>17000</v>
      </c>
    </row>
    <row r="75" spans="1:21" ht="15" customHeight="1">
      <c r="A75" s="279"/>
      <c r="B75" s="280" t="s">
        <v>58</v>
      </c>
      <c r="C75" s="280"/>
      <c r="D75" s="280"/>
      <c r="E75" s="281">
        <f>SUM(E70:E74)</f>
        <v>109571.42857142858</v>
      </c>
      <c r="F75" s="281">
        <f t="shared" ref="F75:H75" si="13">SUM(F70:F74)</f>
        <v>109571.42857142858</v>
      </c>
      <c r="G75" s="281">
        <f t="shared" si="13"/>
        <v>109571.42857142858</v>
      </c>
      <c r="H75" s="281">
        <f t="shared" si="13"/>
        <v>94571.42857142858</v>
      </c>
    </row>
    <row r="76" spans="1:21" ht="15" customHeight="1">
      <c r="A76" s="787" t="s">
        <v>199</v>
      </c>
      <c r="B76" s="371" t="s">
        <v>170</v>
      </c>
      <c r="C76" s="372" t="s">
        <v>49</v>
      </c>
      <c r="D76" s="372" t="s">
        <v>129</v>
      </c>
      <c r="E76" s="373">
        <f>900000/35</f>
        <v>25714.285714285714</v>
      </c>
      <c r="F76" s="373">
        <f>E76</f>
        <v>25714.285714285714</v>
      </c>
      <c r="G76" s="373">
        <f>E76</f>
        <v>25714.285714285714</v>
      </c>
      <c r="H76" s="373">
        <f>E76</f>
        <v>25714.285714285714</v>
      </c>
    </row>
    <row r="77" spans="1:21">
      <c r="A77" s="788"/>
      <c r="B77" s="374" t="s">
        <v>50</v>
      </c>
      <c r="C77" s="375" t="s">
        <v>122</v>
      </c>
      <c r="D77" s="376" t="s">
        <v>52</v>
      </c>
      <c r="E77" s="377">
        <f>240000/35</f>
        <v>6857.1428571428569</v>
      </c>
      <c r="F77" s="377">
        <f>E77</f>
        <v>6857.1428571428569</v>
      </c>
      <c r="G77" s="377">
        <f>E77</f>
        <v>6857.1428571428569</v>
      </c>
      <c r="H77" s="377">
        <f>E77</f>
        <v>6857.1428571428569</v>
      </c>
    </row>
    <row r="78" spans="1:21">
      <c r="A78" s="788"/>
      <c r="B78" s="378" t="s">
        <v>53</v>
      </c>
      <c r="C78" s="379" t="s">
        <v>54</v>
      </c>
      <c r="D78" s="380" t="s">
        <v>54</v>
      </c>
      <c r="E78" s="381">
        <v>60000</v>
      </c>
      <c r="F78" s="382">
        <v>60000</v>
      </c>
      <c r="G78" s="382">
        <v>60000</v>
      </c>
      <c r="H78" s="382">
        <v>50000</v>
      </c>
    </row>
    <row r="79" spans="1:21">
      <c r="A79" s="789"/>
      <c r="B79" s="383" t="s">
        <v>215</v>
      </c>
      <c r="C79" s="384" t="s">
        <v>56</v>
      </c>
      <c r="D79" s="376" t="s">
        <v>127</v>
      </c>
      <c r="E79" s="385">
        <v>50000</v>
      </c>
      <c r="F79" s="385">
        <v>50000</v>
      </c>
      <c r="G79" s="386">
        <v>50000</v>
      </c>
      <c r="H79" s="386">
        <v>40000</v>
      </c>
    </row>
    <row r="80" spans="1:21">
      <c r="A80" s="387"/>
      <c r="B80" s="388" t="s">
        <v>58</v>
      </c>
      <c r="C80" s="389"/>
      <c r="D80" s="389"/>
      <c r="E80" s="390">
        <f>SUM(E76:E79)</f>
        <v>142571.42857142858</v>
      </c>
      <c r="F80" s="390">
        <f>SUM(F76:F79)</f>
        <v>142571.42857142858</v>
      </c>
      <c r="G80" s="391">
        <f>SUM(G76:G79)</f>
        <v>142571.42857142858</v>
      </c>
      <c r="H80" s="391">
        <f>SUM(H76:H79)</f>
        <v>122571.42857142858</v>
      </c>
      <c r="K80" s="1"/>
    </row>
    <row r="81" spans="1:8">
      <c r="A81" s="282" t="s">
        <v>201</v>
      </c>
      <c r="B81" s="8"/>
      <c r="C81" s="8"/>
      <c r="D81" s="8"/>
      <c r="E81" s="94"/>
      <c r="F81" s="94"/>
      <c r="G81" s="94"/>
      <c r="H81" s="94"/>
    </row>
    <row r="82" spans="1:8" ht="15" customHeight="1">
      <c r="A82" s="790" t="s">
        <v>202</v>
      </c>
      <c r="B82" s="392" t="s">
        <v>216</v>
      </c>
      <c r="C82" s="393" t="s">
        <v>49</v>
      </c>
      <c r="D82" s="393" t="s">
        <v>125</v>
      </c>
      <c r="E82" s="394">
        <f>1000000/35</f>
        <v>28571.428571428572</v>
      </c>
      <c r="F82" s="394">
        <f>E82</f>
        <v>28571.428571428572</v>
      </c>
      <c r="G82" s="394">
        <f>E82</f>
        <v>28571.428571428572</v>
      </c>
      <c r="H82" s="394">
        <f>E82</f>
        <v>28571.428571428572</v>
      </c>
    </row>
    <row r="83" spans="1:8">
      <c r="A83" s="791"/>
      <c r="B83" s="393" t="s">
        <v>217</v>
      </c>
      <c r="C83" s="393" t="s">
        <v>122</v>
      </c>
      <c r="D83" s="393" t="s">
        <v>52</v>
      </c>
      <c r="E83" s="394">
        <f>240000/35</f>
        <v>6857.1428571428569</v>
      </c>
      <c r="F83" s="394">
        <f>E83</f>
        <v>6857.1428571428569</v>
      </c>
      <c r="G83" s="394">
        <f>E83</f>
        <v>6857.1428571428569</v>
      </c>
      <c r="H83" s="394">
        <f>E83</f>
        <v>6857.1428571428569</v>
      </c>
    </row>
    <row r="84" spans="1:8">
      <c r="A84" s="791"/>
      <c r="B84" s="300" t="s">
        <v>218</v>
      </c>
      <c r="C84" s="300" t="s">
        <v>56</v>
      </c>
      <c r="D84" s="300" t="s">
        <v>57</v>
      </c>
      <c r="E84" s="301">
        <v>50000</v>
      </c>
      <c r="F84" s="301">
        <v>50000</v>
      </c>
      <c r="G84" s="301">
        <v>50000</v>
      </c>
      <c r="H84" s="301">
        <v>50000</v>
      </c>
    </row>
    <row r="85" spans="1:8">
      <c r="A85" s="792"/>
      <c r="B85" s="300" t="s">
        <v>219</v>
      </c>
      <c r="C85" s="300" t="s">
        <v>54</v>
      </c>
      <c r="D85" s="300" t="s">
        <v>54</v>
      </c>
      <c r="E85" s="301">
        <v>12000</v>
      </c>
      <c r="F85" s="301">
        <f>E85</f>
        <v>12000</v>
      </c>
      <c r="G85" s="301">
        <f>E85</f>
        <v>12000</v>
      </c>
      <c r="H85" s="301">
        <v>7000</v>
      </c>
    </row>
    <row r="86" spans="1:8">
      <c r="A86" s="302"/>
      <c r="B86" s="303" t="s">
        <v>58</v>
      </c>
      <c r="C86" s="304"/>
      <c r="D86" s="304"/>
      <c r="E86" s="305"/>
      <c r="F86" s="305"/>
      <c r="G86" s="305"/>
      <c r="H86" s="305"/>
    </row>
    <row r="87" spans="1:8">
      <c r="A87" s="306" t="s">
        <v>11</v>
      </c>
    </row>
    <row r="88" spans="1:8" ht="15" customHeight="1">
      <c r="A88" s="793" t="s">
        <v>102</v>
      </c>
      <c r="B88" s="114" t="s">
        <v>220</v>
      </c>
      <c r="C88" s="114" t="s">
        <v>49</v>
      </c>
      <c r="D88" s="114" t="s">
        <v>129</v>
      </c>
      <c r="E88" s="307">
        <f>600000/35</f>
        <v>17142.857142857141</v>
      </c>
      <c r="F88" s="307">
        <f>E88</f>
        <v>17142.857142857141</v>
      </c>
      <c r="G88" s="307">
        <f>E88</f>
        <v>17142.857142857141</v>
      </c>
      <c r="H88" s="307">
        <f>E88</f>
        <v>17142.857142857141</v>
      </c>
    </row>
    <row r="89" spans="1:8">
      <c r="A89" s="794"/>
      <c r="B89" s="114" t="s">
        <v>132</v>
      </c>
      <c r="C89" s="114" t="s">
        <v>122</v>
      </c>
      <c r="D89" s="114" t="s">
        <v>52</v>
      </c>
      <c r="E89" s="307">
        <f>170000/35</f>
        <v>4857.1428571428569</v>
      </c>
      <c r="F89" s="307">
        <f>E89</f>
        <v>4857.1428571428569</v>
      </c>
      <c r="G89" s="307">
        <f>E89</f>
        <v>4857.1428571428569</v>
      </c>
      <c r="H89" s="307">
        <f>E89</f>
        <v>4857.1428571428569</v>
      </c>
    </row>
    <row r="90" spans="1:8">
      <c r="A90" s="795"/>
      <c r="B90" s="114" t="s">
        <v>221</v>
      </c>
      <c r="C90" s="114" t="s">
        <v>56</v>
      </c>
      <c r="D90" s="114" t="s">
        <v>57</v>
      </c>
      <c r="E90" s="307">
        <v>25000</v>
      </c>
      <c r="F90" s="307">
        <f>E90</f>
        <v>25000</v>
      </c>
      <c r="G90" s="307">
        <f>E90</f>
        <v>25000</v>
      </c>
      <c r="H90" s="307">
        <v>20000</v>
      </c>
    </row>
    <row r="91" spans="1:8">
      <c r="A91" s="117"/>
      <c r="B91" s="395" t="s">
        <v>58</v>
      </c>
      <c r="C91" s="75"/>
      <c r="D91" s="75"/>
      <c r="E91" s="396"/>
      <c r="F91" s="308"/>
      <c r="G91" s="308"/>
      <c r="H91" s="308"/>
    </row>
    <row r="92" spans="1:8">
      <c r="A92" s="309" t="s">
        <v>222</v>
      </c>
      <c r="B92" s="397" t="s">
        <v>223</v>
      </c>
      <c r="C92" s="398" t="s">
        <v>64</v>
      </c>
      <c r="D92" s="145" t="s">
        <v>64</v>
      </c>
      <c r="E92" s="399">
        <v>50000</v>
      </c>
      <c r="F92" s="313">
        <f t="shared" ref="F92" si="14">E92</f>
        <v>50000</v>
      </c>
      <c r="G92" s="314">
        <f t="shared" ref="G92" si="15">E92</f>
        <v>50000</v>
      </c>
      <c r="H92" s="314">
        <v>40000</v>
      </c>
    </row>
    <row r="93" spans="1:8">
      <c r="A93" s="302"/>
      <c r="B93" s="400" t="s">
        <v>58</v>
      </c>
      <c r="C93" s="304"/>
      <c r="D93" s="304"/>
      <c r="E93" s="401"/>
      <c r="F93" s="316"/>
      <c r="G93" s="316"/>
      <c r="H93" s="316"/>
    </row>
    <row r="94" spans="1:8">
      <c r="A94" s="796" t="s">
        <v>224</v>
      </c>
      <c r="B94" s="317" t="s">
        <v>131</v>
      </c>
      <c r="C94" s="317" t="s">
        <v>49</v>
      </c>
      <c r="D94" s="317" t="s">
        <v>225</v>
      </c>
      <c r="E94" s="318">
        <f>620000/35</f>
        <v>17714.285714285714</v>
      </c>
      <c r="F94" s="318">
        <f>E94</f>
        <v>17714.285714285714</v>
      </c>
      <c r="G94" s="318">
        <f>E94</f>
        <v>17714.285714285714</v>
      </c>
      <c r="H94" s="318">
        <f>E94</f>
        <v>17714.285714285714</v>
      </c>
    </row>
    <row r="95" spans="1:8">
      <c r="A95" s="797"/>
      <c r="B95" s="317" t="s">
        <v>226</v>
      </c>
      <c r="C95" s="317" t="s">
        <v>64</v>
      </c>
      <c r="D95" s="317" t="s">
        <v>54</v>
      </c>
      <c r="E95" s="318">
        <v>48000</v>
      </c>
      <c r="F95" s="318">
        <f>E95</f>
        <v>48000</v>
      </c>
      <c r="G95" s="318">
        <f>E95</f>
        <v>48000</v>
      </c>
      <c r="H95" s="318">
        <f>E95</f>
        <v>48000</v>
      </c>
    </row>
    <row r="96" spans="1:8">
      <c r="A96" s="319"/>
      <c r="B96" s="320" t="s">
        <v>58</v>
      </c>
      <c r="C96" s="321"/>
      <c r="D96" s="322"/>
      <c r="E96" s="323">
        <f>SUM(E94:E95)</f>
        <v>65714.28571428571</v>
      </c>
      <c r="F96" s="323">
        <f t="shared" ref="F96:H96" si="16">SUM(F94:F95)</f>
        <v>65714.28571428571</v>
      </c>
      <c r="G96" s="323">
        <f t="shared" si="16"/>
        <v>65714.28571428571</v>
      </c>
      <c r="H96" s="323">
        <f t="shared" si="16"/>
        <v>65714.28571428571</v>
      </c>
    </row>
    <row r="97" spans="1:8" ht="30">
      <c r="A97" s="402" t="s">
        <v>135</v>
      </c>
      <c r="B97" s="324" t="s">
        <v>131</v>
      </c>
      <c r="C97" s="325" t="s">
        <v>49</v>
      </c>
      <c r="D97" s="325" t="s">
        <v>129</v>
      </c>
      <c r="E97" s="326">
        <f>620000/35</f>
        <v>17714.285714285714</v>
      </c>
      <c r="F97" s="326">
        <f>E97</f>
        <v>17714.285714285714</v>
      </c>
      <c r="G97" s="326">
        <f>E97</f>
        <v>17714.285714285714</v>
      </c>
      <c r="H97" s="326">
        <f>E97</f>
        <v>17714.285714285714</v>
      </c>
    </row>
    <row r="98" spans="1:8">
      <c r="A98" s="403"/>
      <c r="B98" s="327" t="s">
        <v>227</v>
      </c>
      <c r="C98" s="328" t="s">
        <v>228</v>
      </c>
      <c r="D98" s="327" t="s">
        <v>52</v>
      </c>
      <c r="E98" s="329">
        <f>170000/35</f>
        <v>4857.1428571428569</v>
      </c>
      <c r="F98" s="329">
        <f>E98</f>
        <v>4857.1428571428569</v>
      </c>
      <c r="G98" s="329">
        <f>E98</f>
        <v>4857.1428571428569</v>
      </c>
      <c r="H98" s="329">
        <f>E98</f>
        <v>4857.1428571428569</v>
      </c>
    </row>
    <row r="99" spans="1:8" ht="15.75" thickBot="1">
      <c r="A99" s="404"/>
      <c r="B99" s="327" t="s">
        <v>73</v>
      </c>
      <c r="C99" s="328" t="s">
        <v>49</v>
      </c>
      <c r="D99" s="327" t="s">
        <v>229</v>
      </c>
      <c r="E99" s="326">
        <v>10000</v>
      </c>
      <c r="F99" s="330">
        <f t="shared" ref="F99:G99" si="17">E99</f>
        <v>10000</v>
      </c>
      <c r="G99" s="330">
        <f t="shared" si="17"/>
        <v>10000</v>
      </c>
      <c r="H99" s="330">
        <f>F99</f>
        <v>10000</v>
      </c>
    </row>
    <row r="100" spans="1:8">
      <c r="A100" s="405"/>
      <c r="B100" s="327" t="s">
        <v>230</v>
      </c>
      <c r="C100" s="328" t="s">
        <v>56</v>
      </c>
      <c r="D100" s="327" t="s">
        <v>57</v>
      </c>
      <c r="E100" s="326">
        <v>40000</v>
      </c>
      <c r="F100" s="330">
        <f>E100</f>
        <v>40000</v>
      </c>
      <c r="G100" s="330">
        <f>E100</f>
        <v>40000</v>
      </c>
      <c r="H100" s="330">
        <v>30000</v>
      </c>
    </row>
    <row r="101" spans="1:8">
      <c r="A101" s="331"/>
      <c r="B101" s="332" t="s">
        <v>58</v>
      </c>
      <c r="C101" s="303"/>
      <c r="D101" s="303"/>
      <c r="E101" s="333">
        <f>SUM(E97:E100)</f>
        <v>72571.42857142858</v>
      </c>
      <c r="F101" s="333">
        <f>SUM(F97:F100)</f>
        <v>72571.42857142858</v>
      </c>
      <c r="G101" s="333">
        <f>SUM(G97:G100)</f>
        <v>72571.42857142858</v>
      </c>
      <c r="H101" s="333">
        <f>SUM(H97:H100)</f>
        <v>62571.428571428572</v>
      </c>
    </row>
    <row r="102" spans="1:8">
      <c r="A102" s="334" t="s">
        <v>98</v>
      </c>
      <c r="B102" s="8"/>
      <c r="C102" s="8"/>
      <c r="D102" s="8"/>
      <c r="E102" s="335"/>
      <c r="F102" s="335"/>
      <c r="G102" s="335"/>
      <c r="H102" s="335"/>
    </row>
    <row r="103" spans="1:8" ht="15" customHeight="1">
      <c r="A103" s="772" t="s">
        <v>140</v>
      </c>
      <c r="B103" s="406" t="s">
        <v>141</v>
      </c>
      <c r="C103" s="407" t="s">
        <v>49</v>
      </c>
      <c r="D103" s="408" t="s">
        <v>129</v>
      </c>
      <c r="E103" s="409">
        <f>550000/35</f>
        <v>15714.285714285714</v>
      </c>
      <c r="F103" s="409">
        <f>E103</f>
        <v>15714.285714285714</v>
      </c>
      <c r="G103" s="409">
        <f>E103</f>
        <v>15714.285714285714</v>
      </c>
      <c r="H103" s="409">
        <f>E103</f>
        <v>15714.285714285714</v>
      </c>
    </row>
    <row r="104" spans="1:8">
      <c r="A104" s="773"/>
      <c r="B104" s="406" t="s">
        <v>177</v>
      </c>
      <c r="C104" s="407" t="s">
        <v>122</v>
      </c>
      <c r="D104" s="408" t="s">
        <v>52</v>
      </c>
      <c r="E104" s="409">
        <f>300000/35</f>
        <v>8571.4285714285706</v>
      </c>
      <c r="F104" s="409">
        <f>E104</f>
        <v>8571.4285714285706</v>
      </c>
      <c r="G104" s="409">
        <f>E104</f>
        <v>8571.4285714285706</v>
      </c>
      <c r="H104" s="409">
        <f>E104</f>
        <v>8571.4285714285706</v>
      </c>
    </row>
    <row r="105" spans="1:8">
      <c r="A105" s="773"/>
      <c r="B105" s="406" t="s">
        <v>143</v>
      </c>
      <c r="C105" s="407" t="s">
        <v>49</v>
      </c>
      <c r="D105" s="408" t="s">
        <v>144</v>
      </c>
      <c r="E105" s="409">
        <v>2500</v>
      </c>
      <c r="F105" s="409">
        <f>E105</f>
        <v>2500</v>
      </c>
      <c r="G105" s="409">
        <f>E105</f>
        <v>2500</v>
      </c>
      <c r="H105" s="409">
        <f>E105</f>
        <v>2500</v>
      </c>
    </row>
    <row r="106" spans="1:8">
      <c r="A106" s="773"/>
      <c r="B106" s="406" t="s">
        <v>145</v>
      </c>
      <c r="C106" s="407" t="s">
        <v>56</v>
      </c>
      <c r="D106" s="408" t="s">
        <v>127</v>
      </c>
      <c r="E106" s="409">
        <v>45000</v>
      </c>
      <c r="F106" s="409">
        <f>E106</f>
        <v>45000</v>
      </c>
      <c r="G106" s="409">
        <f>E106</f>
        <v>45000</v>
      </c>
      <c r="H106" s="409">
        <v>35000</v>
      </c>
    </row>
    <row r="107" spans="1:8">
      <c r="A107" s="774"/>
      <c r="B107" s="406" t="s">
        <v>231</v>
      </c>
      <c r="C107" s="407" t="s">
        <v>232</v>
      </c>
      <c r="D107" s="408" t="s">
        <v>144</v>
      </c>
      <c r="E107" s="409"/>
      <c r="F107" s="409">
        <f>E107</f>
        <v>0</v>
      </c>
      <c r="G107" s="409">
        <f>E107</f>
        <v>0</v>
      </c>
      <c r="H107" s="409"/>
    </row>
    <row r="108" spans="1:8">
      <c r="A108" s="338"/>
      <c r="B108" s="410" t="s">
        <v>58</v>
      </c>
      <c r="C108" s="340"/>
      <c r="D108" s="411"/>
      <c r="E108" s="341">
        <f>SUM(E103:E107)</f>
        <v>71785.71428571429</v>
      </c>
      <c r="F108" s="341">
        <f t="shared" ref="F108:H108" si="18">SUM(F103:F107)</f>
        <v>71785.71428571429</v>
      </c>
      <c r="G108" s="341">
        <f t="shared" si="18"/>
        <v>71785.71428571429</v>
      </c>
      <c r="H108" s="341">
        <f t="shared" si="18"/>
        <v>61785.714285714283</v>
      </c>
    </row>
    <row r="109" spans="1:8">
      <c r="A109" s="775" t="s">
        <v>105</v>
      </c>
      <c r="B109" s="406" t="s">
        <v>141</v>
      </c>
      <c r="C109" s="407" t="s">
        <v>49</v>
      </c>
      <c r="D109" s="408" t="s">
        <v>125</v>
      </c>
      <c r="E109" s="409">
        <f>1000000/35</f>
        <v>28571.428571428572</v>
      </c>
      <c r="F109" s="409">
        <f>E109</f>
        <v>28571.428571428572</v>
      </c>
      <c r="G109" s="409">
        <f>E109</f>
        <v>28571.428571428572</v>
      </c>
      <c r="H109" s="409">
        <f>E109</f>
        <v>28571.428571428572</v>
      </c>
    </row>
    <row r="110" spans="1:8" ht="30" customHeight="1">
      <c r="A110" s="776"/>
      <c r="B110" s="406" t="s">
        <v>177</v>
      </c>
      <c r="C110" s="412" t="s">
        <v>122</v>
      </c>
      <c r="D110" s="408" t="s">
        <v>52</v>
      </c>
      <c r="E110" s="409">
        <f>300000/35</f>
        <v>8571.4285714285706</v>
      </c>
      <c r="F110" s="409">
        <f>E110</f>
        <v>8571.4285714285706</v>
      </c>
      <c r="G110" s="409">
        <f>E110</f>
        <v>8571.4285714285706</v>
      </c>
      <c r="H110" s="409">
        <f>E110</f>
        <v>8571.4285714285706</v>
      </c>
    </row>
    <row r="111" spans="1:8">
      <c r="A111" s="776"/>
      <c r="B111" s="406" t="s">
        <v>146</v>
      </c>
      <c r="C111" s="412" t="s">
        <v>64</v>
      </c>
      <c r="D111" s="408" t="s">
        <v>233</v>
      </c>
      <c r="E111" s="409">
        <v>20000</v>
      </c>
      <c r="F111" s="409">
        <v>20000</v>
      </c>
      <c r="G111" s="409">
        <v>20000</v>
      </c>
      <c r="H111" s="409">
        <v>15000</v>
      </c>
    </row>
    <row r="112" spans="1:8" ht="15" customHeight="1">
      <c r="A112" s="777"/>
      <c r="B112" s="406" t="s">
        <v>147</v>
      </c>
      <c r="C112" s="407" t="s">
        <v>56</v>
      </c>
      <c r="D112" s="408" t="s">
        <v>127</v>
      </c>
      <c r="E112" s="409">
        <v>50000</v>
      </c>
      <c r="F112" s="409">
        <v>50000</v>
      </c>
      <c r="G112" s="409">
        <v>50000</v>
      </c>
      <c r="H112" s="409">
        <v>40000</v>
      </c>
    </row>
    <row r="113" spans="1:8" ht="15.75" thickBot="1">
      <c r="A113" s="343"/>
      <c r="B113" s="410" t="s">
        <v>58</v>
      </c>
      <c r="C113" s="340"/>
      <c r="D113" s="411"/>
      <c r="E113" s="341">
        <f>SUM(E109:E112)</f>
        <v>107142.85714285714</v>
      </c>
      <c r="F113" s="341">
        <f t="shared" ref="F113:H113" si="19">SUM(F109:F112)</f>
        <v>107142.85714285714</v>
      </c>
      <c r="G113" s="341">
        <f t="shared" si="19"/>
        <v>107142.85714285714</v>
      </c>
      <c r="H113" s="341">
        <f t="shared" si="19"/>
        <v>92142.857142857145</v>
      </c>
    </row>
    <row r="114" spans="1:8">
      <c r="A114" s="778" t="s">
        <v>106</v>
      </c>
      <c r="B114" s="406" t="s">
        <v>141</v>
      </c>
      <c r="C114" s="407" t="s">
        <v>49</v>
      </c>
      <c r="D114" s="413" t="s">
        <v>129</v>
      </c>
      <c r="E114" s="409">
        <f>340000/35</f>
        <v>9714.2857142857138</v>
      </c>
      <c r="F114" s="409">
        <f>E114</f>
        <v>9714.2857142857138</v>
      </c>
      <c r="G114" s="409">
        <f>E114</f>
        <v>9714.2857142857138</v>
      </c>
      <c r="H114" s="409"/>
    </row>
    <row r="115" spans="1:8" ht="15" customHeight="1">
      <c r="A115" s="774"/>
      <c r="B115" s="406" t="s">
        <v>149</v>
      </c>
      <c r="C115" s="407" t="s">
        <v>179</v>
      </c>
      <c r="D115" s="414"/>
      <c r="E115" s="409">
        <v>65000</v>
      </c>
      <c r="F115" s="409">
        <f>E115</f>
        <v>65000</v>
      </c>
      <c r="G115" s="409">
        <f>E115</f>
        <v>65000</v>
      </c>
      <c r="H115" s="409"/>
    </row>
    <row r="116" spans="1:8" ht="15" customHeight="1">
      <c r="A116" s="345"/>
      <c r="B116" s="410" t="s">
        <v>58</v>
      </c>
      <c r="C116" s="340"/>
      <c r="D116" s="415"/>
      <c r="E116" s="341">
        <f>SUM(E114:E115)</f>
        <v>74714.28571428571</v>
      </c>
      <c r="F116" s="341">
        <f t="shared" ref="F116:G116" si="20">SUM(F114:F115)</f>
        <v>74714.28571428571</v>
      </c>
      <c r="G116" s="341">
        <f t="shared" si="20"/>
        <v>74714.28571428571</v>
      </c>
      <c r="H116" s="341"/>
    </row>
    <row r="117" spans="1:8" ht="15" customHeight="1">
      <c r="A117" s="416" t="s">
        <v>107</v>
      </c>
      <c r="B117" s="406" t="s">
        <v>151</v>
      </c>
      <c r="C117" s="407" t="s">
        <v>234</v>
      </c>
      <c r="D117" s="408" t="s">
        <v>64</v>
      </c>
      <c r="E117" s="409">
        <v>230000</v>
      </c>
      <c r="F117" s="409">
        <v>230000</v>
      </c>
      <c r="G117" s="409">
        <v>230000</v>
      </c>
      <c r="H117" s="409">
        <v>230000</v>
      </c>
    </row>
    <row r="118" spans="1:8">
      <c r="A118" s="339"/>
      <c r="B118" s="410" t="s">
        <v>58</v>
      </c>
      <c r="C118" s="340"/>
      <c r="D118" s="411"/>
      <c r="E118" s="341">
        <f>SUM(E117)</f>
        <v>230000</v>
      </c>
      <c r="F118" s="341">
        <f t="shared" ref="F118:H118" si="21">SUM(F117)</f>
        <v>230000</v>
      </c>
      <c r="G118" s="341">
        <f t="shared" si="21"/>
        <v>230000</v>
      </c>
      <c r="H118" s="341">
        <f t="shared" si="21"/>
        <v>230000</v>
      </c>
    </row>
    <row r="119" spans="1:8" ht="15.75" thickBot="1">
      <c r="A119" s="348" t="s">
        <v>12</v>
      </c>
      <c r="B119" s="349"/>
      <c r="C119" s="349"/>
      <c r="D119" s="349"/>
      <c r="E119" s="350"/>
      <c r="F119" s="350"/>
      <c r="G119" s="350"/>
      <c r="H119" s="350"/>
    </row>
    <row r="120" spans="1:8" ht="15" customHeight="1">
      <c r="A120" s="779" t="s">
        <v>235</v>
      </c>
      <c r="B120" s="417" t="s">
        <v>80</v>
      </c>
      <c r="C120" s="418" t="s">
        <v>236</v>
      </c>
      <c r="D120" s="419" t="s">
        <v>129</v>
      </c>
      <c r="E120" s="420">
        <f>700000/35</f>
        <v>20000</v>
      </c>
      <c r="F120" s="420">
        <f>E120</f>
        <v>20000</v>
      </c>
      <c r="G120" s="420">
        <f>E120</f>
        <v>20000</v>
      </c>
      <c r="H120" s="420">
        <f>E120</f>
        <v>20000</v>
      </c>
    </row>
    <row r="121" spans="1:8">
      <c r="A121" s="780"/>
      <c r="B121" s="417" t="s">
        <v>82</v>
      </c>
      <c r="C121" s="418" t="s">
        <v>122</v>
      </c>
      <c r="D121" s="421" t="s">
        <v>52</v>
      </c>
      <c r="E121" s="422">
        <f>400000/35</f>
        <v>11428.571428571429</v>
      </c>
      <c r="F121" s="422">
        <f>E121</f>
        <v>11428.571428571429</v>
      </c>
      <c r="G121" s="422">
        <f>E121</f>
        <v>11428.571428571429</v>
      </c>
      <c r="H121" s="422">
        <f>E121</f>
        <v>11428.571428571429</v>
      </c>
    </row>
    <row r="122" spans="1:8">
      <c r="A122" s="780"/>
      <c r="B122" s="423" t="s">
        <v>237</v>
      </c>
      <c r="C122" s="418" t="s">
        <v>64</v>
      </c>
      <c r="D122" s="419" t="s">
        <v>54</v>
      </c>
      <c r="E122" s="420">
        <v>28000</v>
      </c>
      <c r="F122" s="424">
        <f>E122</f>
        <v>28000</v>
      </c>
      <c r="G122" s="424">
        <f>E122</f>
        <v>28000</v>
      </c>
      <c r="H122" s="424">
        <v>14000</v>
      </c>
    </row>
    <row r="123" spans="1:8" ht="15" customHeight="1">
      <c r="A123" s="781"/>
      <c r="B123" s="423" t="s">
        <v>88</v>
      </c>
      <c r="C123" s="418" t="s">
        <v>64</v>
      </c>
      <c r="D123" s="419" t="s">
        <v>89</v>
      </c>
      <c r="E123" s="420">
        <v>42000</v>
      </c>
      <c r="F123" s="424">
        <f t="shared" ref="F123" si="22">E123</f>
        <v>42000</v>
      </c>
      <c r="G123" s="424">
        <f t="shared" ref="G123" si="23">E123</f>
        <v>42000</v>
      </c>
      <c r="H123" s="424"/>
    </row>
    <row r="124" spans="1:8">
      <c r="A124" s="76"/>
      <c r="B124" s="425" t="s">
        <v>58</v>
      </c>
      <c r="C124" s="304"/>
      <c r="D124" s="426"/>
      <c r="E124" s="360">
        <f>SUM(E120:E123)</f>
        <v>101428.57142857142</v>
      </c>
      <c r="F124" s="360">
        <f>SUM(F120:F123)</f>
        <v>101428.57142857142</v>
      </c>
      <c r="G124" s="360">
        <f>SUM(G120:G123)</f>
        <v>101428.57142857142</v>
      </c>
      <c r="H124" s="360">
        <f>SUM(H120:H123)</f>
        <v>45428.571428571428</v>
      </c>
    </row>
    <row r="125" spans="1:8" ht="15" customHeight="1">
      <c r="A125" s="427" t="s">
        <v>238</v>
      </c>
      <c r="B125" s="428" t="s">
        <v>239</v>
      </c>
      <c r="C125" s="429" t="s">
        <v>64</v>
      </c>
      <c r="D125" s="430" t="s">
        <v>159</v>
      </c>
      <c r="E125" s="431">
        <v>187000</v>
      </c>
      <c r="F125" s="432">
        <f>E125</f>
        <v>187000</v>
      </c>
      <c r="G125" s="432">
        <f>E125</f>
        <v>187000</v>
      </c>
      <c r="H125" s="432">
        <v>132000</v>
      </c>
    </row>
    <row r="126" spans="1:8">
      <c r="A126" s="433"/>
      <c r="B126" s="434" t="s">
        <v>58</v>
      </c>
      <c r="C126" s="435"/>
      <c r="D126" s="436"/>
      <c r="E126" s="437">
        <f>SUM(E125:E125)</f>
        <v>187000</v>
      </c>
      <c r="F126" s="437">
        <f>SUM(F125:F125)</f>
        <v>187000</v>
      </c>
      <c r="G126" s="437">
        <f>SUM(G125:G125)</f>
        <v>187000</v>
      </c>
      <c r="H126" s="437">
        <f>SUM(H125:H125)</f>
        <v>132000</v>
      </c>
    </row>
    <row r="127" spans="1:8" ht="30">
      <c r="A127" s="782" t="s">
        <v>160</v>
      </c>
      <c r="B127" s="438" t="s">
        <v>84</v>
      </c>
      <c r="C127" s="418" t="s">
        <v>85</v>
      </c>
      <c r="D127" s="428" t="s">
        <v>127</v>
      </c>
      <c r="E127" s="439">
        <v>70000</v>
      </c>
      <c r="F127" s="440">
        <f>E127</f>
        <v>70000</v>
      </c>
      <c r="G127" s="440">
        <f>E127</f>
        <v>70000</v>
      </c>
      <c r="H127" s="440">
        <v>60000</v>
      </c>
    </row>
    <row r="128" spans="1:8" ht="30">
      <c r="A128" s="783"/>
      <c r="B128" s="441" t="s">
        <v>80</v>
      </c>
      <c r="C128" s="418" t="s">
        <v>176</v>
      </c>
      <c r="D128" s="442" t="s">
        <v>49</v>
      </c>
      <c r="E128" s="439">
        <f>480000/35</f>
        <v>13714.285714285714</v>
      </c>
      <c r="F128" s="439">
        <f>E128</f>
        <v>13714.285714285714</v>
      </c>
      <c r="G128" s="439">
        <f>E128</f>
        <v>13714.285714285714</v>
      </c>
      <c r="H128" s="439">
        <f>E128</f>
        <v>13714.285714285714</v>
      </c>
    </row>
    <row r="129" spans="1:8">
      <c r="A129" s="151"/>
      <c r="B129" s="100" t="s">
        <v>58</v>
      </c>
      <c r="C129" s="152"/>
      <c r="D129" s="100"/>
      <c r="E129" s="443">
        <f>SUM(E127:E128)</f>
        <v>83714.28571428571</v>
      </c>
      <c r="F129" s="443">
        <f t="shared" ref="F129:H129" si="24">SUM(F127:F128)</f>
        <v>83714.28571428571</v>
      </c>
      <c r="G129" s="443">
        <f t="shared" si="24"/>
        <v>83714.28571428571</v>
      </c>
      <c r="H129" s="443">
        <f t="shared" si="24"/>
        <v>73714.28571428571</v>
      </c>
    </row>
  </sheetData>
  <mergeCells count="18">
    <mergeCell ref="A127:A128"/>
    <mergeCell ref="A42:F42"/>
    <mergeCell ref="H42:M42"/>
    <mergeCell ref="A70:A74"/>
    <mergeCell ref="A76:A79"/>
    <mergeCell ref="A82:A85"/>
    <mergeCell ref="A88:A90"/>
    <mergeCell ref="A94:A95"/>
    <mergeCell ref="A103:A107"/>
    <mergeCell ref="A109:A112"/>
    <mergeCell ref="A114:A115"/>
    <mergeCell ref="A120:A123"/>
    <mergeCell ref="A34:A35"/>
    <mergeCell ref="A3:F3"/>
    <mergeCell ref="A10:A15"/>
    <mergeCell ref="A17:A23"/>
    <mergeCell ref="A24:A29"/>
    <mergeCell ref="A30:A33"/>
  </mergeCells>
  <hyperlinks>
    <hyperlink ref="B45" r:id="rId1" xr:uid="{7F44475A-AA0C-49B6-A625-5A6BDD63B7D4}"/>
    <hyperlink ref="B46" r:id="rId2" xr:uid="{C97C44AD-A3FC-43B3-87A0-8A2F069B494D}"/>
    <hyperlink ref="B47" r:id="rId3" xr:uid="{FF8AA47C-6796-4BBD-BC8C-D6035C318AC8}"/>
    <hyperlink ref="B48" r:id="rId4" xr:uid="{E41A53DE-1950-4FE0-8FB5-A9962518E5A9}"/>
    <hyperlink ref="B73" r:id="rId5" xr:uid="{926643D0-34E4-43AE-AB90-E774EA4B5830}"/>
    <hyperlink ref="B74" r:id="rId6" xr:uid="{35051247-8760-49C2-BE58-2CBA080A9201}"/>
  </hyperlinks>
  <pageMargins left="0.7" right="0.7" top="0.75" bottom="0.75" header="0.3" footer="0.3"/>
  <pageSetup paperSize="9"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5E75-72CD-43BA-A94B-227275C57705}">
  <dimension ref="A1:U129"/>
  <sheetViews>
    <sheetView topLeftCell="A37" zoomScale="118" zoomScaleNormal="118" workbookViewId="0">
      <selection activeCell="C48" sqref="C48"/>
    </sheetView>
  </sheetViews>
  <sheetFormatPr baseColWidth="10" defaultColWidth="11.42578125" defaultRowHeight="15"/>
  <cols>
    <col min="1" max="1" width="17.5703125" customWidth="1"/>
    <col min="2" max="2" width="25.42578125" customWidth="1"/>
    <col min="3" max="3" width="15.7109375" customWidth="1"/>
    <col min="4" max="4" width="13.42578125" customWidth="1"/>
    <col min="5" max="6" width="13.7109375" bestFit="1" customWidth="1"/>
    <col min="7" max="8" width="12.140625" customWidth="1"/>
    <col min="9" max="9" width="25.42578125" customWidth="1"/>
    <col min="11" max="11" width="16.5703125" customWidth="1"/>
  </cols>
  <sheetData>
    <row r="1" spans="1:13">
      <c r="A1" s="48"/>
    </row>
    <row r="2" spans="1:13" ht="14.25" customHeight="1"/>
    <row r="3" spans="1:13">
      <c r="A3" s="744" t="s">
        <v>195</v>
      </c>
      <c r="B3" s="723"/>
      <c r="C3" s="723"/>
      <c r="D3" s="723"/>
      <c r="E3" s="723"/>
      <c r="F3" s="724"/>
      <c r="H3" s="2"/>
      <c r="I3" s="695"/>
      <c r="J3" s="695"/>
      <c r="K3" s="695"/>
      <c r="L3" s="695"/>
      <c r="M3" s="695"/>
    </row>
    <row r="4" spans="1:13">
      <c r="A4" s="189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190" t="s">
        <v>9</v>
      </c>
      <c r="B5" s="363" t="s">
        <v>10</v>
      </c>
      <c r="C5" s="192">
        <f>E45</f>
        <v>450000</v>
      </c>
      <c r="D5" s="192">
        <f>E51</f>
        <v>360000</v>
      </c>
      <c r="E5" s="192">
        <f>E57</f>
        <v>366666.66666666669</v>
      </c>
      <c r="F5" s="192">
        <f>E63</f>
        <v>188000</v>
      </c>
      <c r="H5" s="8"/>
      <c r="I5" s="8"/>
      <c r="J5" s="88"/>
      <c r="K5" s="88"/>
      <c r="L5" s="88"/>
      <c r="M5" s="89"/>
    </row>
    <row r="6" spans="1:13">
      <c r="A6" s="196" t="s">
        <v>11</v>
      </c>
      <c r="B6" s="197" t="s">
        <v>10</v>
      </c>
      <c r="C6" s="198">
        <f>E46</f>
        <v>390000</v>
      </c>
      <c r="D6" s="198">
        <f>E52</f>
        <v>205200</v>
      </c>
      <c r="E6" s="198">
        <f>E58</f>
        <v>183600</v>
      </c>
      <c r="F6" s="198">
        <f>E64</f>
        <v>129600</v>
      </c>
      <c r="H6" s="8"/>
      <c r="I6" s="8"/>
      <c r="J6" s="88"/>
      <c r="K6" s="88"/>
      <c r="L6" s="88"/>
      <c r="M6" s="89"/>
    </row>
    <row r="7" spans="1:13">
      <c r="A7" s="199" t="s">
        <v>98</v>
      </c>
      <c r="B7" s="200" t="s">
        <v>10</v>
      </c>
      <c r="C7" s="201">
        <f>E47</f>
        <v>834000</v>
      </c>
      <c r="D7" s="201">
        <f>E53</f>
        <v>417000</v>
      </c>
      <c r="E7" s="201">
        <f>E59</f>
        <v>346000</v>
      </c>
      <c r="F7" s="201">
        <f>E65</f>
        <v>144000</v>
      </c>
      <c r="H7" s="8"/>
      <c r="I7" s="8"/>
      <c r="J7" s="88"/>
      <c r="K7" s="88"/>
      <c r="L7" s="88"/>
      <c r="M7" s="88"/>
    </row>
    <row r="8" spans="1:13">
      <c r="A8" s="202" t="s">
        <v>12</v>
      </c>
      <c r="B8" s="364" t="s">
        <v>99</v>
      </c>
      <c r="C8" s="204">
        <f t="shared" ref="C8" si="0">E48</f>
        <v>1352000</v>
      </c>
      <c r="D8" s="204">
        <f t="shared" ref="D8" si="1">E54</f>
        <v>676000</v>
      </c>
      <c r="E8" s="204">
        <f t="shared" ref="E8" si="2">E60</f>
        <v>676000</v>
      </c>
      <c r="F8" s="204">
        <f t="shared" ref="F8" si="3">E66</f>
        <v>128000</v>
      </c>
      <c r="H8" s="8"/>
      <c r="I8" s="8"/>
      <c r="J8" s="88"/>
      <c r="K8" s="88"/>
      <c r="L8" s="88"/>
      <c r="M8" s="89"/>
    </row>
    <row r="9" spans="1:13">
      <c r="A9" s="208" t="s">
        <v>196</v>
      </c>
      <c r="B9" s="209"/>
      <c r="C9" s="210">
        <f>SUM(C5:C8)</f>
        <v>3026000</v>
      </c>
      <c r="D9" s="210">
        <f>SUM(D5:D8)</f>
        <v>1658200</v>
      </c>
      <c r="E9" s="210">
        <f>SUM(E5:E8)</f>
        <v>1572266.6666666667</v>
      </c>
      <c r="F9" s="210">
        <f>SUM(F5:F8)</f>
        <v>589600</v>
      </c>
      <c r="H9" s="8"/>
      <c r="I9" s="8"/>
      <c r="J9" s="88"/>
      <c r="K9" s="88"/>
      <c r="L9" s="88"/>
      <c r="M9" s="89"/>
    </row>
    <row r="10" spans="1:13">
      <c r="A10" s="804" t="s">
        <v>9</v>
      </c>
      <c r="B10" s="211" t="s">
        <v>13</v>
      </c>
      <c r="C10" s="212">
        <f>(230000*2)/35</f>
        <v>13142.857142857143</v>
      </c>
      <c r="D10" s="212">
        <f>C10</f>
        <v>13142.857142857143</v>
      </c>
      <c r="E10" s="212">
        <f>C10</f>
        <v>13142.857142857143</v>
      </c>
      <c r="F10" s="212">
        <f>C10</f>
        <v>13142.857142857143</v>
      </c>
      <c r="H10" s="4"/>
      <c r="I10" s="8"/>
      <c r="J10" s="88"/>
      <c r="K10" s="88"/>
      <c r="L10" s="88"/>
      <c r="M10" s="88"/>
    </row>
    <row r="11" spans="1:13">
      <c r="A11" s="805"/>
      <c r="B11" s="211" t="s">
        <v>14</v>
      </c>
      <c r="C11" s="212">
        <f>240000/35</f>
        <v>6857.1428571428569</v>
      </c>
      <c r="D11" s="212">
        <f>C11</f>
        <v>6857.1428571428569</v>
      </c>
      <c r="E11" s="212">
        <f>C11</f>
        <v>6857.1428571428569</v>
      </c>
      <c r="F11" s="212">
        <f>C11</f>
        <v>6857.1428571428569</v>
      </c>
      <c r="H11" s="8"/>
      <c r="I11" s="8"/>
      <c r="J11" s="88"/>
      <c r="K11" s="88"/>
      <c r="L11" s="88"/>
      <c r="M11" s="88"/>
    </row>
    <row r="12" spans="1:13">
      <c r="A12" s="805"/>
      <c r="B12" s="213" t="s">
        <v>197</v>
      </c>
      <c r="C12" s="212">
        <v>50000</v>
      </c>
      <c r="D12" s="212">
        <v>50000</v>
      </c>
      <c r="E12" s="212">
        <v>50000</v>
      </c>
      <c r="F12" s="212">
        <v>40000</v>
      </c>
      <c r="H12" s="8"/>
      <c r="I12" s="8"/>
      <c r="J12" s="88"/>
      <c r="K12" s="88"/>
      <c r="L12" s="88"/>
      <c r="M12" s="88"/>
    </row>
    <row r="13" spans="1:13">
      <c r="A13" s="805"/>
      <c r="B13" s="365" t="s">
        <v>198</v>
      </c>
      <c r="C13" s="215">
        <f>E75</f>
        <v>109571.42857142858</v>
      </c>
      <c r="D13" s="215">
        <f t="shared" ref="D13:F13" si="4">F75</f>
        <v>109571.42857142858</v>
      </c>
      <c r="E13" s="215">
        <f t="shared" si="4"/>
        <v>109571.42857142858</v>
      </c>
      <c r="F13" s="215">
        <f t="shared" si="4"/>
        <v>94571.42857142858</v>
      </c>
      <c r="H13" s="8"/>
      <c r="I13" s="8"/>
      <c r="J13" s="88"/>
      <c r="K13" s="88"/>
      <c r="L13" s="88"/>
      <c r="M13" s="88"/>
    </row>
    <row r="14" spans="1:13">
      <c r="A14" s="805"/>
      <c r="B14" s="216" t="s">
        <v>199</v>
      </c>
      <c r="C14" s="217">
        <f>E80</f>
        <v>142571.42857142858</v>
      </c>
      <c r="D14" s="217">
        <f t="shared" ref="D14:F14" si="5">F80</f>
        <v>142571.42857142858</v>
      </c>
      <c r="E14" s="217">
        <f t="shared" si="5"/>
        <v>142571.42857142858</v>
      </c>
      <c r="F14" s="217">
        <f t="shared" si="5"/>
        <v>122571.42857142858</v>
      </c>
      <c r="H14" s="8"/>
      <c r="I14" s="8"/>
      <c r="J14" s="88"/>
      <c r="K14" s="88"/>
      <c r="L14" s="88"/>
      <c r="M14" s="88"/>
    </row>
    <row r="15" spans="1:13">
      <c r="A15" s="806"/>
      <c r="B15" s="216" t="s">
        <v>200</v>
      </c>
      <c r="C15" s="217">
        <f>440000/35</f>
        <v>12571.428571428571</v>
      </c>
      <c r="D15" s="215">
        <f>C15</f>
        <v>12571.428571428571</v>
      </c>
      <c r="E15" s="215">
        <f>C15</f>
        <v>12571.428571428571</v>
      </c>
      <c r="F15" s="215">
        <f>C15</f>
        <v>12571.428571428571</v>
      </c>
      <c r="H15" s="8"/>
      <c r="I15" s="8"/>
      <c r="J15" s="88"/>
      <c r="K15" s="88"/>
      <c r="L15" s="88"/>
      <c r="M15" s="88"/>
    </row>
    <row r="16" spans="1:13">
      <c r="A16" s="696" t="s">
        <v>201</v>
      </c>
      <c r="B16" s="219" t="s">
        <v>202</v>
      </c>
      <c r="C16" s="220">
        <f>E86</f>
        <v>97428.57142857142</v>
      </c>
      <c r="D16" s="220">
        <f>F86</f>
        <v>97428.57142857142</v>
      </c>
      <c r="E16" s="220">
        <f>G86</f>
        <v>97428.57142857142</v>
      </c>
      <c r="F16" s="220">
        <f>H86</f>
        <v>92428.57142857142</v>
      </c>
      <c r="H16" s="8"/>
      <c r="I16" s="8"/>
      <c r="J16" s="88"/>
      <c r="K16" s="88"/>
      <c r="L16" s="88"/>
      <c r="M16" s="88"/>
    </row>
    <row r="17" spans="1:13">
      <c r="A17" s="798" t="s">
        <v>11</v>
      </c>
      <c r="B17" s="222" t="s">
        <v>13</v>
      </c>
      <c r="C17" s="223">
        <f>1180000/35</f>
        <v>33714.285714285717</v>
      </c>
      <c r="D17" s="223">
        <f>C17</f>
        <v>33714.285714285717</v>
      </c>
      <c r="E17" s="223">
        <f>C17</f>
        <v>33714.285714285717</v>
      </c>
      <c r="F17" s="223">
        <f>C17</f>
        <v>33714.285714285717</v>
      </c>
      <c r="H17" s="4"/>
      <c r="I17" s="8"/>
      <c r="J17" s="88"/>
      <c r="K17" s="88"/>
      <c r="L17" s="88"/>
      <c r="M17" s="88"/>
    </row>
    <row r="18" spans="1:13">
      <c r="A18" s="799"/>
      <c r="B18" s="222" t="s">
        <v>14</v>
      </c>
      <c r="C18" s="223">
        <f>170000/35</f>
        <v>4857.1428571428569</v>
      </c>
      <c r="D18" s="223">
        <f>C18</f>
        <v>4857.1428571428569</v>
      </c>
      <c r="E18" s="223">
        <f>C18</f>
        <v>4857.1428571428569</v>
      </c>
      <c r="F18" s="223">
        <f>C18</f>
        <v>4857.1428571428569</v>
      </c>
      <c r="H18" s="8"/>
      <c r="I18" s="8"/>
      <c r="J18" s="88"/>
      <c r="K18" s="88"/>
      <c r="L18" s="88"/>
      <c r="M18" s="88"/>
    </row>
    <row r="19" spans="1:13">
      <c r="A19" s="799"/>
      <c r="B19" s="224" t="s">
        <v>102</v>
      </c>
      <c r="C19" s="223">
        <f>E91</f>
        <v>47000</v>
      </c>
      <c r="D19" s="223">
        <f>F91</f>
        <v>47000</v>
      </c>
      <c r="E19" s="223">
        <f>G91</f>
        <v>47000</v>
      </c>
      <c r="F19" s="223">
        <f>H91</f>
        <v>42000</v>
      </c>
      <c r="H19" s="8"/>
      <c r="I19" s="8"/>
      <c r="J19" s="88"/>
      <c r="K19" s="88"/>
      <c r="L19" s="88"/>
      <c r="M19" s="88"/>
    </row>
    <row r="20" spans="1:13">
      <c r="A20" s="799"/>
      <c r="B20" s="225" t="s">
        <v>17</v>
      </c>
      <c r="C20" s="223">
        <f>E93</f>
        <v>50000</v>
      </c>
      <c r="D20" s="223">
        <f>F93</f>
        <v>50000</v>
      </c>
      <c r="E20" s="223">
        <f>G93</f>
        <v>50000</v>
      </c>
      <c r="F20" s="223">
        <f>H93</f>
        <v>40000</v>
      </c>
      <c r="H20" s="8"/>
      <c r="I20" s="8"/>
      <c r="J20" s="88"/>
      <c r="K20" s="88"/>
      <c r="L20" s="88"/>
      <c r="M20" s="88"/>
    </row>
    <row r="21" spans="1:13">
      <c r="A21" s="799"/>
      <c r="B21" s="226" t="s">
        <v>203</v>
      </c>
      <c r="C21" s="227">
        <f>E96</f>
        <v>65714.28571428571</v>
      </c>
      <c r="D21" s="227">
        <f t="shared" ref="D21:F21" si="6">F96</f>
        <v>65714.28571428571</v>
      </c>
      <c r="E21" s="227">
        <f t="shared" si="6"/>
        <v>65714.28571428571</v>
      </c>
      <c r="F21" s="227">
        <f t="shared" si="6"/>
        <v>65714.28571428571</v>
      </c>
      <c r="H21" s="8"/>
      <c r="I21" s="90"/>
      <c r="J21" s="88"/>
      <c r="K21" s="88"/>
      <c r="L21" s="88"/>
      <c r="M21" s="88"/>
    </row>
    <row r="22" spans="1:13">
      <c r="A22" s="799"/>
      <c r="B22" s="228" t="s">
        <v>18</v>
      </c>
      <c r="C22" s="227">
        <f>E101</f>
        <v>72571.42857142858</v>
      </c>
      <c r="D22" s="223">
        <f>F101</f>
        <v>72571.42857142858</v>
      </c>
      <c r="E22" s="223">
        <f>G101</f>
        <v>72571.42857142858</v>
      </c>
      <c r="F22" s="223">
        <f>H101</f>
        <v>62571.428571428572</v>
      </c>
      <c r="H22" s="8"/>
      <c r="I22" s="90"/>
      <c r="J22" s="88"/>
      <c r="K22" s="88"/>
      <c r="L22" s="88"/>
      <c r="M22" s="88"/>
    </row>
    <row r="23" spans="1:13">
      <c r="A23" s="800"/>
      <c r="B23" s="226" t="s">
        <v>200</v>
      </c>
      <c r="C23" s="227">
        <f>1050000/35</f>
        <v>30000</v>
      </c>
      <c r="D23" s="227">
        <f>C23</f>
        <v>30000</v>
      </c>
      <c r="E23" s="227">
        <f>C23</f>
        <v>30000</v>
      </c>
      <c r="F23" s="227">
        <f>C23</f>
        <v>30000</v>
      </c>
      <c r="H23" s="8"/>
      <c r="I23" s="90"/>
      <c r="J23" s="88"/>
      <c r="K23" s="88"/>
      <c r="L23" s="88"/>
      <c r="M23" s="88"/>
    </row>
    <row r="24" spans="1:13">
      <c r="A24" s="801" t="s">
        <v>98</v>
      </c>
      <c r="B24" s="229" t="s">
        <v>204</v>
      </c>
      <c r="C24" s="230">
        <f>760000/35</f>
        <v>21714.285714285714</v>
      </c>
      <c r="D24" s="230">
        <f>C24</f>
        <v>21714.285714285714</v>
      </c>
      <c r="E24" s="230">
        <f>C24</f>
        <v>21714.285714285714</v>
      </c>
      <c r="F24" s="230">
        <f>C24</f>
        <v>21714.285714285714</v>
      </c>
      <c r="H24" s="8"/>
      <c r="I24" s="90"/>
      <c r="J24" s="88"/>
      <c r="K24" s="88"/>
      <c r="L24" s="88"/>
      <c r="M24" s="88"/>
    </row>
    <row r="25" spans="1:13">
      <c r="A25" s="802"/>
      <c r="B25" s="229" t="s">
        <v>205</v>
      </c>
      <c r="C25" s="230">
        <f>E108</f>
        <v>71785.71428571429</v>
      </c>
      <c r="D25" s="230">
        <f>F108</f>
        <v>71785.71428571429</v>
      </c>
      <c r="E25" s="230">
        <f>G108</f>
        <v>71785.71428571429</v>
      </c>
      <c r="F25" s="231">
        <f>H108</f>
        <v>61785.714285714283</v>
      </c>
      <c r="H25" s="8"/>
      <c r="I25" s="90"/>
      <c r="J25" s="88"/>
      <c r="K25" s="88"/>
      <c r="L25" s="88"/>
      <c r="M25" s="88"/>
    </row>
    <row r="26" spans="1:13">
      <c r="A26" s="802"/>
      <c r="B26" s="232" t="s">
        <v>106</v>
      </c>
      <c r="C26" s="230">
        <f>E116</f>
        <v>74714.28571428571</v>
      </c>
      <c r="D26" s="230">
        <f>F116</f>
        <v>74714.28571428571</v>
      </c>
      <c r="E26" s="230">
        <f>G116</f>
        <v>74714.28571428571</v>
      </c>
      <c r="F26" s="231">
        <v>0</v>
      </c>
      <c r="H26" s="8"/>
      <c r="I26" s="90"/>
      <c r="J26" s="88"/>
      <c r="K26" s="88"/>
      <c r="L26" s="88"/>
      <c r="M26" s="88"/>
    </row>
    <row r="27" spans="1:13">
      <c r="A27" s="802"/>
      <c r="B27" s="232" t="s">
        <v>105</v>
      </c>
      <c r="C27" s="230">
        <f>E113</f>
        <v>107142.85714285714</v>
      </c>
      <c r="D27" s="230">
        <f>F113</f>
        <v>107142.85714285714</v>
      </c>
      <c r="E27" s="230">
        <f>G113</f>
        <v>107142.85714285714</v>
      </c>
      <c r="F27" s="231">
        <f>H113</f>
        <v>92142.857142857145</v>
      </c>
      <c r="H27" s="8"/>
      <c r="I27" s="90"/>
      <c r="J27" s="88"/>
      <c r="K27" s="88"/>
      <c r="L27" s="88"/>
      <c r="M27" s="88"/>
    </row>
    <row r="28" spans="1:13">
      <c r="A28" s="802"/>
      <c r="B28" s="229" t="s">
        <v>107</v>
      </c>
      <c r="C28" s="233">
        <f t="shared" ref="C28:F28" si="7">E117</f>
        <v>230000</v>
      </c>
      <c r="D28" s="233">
        <f t="shared" si="7"/>
        <v>230000</v>
      </c>
      <c r="E28" s="233">
        <f t="shared" si="7"/>
        <v>230000</v>
      </c>
      <c r="F28" s="233">
        <f t="shared" si="7"/>
        <v>230000</v>
      </c>
      <c r="H28" s="8"/>
      <c r="I28" s="90"/>
      <c r="J28" s="88"/>
      <c r="K28" s="88"/>
      <c r="L28" s="88"/>
      <c r="M28" s="88"/>
    </row>
    <row r="29" spans="1:13">
      <c r="A29" s="803"/>
      <c r="B29" s="229" t="s">
        <v>200</v>
      </c>
      <c r="C29" s="233">
        <f>1050000/35</f>
        <v>30000</v>
      </c>
      <c r="D29" s="233">
        <f>C29</f>
        <v>30000</v>
      </c>
      <c r="E29" s="233">
        <f>C29</f>
        <v>30000</v>
      </c>
      <c r="F29" s="233">
        <f>C29</f>
        <v>30000</v>
      </c>
      <c r="H29" s="8"/>
      <c r="I29" s="90"/>
      <c r="J29" s="88"/>
      <c r="K29" s="88"/>
      <c r="L29" s="88"/>
      <c r="M29" s="88"/>
    </row>
    <row r="30" spans="1:13" ht="15" customHeight="1">
      <c r="A30" s="807" t="s">
        <v>12</v>
      </c>
      <c r="B30" s="234" t="s">
        <v>20</v>
      </c>
      <c r="C30" s="366">
        <f>460000/35</f>
        <v>13142.857142857143</v>
      </c>
      <c r="D30" s="367">
        <f>C30</f>
        <v>13142.857142857143</v>
      </c>
      <c r="E30" s="367">
        <f>C30</f>
        <v>13142.857142857143</v>
      </c>
      <c r="F30" s="367">
        <f>C30</f>
        <v>13142.857142857143</v>
      </c>
      <c r="H30" s="31"/>
      <c r="I30" s="91"/>
      <c r="J30" s="92"/>
      <c r="K30" s="88"/>
      <c r="L30" s="88"/>
      <c r="M30" s="88"/>
    </row>
    <row r="31" spans="1:13">
      <c r="A31" s="808"/>
      <c r="B31" s="236" t="s">
        <v>21</v>
      </c>
      <c r="C31" s="369">
        <f>140000/35</f>
        <v>4000</v>
      </c>
      <c r="D31" s="369">
        <f>C31</f>
        <v>4000</v>
      </c>
      <c r="E31" s="369">
        <f>C31</f>
        <v>4000</v>
      </c>
      <c r="F31" s="369">
        <f>C31</f>
        <v>4000</v>
      </c>
      <c r="H31" s="695"/>
      <c r="I31" s="91"/>
      <c r="J31" s="92"/>
      <c r="K31" s="88"/>
      <c r="L31" s="88"/>
      <c r="M31" s="88"/>
    </row>
    <row r="32" spans="1:13">
      <c r="A32" s="808"/>
      <c r="B32" s="236" t="s">
        <v>40</v>
      </c>
      <c r="C32" s="369">
        <v>55000</v>
      </c>
      <c r="D32" s="369">
        <v>55000</v>
      </c>
      <c r="E32" s="369">
        <v>55000</v>
      </c>
      <c r="F32" s="369">
        <v>39000</v>
      </c>
      <c r="H32" s="695"/>
      <c r="I32" s="91"/>
      <c r="J32" s="92"/>
      <c r="K32" s="88"/>
      <c r="L32" s="88"/>
      <c r="M32" s="88"/>
    </row>
    <row r="33" spans="1:13">
      <c r="A33" s="809"/>
      <c r="B33" s="238" t="s">
        <v>155</v>
      </c>
      <c r="C33" s="239">
        <f>E124</f>
        <v>101428.57142857142</v>
      </c>
      <c r="D33" s="240">
        <f>F124</f>
        <v>101428.57142857142</v>
      </c>
      <c r="E33" s="240">
        <f>G124</f>
        <v>101428.57142857142</v>
      </c>
      <c r="F33" s="240">
        <f>H124</f>
        <v>45428.571428571428</v>
      </c>
      <c r="H33" s="695"/>
      <c r="I33" s="8"/>
      <c r="J33" s="88"/>
      <c r="K33" s="88"/>
      <c r="L33" s="88"/>
      <c r="M33" s="88"/>
    </row>
    <row r="34" spans="1:13">
      <c r="A34" s="810"/>
      <c r="B34" s="700" t="s">
        <v>185</v>
      </c>
      <c r="C34" s="701">
        <f>E129</f>
        <v>83714.28571428571</v>
      </c>
      <c r="D34" s="701">
        <f>C34</f>
        <v>83714.28571428571</v>
      </c>
      <c r="E34" s="701">
        <f>C34</f>
        <v>83714.28571428571</v>
      </c>
      <c r="F34" s="701">
        <f>H129</f>
        <v>73714.28571428571</v>
      </c>
      <c r="H34" s="695"/>
      <c r="I34" s="8"/>
      <c r="J34" s="88"/>
      <c r="K34" s="88"/>
      <c r="L34" s="88"/>
      <c r="M34" s="88"/>
    </row>
    <row r="35" spans="1:13">
      <c r="A35" s="811"/>
      <c r="B35" s="702" t="s">
        <v>207</v>
      </c>
      <c r="C35" s="701">
        <f>1400000/35</f>
        <v>40000</v>
      </c>
      <c r="D35" s="701">
        <f>C35</f>
        <v>40000</v>
      </c>
      <c r="E35" s="701">
        <f>C35</f>
        <v>40000</v>
      </c>
      <c r="F35" s="701">
        <f>C35</f>
        <v>40000</v>
      </c>
      <c r="H35" s="695"/>
      <c r="I35" s="8"/>
      <c r="J35" s="88"/>
      <c r="K35" s="88"/>
      <c r="L35" s="88"/>
      <c r="M35" s="88"/>
    </row>
    <row r="36" spans="1:13">
      <c r="A36" s="698" t="s">
        <v>206</v>
      </c>
      <c r="B36" s="697" t="s">
        <v>159</v>
      </c>
      <c r="C36" s="242">
        <f>E126</f>
        <v>187000</v>
      </c>
      <c r="D36" s="242">
        <f>F126</f>
        <v>187000</v>
      </c>
      <c r="E36" s="242">
        <f>G126</f>
        <v>187000</v>
      </c>
      <c r="F36" s="242">
        <f>H126</f>
        <v>132000</v>
      </c>
      <c r="H36" s="695"/>
      <c r="I36" s="8"/>
      <c r="J36" s="88"/>
      <c r="K36" s="88"/>
      <c r="L36" s="88"/>
      <c r="M36" s="88"/>
    </row>
    <row r="37" spans="1:13">
      <c r="A37" s="699" t="s">
        <v>259</v>
      </c>
      <c r="B37" s="243" t="s">
        <v>111</v>
      </c>
      <c r="C37" s="244">
        <v>25000</v>
      </c>
      <c r="D37" s="244">
        <v>25000</v>
      </c>
      <c r="E37" s="244">
        <v>25000</v>
      </c>
      <c r="F37" s="244">
        <v>25000</v>
      </c>
      <c r="H37" s="695"/>
      <c r="I37" s="8"/>
      <c r="J37" s="88"/>
      <c r="K37" s="88"/>
      <c r="L37" s="88"/>
      <c r="M37" s="88"/>
    </row>
    <row r="38" spans="1:13">
      <c r="A38" s="42"/>
      <c r="B38" s="304" t="s">
        <v>25</v>
      </c>
      <c r="C38" s="370">
        <f>SUM(C9:C37)</f>
        <v>4806642.8571428582</v>
      </c>
      <c r="D38" s="246">
        <f>SUM(D9:D37)</f>
        <v>3438842.8571428582</v>
      </c>
      <c r="E38" s="246">
        <f>SUM(E9:E37)</f>
        <v>3352909.5238095247</v>
      </c>
      <c r="F38" s="246">
        <f>SUM(F9:F37)</f>
        <v>2058528.5714285714</v>
      </c>
      <c r="H38" s="4"/>
      <c r="I38" s="8"/>
      <c r="J38" s="88"/>
      <c r="K38" s="88"/>
      <c r="L38" s="88"/>
      <c r="M38" s="88"/>
    </row>
    <row r="39" spans="1:13">
      <c r="A39" s="45" t="s">
        <v>112</v>
      </c>
      <c r="B39" s="247">
        <v>0.8</v>
      </c>
      <c r="C39" s="47">
        <f>C38/B39</f>
        <v>6008303.5714285728</v>
      </c>
      <c r="D39" s="47">
        <f>D38/B39</f>
        <v>4298553.5714285728</v>
      </c>
      <c r="E39" s="47">
        <f>E38/B39</f>
        <v>4191136.9047619058</v>
      </c>
      <c r="F39" s="47">
        <f>F38/B39</f>
        <v>2573160.7142857141</v>
      </c>
      <c r="H39" s="8"/>
      <c r="I39" s="4"/>
      <c r="J39" s="89"/>
      <c r="K39" s="89"/>
      <c r="L39" s="89"/>
      <c r="M39" s="89"/>
    </row>
    <row r="40" spans="1:13">
      <c r="A40" s="48" t="s">
        <v>113</v>
      </c>
      <c r="B40" s="49">
        <v>3150</v>
      </c>
      <c r="C40" s="50">
        <f>C39/B40</f>
        <v>1907.3979591836739</v>
      </c>
      <c r="D40" s="50">
        <f>D39/B40</f>
        <v>1364.6201814058961</v>
      </c>
      <c r="E40" s="50">
        <f>E39/B40</f>
        <v>1330.5196523053669</v>
      </c>
      <c r="F40" s="50">
        <f>F39/B40</f>
        <v>816.87641723356001</v>
      </c>
      <c r="H40" s="51"/>
      <c r="I40" s="51"/>
      <c r="J40" s="51"/>
      <c r="K40" s="51"/>
      <c r="L40" s="51"/>
      <c r="M40" s="51"/>
    </row>
    <row r="41" spans="1:13">
      <c r="H41" s="51"/>
      <c r="I41" s="51"/>
      <c r="J41" s="51"/>
      <c r="K41" s="51"/>
      <c r="L41" s="51"/>
      <c r="M41" s="51"/>
    </row>
    <row r="42" spans="1:13">
      <c r="A42" s="725" t="s">
        <v>28</v>
      </c>
      <c r="B42" s="723"/>
      <c r="C42" s="723"/>
      <c r="D42" s="723"/>
      <c r="E42" s="723"/>
      <c r="F42" s="724"/>
      <c r="H42" s="766"/>
      <c r="I42" s="767"/>
      <c r="J42" s="767"/>
      <c r="K42" s="767"/>
      <c r="L42" s="767"/>
      <c r="M42" s="767"/>
    </row>
    <row r="43" spans="1:13">
      <c r="H43" s="51"/>
      <c r="I43" s="51"/>
      <c r="J43" s="51"/>
      <c r="K43" s="51"/>
      <c r="L43" s="51"/>
      <c r="M43" s="51"/>
    </row>
    <row r="44" spans="1:13">
      <c r="B44" s="52" t="s">
        <v>30</v>
      </c>
      <c r="C44" s="53" t="s">
        <v>5</v>
      </c>
      <c r="D44" s="53">
        <f>SUM(D45:D48)</f>
        <v>13</v>
      </c>
      <c r="E44" s="53" t="s">
        <v>32</v>
      </c>
      <c r="H44" s="51"/>
      <c r="I44" s="4"/>
      <c r="J44" s="4"/>
      <c r="K44" s="4"/>
      <c r="L44" s="4"/>
      <c r="M44" s="51"/>
    </row>
    <row r="45" spans="1:13">
      <c r="B45" s="248" t="s">
        <v>208</v>
      </c>
      <c r="C45" s="249">
        <v>150000</v>
      </c>
      <c r="D45" s="250">
        <v>3</v>
      </c>
      <c r="E45" s="251">
        <f t="shared" ref="E45:E48" si="8">D45*C45</f>
        <v>450000</v>
      </c>
      <c r="H45" s="51"/>
      <c r="I45" s="93"/>
      <c r="J45" s="8"/>
      <c r="K45" s="8"/>
      <c r="L45" s="8"/>
      <c r="M45" s="51"/>
    </row>
    <row r="46" spans="1:13">
      <c r="B46" s="248" t="s">
        <v>209</v>
      </c>
      <c r="C46" s="249">
        <v>130000</v>
      </c>
      <c r="D46" s="250">
        <v>3</v>
      </c>
      <c r="E46" s="251">
        <f t="shared" si="8"/>
        <v>390000</v>
      </c>
      <c r="H46" s="51"/>
      <c r="I46" s="91"/>
      <c r="J46" s="8"/>
      <c r="K46" s="8"/>
      <c r="L46" s="8"/>
      <c r="M46" s="51"/>
    </row>
    <row r="47" spans="1:13">
      <c r="B47" s="248" t="s">
        <v>210</v>
      </c>
      <c r="C47" s="249">
        <v>278000</v>
      </c>
      <c r="D47" s="250">
        <v>3</v>
      </c>
      <c r="E47" s="251">
        <f>C47*D47</f>
        <v>834000</v>
      </c>
      <c r="H47" s="51"/>
      <c r="I47" s="91"/>
      <c r="J47" s="8"/>
      <c r="K47" s="8"/>
      <c r="L47" s="8"/>
      <c r="M47" s="51"/>
    </row>
    <row r="48" spans="1:13">
      <c r="B48" s="703" t="s">
        <v>261</v>
      </c>
      <c r="C48" s="249">
        <v>338000</v>
      </c>
      <c r="D48" s="250">
        <v>4</v>
      </c>
      <c r="E48" s="251">
        <f t="shared" si="8"/>
        <v>1352000</v>
      </c>
      <c r="H48" s="51"/>
      <c r="I48" s="91"/>
      <c r="J48" s="8"/>
      <c r="K48" s="8"/>
      <c r="L48" s="8"/>
      <c r="M48" s="51"/>
    </row>
    <row r="49" spans="2:13">
      <c r="H49" s="51"/>
      <c r="I49" s="51"/>
      <c r="J49" s="51"/>
      <c r="K49" s="51"/>
      <c r="L49" s="51"/>
      <c r="M49" s="51"/>
    </row>
    <row r="50" spans="2:13">
      <c r="B50" s="53" t="s">
        <v>30</v>
      </c>
      <c r="C50" s="53" t="s">
        <v>6</v>
      </c>
      <c r="D50" s="53">
        <f>SUM(D51:D54)</f>
        <v>13</v>
      </c>
      <c r="E50" s="53" t="s">
        <v>32</v>
      </c>
      <c r="H50" s="51"/>
      <c r="I50" s="4"/>
      <c r="J50" s="4"/>
      <c r="K50" s="4"/>
      <c r="L50" s="4"/>
      <c r="M50" s="51"/>
    </row>
    <row r="51" spans="2:13">
      <c r="B51" s="254" t="s">
        <v>208</v>
      </c>
      <c r="C51" s="255">
        <f>180000/2</f>
        <v>90000</v>
      </c>
      <c r="D51" s="250">
        <v>4</v>
      </c>
      <c r="E51" s="251">
        <f t="shared" ref="E51:E54" si="9">D51*C51</f>
        <v>360000</v>
      </c>
      <c r="H51" s="51"/>
      <c r="I51" s="93"/>
      <c r="J51" s="8"/>
      <c r="K51" s="8"/>
      <c r="L51" s="8"/>
      <c r="M51" s="51"/>
    </row>
    <row r="52" spans="2:13">
      <c r="B52" s="254" t="s">
        <v>209</v>
      </c>
      <c r="C52" s="255">
        <f>205200/2</f>
        <v>102600</v>
      </c>
      <c r="D52" s="250">
        <v>2</v>
      </c>
      <c r="E52" s="251">
        <f t="shared" si="9"/>
        <v>205200</v>
      </c>
      <c r="H52" s="51"/>
      <c r="I52" s="91"/>
      <c r="J52" s="94"/>
      <c r="K52" s="8"/>
      <c r="L52" s="94"/>
      <c r="M52" s="51"/>
    </row>
    <row r="53" spans="2:13">
      <c r="B53" s="254" t="s">
        <v>210</v>
      </c>
      <c r="C53" s="249">
        <f>278000/2</f>
        <v>139000</v>
      </c>
      <c r="D53" s="250">
        <v>3</v>
      </c>
      <c r="E53" s="251">
        <f>C53*D53</f>
        <v>417000</v>
      </c>
      <c r="H53" s="51"/>
      <c r="I53" s="91"/>
      <c r="J53" s="8"/>
      <c r="K53" s="8"/>
      <c r="L53" s="8"/>
      <c r="M53" s="51"/>
    </row>
    <row r="54" spans="2:13">
      <c r="B54" s="254" t="s">
        <v>40</v>
      </c>
      <c r="C54" s="256">
        <f>169000</f>
        <v>169000</v>
      </c>
      <c r="D54" s="250">
        <v>4</v>
      </c>
      <c r="E54" s="251">
        <f t="shared" si="9"/>
        <v>676000</v>
      </c>
      <c r="H54" s="51"/>
      <c r="I54" s="91"/>
      <c r="J54" s="8"/>
      <c r="K54" s="8"/>
      <c r="L54" s="8"/>
      <c r="M54" s="51"/>
    </row>
    <row r="55" spans="2:13">
      <c r="H55" s="51"/>
      <c r="I55" s="51"/>
      <c r="J55" s="51"/>
      <c r="K55" s="51"/>
      <c r="L55" s="51"/>
      <c r="M55" s="51"/>
    </row>
    <row r="56" spans="2:13">
      <c r="B56" s="53" t="s">
        <v>30</v>
      </c>
      <c r="C56" s="53" t="s">
        <v>7</v>
      </c>
      <c r="D56" s="53">
        <f>SUM(D57:D60)</f>
        <v>13</v>
      </c>
      <c r="E56" s="53" t="s">
        <v>32</v>
      </c>
      <c r="H56" s="51"/>
      <c r="I56" s="4"/>
      <c r="J56" s="4"/>
      <c r="K56" s="4"/>
      <c r="L56" s="4"/>
      <c r="M56" s="51"/>
    </row>
    <row r="57" spans="2:13">
      <c r="B57" s="254" t="s">
        <v>208</v>
      </c>
      <c r="C57" s="257">
        <f>(180000+95000)/3</f>
        <v>91666.666666666672</v>
      </c>
      <c r="D57" s="250">
        <v>4</v>
      </c>
      <c r="E57" s="251">
        <f t="shared" ref="E57:E58" si="10">D57*C57</f>
        <v>366666.66666666669</v>
      </c>
      <c r="H57" s="51"/>
      <c r="I57" s="93"/>
      <c r="J57" s="8"/>
      <c r="K57" s="8"/>
      <c r="L57" s="8"/>
      <c r="M57" s="51"/>
    </row>
    <row r="58" spans="2:13">
      <c r="B58" s="254" t="s">
        <v>209</v>
      </c>
      <c r="C58" s="255">
        <f>275400/3</f>
        <v>91800</v>
      </c>
      <c r="D58" s="250">
        <v>2</v>
      </c>
      <c r="E58" s="251">
        <f t="shared" si="10"/>
        <v>183600</v>
      </c>
      <c r="H58" s="51"/>
      <c r="I58" s="91"/>
      <c r="J58" s="94"/>
      <c r="K58" s="8"/>
      <c r="L58" s="8"/>
      <c r="M58" s="51"/>
    </row>
    <row r="59" spans="2:13">
      <c r="B59" s="254" t="s">
        <v>210</v>
      </c>
      <c r="C59" s="258">
        <f>346000/3</f>
        <v>115333.33333333333</v>
      </c>
      <c r="D59" s="250">
        <v>3</v>
      </c>
      <c r="E59" s="251">
        <f>C59*D59</f>
        <v>346000</v>
      </c>
      <c r="H59" s="51"/>
      <c r="I59" s="91"/>
      <c r="J59" s="8"/>
      <c r="K59" s="8"/>
      <c r="L59" s="8"/>
      <c r="M59" s="51"/>
    </row>
    <row r="60" spans="2:13">
      <c r="B60" s="259" t="s">
        <v>40</v>
      </c>
      <c r="C60" s="260">
        <v>169000</v>
      </c>
      <c r="D60" s="261">
        <v>4</v>
      </c>
      <c r="E60" s="251">
        <f>C60*D60</f>
        <v>676000</v>
      </c>
      <c r="H60" s="51"/>
      <c r="I60" s="91"/>
      <c r="J60" s="8"/>
      <c r="K60" s="8"/>
      <c r="L60" s="8"/>
      <c r="M60" s="51"/>
    </row>
    <row r="61" spans="2:13">
      <c r="B61" s="59"/>
      <c r="C61" s="59"/>
      <c r="D61" s="59"/>
      <c r="E61" s="59"/>
      <c r="H61" s="51"/>
      <c r="I61" s="8"/>
      <c r="J61" s="8"/>
      <c r="K61" s="8"/>
      <c r="L61" s="8"/>
      <c r="M61" s="51"/>
    </row>
    <row r="62" spans="2:13">
      <c r="B62" s="53" t="s">
        <v>30</v>
      </c>
      <c r="C62" s="53" t="s">
        <v>8</v>
      </c>
      <c r="D62" s="53">
        <f>SUM(D63:D66)</f>
        <v>11</v>
      </c>
      <c r="E62" s="53" t="s">
        <v>32</v>
      </c>
      <c r="H62" s="51"/>
      <c r="I62" s="4"/>
      <c r="J62" s="4"/>
      <c r="K62" s="4"/>
      <c r="L62" s="4"/>
      <c r="M62" s="51"/>
    </row>
    <row r="63" spans="2:13">
      <c r="B63" s="262" t="s">
        <v>208</v>
      </c>
      <c r="C63" s="263">
        <v>47000</v>
      </c>
      <c r="D63" s="264">
        <v>4</v>
      </c>
      <c r="E63" s="265">
        <f>D63*C63</f>
        <v>188000</v>
      </c>
      <c r="H63" s="51"/>
      <c r="I63" s="93"/>
      <c r="J63" s="8"/>
      <c r="K63" s="8"/>
      <c r="L63" s="8"/>
      <c r="M63" s="51"/>
    </row>
    <row r="64" spans="2:13">
      <c r="B64" s="262" t="s">
        <v>209</v>
      </c>
      <c r="C64" s="263">
        <v>64800</v>
      </c>
      <c r="D64" s="264">
        <v>2</v>
      </c>
      <c r="E64" s="265">
        <f t="shared" ref="E64:E66" si="11">C64*D64</f>
        <v>129600</v>
      </c>
      <c r="H64" s="51"/>
      <c r="I64" s="91"/>
      <c r="J64" s="94"/>
      <c r="K64" s="8"/>
      <c r="L64" s="8"/>
      <c r="M64" s="51"/>
    </row>
    <row r="65" spans="1:21" ht="30">
      <c r="B65" s="262" t="s">
        <v>211</v>
      </c>
      <c r="C65" s="266">
        <v>48000</v>
      </c>
      <c r="D65" s="264">
        <v>3</v>
      </c>
      <c r="E65" s="265">
        <f t="shared" si="11"/>
        <v>144000</v>
      </c>
      <c r="H65" s="51"/>
      <c r="I65" s="91"/>
      <c r="J65" s="8"/>
      <c r="K65" s="8"/>
      <c r="L65" s="8"/>
      <c r="M65" s="51"/>
    </row>
    <row r="66" spans="1:21" ht="30" customHeight="1">
      <c r="B66" s="267" t="s">
        <v>120</v>
      </c>
      <c r="C66" s="268">
        <v>64000</v>
      </c>
      <c r="D66" s="264">
        <v>2</v>
      </c>
      <c r="E66" s="265">
        <f t="shared" si="11"/>
        <v>128000</v>
      </c>
      <c r="H66" s="51"/>
      <c r="I66" s="91"/>
      <c r="J66" s="8"/>
      <c r="K66" s="8"/>
      <c r="L66" s="8"/>
      <c r="M66" s="51"/>
    </row>
    <row r="68" spans="1:21">
      <c r="A68" s="269" t="s">
        <v>3</v>
      </c>
      <c r="B68" s="269" t="s">
        <v>44</v>
      </c>
      <c r="C68" s="269" t="s">
        <v>46</v>
      </c>
      <c r="D68" s="269" t="s">
        <v>45</v>
      </c>
      <c r="E68" s="269" t="s">
        <v>5</v>
      </c>
      <c r="F68" s="269" t="s">
        <v>6</v>
      </c>
      <c r="G68" s="269" t="s">
        <v>7</v>
      </c>
      <c r="H68" s="269" t="s">
        <v>8</v>
      </c>
    </row>
    <row r="69" spans="1:21">
      <c r="A69" s="270" t="s">
        <v>9</v>
      </c>
      <c r="B69" s="70"/>
      <c r="C69" s="70"/>
      <c r="D69" s="70"/>
      <c r="E69" s="70"/>
      <c r="F69" s="70"/>
      <c r="G69" s="70"/>
      <c r="H69" s="70"/>
      <c r="I69" s="361"/>
      <c r="J69" s="361"/>
      <c r="K69" s="361"/>
      <c r="L69" s="361"/>
      <c r="M69" s="361"/>
      <c r="N69" s="361"/>
      <c r="O69" s="361"/>
      <c r="P69" s="361"/>
      <c r="Q69" s="361"/>
      <c r="R69" s="361"/>
      <c r="S69" s="361"/>
      <c r="T69" s="361"/>
      <c r="U69" s="361"/>
    </row>
    <row r="70" spans="1:21" s="1" customFormat="1" ht="15" customHeight="1">
      <c r="A70" s="784" t="s">
        <v>212</v>
      </c>
      <c r="B70" s="271" t="s">
        <v>170</v>
      </c>
      <c r="C70" s="271" t="s">
        <v>49</v>
      </c>
      <c r="D70" s="271" t="s">
        <v>129</v>
      </c>
      <c r="E70" s="272">
        <f>900000/35</f>
        <v>25714.285714285714</v>
      </c>
      <c r="F70" s="272">
        <f>E70</f>
        <v>25714.285714285714</v>
      </c>
      <c r="G70" s="272">
        <f>E70</f>
        <v>25714.285714285714</v>
      </c>
      <c r="H70" s="272">
        <f>E70</f>
        <v>25714.285714285714</v>
      </c>
      <c r="I70" s="361"/>
      <c r="J70" s="361"/>
      <c r="K70" s="361"/>
      <c r="L70" s="361"/>
      <c r="M70" s="361"/>
      <c r="N70" s="361"/>
      <c r="O70" s="361"/>
      <c r="P70" s="361"/>
      <c r="Q70" s="361"/>
      <c r="R70" s="361"/>
      <c r="S70" s="361"/>
      <c r="T70" s="361"/>
      <c r="U70" s="361"/>
    </row>
    <row r="71" spans="1:21" ht="15" customHeight="1">
      <c r="A71" s="785"/>
      <c r="B71" s="273" t="s">
        <v>50</v>
      </c>
      <c r="C71" s="274" t="s">
        <v>122</v>
      </c>
      <c r="D71" s="273" t="s">
        <v>52</v>
      </c>
      <c r="E71" s="275">
        <f>240000/35</f>
        <v>6857.1428571428569</v>
      </c>
      <c r="F71" s="275">
        <f>E71</f>
        <v>6857.1428571428569</v>
      </c>
      <c r="G71" s="275">
        <f>E71</f>
        <v>6857.1428571428569</v>
      </c>
      <c r="H71" s="275">
        <f>E71</f>
        <v>6857.1428571428569</v>
      </c>
    </row>
    <row r="72" spans="1:21" ht="15" customHeight="1">
      <c r="A72" s="785"/>
      <c r="B72" s="276" t="s">
        <v>213</v>
      </c>
      <c r="C72" s="274" t="s">
        <v>214</v>
      </c>
      <c r="D72" s="273" t="s">
        <v>57</v>
      </c>
      <c r="E72" s="277">
        <v>50000</v>
      </c>
      <c r="F72" s="277">
        <f>E72</f>
        <v>50000</v>
      </c>
      <c r="G72" s="277">
        <f>E72</f>
        <v>50000</v>
      </c>
      <c r="H72" s="277">
        <v>40000</v>
      </c>
    </row>
    <row r="73" spans="1:21" ht="15" customHeight="1">
      <c r="A73" s="785"/>
      <c r="B73" s="278" t="s">
        <v>62</v>
      </c>
      <c r="C73" s="274" t="s">
        <v>64</v>
      </c>
      <c r="D73" s="273" t="s">
        <v>54</v>
      </c>
      <c r="E73" s="277">
        <v>5000</v>
      </c>
      <c r="F73" s="277">
        <f>E73</f>
        <v>5000</v>
      </c>
      <c r="G73" s="277">
        <f>E73</f>
        <v>5000</v>
      </c>
      <c r="H73" s="277">
        <f>F73</f>
        <v>5000</v>
      </c>
    </row>
    <row r="74" spans="1:21" ht="15" customHeight="1">
      <c r="A74" s="786"/>
      <c r="B74" s="278" t="s">
        <v>65</v>
      </c>
      <c r="C74" s="274" t="s">
        <v>64</v>
      </c>
      <c r="D74" s="273" t="s">
        <v>54</v>
      </c>
      <c r="E74" s="277">
        <v>22000</v>
      </c>
      <c r="F74" s="277">
        <f>E74</f>
        <v>22000</v>
      </c>
      <c r="G74" s="277">
        <f>E74</f>
        <v>22000</v>
      </c>
      <c r="H74" s="277">
        <v>17000</v>
      </c>
    </row>
    <row r="75" spans="1:21" ht="15" customHeight="1">
      <c r="A75" s="279"/>
      <c r="B75" s="280" t="s">
        <v>58</v>
      </c>
      <c r="C75" s="280"/>
      <c r="D75" s="280"/>
      <c r="E75" s="281">
        <f>SUM(E70:E74)</f>
        <v>109571.42857142858</v>
      </c>
      <c r="F75" s="281">
        <f t="shared" ref="F75:H75" si="12">SUM(F70:F74)</f>
        <v>109571.42857142858</v>
      </c>
      <c r="G75" s="281">
        <f t="shared" si="12"/>
        <v>109571.42857142858</v>
      </c>
      <c r="H75" s="281">
        <f t="shared" si="12"/>
        <v>94571.42857142858</v>
      </c>
    </row>
    <row r="76" spans="1:21" ht="15" customHeight="1">
      <c r="A76" s="787" t="s">
        <v>199</v>
      </c>
      <c r="B76" s="371" t="s">
        <v>170</v>
      </c>
      <c r="C76" s="372" t="s">
        <v>49</v>
      </c>
      <c r="D76" s="372" t="s">
        <v>129</v>
      </c>
      <c r="E76" s="373">
        <f>900000/35</f>
        <v>25714.285714285714</v>
      </c>
      <c r="F76" s="373">
        <f>E76</f>
        <v>25714.285714285714</v>
      </c>
      <c r="G76" s="373">
        <f>E76</f>
        <v>25714.285714285714</v>
      </c>
      <c r="H76" s="373">
        <f>E76</f>
        <v>25714.285714285714</v>
      </c>
    </row>
    <row r="77" spans="1:21">
      <c r="A77" s="788"/>
      <c r="B77" s="374" t="s">
        <v>50</v>
      </c>
      <c r="C77" s="375" t="s">
        <v>122</v>
      </c>
      <c r="D77" s="376" t="s">
        <v>52</v>
      </c>
      <c r="E77" s="377">
        <f>240000/35</f>
        <v>6857.1428571428569</v>
      </c>
      <c r="F77" s="377">
        <f>E77</f>
        <v>6857.1428571428569</v>
      </c>
      <c r="G77" s="377">
        <f>E77</f>
        <v>6857.1428571428569</v>
      </c>
      <c r="H77" s="377">
        <f>E77</f>
        <v>6857.1428571428569</v>
      </c>
    </row>
    <row r="78" spans="1:21">
      <c r="A78" s="788"/>
      <c r="B78" s="378" t="s">
        <v>53</v>
      </c>
      <c r="C78" s="379" t="s">
        <v>54</v>
      </c>
      <c r="D78" s="380" t="s">
        <v>54</v>
      </c>
      <c r="E78" s="381">
        <v>60000</v>
      </c>
      <c r="F78" s="382">
        <v>60000</v>
      </c>
      <c r="G78" s="382">
        <v>60000</v>
      </c>
      <c r="H78" s="382">
        <v>50000</v>
      </c>
    </row>
    <row r="79" spans="1:21">
      <c r="A79" s="789"/>
      <c r="B79" s="383" t="s">
        <v>215</v>
      </c>
      <c r="C79" s="384" t="s">
        <v>56</v>
      </c>
      <c r="D79" s="376" t="s">
        <v>127</v>
      </c>
      <c r="E79" s="385">
        <v>50000</v>
      </c>
      <c r="F79" s="385">
        <v>50000</v>
      </c>
      <c r="G79" s="386">
        <v>50000</v>
      </c>
      <c r="H79" s="386">
        <v>40000</v>
      </c>
    </row>
    <row r="80" spans="1:21">
      <c r="A80" s="387"/>
      <c r="B80" s="388" t="s">
        <v>58</v>
      </c>
      <c r="C80" s="389"/>
      <c r="D80" s="389"/>
      <c r="E80" s="390">
        <f>SUM(E76:E79)</f>
        <v>142571.42857142858</v>
      </c>
      <c r="F80" s="390">
        <f>SUM(F76:F79)</f>
        <v>142571.42857142858</v>
      </c>
      <c r="G80" s="391">
        <f>SUM(G76:G79)</f>
        <v>142571.42857142858</v>
      </c>
      <c r="H80" s="391">
        <f>SUM(H76:H79)</f>
        <v>122571.42857142858</v>
      </c>
      <c r="K80" s="1"/>
    </row>
    <row r="81" spans="1:8">
      <c r="A81" s="282" t="s">
        <v>201</v>
      </c>
      <c r="B81" s="8"/>
      <c r="C81" s="8"/>
      <c r="D81" s="8"/>
      <c r="E81" s="94"/>
      <c r="F81" s="94"/>
      <c r="G81" s="94"/>
      <c r="H81" s="94"/>
    </row>
    <row r="82" spans="1:8" ht="15" customHeight="1">
      <c r="A82" s="790" t="s">
        <v>202</v>
      </c>
      <c r="B82" s="392" t="s">
        <v>216</v>
      </c>
      <c r="C82" s="393" t="s">
        <v>49</v>
      </c>
      <c r="D82" s="393" t="s">
        <v>125</v>
      </c>
      <c r="E82" s="394">
        <f>1000000/35</f>
        <v>28571.428571428572</v>
      </c>
      <c r="F82" s="394">
        <f>E82</f>
        <v>28571.428571428572</v>
      </c>
      <c r="G82" s="394">
        <f>E82</f>
        <v>28571.428571428572</v>
      </c>
      <c r="H82" s="394">
        <f>E82</f>
        <v>28571.428571428572</v>
      </c>
    </row>
    <row r="83" spans="1:8">
      <c r="A83" s="791"/>
      <c r="B83" s="393" t="s">
        <v>217</v>
      </c>
      <c r="C83" s="393" t="s">
        <v>122</v>
      </c>
      <c r="D83" s="393" t="s">
        <v>52</v>
      </c>
      <c r="E83" s="394">
        <f>240000/35</f>
        <v>6857.1428571428569</v>
      </c>
      <c r="F83" s="394">
        <f>E83</f>
        <v>6857.1428571428569</v>
      </c>
      <c r="G83" s="394">
        <f>E83</f>
        <v>6857.1428571428569</v>
      </c>
      <c r="H83" s="394">
        <f>E83</f>
        <v>6857.1428571428569</v>
      </c>
    </row>
    <row r="84" spans="1:8">
      <c r="A84" s="791"/>
      <c r="B84" s="300" t="s">
        <v>218</v>
      </c>
      <c r="C84" s="300" t="s">
        <v>56</v>
      </c>
      <c r="D84" s="300" t="s">
        <v>57</v>
      </c>
      <c r="E84" s="301">
        <v>50000</v>
      </c>
      <c r="F84" s="301">
        <v>50000</v>
      </c>
      <c r="G84" s="301">
        <v>50000</v>
      </c>
      <c r="H84" s="301">
        <v>50000</v>
      </c>
    </row>
    <row r="85" spans="1:8">
      <c r="A85" s="792"/>
      <c r="B85" s="300" t="s">
        <v>219</v>
      </c>
      <c r="C85" s="300" t="s">
        <v>54</v>
      </c>
      <c r="D85" s="300" t="s">
        <v>54</v>
      </c>
      <c r="E85" s="301">
        <v>12000</v>
      </c>
      <c r="F85" s="301">
        <f>E85</f>
        <v>12000</v>
      </c>
      <c r="G85" s="301">
        <f>E85</f>
        <v>12000</v>
      </c>
      <c r="H85" s="301">
        <v>7000</v>
      </c>
    </row>
    <row r="86" spans="1:8">
      <c r="A86" s="302"/>
      <c r="B86" s="303" t="s">
        <v>58</v>
      </c>
      <c r="C86" s="304"/>
      <c r="D86" s="304"/>
      <c r="E86" s="305">
        <f>SUM(E82:E85)</f>
        <v>97428.57142857142</v>
      </c>
      <c r="F86" s="305">
        <f t="shared" ref="F86:H86" si="13">SUM(F82:F85)</f>
        <v>97428.57142857142</v>
      </c>
      <c r="G86" s="305">
        <f t="shared" si="13"/>
        <v>97428.57142857142</v>
      </c>
      <c r="H86" s="305">
        <f t="shared" si="13"/>
        <v>92428.57142857142</v>
      </c>
    </row>
    <row r="87" spans="1:8">
      <c r="A87" s="306" t="s">
        <v>11</v>
      </c>
    </row>
    <row r="88" spans="1:8" ht="15" customHeight="1">
      <c r="A88" s="793" t="s">
        <v>102</v>
      </c>
      <c r="B88" s="114" t="s">
        <v>220</v>
      </c>
      <c r="C88" s="114" t="s">
        <v>49</v>
      </c>
      <c r="D88" s="114" t="s">
        <v>129</v>
      </c>
      <c r="E88" s="307">
        <f>600000/35</f>
        <v>17142.857142857141</v>
      </c>
      <c r="F88" s="307">
        <f>E88</f>
        <v>17142.857142857141</v>
      </c>
      <c r="G88" s="307">
        <f>E88</f>
        <v>17142.857142857141</v>
      </c>
      <c r="H88" s="307">
        <f>E88</f>
        <v>17142.857142857141</v>
      </c>
    </row>
    <row r="89" spans="1:8">
      <c r="A89" s="794"/>
      <c r="B89" s="114" t="s">
        <v>132</v>
      </c>
      <c r="C89" s="114" t="s">
        <v>122</v>
      </c>
      <c r="D89" s="114" t="s">
        <v>52</v>
      </c>
      <c r="E89" s="307">
        <f>170000/35</f>
        <v>4857.1428571428569</v>
      </c>
      <c r="F89" s="307">
        <f>E89</f>
        <v>4857.1428571428569</v>
      </c>
      <c r="G89" s="307">
        <f>E89</f>
        <v>4857.1428571428569</v>
      </c>
      <c r="H89" s="307">
        <f>E89</f>
        <v>4857.1428571428569</v>
      </c>
    </row>
    <row r="90" spans="1:8">
      <c r="A90" s="795"/>
      <c r="B90" s="114" t="s">
        <v>221</v>
      </c>
      <c r="C90" s="114" t="s">
        <v>56</v>
      </c>
      <c r="D90" s="114" t="s">
        <v>57</v>
      </c>
      <c r="E90" s="307">
        <v>25000</v>
      </c>
      <c r="F90" s="307">
        <f>E90</f>
        <v>25000</v>
      </c>
      <c r="G90" s="307">
        <f>E90</f>
        <v>25000</v>
      </c>
      <c r="H90" s="307">
        <v>20000</v>
      </c>
    </row>
    <row r="91" spans="1:8">
      <c r="A91" s="117"/>
      <c r="B91" s="395" t="s">
        <v>58</v>
      </c>
      <c r="C91" s="75"/>
      <c r="D91" s="75"/>
      <c r="E91" s="396">
        <f>SUM(E88:E90)</f>
        <v>47000</v>
      </c>
      <c r="F91" s="308">
        <f>SUM(F88:F90)</f>
        <v>47000</v>
      </c>
      <c r="G91" s="308">
        <f>SUM(G88:G90)</f>
        <v>47000</v>
      </c>
      <c r="H91" s="308">
        <f>SUM(H88:H90)</f>
        <v>42000</v>
      </c>
    </row>
    <row r="92" spans="1:8">
      <c r="A92" s="309" t="s">
        <v>222</v>
      </c>
      <c r="B92" s="397" t="s">
        <v>223</v>
      </c>
      <c r="C92" s="398" t="s">
        <v>64</v>
      </c>
      <c r="D92" s="145" t="s">
        <v>64</v>
      </c>
      <c r="E92" s="399">
        <v>50000</v>
      </c>
      <c r="F92" s="313">
        <f t="shared" ref="F92" si="14">E92</f>
        <v>50000</v>
      </c>
      <c r="G92" s="314">
        <f t="shared" ref="G92" si="15">E92</f>
        <v>50000</v>
      </c>
      <c r="H92" s="314">
        <v>40000</v>
      </c>
    </row>
    <row r="93" spans="1:8">
      <c r="A93" s="302"/>
      <c r="B93" s="400" t="s">
        <v>58</v>
      </c>
      <c r="C93" s="304"/>
      <c r="D93" s="304"/>
      <c r="E93" s="401">
        <f>SUM(E92:E92)</f>
        <v>50000</v>
      </c>
      <c r="F93" s="316">
        <f>SUM(F92:F92)</f>
        <v>50000</v>
      </c>
      <c r="G93" s="316">
        <f>SUM(G92:G92)</f>
        <v>50000</v>
      </c>
      <c r="H93" s="316">
        <f>SUM(H92:H92)</f>
        <v>40000</v>
      </c>
    </row>
    <row r="94" spans="1:8">
      <c r="A94" s="796" t="s">
        <v>224</v>
      </c>
      <c r="B94" s="317" t="s">
        <v>131</v>
      </c>
      <c r="C94" s="317" t="s">
        <v>49</v>
      </c>
      <c r="D94" s="317" t="s">
        <v>225</v>
      </c>
      <c r="E94" s="318">
        <f>620000/35</f>
        <v>17714.285714285714</v>
      </c>
      <c r="F94" s="318">
        <f>E94</f>
        <v>17714.285714285714</v>
      </c>
      <c r="G94" s="318">
        <f>E94</f>
        <v>17714.285714285714</v>
      </c>
      <c r="H94" s="318">
        <f>E94</f>
        <v>17714.285714285714</v>
      </c>
    </row>
    <row r="95" spans="1:8">
      <c r="A95" s="797"/>
      <c r="B95" s="317" t="s">
        <v>226</v>
      </c>
      <c r="C95" s="317" t="s">
        <v>64</v>
      </c>
      <c r="D95" s="317" t="s">
        <v>54</v>
      </c>
      <c r="E95" s="318">
        <v>48000</v>
      </c>
      <c r="F95" s="318">
        <f>E95</f>
        <v>48000</v>
      </c>
      <c r="G95" s="318">
        <f>E95</f>
        <v>48000</v>
      </c>
      <c r="H95" s="318">
        <f>E95</f>
        <v>48000</v>
      </c>
    </row>
    <row r="96" spans="1:8">
      <c r="A96" s="319"/>
      <c r="B96" s="320" t="s">
        <v>58</v>
      </c>
      <c r="C96" s="321"/>
      <c r="D96" s="322"/>
      <c r="E96" s="323">
        <f>SUM(E94:E95)</f>
        <v>65714.28571428571</v>
      </c>
      <c r="F96" s="323">
        <f t="shared" ref="F96:H96" si="16">SUM(F94:F95)</f>
        <v>65714.28571428571</v>
      </c>
      <c r="G96" s="323">
        <f t="shared" si="16"/>
        <v>65714.28571428571</v>
      </c>
      <c r="H96" s="323">
        <f t="shared" si="16"/>
        <v>65714.28571428571</v>
      </c>
    </row>
    <row r="97" spans="1:8" ht="30">
      <c r="A97" s="402" t="s">
        <v>135</v>
      </c>
      <c r="B97" s="324" t="s">
        <v>131</v>
      </c>
      <c r="C97" s="325" t="s">
        <v>49</v>
      </c>
      <c r="D97" s="325" t="s">
        <v>129</v>
      </c>
      <c r="E97" s="326">
        <f>620000/35</f>
        <v>17714.285714285714</v>
      </c>
      <c r="F97" s="326">
        <f>E97</f>
        <v>17714.285714285714</v>
      </c>
      <c r="G97" s="326">
        <f>E97</f>
        <v>17714.285714285714</v>
      </c>
      <c r="H97" s="326">
        <f>E97</f>
        <v>17714.285714285714</v>
      </c>
    </row>
    <row r="98" spans="1:8">
      <c r="A98" s="403"/>
      <c r="B98" s="327" t="s">
        <v>227</v>
      </c>
      <c r="C98" s="328" t="s">
        <v>228</v>
      </c>
      <c r="D98" s="327" t="s">
        <v>52</v>
      </c>
      <c r="E98" s="329">
        <f>170000/35</f>
        <v>4857.1428571428569</v>
      </c>
      <c r="F98" s="329">
        <f>E98</f>
        <v>4857.1428571428569</v>
      </c>
      <c r="G98" s="329">
        <f>E98</f>
        <v>4857.1428571428569</v>
      </c>
      <c r="H98" s="329">
        <f>E98</f>
        <v>4857.1428571428569</v>
      </c>
    </row>
    <row r="99" spans="1:8" ht="15.75" thickBot="1">
      <c r="A99" s="404"/>
      <c r="B99" s="327" t="s">
        <v>73</v>
      </c>
      <c r="C99" s="328" t="s">
        <v>49</v>
      </c>
      <c r="D99" s="327" t="s">
        <v>229</v>
      </c>
      <c r="E99" s="326">
        <v>10000</v>
      </c>
      <c r="F99" s="330">
        <f t="shared" ref="F99:G99" si="17">E99</f>
        <v>10000</v>
      </c>
      <c r="G99" s="330">
        <f t="shared" si="17"/>
        <v>10000</v>
      </c>
      <c r="H99" s="330">
        <f>F99</f>
        <v>10000</v>
      </c>
    </row>
    <row r="100" spans="1:8">
      <c r="A100" s="405"/>
      <c r="B100" s="327" t="s">
        <v>230</v>
      </c>
      <c r="C100" s="328" t="s">
        <v>56</v>
      </c>
      <c r="D100" s="327" t="s">
        <v>57</v>
      </c>
      <c r="E100" s="326">
        <v>40000</v>
      </c>
      <c r="F100" s="330">
        <f>E100</f>
        <v>40000</v>
      </c>
      <c r="G100" s="330">
        <f>E100</f>
        <v>40000</v>
      </c>
      <c r="H100" s="330">
        <v>30000</v>
      </c>
    </row>
    <row r="101" spans="1:8">
      <c r="A101" s="331"/>
      <c r="B101" s="332" t="s">
        <v>58</v>
      </c>
      <c r="C101" s="303"/>
      <c r="D101" s="303"/>
      <c r="E101" s="333">
        <f>SUM(E97:E100)</f>
        <v>72571.42857142858</v>
      </c>
      <c r="F101" s="333">
        <f>SUM(F97:F100)</f>
        <v>72571.42857142858</v>
      </c>
      <c r="G101" s="333">
        <f>SUM(G97:G100)</f>
        <v>72571.42857142858</v>
      </c>
      <c r="H101" s="333">
        <f>SUM(H97:H100)</f>
        <v>62571.428571428572</v>
      </c>
    </row>
    <row r="102" spans="1:8">
      <c r="A102" s="334" t="s">
        <v>98</v>
      </c>
      <c r="B102" s="8"/>
      <c r="C102" s="8"/>
      <c r="D102" s="8"/>
      <c r="E102" s="335"/>
      <c r="F102" s="335"/>
      <c r="G102" s="335"/>
      <c r="H102" s="335"/>
    </row>
    <row r="103" spans="1:8" ht="15" customHeight="1">
      <c r="A103" s="772" t="s">
        <v>140</v>
      </c>
      <c r="B103" s="406" t="s">
        <v>141</v>
      </c>
      <c r="C103" s="407" t="s">
        <v>49</v>
      </c>
      <c r="D103" s="408" t="s">
        <v>129</v>
      </c>
      <c r="E103" s="409">
        <f>550000/35</f>
        <v>15714.285714285714</v>
      </c>
      <c r="F103" s="409">
        <f>E103</f>
        <v>15714.285714285714</v>
      </c>
      <c r="G103" s="409">
        <f>E103</f>
        <v>15714.285714285714</v>
      </c>
      <c r="H103" s="409">
        <f>E103</f>
        <v>15714.285714285714</v>
      </c>
    </row>
    <row r="104" spans="1:8">
      <c r="A104" s="773"/>
      <c r="B104" s="406" t="s">
        <v>177</v>
      </c>
      <c r="C104" s="407" t="s">
        <v>122</v>
      </c>
      <c r="D104" s="408" t="s">
        <v>52</v>
      </c>
      <c r="E104" s="409">
        <f>300000/35</f>
        <v>8571.4285714285706</v>
      </c>
      <c r="F104" s="409">
        <f>E104</f>
        <v>8571.4285714285706</v>
      </c>
      <c r="G104" s="409">
        <f>E104</f>
        <v>8571.4285714285706</v>
      </c>
      <c r="H104" s="409">
        <f>E104</f>
        <v>8571.4285714285706</v>
      </c>
    </row>
    <row r="105" spans="1:8">
      <c r="A105" s="773"/>
      <c r="B105" s="406" t="s">
        <v>143</v>
      </c>
      <c r="C105" s="407" t="s">
        <v>49</v>
      </c>
      <c r="D105" s="408" t="s">
        <v>144</v>
      </c>
      <c r="E105" s="409">
        <v>2500</v>
      </c>
      <c r="F105" s="409">
        <f>E105</f>
        <v>2500</v>
      </c>
      <c r="G105" s="409">
        <f>E105</f>
        <v>2500</v>
      </c>
      <c r="H105" s="409">
        <f>E105</f>
        <v>2500</v>
      </c>
    </row>
    <row r="106" spans="1:8">
      <c r="A106" s="773"/>
      <c r="B106" s="406" t="s">
        <v>145</v>
      </c>
      <c r="C106" s="407" t="s">
        <v>56</v>
      </c>
      <c r="D106" s="408" t="s">
        <v>127</v>
      </c>
      <c r="E106" s="409">
        <v>45000</v>
      </c>
      <c r="F106" s="409">
        <f>E106</f>
        <v>45000</v>
      </c>
      <c r="G106" s="409">
        <f>E106</f>
        <v>45000</v>
      </c>
      <c r="H106" s="409">
        <v>35000</v>
      </c>
    </row>
    <row r="107" spans="1:8">
      <c r="A107" s="774"/>
      <c r="B107" s="406" t="s">
        <v>231</v>
      </c>
      <c r="C107" s="407" t="s">
        <v>232</v>
      </c>
      <c r="D107" s="408" t="s">
        <v>144</v>
      </c>
      <c r="E107" s="409">
        <v>17000</v>
      </c>
      <c r="F107" s="409">
        <f>E107</f>
        <v>17000</v>
      </c>
      <c r="G107" s="409">
        <f>E107</f>
        <v>17000</v>
      </c>
      <c r="H107" s="409">
        <v>7000</v>
      </c>
    </row>
    <row r="108" spans="1:8">
      <c r="A108" s="338"/>
      <c r="B108" s="410" t="s">
        <v>58</v>
      </c>
      <c r="C108" s="340"/>
      <c r="D108" s="411"/>
      <c r="E108" s="341">
        <f>SUM(E103:E106)</f>
        <v>71785.71428571429</v>
      </c>
      <c r="F108" s="341">
        <f>SUM(F103:F106)</f>
        <v>71785.71428571429</v>
      </c>
      <c r="G108" s="341">
        <f>SUM(G103:G106)</f>
        <v>71785.71428571429</v>
      </c>
      <c r="H108" s="341">
        <f>SUM(H103:H106)</f>
        <v>61785.714285714283</v>
      </c>
    </row>
    <row r="109" spans="1:8">
      <c r="A109" s="775" t="s">
        <v>105</v>
      </c>
      <c r="B109" s="406" t="s">
        <v>141</v>
      </c>
      <c r="C109" s="407" t="s">
        <v>49</v>
      </c>
      <c r="D109" s="408" t="s">
        <v>125</v>
      </c>
      <c r="E109" s="409">
        <f>1000000/35</f>
        <v>28571.428571428572</v>
      </c>
      <c r="F109" s="409">
        <f>E109</f>
        <v>28571.428571428572</v>
      </c>
      <c r="G109" s="409">
        <f>E109</f>
        <v>28571.428571428572</v>
      </c>
      <c r="H109" s="409">
        <f>E109</f>
        <v>28571.428571428572</v>
      </c>
    </row>
    <row r="110" spans="1:8" ht="30" customHeight="1">
      <c r="A110" s="776"/>
      <c r="B110" s="406" t="s">
        <v>177</v>
      </c>
      <c r="C110" s="412" t="s">
        <v>122</v>
      </c>
      <c r="D110" s="408" t="s">
        <v>52</v>
      </c>
      <c r="E110" s="409">
        <f>300000/35</f>
        <v>8571.4285714285706</v>
      </c>
      <c r="F110" s="409">
        <f>E110</f>
        <v>8571.4285714285706</v>
      </c>
      <c r="G110" s="409">
        <f>E110</f>
        <v>8571.4285714285706</v>
      </c>
      <c r="H110" s="409">
        <f>E110</f>
        <v>8571.4285714285706</v>
      </c>
    </row>
    <row r="111" spans="1:8">
      <c r="A111" s="776"/>
      <c r="B111" s="406" t="s">
        <v>146</v>
      </c>
      <c r="C111" s="412" t="s">
        <v>64</v>
      </c>
      <c r="D111" s="408" t="s">
        <v>233</v>
      </c>
      <c r="E111" s="409">
        <v>20000</v>
      </c>
      <c r="F111" s="409">
        <v>20000</v>
      </c>
      <c r="G111" s="409">
        <v>20000</v>
      </c>
      <c r="H111" s="409">
        <v>15000</v>
      </c>
    </row>
    <row r="112" spans="1:8" ht="15" customHeight="1">
      <c r="A112" s="777"/>
      <c r="B112" s="406" t="s">
        <v>147</v>
      </c>
      <c r="C112" s="407" t="s">
        <v>56</v>
      </c>
      <c r="D112" s="408" t="s">
        <v>127</v>
      </c>
      <c r="E112" s="409">
        <v>50000</v>
      </c>
      <c r="F112" s="409">
        <v>50000</v>
      </c>
      <c r="G112" s="409">
        <v>50000</v>
      </c>
      <c r="H112" s="409">
        <v>40000</v>
      </c>
    </row>
    <row r="113" spans="1:8" ht="15.75" thickBot="1">
      <c r="A113" s="343"/>
      <c r="B113" s="410" t="s">
        <v>58</v>
      </c>
      <c r="C113" s="340"/>
      <c r="D113" s="411"/>
      <c r="E113" s="341">
        <f>SUM(E109:E112)</f>
        <v>107142.85714285714</v>
      </c>
      <c r="F113" s="341">
        <f t="shared" ref="F113:H113" si="18">SUM(F109:F112)</f>
        <v>107142.85714285714</v>
      </c>
      <c r="G113" s="341">
        <f t="shared" si="18"/>
        <v>107142.85714285714</v>
      </c>
      <c r="H113" s="341">
        <f t="shared" si="18"/>
        <v>92142.857142857145</v>
      </c>
    </row>
    <row r="114" spans="1:8">
      <c r="A114" s="778" t="s">
        <v>106</v>
      </c>
      <c r="B114" s="406" t="s">
        <v>141</v>
      </c>
      <c r="C114" s="407" t="s">
        <v>49</v>
      </c>
      <c r="D114" s="413" t="s">
        <v>129</v>
      </c>
      <c r="E114" s="409">
        <f>340000/35</f>
        <v>9714.2857142857138</v>
      </c>
      <c r="F114" s="409">
        <f>E114</f>
        <v>9714.2857142857138</v>
      </c>
      <c r="G114" s="409">
        <f>E114</f>
        <v>9714.2857142857138</v>
      </c>
      <c r="H114" s="409"/>
    </row>
    <row r="115" spans="1:8" ht="15" customHeight="1">
      <c r="A115" s="774"/>
      <c r="B115" s="406" t="s">
        <v>149</v>
      </c>
      <c r="C115" s="407" t="s">
        <v>179</v>
      </c>
      <c r="D115" s="414"/>
      <c r="E115" s="409">
        <v>65000</v>
      </c>
      <c r="F115" s="409">
        <f>E115</f>
        <v>65000</v>
      </c>
      <c r="G115" s="409">
        <f>E115</f>
        <v>65000</v>
      </c>
      <c r="H115" s="409"/>
    </row>
    <row r="116" spans="1:8" ht="15" customHeight="1">
      <c r="A116" s="345"/>
      <c r="B116" s="410" t="s">
        <v>58</v>
      </c>
      <c r="C116" s="340"/>
      <c r="D116" s="415"/>
      <c r="E116" s="341">
        <f>SUM(E114:E115)</f>
        <v>74714.28571428571</v>
      </c>
      <c r="F116" s="341">
        <f t="shared" ref="F116:G116" si="19">SUM(F114:F115)</f>
        <v>74714.28571428571</v>
      </c>
      <c r="G116" s="341">
        <f t="shared" si="19"/>
        <v>74714.28571428571</v>
      </c>
      <c r="H116" s="341"/>
    </row>
    <row r="117" spans="1:8" ht="15" customHeight="1">
      <c r="A117" s="416" t="s">
        <v>107</v>
      </c>
      <c r="B117" s="406" t="s">
        <v>151</v>
      </c>
      <c r="C117" s="407" t="s">
        <v>234</v>
      </c>
      <c r="D117" s="408" t="s">
        <v>64</v>
      </c>
      <c r="E117" s="409">
        <v>230000</v>
      </c>
      <c r="F117" s="409">
        <v>230000</v>
      </c>
      <c r="G117" s="409">
        <v>230000</v>
      </c>
      <c r="H117" s="409">
        <v>230000</v>
      </c>
    </row>
    <row r="118" spans="1:8">
      <c r="A118" s="339"/>
      <c r="B118" s="410" t="s">
        <v>58</v>
      </c>
      <c r="C118" s="340"/>
      <c r="D118" s="411"/>
      <c r="E118" s="341">
        <f>SUM(E117)</f>
        <v>230000</v>
      </c>
      <c r="F118" s="341">
        <f t="shared" ref="F118:H118" si="20">SUM(F117)</f>
        <v>230000</v>
      </c>
      <c r="G118" s="341">
        <f t="shared" si="20"/>
        <v>230000</v>
      </c>
      <c r="H118" s="341">
        <f t="shared" si="20"/>
        <v>230000</v>
      </c>
    </row>
    <row r="119" spans="1:8" ht="15.75" thickBot="1">
      <c r="A119" s="348" t="s">
        <v>12</v>
      </c>
      <c r="B119" s="349"/>
      <c r="C119" s="349"/>
      <c r="D119" s="349"/>
      <c r="E119" s="350"/>
      <c r="F119" s="350"/>
      <c r="G119" s="350"/>
      <c r="H119" s="350"/>
    </row>
    <row r="120" spans="1:8" ht="15" customHeight="1">
      <c r="A120" s="779" t="s">
        <v>235</v>
      </c>
      <c r="B120" s="417" t="s">
        <v>80</v>
      </c>
      <c r="C120" s="418" t="s">
        <v>236</v>
      </c>
      <c r="D120" s="419" t="s">
        <v>129</v>
      </c>
      <c r="E120" s="420">
        <f>700000/35</f>
        <v>20000</v>
      </c>
      <c r="F120" s="420">
        <f>E120</f>
        <v>20000</v>
      </c>
      <c r="G120" s="420">
        <f>E120</f>
        <v>20000</v>
      </c>
      <c r="H120" s="420">
        <f>E120</f>
        <v>20000</v>
      </c>
    </row>
    <row r="121" spans="1:8">
      <c r="A121" s="780"/>
      <c r="B121" s="417" t="s">
        <v>82</v>
      </c>
      <c r="C121" s="418" t="s">
        <v>122</v>
      </c>
      <c r="D121" s="421" t="s">
        <v>52</v>
      </c>
      <c r="E121" s="422">
        <f>400000/35</f>
        <v>11428.571428571429</v>
      </c>
      <c r="F121" s="422">
        <f>E121</f>
        <v>11428.571428571429</v>
      </c>
      <c r="G121" s="422">
        <f>E121</f>
        <v>11428.571428571429</v>
      </c>
      <c r="H121" s="422">
        <f>E121</f>
        <v>11428.571428571429</v>
      </c>
    </row>
    <row r="122" spans="1:8">
      <c r="A122" s="780"/>
      <c r="B122" s="423" t="s">
        <v>237</v>
      </c>
      <c r="C122" s="418" t="s">
        <v>64</v>
      </c>
      <c r="D122" s="419" t="s">
        <v>54</v>
      </c>
      <c r="E122" s="420">
        <v>28000</v>
      </c>
      <c r="F122" s="424">
        <f>E122</f>
        <v>28000</v>
      </c>
      <c r="G122" s="424">
        <f>E122</f>
        <v>28000</v>
      </c>
      <c r="H122" s="424">
        <v>14000</v>
      </c>
    </row>
    <row r="123" spans="1:8" ht="15" customHeight="1">
      <c r="A123" s="781"/>
      <c r="B123" s="423" t="s">
        <v>88</v>
      </c>
      <c r="C123" s="418" t="s">
        <v>64</v>
      </c>
      <c r="D123" s="419" t="s">
        <v>89</v>
      </c>
      <c r="E123" s="420">
        <v>42000</v>
      </c>
      <c r="F123" s="424">
        <f t="shared" ref="F123" si="21">E123</f>
        <v>42000</v>
      </c>
      <c r="G123" s="424">
        <f t="shared" ref="G123" si="22">E123</f>
        <v>42000</v>
      </c>
      <c r="H123" s="424"/>
    </row>
    <row r="124" spans="1:8">
      <c r="A124" s="76"/>
      <c r="B124" s="425" t="s">
        <v>58</v>
      </c>
      <c r="C124" s="304"/>
      <c r="D124" s="426"/>
      <c r="E124" s="360">
        <f>SUM(E120:E123)</f>
        <v>101428.57142857142</v>
      </c>
      <c r="F124" s="360">
        <f>SUM(F120:F123)</f>
        <v>101428.57142857142</v>
      </c>
      <c r="G124" s="360">
        <f>SUM(G120:G123)</f>
        <v>101428.57142857142</v>
      </c>
      <c r="H124" s="360">
        <f>SUM(H120:H123)</f>
        <v>45428.571428571428</v>
      </c>
    </row>
    <row r="125" spans="1:8" ht="15" customHeight="1">
      <c r="A125" s="427" t="s">
        <v>238</v>
      </c>
      <c r="B125" s="428" t="s">
        <v>239</v>
      </c>
      <c r="C125" s="429" t="s">
        <v>64</v>
      </c>
      <c r="D125" s="430" t="s">
        <v>159</v>
      </c>
      <c r="E125" s="431">
        <v>187000</v>
      </c>
      <c r="F125" s="432">
        <f>E125</f>
        <v>187000</v>
      </c>
      <c r="G125" s="432">
        <f>E125</f>
        <v>187000</v>
      </c>
      <c r="H125" s="432">
        <v>132000</v>
      </c>
    </row>
    <row r="126" spans="1:8">
      <c r="A126" s="433"/>
      <c r="B126" s="434" t="s">
        <v>58</v>
      </c>
      <c r="C126" s="435"/>
      <c r="D126" s="436"/>
      <c r="E126" s="437">
        <f>SUM(E125:E125)</f>
        <v>187000</v>
      </c>
      <c r="F126" s="437">
        <f>SUM(F125:F125)</f>
        <v>187000</v>
      </c>
      <c r="G126" s="437">
        <f>SUM(G125:G125)</f>
        <v>187000</v>
      </c>
      <c r="H126" s="437">
        <f>SUM(H125:H125)</f>
        <v>132000</v>
      </c>
    </row>
    <row r="127" spans="1:8" ht="30">
      <c r="A127" s="782" t="s">
        <v>160</v>
      </c>
      <c r="B127" s="438" t="s">
        <v>84</v>
      </c>
      <c r="C127" s="418" t="s">
        <v>85</v>
      </c>
      <c r="D127" s="428" t="s">
        <v>127</v>
      </c>
      <c r="E127" s="439">
        <v>70000</v>
      </c>
      <c r="F127" s="440">
        <f>E127</f>
        <v>70000</v>
      </c>
      <c r="G127" s="440">
        <f>E127</f>
        <v>70000</v>
      </c>
      <c r="H127" s="440">
        <v>60000</v>
      </c>
    </row>
    <row r="128" spans="1:8" ht="30">
      <c r="A128" s="783"/>
      <c r="B128" s="441" t="s">
        <v>80</v>
      </c>
      <c r="C128" s="418" t="s">
        <v>176</v>
      </c>
      <c r="D128" s="442" t="s">
        <v>49</v>
      </c>
      <c r="E128" s="439">
        <f>480000/35</f>
        <v>13714.285714285714</v>
      </c>
      <c r="F128" s="439">
        <f>E128</f>
        <v>13714.285714285714</v>
      </c>
      <c r="G128" s="439">
        <f>E128</f>
        <v>13714.285714285714</v>
      </c>
      <c r="H128" s="439">
        <f>E128</f>
        <v>13714.285714285714</v>
      </c>
    </row>
    <row r="129" spans="1:8">
      <c r="A129" s="151"/>
      <c r="B129" s="100" t="s">
        <v>58</v>
      </c>
      <c r="C129" s="152"/>
      <c r="D129" s="100"/>
      <c r="E129" s="443">
        <f>SUM(E127:E128)</f>
        <v>83714.28571428571</v>
      </c>
      <c r="F129" s="443">
        <f t="shared" ref="F129:H129" si="23">SUM(F127:F128)</f>
        <v>83714.28571428571</v>
      </c>
      <c r="G129" s="443">
        <f t="shared" si="23"/>
        <v>83714.28571428571</v>
      </c>
      <c r="H129" s="443">
        <f t="shared" si="23"/>
        <v>73714.28571428571</v>
      </c>
    </row>
  </sheetData>
  <mergeCells count="18">
    <mergeCell ref="A127:A128"/>
    <mergeCell ref="A42:F42"/>
    <mergeCell ref="H42:M42"/>
    <mergeCell ref="A70:A74"/>
    <mergeCell ref="A76:A79"/>
    <mergeCell ref="A82:A85"/>
    <mergeCell ref="A88:A90"/>
    <mergeCell ref="A94:A95"/>
    <mergeCell ref="A103:A107"/>
    <mergeCell ref="A109:A112"/>
    <mergeCell ref="A114:A115"/>
    <mergeCell ref="A120:A123"/>
    <mergeCell ref="A34:A35"/>
    <mergeCell ref="A3:F3"/>
    <mergeCell ref="A10:A15"/>
    <mergeCell ref="A17:A23"/>
    <mergeCell ref="A24:A29"/>
    <mergeCell ref="A30:A33"/>
  </mergeCells>
  <hyperlinks>
    <hyperlink ref="B45" r:id="rId1" xr:uid="{B42BED8C-8A81-4A3B-9E5A-73BC7B8FBBE3}"/>
    <hyperlink ref="B46" r:id="rId2" xr:uid="{C6BFC5AE-A1EE-4F46-8803-699142E52308}"/>
    <hyperlink ref="B47" r:id="rId3" xr:uid="{C5A3201A-9661-4959-B5F2-B4A6376B7FFE}"/>
    <hyperlink ref="B73" r:id="rId4" xr:uid="{763478EB-EB74-455E-8ED6-82C56BF70795}"/>
    <hyperlink ref="B74" r:id="rId5" xr:uid="{1C6E9B1F-5E03-46AC-BBB2-4D225E7C0065}"/>
  </hyperlinks>
  <pageMargins left="0.7" right="0.7" top="0.75" bottom="0.75" header="0.3" footer="0.3"/>
  <pageSetup paperSize="9" orientation="portrait"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128"/>
  <sheetViews>
    <sheetView topLeftCell="A79" zoomScale="136" zoomScaleNormal="136" workbookViewId="0">
      <selection activeCell="A129" sqref="A129"/>
    </sheetView>
  </sheetViews>
  <sheetFormatPr baseColWidth="10" defaultColWidth="11.42578125" defaultRowHeight="15"/>
  <cols>
    <col min="1" max="1" width="17.5703125" customWidth="1"/>
    <col min="2" max="2" width="25.42578125" customWidth="1"/>
    <col min="3" max="3" width="15.7109375" customWidth="1"/>
    <col min="4" max="4" width="13.42578125" customWidth="1"/>
    <col min="5" max="5" width="11.28515625" customWidth="1"/>
    <col min="6" max="6" width="10.7109375" customWidth="1"/>
    <col min="7" max="8" width="12.140625" customWidth="1"/>
    <col min="9" max="9" width="25.42578125" customWidth="1"/>
    <col min="11" max="11" width="46.28515625" customWidth="1"/>
  </cols>
  <sheetData>
    <row r="2" spans="1:13" ht="14.25" customHeight="1"/>
    <row r="3" spans="1:13">
      <c r="A3" s="744" t="s">
        <v>240</v>
      </c>
      <c r="B3" s="723"/>
      <c r="C3" s="723"/>
      <c r="D3" s="723"/>
      <c r="E3" s="723"/>
      <c r="F3" s="724"/>
      <c r="H3" s="2"/>
      <c r="I3" s="34"/>
      <c r="J3" s="34"/>
      <c r="K3" s="34"/>
      <c r="L3" s="34"/>
      <c r="M3" s="34"/>
    </row>
    <row r="4" spans="1:13">
      <c r="A4" s="189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H4" s="4"/>
      <c r="I4" s="4"/>
      <c r="J4" s="4"/>
      <c r="K4" s="4"/>
      <c r="L4" s="4"/>
      <c r="M4" s="4"/>
    </row>
    <row r="5" spans="1:13">
      <c r="A5" s="190" t="s">
        <v>9</v>
      </c>
      <c r="B5" s="191" t="s">
        <v>97</v>
      </c>
      <c r="C5" s="192">
        <f>E45</f>
        <v>300000</v>
      </c>
      <c r="D5" s="192">
        <f>E53</f>
        <v>180000</v>
      </c>
      <c r="E5" s="192">
        <f>E61</f>
        <v>183333.33333333334</v>
      </c>
      <c r="F5" s="192">
        <f>E69</f>
        <v>94000</v>
      </c>
      <c r="H5" s="8"/>
      <c r="I5" s="8"/>
      <c r="J5" s="88"/>
      <c r="K5" s="88"/>
      <c r="L5" s="88"/>
      <c r="M5" s="89"/>
    </row>
    <row r="6" spans="1:13">
      <c r="A6" s="193" t="s">
        <v>241</v>
      </c>
      <c r="B6" s="194" t="s">
        <v>242</v>
      </c>
      <c r="C6" s="195">
        <f>E46</f>
        <v>210076</v>
      </c>
      <c r="D6" s="195">
        <f>E54</f>
        <v>134370.5</v>
      </c>
      <c r="E6" s="195">
        <f>E62</f>
        <v>108580.66666666667</v>
      </c>
      <c r="F6" s="195">
        <f>E70</f>
        <v>108580.66666666667</v>
      </c>
      <c r="H6" s="8"/>
      <c r="I6" s="8"/>
      <c r="J6" s="88"/>
      <c r="K6" s="88"/>
      <c r="L6" s="88"/>
      <c r="M6" s="89"/>
    </row>
    <row r="7" spans="1:13">
      <c r="A7" s="196" t="s">
        <v>11</v>
      </c>
      <c r="B7" s="197" t="s">
        <v>10</v>
      </c>
      <c r="C7" s="198">
        <f>E47</f>
        <v>390000</v>
      </c>
      <c r="D7" s="198">
        <f>E55</f>
        <v>307800</v>
      </c>
      <c r="E7" s="198">
        <f>E63</f>
        <v>275400</v>
      </c>
      <c r="F7" s="198">
        <f>E71</f>
        <v>194400</v>
      </c>
      <c r="H7" s="8"/>
      <c r="I7" s="8"/>
      <c r="J7" s="88"/>
      <c r="K7" s="88"/>
      <c r="L7" s="88"/>
      <c r="M7" s="89"/>
    </row>
    <row r="8" spans="1:13">
      <c r="A8" s="199" t="s">
        <v>98</v>
      </c>
      <c r="B8" s="200" t="s">
        <v>10</v>
      </c>
      <c r="C8" s="201">
        <f>E48</f>
        <v>984000</v>
      </c>
      <c r="D8" s="201">
        <f>E56</f>
        <v>492000</v>
      </c>
      <c r="E8" s="201">
        <f>E64</f>
        <v>396000</v>
      </c>
      <c r="F8" s="201">
        <f>E72</f>
        <v>144000</v>
      </c>
      <c r="H8" s="8"/>
      <c r="I8" s="8"/>
      <c r="J8" s="88"/>
      <c r="K8" s="88"/>
      <c r="L8" s="88"/>
      <c r="M8" s="88"/>
    </row>
    <row r="9" spans="1:13">
      <c r="A9" s="202" t="s">
        <v>12</v>
      </c>
      <c r="B9" s="203" t="s">
        <v>97</v>
      </c>
      <c r="C9" s="204">
        <f t="shared" ref="C9:C10" si="0">E49</f>
        <v>720000</v>
      </c>
      <c r="D9" s="204">
        <f t="shared" ref="D9:D10" si="1">E57</f>
        <v>390000</v>
      </c>
      <c r="E9" s="204">
        <f t="shared" ref="E9:E10" si="2">E65</f>
        <v>310000</v>
      </c>
      <c r="F9" s="204">
        <f t="shared" ref="F9:F10" si="3">E73</f>
        <v>0</v>
      </c>
      <c r="H9" s="8"/>
      <c r="I9" s="8"/>
      <c r="J9" s="88"/>
      <c r="K9" s="88"/>
      <c r="L9" s="88"/>
      <c r="M9" s="89"/>
    </row>
    <row r="10" spans="1:13">
      <c r="A10" s="205" t="s">
        <v>243</v>
      </c>
      <c r="B10" s="206" t="s">
        <v>97</v>
      </c>
      <c r="C10" s="207">
        <f t="shared" si="0"/>
        <v>880000</v>
      </c>
      <c r="D10" s="207">
        <f t="shared" si="1"/>
        <v>528000</v>
      </c>
      <c r="E10" s="207">
        <f t="shared" si="2"/>
        <v>556000</v>
      </c>
      <c r="F10" s="207">
        <f t="shared" si="3"/>
        <v>340000</v>
      </c>
      <c r="H10" s="8"/>
      <c r="I10" s="8"/>
      <c r="J10" s="88"/>
      <c r="K10" s="88"/>
      <c r="L10" s="88"/>
      <c r="M10" s="89"/>
    </row>
    <row r="11" spans="1:13">
      <c r="A11" s="208" t="s">
        <v>196</v>
      </c>
      <c r="B11" s="209"/>
      <c r="C11" s="210">
        <f>SUM(C5:C10)</f>
        <v>3484076</v>
      </c>
      <c r="D11" s="210">
        <f>SUM(D5:D10)</f>
        <v>2032170.5</v>
      </c>
      <c r="E11" s="210">
        <f>SUM(E5:E10)</f>
        <v>1829314</v>
      </c>
      <c r="F11" s="210">
        <f>SUM(F5:F10)</f>
        <v>880980.66666666674</v>
      </c>
      <c r="H11" s="8"/>
      <c r="I11" s="8"/>
      <c r="J11" s="88"/>
      <c r="K11" s="88"/>
      <c r="L11" s="88"/>
      <c r="M11" s="89"/>
    </row>
    <row r="12" spans="1:13">
      <c r="A12" s="804" t="s">
        <v>9</v>
      </c>
      <c r="B12" s="211" t="s">
        <v>13</v>
      </c>
      <c r="C12" s="212">
        <f>320000/20</f>
        <v>16000</v>
      </c>
      <c r="D12" s="212">
        <f>C12</f>
        <v>16000</v>
      </c>
      <c r="E12" s="212">
        <f>C12</f>
        <v>16000</v>
      </c>
      <c r="F12" s="212">
        <f>C12</f>
        <v>16000</v>
      </c>
      <c r="H12" s="4"/>
      <c r="I12" s="8"/>
      <c r="J12" s="88"/>
      <c r="K12" s="88"/>
      <c r="L12" s="88"/>
      <c r="M12" s="88"/>
    </row>
    <row r="13" spans="1:13">
      <c r="A13" s="805"/>
      <c r="B13" s="211" t="s">
        <v>14</v>
      </c>
      <c r="C13" s="212">
        <f>100000/20</f>
        <v>5000</v>
      </c>
      <c r="D13" s="212">
        <f>C13</f>
        <v>5000</v>
      </c>
      <c r="E13" s="212">
        <f>C13</f>
        <v>5000</v>
      </c>
      <c r="F13" s="212">
        <f>C13</f>
        <v>5000</v>
      </c>
      <c r="H13" s="8"/>
      <c r="I13" s="8"/>
      <c r="J13" s="88"/>
      <c r="K13" s="88"/>
      <c r="L13" s="88"/>
      <c r="M13" s="88"/>
    </row>
    <row r="14" spans="1:13">
      <c r="A14" s="805"/>
      <c r="B14" s="213" t="s">
        <v>197</v>
      </c>
      <c r="C14" s="212">
        <v>50000</v>
      </c>
      <c r="D14" s="212">
        <v>50000</v>
      </c>
      <c r="E14" s="212">
        <v>50000</v>
      </c>
      <c r="F14" s="212">
        <v>40000</v>
      </c>
      <c r="H14" s="8"/>
      <c r="I14" s="8"/>
      <c r="J14" s="88"/>
      <c r="K14" s="88"/>
      <c r="L14" s="88"/>
      <c r="M14" s="88"/>
    </row>
    <row r="15" spans="1:13">
      <c r="A15" s="805"/>
      <c r="B15" s="214" t="s">
        <v>244</v>
      </c>
      <c r="C15" s="215">
        <f>E83</f>
        <v>121000</v>
      </c>
      <c r="D15" s="215">
        <f>F83</f>
        <v>121000</v>
      </c>
      <c r="E15" s="215">
        <f>G83</f>
        <v>121000</v>
      </c>
      <c r="F15" s="215">
        <f>H83</f>
        <v>106000</v>
      </c>
      <c r="H15" s="8"/>
      <c r="I15" s="8"/>
      <c r="J15" s="88"/>
      <c r="K15" s="88"/>
      <c r="L15" s="88"/>
      <c r="M15" s="88"/>
    </row>
    <row r="16" spans="1:13">
      <c r="A16" s="806"/>
      <c r="B16" s="216" t="s">
        <v>200</v>
      </c>
      <c r="C16" s="217">
        <f>400000/20</f>
        <v>20000</v>
      </c>
      <c r="D16" s="215">
        <f>C16</f>
        <v>20000</v>
      </c>
      <c r="E16" s="215">
        <f>C16</f>
        <v>20000</v>
      </c>
      <c r="F16" s="215">
        <f>C16</f>
        <v>20000</v>
      </c>
      <c r="H16" s="8"/>
      <c r="I16" s="8"/>
      <c r="J16" s="88"/>
      <c r="K16" s="88"/>
      <c r="L16" s="88"/>
      <c r="M16" s="88"/>
    </row>
    <row r="17" spans="1:13">
      <c r="A17" s="825" t="s">
        <v>201</v>
      </c>
      <c r="B17" s="219" t="s">
        <v>202</v>
      </c>
      <c r="C17" s="220">
        <f>E91</f>
        <v>267000</v>
      </c>
      <c r="D17" s="220">
        <f>F91</f>
        <v>267000</v>
      </c>
      <c r="E17" s="220">
        <f>G91</f>
        <v>267000</v>
      </c>
      <c r="F17" s="220">
        <f>H91</f>
        <v>242000</v>
      </c>
      <c r="H17" s="8"/>
      <c r="I17" s="8"/>
      <c r="J17" s="88"/>
      <c r="K17" s="88"/>
      <c r="L17" s="88"/>
      <c r="M17" s="88"/>
    </row>
    <row r="18" spans="1:13">
      <c r="A18" s="826"/>
      <c r="B18" s="221" t="s">
        <v>200</v>
      </c>
      <c r="C18" s="220">
        <f>400000/20</f>
        <v>20000</v>
      </c>
      <c r="D18" s="220">
        <f>C18</f>
        <v>20000</v>
      </c>
      <c r="E18" s="220">
        <f>C18</f>
        <v>20000</v>
      </c>
      <c r="F18" s="220">
        <f>C18</f>
        <v>20000</v>
      </c>
      <c r="H18" s="8"/>
      <c r="I18" s="8"/>
      <c r="J18" s="88"/>
      <c r="K18" s="88"/>
      <c r="L18" s="88"/>
      <c r="M18" s="88"/>
    </row>
    <row r="19" spans="1:13">
      <c r="A19" s="798" t="s">
        <v>11</v>
      </c>
      <c r="B19" s="222" t="s">
        <v>13</v>
      </c>
      <c r="C19" s="223">
        <f>1040000/20</f>
        <v>52000</v>
      </c>
      <c r="D19" s="223">
        <f>C19</f>
        <v>52000</v>
      </c>
      <c r="E19" s="223">
        <f>C19</f>
        <v>52000</v>
      </c>
      <c r="F19" s="223">
        <f>C19</f>
        <v>52000</v>
      </c>
      <c r="H19" s="4"/>
      <c r="I19" s="8"/>
      <c r="J19" s="88"/>
      <c r="K19" s="88"/>
      <c r="L19" s="88"/>
      <c r="M19" s="88"/>
    </row>
    <row r="20" spans="1:13">
      <c r="A20" s="799"/>
      <c r="B20" s="222" t="s">
        <v>14</v>
      </c>
      <c r="C20" s="223">
        <f>170000/20</f>
        <v>8500</v>
      </c>
      <c r="D20" s="223">
        <f>C20</f>
        <v>8500</v>
      </c>
      <c r="E20" s="223">
        <f>C20</f>
        <v>8500</v>
      </c>
      <c r="F20" s="223">
        <f>C20</f>
        <v>8500</v>
      </c>
      <c r="H20" s="8"/>
      <c r="I20" s="8"/>
      <c r="J20" s="88"/>
      <c r="K20" s="88"/>
      <c r="L20" s="88"/>
      <c r="M20" s="88"/>
    </row>
    <row r="21" spans="1:13">
      <c r="A21" s="799"/>
      <c r="B21" s="224" t="s">
        <v>102</v>
      </c>
      <c r="C21" s="223">
        <f>E96</f>
        <v>77625</v>
      </c>
      <c r="D21" s="223">
        <f>F96</f>
        <v>77625</v>
      </c>
      <c r="E21" s="223">
        <f>G96</f>
        <v>77625</v>
      </c>
      <c r="F21" s="223">
        <f>H96</f>
        <v>67625</v>
      </c>
      <c r="H21" s="8"/>
      <c r="I21" s="8"/>
      <c r="J21" s="88"/>
      <c r="K21" s="88"/>
      <c r="L21" s="88"/>
      <c r="M21" s="88"/>
    </row>
    <row r="22" spans="1:13">
      <c r="A22" s="799"/>
      <c r="B22" s="225" t="s">
        <v>17</v>
      </c>
      <c r="C22" s="223">
        <f>E98</f>
        <v>50000</v>
      </c>
      <c r="D22" s="223">
        <f>F98</f>
        <v>50000</v>
      </c>
      <c r="E22" s="223">
        <f>G98</f>
        <v>50000</v>
      </c>
      <c r="F22" s="223">
        <f>H98</f>
        <v>40000</v>
      </c>
      <c r="H22" s="8"/>
      <c r="I22" s="8"/>
      <c r="J22" s="88"/>
      <c r="K22" s="88"/>
      <c r="L22" s="88"/>
      <c r="M22" s="88"/>
    </row>
    <row r="23" spans="1:13">
      <c r="A23" s="799"/>
      <c r="B23" s="226" t="s">
        <v>203</v>
      </c>
      <c r="C23" s="227">
        <f>E101</f>
        <v>77000</v>
      </c>
      <c r="D23" s="227">
        <f t="shared" ref="D23:F23" si="4">F101</f>
        <v>77000</v>
      </c>
      <c r="E23" s="227">
        <f t="shared" si="4"/>
        <v>77000</v>
      </c>
      <c r="F23" s="227">
        <f t="shared" si="4"/>
        <v>77000</v>
      </c>
      <c r="H23" s="8"/>
      <c r="I23" s="90"/>
      <c r="J23" s="88"/>
      <c r="K23" s="88"/>
      <c r="L23" s="88"/>
      <c r="M23" s="88"/>
    </row>
    <row r="24" spans="1:13">
      <c r="A24" s="799"/>
      <c r="B24" s="228" t="s">
        <v>18</v>
      </c>
      <c r="C24" s="227">
        <f>E105</f>
        <v>57500</v>
      </c>
      <c r="D24" s="223">
        <f>F105</f>
        <v>57500</v>
      </c>
      <c r="E24" s="223">
        <f>G105</f>
        <v>57500</v>
      </c>
      <c r="F24" s="223">
        <f>H105</f>
        <v>57500</v>
      </c>
      <c r="H24" s="8"/>
      <c r="I24" s="90"/>
      <c r="J24" s="88"/>
      <c r="K24" s="88"/>
      <c r="L24" s="88"/>
      <c r="M24" s="88"/>
    </row>
    <row r="25" spans="1:13">
      <c r="A25" s="800"/>
      <c r="B25" s="226" t="s">
        <v>200</v>
      </c>
      <c r="C25" s="227">
        <f>600000/20</f>
        <v>30000</v>
      </c>
      <c r="D25" s="227">
        <f>C25</f>
        <v>30000</v>
      </c>
      <c r="E25" s="227">
        <f>C25</f>
        <v>30000</v>
      </c>
      <c r="F25" s="227">
        <f>C25</f>
        <v>30000</v>
      </c>
      <c r="H25" s="8"/>
      <c r="I25" s="90"/>
      <c r="J25" s="88"/>
      <c r="K25" s="88"/>
      <c r="L25" s="88"/>
      <c r="M25" s="88"/>
    </row>
    <row r="26" spans="1:13">
      <c r="A26" s="801" t="s">
        <v>98</v>
      </c>
      <c r="B26" s="229" t="s">
        <v>204</v>
      </c>
      <c r="C26" s="230">
        <f>560000/20</f>
        <v>28000</v>
      </c>
      <c r="D26" s="230">
        <f>C26</f>
        <v>28000</v>
      </c>
      <c r="E26" s="230">
        <f>C26</f>
        <v>28000</v>
      </c>
      <c r="F26" s="230">
        <f>C26</f>
        <v>28000</v>
      </c>
      <c r="H26" s="8"/>
      <c r="I26" s="90"/>
      <c r="J26" s="88"/>
      <c r="K26" s="88"/>
      <c r="L26" s="88"/>
      <c r="M26" s="88"/>
    </row>
    <row r="27" spans="1:13">
      <c r="A27" s="802"/>
      <c r="B27" s="229" t="s">
        <v>205</v>
      </c>
      <c r="C27" s="230">
        <f>E112</f>
        <v>86500</v>
      </c>
      <c r="D27" s="230">
        <f>F112</f>
        <v>86500</v>
      </c>
      <c r="E27" s="230">
        <f>G112</f>
        <v>86500</v>
      </c>
      <c r="F27" s="231">
        <f>H112</f>
        <v>76500</v>
      </c>
      <c r="H27" s="8"/>
      <c r="I27" s="90"/>
      <c r="J27" s="88"/>
      <c r="K27" s="88"/>
      <c r="L27" s="88"/>
      <c r="M27" s="88"/>
    </row>
    <row r="28" spans="1:13">
      <c r="A28" s="802"/>
      <c r="B28" s="232" t="s">
        <v>106</v>
      </c>
      <c r="C28" s="230">
        <f>E120</f>
        <v>82000</v>
      </c>
      <c r="D28" s="230">
        <f>F120</f>
        <v>82000</v>
      </c>
      <c r="E28" s="230">
        <f>G120</f>
        <v>82000</v>
      </c>
      <c r="F28" s="231">
        <v>0</v>
      </c>
      <c r="H28" s="8"/>
      <c r="I28" s="90"/>
      <c r="J28" s="88"/>
      <c r="K28" s="88"/>
      <c r="L28" s="88"/>
      <c r="M28" s="88"/>
    </row>
    <row r="29" spans="1:13">
      <c r="A29" s="802"/>
      <c r="B29" s="232" t="s">
        <v>105</v>
      </c>
      <c r="C29" s="230">
        <f>E117</f>
        <v>128125</v>
      </c>
      <c r="D29" s="230">
        <f>F117</f>
        <v>128125</v>
      </c>
      <c r="E29" s="230">
        <f>G117</f>
        <v>128125</v>
      </c>
      <c r="F29" s="231">
        <f>H117</f>
        <v>113125</v>
      </c>
      <c r="H29" s="8"/>
      <c r="I29" s="90"/>
      <c r="J29" s="88"/>
      <c r="K29" s="88"/>
      <c r="L29" s="88"/>
      <c r="M29" s="88"/>
    </row>
    <row r="30" spans="1:13">
      <c r="A30" s="802"/>
      <c r="B30" s="229" t="s">
        <v>107</v>
      </c>
      <c r="C30" s="233">
        <f t="shared" ref="C30:F30" si="5">E121</f>
        <v>230000</v>
      </c>
      <c r="D30" s="233">
        <f t="shared" si="5"/>
        <v>230000</v>
      </c>
      <c r="E30" s="233">
        <f t="shared" si="5"/>
        <v>230000</v>
      </c>
      <c r="F30" s="233">
        <f t="shared" si="5"/>
        <v>230000</v>
      </c>
      <c r="H30" s="8"/>
      <c r="I30" s="90"/>
      <c r="J30" s="88"/>
      <c r="K30" s="88"/>
      <c r="L30" s="88"/>
      <c r="M30" s="88"/>
    </row>
    <row r="31" spans="1:13">
      <c r="A31" s="803"/>
      <c r="B31" s="229" t="s">
        <v>200</v>
      </c>
      <c r="C31" s="233">
        <f>600000/20</f>
        <v>30000</v>
      </c>
      <c r="D31" s="233">
        <f>C31</f>
        <v>30000</v>
      </c>
      <c r="E31" s="233">
        <f>C31</f>
        <v>30000</v>
      </c>
      <c r="F31" s="233">
        <f>C31</f>
        <v>30000</v>
      </c>
      <c r="H31" s="8"/>
      <c r="I31" s="90"/>
      <c r="J31" s="88"/>
      <c r="K31" s="88"/>
      <c r="L31" s="88"/>
      <c r="M31" s="88"/>
    </row>
    <row r="32" spans="1:13" ht="15" customHeight="1">
      <c r="A32" s="807" t="s">
        <v>12</v>
      </c>
      <c r="B32" s="234" t="s">
        <v>20</v>
      </c>
      <c r="C32" s="235">
        <f>300000/20</f>
        <v>15000</v>
      </c>
      <c r="D32" s="235">
        <f>C32</f>
        <v>15000</v>
      </c>
      <c r="E32" s="235">
        <f>C32</f>
        <v>15000</v>
      </c>
      <c r="F32" s="235">
        <f>C32</f>
        <v>15000</v>
      </c>
      <c r="H32" s="31"/>
      <c r="I32" s="91"/>
      <c r="J32" s="92"/>
      <c r="K32" s="88"/>
      <c r="L32" s="88"/>
      <c r="M32" s="88"/>
    </row>
    <row r="33" spans="1:13">
      <c r="A33" s="808"/>
      <c r="B33" s="236" t="s">
        <v>21</v>
      </c>
      <c r="C33" s="237">
        <f>130000/20</f>
        <v>6500</v>
      </c>
      <c r="D33" s="237">
        <f>C33</f>
        <v>6500</v>
      </c>
      <c r="E33" s="237">
        <f>C33</f>
        <v>6500</v>
      </c>
      <c r="F33" s="237">
        <f>C33</f>
        <v>6500</v>
      </c>
      <c r="H33" s="34"/>
      <c r="I33" s="91"/>
      <c r="J33" s="92"/>
      <c r="K33" s="88"/>
      <c r="L33" s="88"/>
      <c r="M33" s="88"/>
    </row>
    <row r="34" spans="1:13">
      <c r="A34" s="809"/>
      <c r="B34" s="238" t="s">
        <v>155</v>
      </c>
      <c r="C34" s="239">
        <f>E128</f>
        <v>123000</v>
      </c>
      <c r="D34" s="240">
        <f>F128</f>
        <v>123000</v>
      </c>
      <c r="E34" s="240">
        <f>G128</f>
        <v>123000</v>
      </c>
      <c r="F34" s="240">
        <f>H128</f>
        <v>67000</v>
      </c>
      <c r="H34" s="34"/>
      <c r="I34" s="8"/>
      <c r="J34" s="88"/>
      <c r="K34" s="88"/>
      <c r="L34" s="88"/>
      <c r="M34" s="88"/>
    </row>
    <row r="35" spans="1:13">
      <c r="A35" s="827" t="s">
        <v>206</v>
      </c>
      <c r="B35" s="241" t="s">
        <v>185</v>
      </c>
      <c r="C35" s="242">
        <v>30000</v>
      </c>
      <c r="D35" s="242">
        <f>C35</f>
        <v>30000</v>
      </c>
      <c r="E35" s="242">
        <f>C35</f>
        <v>30000</v>
      </c>
      <c r="F35" s="242">
        <v>20000</v>
      </c>
      <c r="H35" s="34"/>
      <c r="I35" s="8"/>
      <c r="J35" s="88"/>
      <c r="K35" s="88"/>
      <c r="L35" s="88"/>
      <c r="M35" s="88"/>
    </row>
    <row r="36" spans="1:13">
      <c r="A36" s="828"/>
      <c r="B36" s="241" t="s">
        <v>207</v>
      </c>
      <c r="C36" s="242">
        <f>800000/20</f>
        <v>40000</v>
      </c>
      <c r="D36" s="242">
        <f>C36</f>
        <v>40000</v>
      </c>
      <c r="E36" s="242">
        <f>C36</f>
        <v>40000</v>
      </c>
      <c r="F36" s="242">
        <f>C36</f>
        <v>40000</v>
      </c>
      <c r="H36" s="34"/>
      <c r="I36" s="8"/>
      <c r="J36" s="88"/>
      <c r="K36" s="88"/>
      <c r="L36" s="88"/>
      <c r="M36" s="88"/>
    </row>
    <row r="37" spans="1:13">
      <c r="A37" s="39" t="s">
        <v>165</v>
      </c>
      <c r="B37" s="243" t="s">
        <v>111</v>
      </c>
      <c r="C37" s="244">
        <v>25000</v>
      </c>
      <c r="D37" s="244">
        <v>25000</v>
      </c>
      <c r="E37" s="244">
        <v>25000</v>
      </c>
      <c r="F37" s="244">
        <v>25000</v>
      </c>
      <c r="H37" s="34"/>
      <c r="I37" s="8"/>
      <c r="J37" s="88"/>
      <c r="K37" s="88"/>
      <c r="L37" s="88"/>
      <c r="M37" s="88"/>
    </row>
    <row r="38" spans="1:13">
      <c r="A38" s="42"/>
      <c r="B38" s="245" t="s">
        <v>25</v>
      </c>
      <c r="C38" s="246">
        <f>SUM(C11:C37)</f>
        <v>5159826</v>
      </c>
      <c r="D38" s="246">
        <f t="shared" ref="D38:F38" si="6">SUM(D11:D37)</f>
        <v>3707920.5</v>
      </c>
      <c r="E38" s="246">
        <f t="shared" si="6"/>
        <v>3505064</v>
      </c>
      <c r="F38" s="246">
        <f t="shared" si="6"/>
        <v>2313730.666666667</v>
      </c>
      <c r="H38" s="4"/>
      <c r="I38" s="8"/>
      <c r="J38" s="88"/>
      <c r="K38" s="88"/>
      <c r="L38" s="88"/>
      <c r="M38" s="88"/>
    </row>
    <row r="39" spans="1:13">
      <c r="A39" s="45" t="s">
        <v>112</v>
      </c>
      <c r="B39" s="247">
        <v>0.76</v>
      </c>
      <c r="C39" s="47">
        <f>C38/B39</f>
        <v>6789244.7368421052</v>
      </c>
      <c r="D39" s="47">
        <f>D38/B39</f>
        <v>4878842.7631578948</v>
      </c>
      <c r="E39" s="47">
        <f>E38/B39</f>
        <v>4611926.3157894732</v>
      </c>
      <c r="F39" s="47">
        <f>F38/B39</f>
        <v>3044382.4561403515</v>
      </c>
      <c r="H39" s="8"/>
      <c r="I39" s="4"/>
      <c r="J39" s="89"/>
      <c r="K39" s="89"/>
      <c r="L39" s="89"/>
      <c r="M39" s="89"/>
    </row>
    <row r="40" spans="1:13">
      <c r="A40" s="48" t="s">
        <v>113</v>
      </c>
      <c r="B40" s="49">
        <v>3200</v>
      </c>
      <c r="C40" s="50">
        <f>C39/B40</f>
        <v>2121.6389802631579</v>
      </c>
      <c r="D40" s="50">
        <f>D39/B40</f>
        <v>1524.6383634868421</v>
      </c>
      <c r="E40" s="50">
        <f>E39/B40</f>
        <v>1441.2269736842104</v>
      </c>
      <c r="F40" s="50">
        <f>F39/B40</f>
        <v>951.36951754385984</v>
      </c>
      <c r="H40" s="51"/>
      <c r="I40" s="51"/>
      <c r="J40" s="51"/>
      <c r="K40" s="51"/>
      <c r="L40" s="51"/>
      <c r="M40" s="51"/>
    </row>
    <row r="41" spans="1:13">
      <c r="H41" s="51"/>
      <c r="I41" s="51"/>
      <c r="J41" s="51"/>
      <c r="K41" s="51"/>
      <c r="L41" s="51"/>
      <c r="M41" s="51"/>
    </row>
    <row r="42" spans="1:13">
      <c r="A42" s="725" t="s">
        <v>28</v>
      </c>
      <c r="B42" s="723"/>
      <c r="C42" s="723"/>
      <c r="D42" s="723"/>
      <c r="E42" s="723"/>
      <c r="F42" s="724"/>
      <c r="H42" s="766"/>
      <c r="I42" s="767"/>
      <c r="J42" s="767"/>
      <c r="K42" s="767"/>
      <c r="L42" s="767"/>
      <c r="M42" s="767"/>
    </row>
    <row r="43" spans="1:13">
      <c r="H43" s="51"/>
      <c r="I43" s="51"/>
      <c r="J43" s="51"/>
      <c r="K43" s="51"/>
      <c r="L43" s="51"/>
      <c r="M43" s="51"/>
    </row>
    <row r="44" spans="1:13">
      <c r="B44" s="52" t="s">
        <v>30</v>
      </c>
      <c r="C44" s="53" t="s">
        <v>5</v>
      </c>
      <c r="D44" s="53">
        <f>SUM(D45:D50)</f>
        <v>13</v>
      </c>
      <c r="E44" s="53" t="s">
        <v>32</v>
      </c>
      <c r="H44" s="51"/>
      <c r="I44" s="4"/>
      <c r="J44" s="4"/>
      <c r="K44" s="4"/>
      <c r="L44" s="4"/>
      <c r="M44" s="51"/>
    </row>
    <row r="45" spans="1:13">
      <c r="B45" s="248" t="s">
        <v>208</v>
      </c>
      <c r="C45" s="249">
        <v>150000</v>
      </c>
      <c r="D45" s="250">
        <v>2</v>
      </c>
      <c r="E45" s="251">
        <f t="shared" ref="E45:E49" si="7">D45*C45</f>
        <v>300000</v>
      </c>
      <c r="H45" s="51"/>
      <c r="I45" s="93"/>
      <c r="J45" s="8"/>
      <c r="K45" s="8"/>
      <c r="L45" s="8"/>
      <c r="M45" s="51"/>
    </row>
    <row r="46" spans="1:13">
      <c r="B46" s="248" t="s">
        <v>245</v>
      </c>
      <c r="C46" s="249">
        <v>210076</v>
      </c>
      <c r="D46" s="250">
        <v>1</v>
      </c>
      <c r="E46" s="251">
        <f>C46*D46</f>
        <v>210076</v>
      </c>
      <c r="H46" s="51"/>
      <c r="I46" s="93"/>
      <c r="J46" s="8"/>
      <c r="K46" s="8"/>
      <c r="L46" s="8"/>
      <c r="M46" s="51"/>
    </row>
    <row r="47" spans="1:13">
      <c r="B47" s="248" t="s">
        <v>209</v>
      </c>
      <c r="C47" s="249">
        <v>130000</v>
      </c>
      <c r="D47" s="250">
        <v>3</v>
      </c>
      <c r="E47" s="251">
        <f t="shared" si="7"/>
        <v>390000</v>
      </c>
      <c r="H47" s="51"/>
      <c r="I47" s="91"/>
      <c r="J47" s="8"/>
      <c r="K47" s="8"/>
      <c r="L47" s="8"/>
      <c r="M47" s="51"/>
    </row>
    <row r="48" spans="1:13">
      <c r="B48" s="248" t="s">
        <v>210</v>
      </c>
      <c r="C48" s="249">
        <v>328000</v>
      </c>
      <c r="D48" s="250">
        <v>3</v>
      </c>
      <c r="E48" s="251">
        <f>C48*D48</f>
        <v>984000</v>
      </c>
      <c r="H48" s="51"/>
      <c r="I48" s="91"/>
      <c r="J48" s="8"/>
      <c r="K48" s="8"/>
      <c r="L48" s="8"/>
      <c r="M48" s="51"/>
    </row>
    <row r="49" spans="2:13">
      <c r="B49" s="248" t="s">
        <v>40</v>
      </c>
      <c r="C49" s="249">
        <v>360000</v>
      </c>
      <c r="D49" s="250">
        <v>2</v>
      </c>
      <c r="E49" s="251">
        <f t="shared" si="7"/>
        <v>720000</v>
      </c>
      <c r="H49" s="51"/>
      <c r="I49" s="91"/>
      <c r="J49" s="8"/>
      <c r="K49" s="8"/>
      <c r="L49" s="8"/>
      <c r="M49" s="51"/>
    </row>
    <row r="50" spans="2:13">
      <c r="B50" s="252" t="s">
        <v>246</v>
      </c>
      <c r="C50" s="253">
        <v>440000</v>
      </c>
      <c r="D50" s="250">
        <v>2</v>
      </c>
      <c r="E50" s="251">
        <f t="shared" ref="E50" si="8">D50*C50</f>
        <v>880000</v>
      </c>
      <c r="H50" s="51"/>
      <c r="I50" s="91"/>
      <c r="J50" s="8"/>
      <c r="K50" s="8"/>
      <c r="L50" s="8"/>
      <c r="M50" s="51"/>
    </row>
    <row r="51" spans="2:13">
      <c r="H51" s="51"/>
      <c r="I51" s="51"/>
      <c r="J51" s="51"/>
      <c r="K51" s="51"/>
      <c r="L51" s="51"/>
      <c r="M51" s="51"/>
    </row>
    <row r="52" spans="2:13">
      <c r="B52" s="53" t="s">
        <v>30</v>
      </c>
      <c r="C52" s="53" t="s">
        <v>6</v>
      </c>
      <c r="D52" s="53">
        <f>SUM(D53:D58)</f>
        <v>13</v>
      </c>
      <c r="E52" s="53" t="s">
        <v>32</v>
      </c>
      <c r="H52" s="51"/>
      <c r="I52" s="4"/>
      <c r="J52" s="4"/>
      <c r="K52" s="4"/>
      <c r="L52" s="4"/>
      <c r="M52" s="51"/>
    </row>
    <row r="53" spans="2:13">
      <c r="B53" s="254" t="s">
        <v>208</v>
      </c>
      <c r="C53" s="255">
        <f>180000/2</f>
        <v>90000</v>
      </c>
      <c r="D53" s="250">
        <v>2</v>
      </c>
      <c r="E53" s="251">
        <f t="shared" ref="E53:E57" si="9">D53*C53</f>
        <v>180000</v>
      </c>
      <c r="H53" s="51"/>
      <c r="I53" s="93"/>
      <c r="J53" s="8"/>
      <c r="K53" s="8"/>
      <c r="L53" s="8"/>
      <c r="M53" s="51"/>
    </row>
    <row r="54" spans="2:13">
      <c r="B54" s="254" t="s">
        <v>245</v>
      </c>
      <c r="C54" s="249">
        <f>268741/2</f>
        <v>134370.5</v>
      </c>
      <c r="D54" s="250">
        <v>1</v>
      </c>
      <c r="E54" s="251">
        <f>C54*D54</f>
        <v>134370.5</v>
      </c>
      <c r="H54" s="51"/>
      <c r="I54" s="93"/>
      <c r="J54" s="8"/>
      <c r="K54" s="8"/>
      <c r="L54" s="8"/>
      <c r="M54" s="51"/>
    </row>
    <row r="55" spans="2:13">
      <c r="B55" s="254" t="s">
        <v>209</v>
      </c>
      <c r="C55" s="255">
        <f>205200/2</f>
        <v>102600</v>
      </c>
      <c r="D55" s="250">
        <v>3</v>
      </c>
      <c r="E55" s="251">
        <f t="shared" si="9"/>
        <v>307800</v>
      </c>
      <c r="H55" s="51"/>
      <c r="I55" s="91"/>
      <c r="J55" s="94"/>
      <c r="K55" s="8"/>
      <c r="L55" s="94"/>
      <c r="M55" s="51"/>
    </row>
    <row r="56" spans="2:13">
      <c r="B56" s="254" t="s">
        <v>210</v>
      </c>
      <c r="C56" s="249">
        <f>328000/2</f>
        <v>164000</v>
      </c>
      <c r="D56" s="250">
        <v>3</v>
      </c>
      <c r="E56" s="251">
        <f>C56*D56</f>
        <v>492000</v>
      </c>
      <c r="H56" s="51"/>
      <c r="I56" s="91"/>
      <c r="J56" s="8"/>
      <c r="K56" s="8"/>
      <c r="L56" s="8"/>
      <c r="M56" s="51"/>
    </row>
    <row r="57" spans="2:13">
      <c r="B57" s="254" t="s">
        <v>40</v>
      </c>
      <c r="C57" s="256">
        <f>390000/2</f>
        <v>195000</v>
      </c>
      <c r="D57" s="250">
        <v>2</v>
      </c>
      <c r="E57" s="251">
        <f t="shared" si="9"/>
        <v>390000</v>
      </c>
      <c r="H57" s="51"/>
      <c r="I57" s="91"/>
      <c r="J57" s="8"/>
      <c r="K57" s="8"/>
      <c r="L57" s="8"/>
      <c r="M57" s="51"/>
    </row>
    <row r="58" spans="2:13">
      <c r="B58" s="254" t="s">
        <v>246</v>
      </c>
      <c r="C58" s="256">
        <f>528000/2</f>
        <v>264000</v>
      </c>
      <c r="D58" s="250">
        <v>2</v>
      </c>
      <c r="E58" s="251">
        <f t="shared" ref="E58" si="10">D58*C58</f>
        <v>528000</v>
      </c>
      <c r="H58" s="51"/>
      <c r="I58" s="91"/>
      <c r="J58" s="8"/>
      <c r="K58" s="8"/>
      <c r="L58" s="8"/>
      <c r="M58" s="51"/>
    </row>
    <row r="59" spans="2:13">
      <c r="H59" s="51"/>
      <c r="I59" s="51"/>
      <c r="J59" s="51"/>
      <c r="K59" s="51"/>
      <c r="L59" s="51"/>
      <c r="M59" s="51"/>
    </row>
    <row r="60" spans="2:13">
      <c r="B60" s="53" t="s">
        <v>30</v>
      </c>
      <c r="C60" s="53" t="s">
        <v>7</v>
      </c>
      <c r="D60" s="53">
        <f>SUM(D61:D66)</f>
        <v>13</v>
      </c>
      <c r="E60" s="53" t="s">
        <v>32</v>
      </c>
      <c r="H60" s="51"/>
      <c r="I60" s="4"/>
      <c r="J60" s="4"/>
      <c r="K60" s="4"/>
      <c r="L60" s="4"/>
      <c r="M60" s="51"/>
    </row>
    <row r="61" spans="2:13">
      <c r="B61" s="254" t="s">
        <v>208</v>
      </c>
      <c r="C61" s="257">
        <f>(180000+95000)/3</f>
        <v>91666.666666666672</v>
      </c>
      <c r="D61" s="250">
        <v>2</v>
      </c>
      <c r="E61" s="251">
        <f t="shared" ref="E61:E63" si="11">D61*C61</f>
        <v>183333.33333333334</v>
      </c>
      <c r="H61" s="51"/>
      <c r="I61" s="93"/>
      <c r="J61" s="8"/>
      <c r="K61" s="8"/>
      <c r="L61" s="8"/>
      <c r="M61" s="51"/>
    </row>
    <row r="62" spans="2:13">
      <c r="B62" s="254" t="s">
        <v>247</v>
      </c>
      <c r="C62" s="249">
        <f>325742/3</f>
        <v>108580.66666666667</v>
      </c>
      <c r="D62" s="250">
        <v>1</v>
      </c>
      <c r="E62" s="251">
        <f>C62*D62</f>
        <v>108580.66666666667</v>
      </c>
      <c r="H62" s="51"/>
      <c r="I62" s="93"/>
      <c r="J62" s="8"/>
      <c r="K62" s="8"/>
      <c r="L62" s="8"/>
      <c r="M62" s="51"/>
    </row>
    <row r="63" spans="2:13">
      <c r="B63" s="254" t="s">
        <v>209</v>
      </c>
      <c r="C63" s="255">
        <f>275400/3</f>
        <v>91800</v>
      </c>
      <c r="D63" s="250">
        <v>3</v>
      </c>
      <c r="E63" s="251">
        <f t="shared" si="11"/>
        <v>275400</v>
      </c>
      <c r="H63" s="51"/>
      <c r="I63" s="91"/>
      <c r="J63" s="94"/>
      <c r="K63" s="8"/>
      <c r="L63" s="8"/>
      <c r="M63" s="51"/>
    </row>
    <row r="64" spans="2:13">
      <c r="B64" s="254" t="s">
        <v>210</v>
      </c>
      <c r="C64" s="258">
        <f>(328000+68000)/3</f>
        <v>132000</v>
      </c>
      <c r="D64" s="250">
        <v>3</v>
      </c>
      <c r="E64" s="251">
        <f>C64*D64</f>
        <v>396000</v>
      </c>
      <c r="H64" s="51"/>
      <c r="I64" s="91"/>
      <c r="J64" s="8"/>
      <c r="K64" s="8"/>
      <c r="L64" s="8"/>
      <c r="M64" s="51"/>
    </row>
    <row r="65" spans="1:21">
      <c r="B65" s="259" t="s">
        <v>40</v>
      </c>
      <c r="C65" s="260">
        <f>465000/3</f>
        <v>155000</v>
      </c>
      <c r="D65" s="261">
        <v>2</v>
      </c>
      <c r="E65" s="251">
        <f>C65*D65</f>
        <v>310000</v>
      </c>
      <c r="H65" s="51"/>
      <c r="I65" s="91"/>
      <c r="J65" s="8"/>
      <c r="K65" s="8"/>
      <c r="L65" s="8"/>
      <c r="M65" s="51"/>
    </row>
    <row r="66" spans="1:21">
      <c r="B66" s="254" t="s">
        <v>246</v>
      </c>
      <c r="C66" s="260">
        <f>834000/3</f>
        <v>278000</v>
      </c>
      <c r="D66" s="261">
        <v>2</v>
      </c>
      <c r="E66" s="251">
        <f>C66*D66</f>
        <v>556000</v>
      </c>
      <c r="H66" s="51"/>
      <c r="I66" s="91"/>
      <c r="J66" s="8"/>
      <c r="K66" s="8"/>
      <c r="L66" s="8"/>
      <c r="M66" s="51"/>
    </row>
    <row r="67" spans="1:21">
      <c r="B67" s="59"/>
      <c r="C67" s="59"/>
      <c r="D67" s="59"/>
      <c r="E67" s="59"/>
      <c r="H67" s="51"/>
      <c r="I67" s="8"/>
      <c r="J67" s="8"/>
      <c r="K67" s="8"/>
      <c r="L67" s="8"/>
      <c r="M67" s="51"/>
    </row>
    <row r="68" spans="1:21">
      <c r="B68" s="53" t="s">
        <v>30</v>
      </c>
      <c r="C68" s="53" t="s">
        <v>8</v>
      </c>
      <c r="D68" s="53">
        <f>SUM(D69:D74)</f>
        <v>13</v>
      </c>
      <c r="E68" s="53" t="s">
        <v>32</v>
      </c>
      <c r="H68" s="51"/>
      <c r="I68" s="4"/>
      <c r="J68" s="4"/>
      <c r="K68" s="4"/>
      <c r="L68" s="4"/>
      <c r="M68" s="51"/>
    </row>
    <row r="69" spans="1:21">
      <c r="B69" s="262" t="s">
        <v>208</v>
      </c>
      <c r="C69" s="263">
        <v>47000</v>
      </c>
      <c r="D69" s="264">
        <v>2</v>
      </c>
      <c r="E69" s="265">
        <f>D69*C69</f>
        <v>94000</v>
      </c>
      <c r="H69" s="51"/>
      <c r="I69" s="93"/>
      <c r="J69" s="8"/>
      <c r="K69" s="8"/>
      <c r="L69" s="8"/>
      <c r="M69" s="51"/>
    </row>
    <row r="70" spans="1:21" ht="30">
      <c r="B70" s="262" t="s">
        <v>248</v>
      </c>
      <c r="C70" s="263">
        <f>325742/3</f>
        <v>108580.66666666667</v>
      </c>
      <c r="D70" s="264">
        <v>1</v>
      </c>
      <c r="E70" s="265">
        <f>C70*D70</f>
        <v>108580.66666666667</v>
      </c>
      <c r="H70" s="51"/>
      <c r="I70" s="93"/>
      <c r="J70" s="8"/>
      <c r="K70" s="8"/>
      <c r="L70" s="8"/>
      <c r="M70" s="51"/>
    </row>
    <row r="71" spans="1:21">
      <c r="B71" s="262" t="s">
        <v>209</v>
      </c>
      <c r="C71" s="263">
        <v>64800</v>
      </c>
      <c r="D71" s="264">
        <v>3</v>
      </c>
      <c r="E71" s="265">
        <f t="shared" ref="E71:E74" si="12">C71*D71</f>
        <v>194400</v>
      </c>
      <c r="H71" s="51"/>
      <c r="I71" s="91"/>
      <c r="J71" s="94"/>
      <c r="K71" s="8"/>
      <c r="L71" s="8"/>
      <c r="M71" s="51"/>
    </row>
    <row r="72" spans="1:21" ht="30">
      <c r="B72" s="262" t="s">
        <v>211</v>
      </c>
      <c r="C72" s="266">
        <v>48000</v>
      </c>
      <c r="D72" s="264">
        <v>3</v>
      </c>
      <c r="E72" s="265">
        <f t="shared" si="12"/>
        <v>144000</v>
      </c>
      <c r="H72" s="51"/>
      <c r="I72" s="91"/>
      <c r="J72" s="8"/>
      <c r="K72" s="8"/>
      <c r="L72" s="8"/>
      <c r="M72" s="51"/>
    </row>
    <row r="73" spans="1:21" ht="30" customHeight="1">
      <c r="B73" s="267" t="s">
        <v>120</v>
      </c>
      <c r="C73" s="268">
        <v>0</v>
      </c>
      <c r="D73" s="264">
        <v>2</v>
      </c>
      <c r="E73" s="265">
        <f t="shared" si="12"/>
        <v>0</v>
      </c>
      <c r="H73" s="51"/>
      <c r="I73" s="91"/>
      <c r="J73" s="8"/>
      <c r="K73" s="8"/>
      <c r="L73" s="8"/>
      <c r="M73" s="51"/>
    </row>
    <row r="74" spans="1:21" ht="30">
      <c r="B74" s="262" t="s">
        <v>249</v>
      </c>
      <c r="C74" s="268">
        <v>170000</v>
      </c>
      <c r="D74" s="264">
        <v>2</v>
      </c>
      <c r="E74" s="265">
        <f t="shared" si="12"/>
        <v>340000</v>
      </c>
      <c r="H74" s="51"/>
      <c r="I74" s="91"/>
      <c r="J74" s="8"/>
      <c r="K74" s="8"/>
      <c r="L74" s="8"/>
      <c r="M74" s="51"/>
    </row>
    <row r="76" spans="1:21">
      <c r="A76" s="269" t="s">
        <v>3</v>
      </c>
      <c r="B76" s="269" t="s">
        <v>44</v>
      </c>
      <c r="C76" s="269" t="s">
        <v>46</v>
      </c>
      <c r="D76" s="269" t="s">
        <v>45</v>
      </c>
      <c r="E76" s="269" t="s">
        <v>5</v>
      </c>
      <c r="F76" s="269" t="s">
        <v>6</v>
      </c>
      <c r="G76" s="269" t="s">
        <v>7</v>
      </c>
      <c r="H76" s="269" t="s">
        <v>8</v>
      </c>
    </row>
    <row r="77" spans="1:21">
      <c r="A77" s="270" t="s">
        <v>9</v>
      </c>
      <c r="B77" s="70"/>
      <c r="C77" s="70"/>
      <c r="D77" s="70"/>
      <c r="E77" s="70"/>
      <c r="F77" s="70"/>
      <c r="G77" s="70"/>
      <c r="H77" s="70"/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</row>
    <row r="78" spans="1:21" s="1" customFormat="1">
      <c r="A78" s="816" t="s">
        <v>212</v>
      </c>
      <c r="B78" s="271" t="s">
        <v>170</v>
      </c>
      <c r="C78" s="271" t="s">
        <v>49</v>
      </c>
      <c r="D78" s="271" t="s">
        <v>129</v>
      </c>
      <c r="E78" s="272">
        <f>580000/20</f>
        <v>29000</v>
      </c>
      <c r="F78" s="272">
        <f>E78</f>
        <v>29000</v>
      </c>
      <c r="G78" s="272">
        <f>E78</f>
        <v>29000</v>
      </c>
      <c r="H78" s="272">
        <f>E78</f>
        <v>29000</v>
      </c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</row>
    <row r="79" spans="1:21" ht="15" customHeight="1">
      <c r="A79" s="817"/>
      <c r="B79" s="273" t="s">
        <v>50</v>
      </c>
      <c r="C79" s="274" t="s">
        <v>122</v>
      </c>
      <c r="D79" s="273" t="s">
        <v>52</v>
      </c>
      <c r="E79" s="275">
        <f>300000/20</f>
        <v>15000</v>
      </c>
      <c r="F79" s="275">
        <f>E79</f>
        <v>15000</v>
      </c>
      <c r="G79" s="275">
        <f>E79</f>
        <v>15000</v>
      </c>
      <c r="H79" s="275">
        <f>E79</f>
        <v>15000</v>
      </c>
    </row>
    <row r="80" spans="1:21">
      <c r="A80" s="817"/>
      <c r="B80" s="276" t="s">
        <v>213</v>
      </c>
      <c r="C80" s="274" t="s">
        <v>214</v>
      </c>
      <c r="D80" s="273" t="s">
        <v>57</v>
      </c>
      <c r="E80" s="277">
        <v>50000</v>
      </c>
      <c r="F80" s="277">
        <f>E80</f>
        <v>50000</v>
      </c>
      <c r="G80" s="277">
        <f>E80</f>
        <v>50000</v>
      </c>
      <c r="H80" s="277">
        <v>40000</v>
      </c>
    </row>
    <row r="81" spans="1:11">
      <c r="A81" s="817"/>
      <c r="B81" s="278" t="s">
        <v>62</v>
      </c>
      <c r="C81" s="274" t="s">
        <v>64</v>
      </c>
      <c r="D81" s="273" t="s">
        <v>54</v>
      </c>
      <c r="E81" s="277">
        <v>5000</v>
      </c>
      <c r="F81" s="277">
        <f>E81</f>
        <v>5000</v>
      </c>
      <c r="G81" s="277">
        <f>E81</f>
        <v>5000</v>
      </c>
      <c r="H81" s="277">
        <f>F81</f>
        <v>5000</v>
      </c>
    </row>
    <row r="82" spans="1:11">
      <c r="A82" s="818"/>
      <c r="B82" s="278" t="s">
        <v>65</v>
      </c>
      <c r="C82" s="274" t="s">
        <v>64</v>
      </c>
      <c r="D82" s="273" t="s">
        <v>54</v>
      </c>
      <c r="E82" s="277">
        <v>22000</v>
      </c>
      <c r="F82" s="277">
        <f>E82</f>
        <v>22000</v>
      </c>
      <c r="G82" s="277">
        <f>E82</f>
        <v>22000</v>
      </c>
      <c r="H82" s="277">
        <v>17000</v>
      </c>
    </row>
    <row r="83" spans="1:11">
      <c r="A83" s="279"/>
      <c r="B83" s="280" t="s">
        <v>58</v>
      </c>
      <c r="C83" s="280"/>
      <c r="D83" s="280"/>
      <c r="E83" s="281">
        <f>SUM(E78:E82)</f>
        <v>121000</v>
      </c>
      <c r="F83" s="281">
        <f t="shared" ref="F83:H83" si="13">SUM(F78:F82)</f>
        <v>121000</v>
      </c>
      <c r="G83" s="281">
        <f t="shared" si="13"/>
        <v>121000</v>
      </c>
      <c r="H83" s="281">
        <f t="shared" si="13"/>
        <v>106000</v>
      </c>
    </row>
    <row r="84" spans="1:11">
      <c r="A84" s="282" t="s">
        <v>201</v>
      </c>
      <c r="B84" s="8"/>
      <c r="C84" s="8"/>
      <c r="D84" s="8"/>
      <c r="E84" s="94"/>
      <c r="F84" s="94"/>
      <c r="G84" s="94"/>
      <c r="H84" s="94"/>
    </row>
    <row r="85" spans="1:11">
      <c r="A85" s="819" t="s">
        <v>250</v>
      </c>
      <c r="B85" s="283" t="s">
        <v>170</v>
      </c>
      <c r="C85" s="284" t="s">
        <v>49</v>
      </c>
      <c r="D85" s="284" t="s">
        <v>129</v>
      </c>
      <c r="E85" s="285">
        <f>1600000/20</f>
        <v>80000</v>
      </c>
      <c r="F85" s="285">
        <f>E85</f>
        <v>80000</v>
      </c>
      <c r="G85" s="285">
        <f>E85</f>
        <v>80000</v>
      </c>
      <c r="H85" s="285">
        <f>E85</f>
        <v>80000</v>
      </c>
      <c r="K85" s="362" t="s">
        <v>251</v>
      </c>
    </row>
    <row r="86" spans="1:11">
      <c r="A86" s="820"/>
      <c r="B86" s="286" t="s">
        <v>50</v>
      </c>
      <c r="C86" s="287" t="s">
        <v>122</v>
      </c>
      <c r="D86" s="288" t="s">
        <v>52</v>
      </c>
      <c r="E86" s="289">
        <f>300000/20</f>
        <v>15000</v>
      </c>
      <c r="F86" s="289">
        <f>E86</f>
        <v>15000</v>
      </c>
      <c r="G86" s="289">
        <f>E86</f>
        <v>15000</v>
      </c>
      <c r="H86" s="289">
        <f>E86</f>
        <v>15000</v>
      </c>
    </row>
    <row r="87" spans="1:11">
      <c r="A87" s="820"/>
      <c r="B87" s="290" t="s">
        <v>53</v>
      </c>
      <c r="C87" s="291" t="s">
        <v>54</v>
      </c>
      <c r="D87" s="292" t="s">
        <v>54</v>
      </c>
      <c r="E87" s="293">
        <v>60000</v>
      </c>
      <c r="F87" s="294">
        <v>60000</v>
      </c>
      <c r="G87" s="294">
        <v>60000</v>
      </c>
      <c r="H87" s="294">
        <v>50000</v>
      </c>
    </row>
    <row r="88" spans="1:11">
      <c r="A88" s="820"/>
      <c r="B88" s="295" t="s">
        <v>55</v>
      </c>
      <c r="C88" s="296" t="s">
        <v>56</v>
      </c>
      <c r="D88" s="288" t="s">
        <v>57</v>
      </c>
      <c r="E88" s="297">
        <v>50000</v>
      </c>
      <c r="F88" s="297">
        <v>50000</v>
      </c>
      <c r="G88" s="298">
        <v>50000</v>
      </c>
      <c r="H88" s="299">
        <v>40000</v>
      </c>
    </row>
    <row r="89" spans="1:11">
      <c r="A89" s="820"/>
      <c r="B89" s="300" t="s">
        <v>219</v>
      </c>
      <c r="C89" s="300" t="s">
        <v>54</v>
      </c>
      <c r="D89" s="300" t="s">
        <v>54</v>
      </c>
      <c r="E89" s="301">
        <v>12000</v>
      </c>
      <c r="F89" s="301">
        <f>E89</f>
        <v>12000</v>
      </c>
      <c r="G89" s="301">
        <f>E89</f>
        <v>12000</v>
      </c>
      <c r="H89" s="301">
        <v>7000</v>
      </c>
    </row>
    <row r="90" spans="1:11">
      <c r="A90" s="821"/>
      <c r="B90" s="300" t="s">
        <v>218</v>
      </c>
      <c r="C90" s="300" t="s">
        <v>56</v>
      </c>
      <c r="D90" s="300" t="s">
        <v>57</v>
      </c>
      <c r="E90" s="301">
        <v>50000</v>
      </c>
      <c r="F90" s="301">
        <v>50000</v>
      </c>
      <c r="G90" s="301">
        <v>50000</v>
      </c>
      <c r="H90" s="301">
        <v>50000</v>
      </c>
    </row>
    <row r="91" spans="1:11">
      <c r="A91" s="302"/>
      <c r="B91" s="303" t="s">
        <v>58</v>
      </c>
      <c r="C91" s="304"/>
      <c r="D91" s="304"/>
      <c r="E91" s="305">
        <f>SUM(E85:E90)</f>
        <v>267000</v>
      </c>
      <c r="F91" s="305">
        <f t="shared" ref="F91:H91" si="14">SUM(F85:F90)</f>
        <v>267000</v>
      </c>
      <c r="G91" s="305">
        <f t="shared" si="14"/>
        <v>267000</v>
      </c>
      <c r="H91" s="305">
        <f t="shared" si="14"/>
        <v>242000</v>
      </c>
    </row>
    <row r="92" spans="1:11">
      <c r="A92" s="306" t="s">
        <v>11</v>
      </c>
    </row>
    <row r="93" spans="1:11" ht="15" customHeight="1">
      <c r="A93" s="793" t="s">
        <v>102</v>
      </c>
      <c r="B93" s="114" t="s">
        <v>131</v>
      </c>
      <c r="C93" s="114" t="s">
        <v>49</v>
      </c>
      <c r="D93" s="114" t="s">
        <v>129</v>
      </c>
      <c r="E93" s="307">
        <f>540000/20</f>
        <v>27000</v>
      </c>
      <c r="F93" s="307">
        <f>E93</f>
        <v>27000</v>
      </c>
      <c r="G93" s="307">
        <f>E93</f>
        <v>27000</v>
      </c>
      <c r="H93" s="307">
        <f>E93</f>
        <v>27000</v>
      </c>
    </row>
    <row r="94" spans="1:11">
      <c r="A94" s="794"/>
      <c r="B94" s="114" t="s">
        <v>132</v>
      </c>
      <c r="C94" s="114" t="s">
        <v>122</v>
      </c>
      <c r="D94" s="114" t="s">
        <v>52</v>
      </c>
      <c r="E94" s="307">
        <f>170000/16</f>
        <v>10625</v>
      </c>
      <c r="F94" s="307">
        <f t="shared" ref="F94:H94" si="15">170000/16</f>
        <v>10625</v>
      </c>
      <c r="G94" s="307">
        <f t="shared" si="15"/>
        <v>10625</v>
      </c>
      <c r="H94" s="307">
        <f t="shared" si="15"/>
        <v>10625</v>
      </c>
    </row>
    <row r="95" spans="1:11">
      <c r="A95" s="795"/>
      <c r="B95" s="114" t="s">
        <v>221</v>
      </c>
      <c r="C95" s="114" t="s">
        <v>56</v>
      </c>
      <c r="D95" s="114" t="s">
        <v>57</v>
      </c>
      <c r="E95" s="307">
        <v>40000</v>
      </c>
      <c r="F95" s="307">
        <v>40000</v>
      </c>
      <c r="G95" s="307">
        <v>40000</v>
      </c>
      <c r="H95" s="307">
        <v>30000</v>
      </c>
    </row>
    <row r="96" spans="1:11">
      <c r="A96" s="117"/>
      <c r="B96" s="75" t="s">
        <v>58</v>
      </c>
      <c r="C96" s="75"/>
      <c r="D96" s="75"/>
      <c r="E96" s="308">
        <f>SUM(E93:E95)</f>
        <v>77625</v>
      </c>
      <c r="F96" s="308">
        <f>SUM(F93:F95)</f>
        <v>77625</v>
      </c>
      <c r="G96" s="308">
        <f>SUM(G93:G95)</f>
        <v>77625</v>
      </c>
      <c r="H96" s="308">
        <f>SUM(H93:H95)</f>
        <v>67625</v>
      </c>
    </row>
    <row r="97" spans="1:8">
      <c r="A97" s="309" t="s">
        <v>222</v>
      </c>
      <c r="B97" s="310" t="s">
        <v>223</v>
      </c>
      <c r="C97" s="311" t="s">
        <v>64</v>
      </c>
      <c r="D97" s="120" t="s">
        <v>64</v>
      </c>
      <c r="E97" s="312">
        <v>50000</v>
      </c>
      <c r="F97" s="313">
        <f t="shared" ref="F97" si="16">E97</f>
        <v>50000</v>
      </c>
      <c r="G97" s="314">
        <f t="shared" ref="G97" si="17">E97</f>
        <v>50000</v>
      </c>
      <c r="H97" s="314">
        <v>40000</v>
      </c>
    </row>
    <row r="98" spans="1:8">
      <c r="A98" s="302"/>
      <c r="B98" s="315" t="s">
        <v>58</v>
      </c>
      <c r="C98" s="141"/>
      <c r="D98" s="141"/>
      <c r="E98" s="316">
        <f>SUM(E97:E97)</f>
        <v>50000</v>
      </c>
      <c r="F98" s="316">
        <f>SUM(F97:F97)</f>
        <v>50000</v>
      </c>
      <c r="G98" s="316">
        <f>SUM(G97:G97)</f>
        <v>50000</v>
      </c>
      <c r="H98" s="316">
        <f>SUM(H97:H97)</f>
        <v>40000</v>
      </c>
    </row>
    <row r="99" spans="1:8" ht="15" customHeight="1">
      <c r="A99" s="796" t="s">
        <v>224</v>
      </c>
      <c r="B99" s="317" t="s">
        <v>131</v>
      </c>
      <c r="C99" s="317" t="s">
        <v>49</v>
      </c>
      <c r="D99" s="317" t="s">
        <v>225</v>
      </c>
      <c r="E99" s="318">
        <f>520000/20</f>
        <v>26000</v>
      </c>
      <c r="F99" s="318">
        <f>E99</f>
        <v>26000</v>
      </c>
      <c r="G99" s="318">
        <f>E99</f>
        <v>26000</v>
      </c>
      <c r="H99" s="318">
        <f>E99</f>
        <v>26000</v>
      </c>
    </row>
    <row r="100" spans="1:8">
      <c r="A100" s="797"/>
      <c r="B100" s="317" t="s">
        <v>252</v>
      </c>
      <c r="C100" s="317" t="s">
        <v>64</v>
      </c>
      <c r="D100" s="317" t="s">
        <v>54</v>
      </c>
      <c r="E100" s="318">
        <v>51000</v>
      </c>
      <c r="F100" s="318">
        <f>E100</f>
        <v>51000</v>
      </c>
      <c r="G100" s="318">
        <f>E100</f>
        <v>51000</v>
      </c>
      <c r="H100" s="318">
        <f>E100</f>
        <v>51000</v>
      </c>
    </row>
    <row r="101" spans="1:8">
      <c r="A101" s="319"/>
      <c r="B101" s="320" t="s">
        <v>58</v>
      </c>
      <c r="C101" s="321"/>
      <c r="D101" s="322"/>
      <c r="E101" s="323">
        <f>SUM(E99:E100)</f>
        <v>77000</v>
      </c>
      <c r="F101" s="323">
        <f t="shared" ref="F101:H101" si="18">SUM(F99:F100)</f>
        <v>77000</v>
      </c>
      <c r="G101" s="323">
        <f t="shared" si="18"/>
        <v>77000</v>
      </c>
      <c r="H101" s="323">
        <f t="shared" si="18"/>
        <v>77000</v>
      </c>
    </row>
    <row r="102" spans="1:8">
      <c r="A102" s="822" t="s">
        <v>135</v>
      </c>
      <c r="B102" s="324" t="s">
        <v>131</v>
      </c>
      <c r="C102" s="325" t="s">
        <v>49</v>
      </c>
      <c r="D102" s="325" t="s">
        <v>129</v>
      </c>
      <c r="E102" s="326">
        <f>780000/20</f>
        <v>39000</v>
      </c>
      <c r="F102" s="326">
        <f>E102</f>
        <v>39000</v>
      </c>
      <c r="G102" s="326">
        <f>E102</f>
        <v>39000</v>
      </c>
      <c r="H102" s="326">
        <f>E102</f>
        <v>39000</v>
      </c>
    </row>
    <row r="103" spans="1:8">
      <c r="A103" s="823"/>
      <c r="B103" s="327" t="s">
        <v>227</v>
      </c>
      <c r="C103" s="328" t="s">
        <v>228</v>
      </c>
      <c r="D103" s="327" t="s">
        <v>52</v>
      </c>
      <c r="E103" s="329">
        <f>170000/20</f>
        <v>8500</v>
      </c>
      <c r="F103" s="329">
        <f>E103</f>
        <v>8500</v>
      </c>
      <c r="G103" s="329">
        <f>E103</f>
        <v>8500</v>
      </c>
      <c r="H103" s="329">
        <f>E103</f>
        <v>8500</v>
      </c>
    </row>
    <row r="104" spans="1:8">
      <c r="A104" s="824"/>
      <c r="B104" s="327" t="s">
        <v>73</v>
      </c>
      <c r="C104" s="328" t="s">
        <v>49</v>
      </c>
      <c r="D104" s="327" t="s">
        <v>229</v>
      </c>
      <c r="E104" s="326">
        <v>10000</v>
      </c>
      <c r="F104" s="330">
        <f t="shared" ref="F104:G104" si="19">E104</f>
        <v>10000</v>
      </c>
      <c r="G104" s="330">
        <f t="shared" si="19"/>
        <v>10000</v>
      </c>
      <c r="H104" s="330">
        <f>F104</f>
        <v>10000</v>
      </c>
    </row>
    <row r="105" spans="1:8">
      <c r="A105" s="331"/>
      <c r="B105" s="332" t="s">
        <v>58</v>
      </c>
      <c r="C105" s="303"/>
      <c r="D105" s="303"/>
      <c r="E105" s="333">
        <f t="shared" ref="E105:H105" si="20">SUM(E102:E104)</f>
        <v>57500</v>
      </c>
      <c r="F105" s="333">
        <f t="shared" si="20"/>
        <v>57500</v>
      </c>
      <c r="G105" s="333">
        <f t="shared" si="20"/>
        <v>57500</v>
      </c>
      <c r="H105" s="333">
        <f t="shared" si="20"/>
        <v>57500</v>
      </c>
    </row>
    <row r="106" spans="1:8">
      <c r="A106" s="334" t="s">
        <v>98</v>
      </c>
      <c r="B106" s="8"/>
      <c r="C106" s="8"/>
      <c r="D106" s="8"/>
      <c r="E106" s="335"/>
      <c r="F106" s="335"/>
      <c r="G106" s="335"/>
      <c r="H106" s="335"/>
    </row>
    <row r="107" spans="1:8">
      <c r="A107" s="790" t="s">
        <v>140</v>
      </c>
      <c r="B107" s="336" t="s">
        <v>141</v>
      </c>
      <c r="C107" s="336" t="s">
        <v>49</v>
      </c>
      <c r="D107" s="336" t="s">
        <v>129</v>
      </c>
      <c r="E107" s="337">
        <f>550000/20</f>
        <v>27500</v>
      </c>
      <c r="F107" s="337">
        <f>E107</f>
        <v>27500</v>
      </c>
      <c r="G107" s="337">
        <f>E107</f>
        <v>27500</v>
      </c>
      <c r="H107" s="337">
        <f>E107</f>
        <v>27500</v>
      </c>
    </row>
    <row r="108" spans="1:8">
      <c r="A108" s="791"/>
      <c r="B108" s="336" t="s">
        <v>177</v>
      </c>
      <c r="C108" s="336" t="s">
        <v>122</v>
      </c>
      <c r="D108" s="336" t="s">
        <v>52</v>
      </c>
      <c r="E108" s="337">
        <f>230000/20</f>
        <v>11500</v>
      </c>
      <c r="F108" s="337">
        <f>E108</f>
        <v>11500</v>
      </c>
      <c r="G108" s="337">
        <f>E108</f>
        <v>11500</v>
      </c>
      <c r="H108" s="337">
        <f>E108</f>
        <v>11500</v>
      </c>
    </row>
    <row r="109" spans="1:8">
      <c r="A109" s="791"/>
      <c r="B109" s="336" t="s">
        <v>143</v>
      </c>
      <c r="C109" s="336" t="s">
        <v>49</v>
      </c>
      <c r="D109" s="336" t="s">
        <v>144</v>
      </c>
      <c r="E109" s="337">
        <v>2500</v>
      </c>
      <c r="F109" s="337">
        <f>E109</f>
        <v>2500</v>
      </c>
      <c r="G109" s="337">
        <f>E109</f>
        <v>2500</v>
      </c>
      <c r="H109" s="337">
        <f>E109</f>
        <v>2500</v>
      </c>
    </row>
    <row r="110" spans="1:8">
      <c r="A110" s="791"/>
      <c r="B110" s="336" t="s">
        <v>145</v>
      </c>
      <c r="C110" s="336" t="s">
        <v>56</v>
      </c>
      <c r="D110" s="336" t="s">
        <v>57</v>
      </c>
      <c r="E110" s="337">
        <v>45000</v>
      </c>
      <c r="F110" s="337">
        <f>E110</f>
        <v>45000</v>
      </c>
      <c r="G110" s="337">
        <f>E110</f>
        <v>45000</v>
      </c>
      <c r="H110" s="337">
        <v>35000</v>
      </c>
    </row>
    <row r="111" spans="1:8">
      <c r="A111" s="792"/>
      <c r="B111" s="336" t="s">
        <v>231</v>
      </c>
      <c r="C111" s="336" t="s">
        <v>232</v>
      </c>
      <c r="D111" s="336" t="s">
        <v>144</v>
      </c>
      <c r="E111" s="337">
        <v>17000</v>
      </c>
      <c r="F111" s="337">
        <f>E111</f>
        <v>17000</v>
      </c>
      <c r="G111" s="337">
        <f>E111</f>
        <v>17000</v>
      </c>
      <c r="H111" s="337">
        <v>7000</v>
      </c>
    </row>
    <row r="112" spans="1:8">
      <c r="A112" s="338"/>
      <c r="B112" s="339" t="s">
        <v>58</v>
      </c>
      <c r="C112" s="340"/>
      <c r="D112" s="340"/>
      <c r="E112" s="341">
        <f>SUM(E107:E110)</f>
        <v>86500</v>
      </c>
      <c r="F112" s="341">
        <f>SUM(F107:F110)</f>
        <v>86500</v>
      </c>
      <c r="G112" s="341">
        <f>SUM(G107:G110)</f>
        <v>86500</v>
      </c>
      <c r="H112" s="341">
        <f>SUM(H107:H110)</f>
        <v>76500</v>
      </c>
    </row>
    <row r="113" spans="1:8" ht="15" customHeight="1">
      <c r="A113" s="729" t="s">
        <v>105</v>
      </c>
      <c r="B113" s="336" t="s">
        <v>141</v>
      </c>
      <c r="C113" s="336" t="s">
        <v>253</v>
      </c>
      <c r="D113" s="336" t="s">
        <v>49</v>
      </c>
      <c r="E113" s="337">
        <f>700000/16</f>
        <v>43750</v>
      </c>
      <c r="F113" s="337">
        <f>E113</f>
        <v>43750</v>
      </c>
      <c r="G113" s="337">
        <f>E113</f>
        <v>43750</v>
      </c>
      <c r="H113" s="337">
        <f>E113</f>
        <v>43750</v>
      </c>
    </row>
    <row r="114" spans="1:8">
      <c r="A114" s="730"/>
      <c r="B114" s="336" t="s">
        <v>177</v>
      </c>
      <c r="C114" s="342" t="s">
        <v>122</v>
      </c>
      <c r="D114" s="336" t="s">
        <v>52</v>
      </c>
      <c r="E114" s="337">
        <f>230000/16</f>
        <v>14375</v>
      </c>
      <c r="F114" s="337">
        <f>E114</f>
        <v>14375</v>
      </c>
      <c r="G114" s="337">
        <f>E114</f>
        <v>14375</v>
      </c>
      <c r="H114" s="337">
        <f>E114</f>
        <v>14375</v>
      </c>
    </row>
    <row r="115" spans="1:8">
      <c r="A115" s="730"/>
      <c r="B115" s="336" t="s">
        <v>146</v>
      </c>
      <c r="C115" s="342" t="s">
        <v>64</v>
      </c>
      <c r="D115" s="336" t="s">
        <v>233</v>
      </c>
      <c r="E115" s="337">
        <v>20000</v>
      </c>
      <c r="F115" s="337">
        <v>20000</v>
      </c>
      <c r="G115" s="337">
        <v>20000</v>
      </c>
      <c r="H115" s="337">
        <v>15000</v>
      </c>
    </row>
    <row r="116" spans="1:8">
      <c r="A116" s="731"/>
      <c r="B116" s="336" t="s">
        <v>147</v>
      </c>
      <c r="C116" s="336" t="s">
        <v>56</v>
      </c>
      <c r="D116" s="336" t="s">
        <v>57</v>
      </c>
      <c r="E116" s="337">
        <v>50000</v>
      </c>
      <c r="F116" s="337">
        <v>50000</v>
      </c>
      <c r="G116" s="337">
        <v>50000</v>
      </c>
      <c r="H116" s="337">
        <v>40000</v>
      </c>
    </row>
    <row r="117" spans="1:8">
      <c r="A117" s="343"/>
      <c r="B117" s="339" t="s">
        <v>58</v>
      </c>
      <c r="C117" s="340"/>
      <c r="D117" s="340"/>
      <c r="E117" s="341">
        <f>SUM(E113:E116)</f>
        <v>128125</v>
      </c>
      <c r="F117" s="341">
        <f t="shared" ref="F117:H117" si="21">SUM(F113:F116)</f>
        <v>128125</v>
      </c>
      <c r="G117" s="341">
        <f t="shared" si="21"/>
        <v>128125</v>
      </c>
      <c r="H117" s="341">
        <f t="shared" si="21"/>
        <v>113125</v>
      </c>
    </row>
    <row r="118" spans="1:8">
      <c r="A118" s="812" t="s">
        <v>106</v>
      </c>
      <c r="B118" s="336" t="s">
        <v>141</v>
      </c>
      <c r="C118" s="336" t="s">
        <v>49</v>
      </c>
      <c r="D118" s="344" t="s">
        <v>129</v>
      </c>
      <c r="E118" s="337">
        <f>340000/20</f>
        <v>17000</v>
      </c>
      <c r="F118" s="337">
        <f>E118</f>
        <v>17000</v>
      </c>
      <c r="G118" s="337">
        <f>E118</f>
        <v>17000</v>
      </c>
      <c r="H118" s="337"/>
    </row>
    <row r="119" spans="1:8">
      <c r="A119" s="792"/>
      <c r="B119" s="336" t="s">
        <v>149</v>
      </c>
      <c r="C119" s="336" t="s">
        <v>179</v>
      </c>
      <c r="D119" s="342"/>
      <c r="E119" s="337">
        <v>65000</v>
      </c>
      <c r="F119" s="337">
        <f>E119</f>
        <v>65000</v>
      </c>
      <c r="G119" s="337">
        <f>E119</f>
        <v>65000</v>
      </c>
      <c r="H119" s="337"/>
    </row>
    <row r="120" spans="1:8" ht="30" customHeight="1">
      <c r="A120" s="345"/>
      <c r="B120" s="339" t="s">
        <v>58</v>
      </c>
      <c r="C120" s="340"/>
      <c r="D120" s="346"/>
      <c r="E120" s="341">
        <f>SUM(E118:E119)</f>
        <v>82000</v>
      </c>
      <c r="F120" s="341">
        <f t="shared" ref="F120:G120" si="22">SUM(F118:F119)</f>
        <v>82000</v>
      </c>
      <c r="G120" s="341">
        <f t="shared" si="22"/>
        <v>82000</v>
      </c>
      <c r="H120" s="341"/>
    </row>
    <row r="121" spans="1:8">
      <c r="A121" s="347" t="s">
        <v>107</v>
      </c>
      <c r="B121" s="336" t="s">
        <v>151</v>
      </c>
      <c r="C121" s="336" t="s">
        <v>234</v>
      </c>
      <c r="D121" s="336" t="s">
        <v>64</v>
      </c>
      <c r="E121" s="337">
        <v>230000</v>
      </c>
      <c r="F121" s="337">
        <v>230000</v>
      </c>
      <c r="G121" s="337">
        <v>230000</v>
      </c>
      <c r="H121" s="337">
        <v>230000</v>
      </c>
    </row>
    <row r="122" spans="1:8" ht="15" customHeight="1">
      <c r="A122" s="339"/>
      <c r="B122" s="339" t="s">
        <v>58</v>
      </c>
      <c r="C122" s="340"/>
      <c r="D122" s="340"/>
      <c r="E122" s="341">
        <f>SUM(E121)</f>
        <v>230000</v>
      </c>
      <c r="F122" s="341">
        <f t="shared" ref="F122:H122" si="23">SUM(F121)</f>
        <v>230000</v>
      </c>
      <c r="G122" s="341">
        <f t="shared" si="23"/>
        <v>230000</v>
      </c>
      <c r="H122" s="341">
        <f t="shared" si="23"/>
        <v>230000</v>
      </c>
    </row>
    <row r="123" spans="1:8">
      <c r="A123" s="348" t="s">
        <v>12</v>
      </c>
      <c r="B123" s="349"/>
      <c r="C123" s="349"/>
      <c r="D123" s="349"/>
      <c r="E123" s="350"/>
      <c r="F123" s="350"/>
      <c r="G123" s="350"/>
      <c r="H123" s="350"/>
    </row>
    <row r="124" spans="1:8">
      <c r="A124" s="813" t="s">
        <v>235</v>
      </c>
      <c r="B124" s="351" t="s">
        <v>80</v>
      </c>
      <c r="C124" s="352" t="s">
        <v>236</v>
      </c>
      <c r="D124" s="353" t="s">
        <v>129</v>
      </c>
      <c r="E124" s="354">
        <f>660000/20</f>
        <v>33000</v>
      </c>
      <c r="F124" s="354">
        <f>E124</f>
        <v>33000</v>
      </c>
      <c r="G124" s="354">
        <f>E124</f>
        <v>33000</v>
      </c>
      <c r="H124" s="354">
        <f>E124</f>
        <v>33000</v>
      </c>
    </row>
    <row r="125" spans="1:8" ht="15" customHeight="1">
      <c r="A125" s="814"/>
      <c r="B125" s="351" t="s">
        <v>82</v>
      </c>
      <c r="C125" s="355" t="s">
        <v>122</v>
      </c>
      <c r="D125" s="38" t="s">
        <v>52</v>
      </c>
      <c r="E125" s="356">
        <f>400000/20</f>
        <v>20000</v>
      </c>
      <c r="F125" s="356">
        <f>E125</f>
        <v>20000</v>
      </c>
      <c r="G125" s="356">
        <f>E125</f>
        <v>20000</v>
      </c>
      <c r="H125" s="356">
        <f>E125</f>
        <v>20000</v>
      </c>
    </row>
    <row r="126" spans="1:8" ht="15" customHeight="1">
      <c r="A126" s="814"/>
      <c r="B126" s="357" t="s">
        <v>237</v>
      </c>
      <c r="C126" s="355" t="s">
        <v>64</v>
      </c>
      <c r="D126" s="357" t="s">
        <v>54</v>
      </c>
      <c r="E126" s="358">
        <v>28000</v>
      </c>
      <c r="F126" s="359">
        <f>E126</f>
        <v>28000</v>
      </c>
      <c r="G126" s="359">
        <f>E126</f>
        <v>28000</v>
      </c>
      <c r="H126" s="359">
        <v>14000</v>
      </c>
    </row>
    <row r="127" spans="1:8" ht="15" customHeight="1">
      <c r="A127" s="815"/>
      <c r="B127" s="357" t="s">
        <v>88</v>
      </c>
      <c r="C127" s="355" t="s">
        <v>64</v>
      </c>
      <c r="D127" s="357" t="s">
        <v>89</v>
      </c>
      <c r="E127" s="358">
        <v>42000</v>
      </c>
      <c r="F127" s="359">
        <f t="shared" ref="F127" si="24">E127</f>
        <v>42000</v>
      </c>
      <c r="G127" s="359">
        <f t="shared" ref="G127" si="25">E127</f>
        <v>42000</v>
      </c>
      <c r="H127" s="359"/>
    </row>
    <row r="128" spans="1:8">
      <c r="A128" s="76"/>
      <c r="B128" s="304" t="s">
        <v>58</v>
      </c>
      <c r="C128" s="304"/>
      <c r="D128" s="304"/>
      <c r="E128" s="360">
        <f>SUM(E124:E127)</f>
        <v>123000</v>
      </c>
      <c r="F128" s="360">
        <f>SUM(F124:F127)</f>
        <v>123000</v>
      </c>
      <c r="G128" s="360">
        <f>SUM(G124:G127)</f>
        <v>123000</v>
      </c>
      <c r="H128" s="360">
        <f>SUM(H124:H127)</f>
        <v>67000</v>
      </c>
    </row>
  </sheetData>
  <mergeCells count="18">
    <mergeCell ref="A3:F3"/>
    <mergeCell ref="A42:F42"/>
    <mergeCell ref="H42:M42"/>
    <mergeCell ref="A12:A16"/>
    <mergeCell ref="A17:A18"/>
    <mergeCell ref="A19:A25"/>
    <mergeCell ref="A26:A31"/>
    <mergeCell ref="A32:A34"/>
    <mergeCell ref="A35:A36"/>
    <mergeCell ref="A107:A111"/>
    <mergeCell ref="A113:A116"/>
    <mergeCell ref="A118:A119"/>
    <mergeCell ref="A124:A127"/>
    <mergeCell ref="A78:A82"/>
    <mergeCell ref="A85:A90"/>
    <mergeCell ref="A93:A95"/>
    <mergeCell ref="A99:A100"/>
    <mergeCell ref="A102:A104"/>
  </mergeCells>
  <hyperlinks>
    <hyperlink ref="B81" r:id="rId1" xr:uid="{00000000-0004-0000-0500-000000000000}"/>
    <hyperlink ref="B82" r:id="rId2" xr:uid="{00000000-0004-0000-0500-000001000000}"/>
    <hyperlink ref="B45" r:id="rId3" xr:uid="{00000000-0004-0000-0500-000002000000}"/>
    <hyperlink ref="B47" r:id="rId4" xr:uid="{00000000-0004-0000-0500-000003000000}"/>
    <hyperlink ref="B46" r:id="rId5" xr:uid="{00000000-0004-0000-0500-000004000000}"/>
    <hyperlink ref="B48" r:id="rId6" xr:uid="{00000000-0004-0000-0500-000005000000}"/>
    <hyperlink ref="B49" r:id="rId7" xr:uid="{00000000-0004-0000-0500-000006000000}"/>
  </hyperlinks>
  <pageMargins left="0.7" right="0.7" top="0.75" bottom="0.75" header="0.3" footer="0.3"/>
  <pageSetup paperSize="9" orientation="portrait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Circuito DiverWorld</vt:lpstr>
      <vt:lpstr>Circuito Jaymar Travel 16</vt:lpstr>
      <vt:lpstr>Circuito Jaymar 12</vt:lpstr>
      <vt:lpstr>Circuito Jaymar Travel (2)</vt:lpstr>
      <vt:lpstr>Circuito Sofia Travel Definitiv</vt:lpstr>
      <vt:lpstr>Circuito Sofia Travel Defin (2)</vt:lpstr>
      <vt:lpstr>Circuito Sofia Travel Defin (3)</vt:lpstr>
      <vt:lpstr> Circuito Sofia Travel (2)</vt:lpstr>
      <vt:lpstr>Circuito De los andes al Caribe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Elver Ramírez</cp:lastModifiedBy>
  <dcterms:created xsi:type="dcterms:W3CDTF">2019-10-22T01:34:00Z</dcterms:created>
  <dcterms:modified xsi:type="dcterms:W3CDTF">2020-01-20T18:19:51Z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3082-11.2.0.9052</vt:lpwstr>
  </property>
</Properties>
</file>