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13500" windowHeight="9510" activeTab="5" xr2:uid="{00000000-000D-0000-FFFF-FFFF00000000}"/>
  </bookViews>
  <sheets>
    <sheet name="Tabelle1" sheetId="1" r:id="rId1"/>
    <sheet name="25°C" sheetId="4" r:id="rId2"/>
    <sheet name="40°C" sheetId="5" r:id="rId3"/>
    <sheet name="Vergleich alpha" sheetId="8" r:id="rId4"/>
    <sheet name="Excel2LaTeX" sheetId="7" state="hidden" r:id="rId5"/>
    <sheet name="Vergleich rD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8" l="1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7" i="8"/>
  <c r="H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7" i="8"/>
  <c r="D43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48" i="8"/>
  <c r="B60" i="8"/>
  <c r="B61" i="8"/>
  <c r="B62" i="8"/>
  <c r="B49" i="8"/>
  <c r="B50" i="8"/>
  <c r="B51" i="8"/>
  <c r="B52" i="8"/>
  <c r="B53" i="8"/>
  <c r="B54" i="8"/>
  <c r="B55" i="8"/>
  <c r="B56" i="8"/>
  <c r="B57" i="8"/>
  <c r="B58" i="8"/>
  <c r="B59" i="8"/>
  <c r="B48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C28" i="8"/>
  <c r="C29" i="8"/>
  <c r="C30" i="8"/>
  <c r="C31" i="8"/>
  <c r="C32" i="8"/>
  <c r="C33" i="8"/>
  <c r="D33" i="8" s="1"/>
  <c r="C34" i="8"/>
  <c r="C35" i="8"/>
  <c r="D35" i="8" s="1"/>
  <c r="C36" i="8"/>
  <c r="C37" i="8"/>
  <c r="C38" i="8"/>
  <c r="C39" i="8"/>
  <c r="C40" i="8"/>
  <c r="D40" i="8" s="1"/>
  <c r="C41" i="8"/>
  <c r="D41" i="8" s="1"/>
  <c r="C27" i="8"/>
  <c r="D27" i="8" s="1"/>
  <c r="D34" i="8"/>
  <c r="D38" i="8"/>
  <c r="D37" i="8"/>
  <c r="D36" i="8"/>
  <c r="D32" i="8"/>
  <c r="D30" i="8"/>
  <c r="D29" i="8"/>
  <c r="D28" i="8"/>
  <c r="H5" i="8"/>
  <c r="C6" i="8"/>
  <c r="D6" i="8" s="1"/>
  <c r="C7" i="8"/>
  <c r="H7" i="8" s="1"/>
  <c r="C8" i="8"/>
  <c r="H8" i="8" s="1"/>
  <c r="C9" i="8"/>
  <c r="H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H15" i="8" s="1"/>
  <c r="C16" i="8"/>
  <c r="H16" i="8" s="1"/>
  <c r="C17" i="8"/>
  <c r="H17" i="8" s="1"/>
  <c r="C18" i="8"/>
  <c r="D18" i="8" s="1"/>
  <c r="C19" i="8"/>
  <c r="H19" i="8" s="1"/>
  <c r="C5" i="8"/>
  <c r="D8" i="8"/>
  <c r="D9" i="8"/>
  <c r="D16" i="8"/>
  <c r="D17" i="8"/>
  <c r="D5" i="8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21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D39" i="8" l="1"/>
  <c r="D31" i="8"/>
  <c r="H18" i="8"/>
  <c r="H14" i="8"/>
  <c r="G14" i="8" s="1"/>
  <c r="H13" i="8"/>
  <c r="I13" i="8" s="1"/>
  <c r="D19" i="8"/>
  <c r="H12" i="8"/>
  <c r="H10" i="8"/>
  <c r="H6" i="8"/>
  <c r="H11" i="8"/>
  <c r="D15" i="8"/>
  <c r="D7" i="8"/>
  <c r="D21" i="8"/>
  <c r="G19" i="8" s="1"/>
  <c r="P5" i="5"/>
  <c r="P6" i="5"/>
  <c r="P7" i="5"/>
  <c r="P8" i="5"/>
  <c r="P9" i="5"/>
  <c r="P10" i="5"/>
  <c r="P11" i="5"/>
  <c r="P12" i="5"/>
  <c r="T12" i="5" s="1"/>
  <c r="C12" i="6" s="1"/>
  <c r="P13" i="5"/>
  <c r="T13" i="5" s="1"/>
  <c r="C13" i="6" s="1"/>
  <c r="P14" i="5"/>
  <c r="T14" i="5" s="1"/>
  <c r="C14" i="6" s="1"/>
  <c r="P15" i="5"/>
  <c r="P16" i="5"/>
  <c r="P17" i="5"/>
  <c r="P18" i="5"/>
  <c r="P4" i="5"/>
  <c r="T4" i="5" s="1"/>
  <c r="C4" i="6" s="1"/>
  <c r="M19" i="5"/>
  <c r="N20" i="4"/>
  <c r="T6" i="5"/>
  <c r="C6" i="6" s="1"/>
  <c r="T5" i="5"/>
  <c r="C5" i="6" s="1"/>
  <c r="T11" i="5"/>
  <c r="C11" i="6" s="1"/>
  <c r="T18" i="5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5" i="1"/>
  <c r="T10" i="5"/>
  <c r="S10" i="5" s="1"/>
  <c r="H5" i="5"/>
  <c r="H6" i="5"/>
  <c r="N6" i="5" s="1"/>
  <c r="H7" i="5"/>
  <c r="H8" i="5"/>
  <c r="H9" i="5"/>
  <c r="H10" i="5"/>
  <c r="H11" i="5"/>
  <c r="H12" i="5"/>
  <c r="N12" i="5" s="1"/>
  <c r="H13" i="5"/>
  <c r="H14" i="5"/>
  <c r="H15" i="5"/>
  <c r="H16" i="5"/>
  <c r="H17" i="5"/>
  <c r="H18" i="5"/>
  <c r="N18" i="5" s="1"/>
  <c r="H4" i="5"/>
  <c r="N4" i="5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5" i="1"/>
  <c r="N10" i="5"/>
  <c r="N14" i="5"/>
  <c r="Q5" i="4"/>
  <c r="Q6" i="4"/>
  <c r="Q7" i="4"/>
  <c r="Q8" i="4"/>
  <c r="Q9" i="4"/>
  <c r="Q10" i="4"/>
  <c r="Q11" i="4"/>
  <c r="Q12" i="4"/>
  <c r="Q13" i="4"/>
  <c r="Q14" i="4"/>
  <c r="U14" i="4" s="1"/>
  <c r="Q15" i="4"/>
  <c r="Q16" i="4"/>
  <c r="Q17" i="4"/>
  <c r="Q18" i="4"/>
  <c r="U18" i="4" s="1"/>
  <c r="Q4" i="4"/>
  <c r="U4" i="4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4" i="4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U5" i="4"/>
  <c r="U7" i="4"/>
  <c r="R13" i="4"/>
  <c r="U1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U6" i="4"/>
  <c r="U10" i="4"/>
  <c r="U8" i="4"/>
  <c r="U9" i="4"/>
  <c r="U11" i="4"/>
  <c r="U16" i="4"/>
  <c r="U17" i="4"/>
  <c r="O18" i="4"/>
  <c r="L18" i="4"/>
  <c r="K18" i="4"/>
  <c r="O17" i="4"/>
  <c r="L17" i="4"/>
  <c r="K17" i="4"/>
  <c r="O16" i="4"/>
  <c r="L16" i="4"/>
  <c r="K16" i="4"/>
  <c r="O15" i="4"/>
  <c r="L15" i="4"/>
  <c r="K15" i="4"/>
  <c r="O14" i="4"/>
  <c r="L14" i="4"/>
  <c r="K14" i="4"/>
  <c r="O13" i="4"/>
  <c r="L13" i="4"/>
  <c r="K13" i="4"/>
  <c r="O12" i="4"/>
  <c r="L12" i="4"/>
  <c r="K12" i="4"/>
  <c r="O11" i="4"/>
  <c r="L11" i="4"/>
  <c r="K11" i="4"/>
  <c r="O10" i="4"/>
  <c r="L10" i="4"/>
  <c r="K10" i="4"/>
  <c r="O9" i="4"/>
  <c r="L9" i="4"/>
  <c r="K9" i="4"/>
  <c r="O8" i="4"/>
  <c r="L8" i="4"/>
  <c r="K8" i="4"/>
  <c r="O7" i="4"/>
  <c r="L7" i="4"/>
  <c r="K7" i="4"/>
  <c r="O6" i="4"/>
  <c r="R6" i="4" s="1"/>
  <c r="L6" i="4"/>
  <c r="K6" i="4"/>
  <c r="O5" i="4"/>
  <c r="L5" i="4"/>
  <c r="K5" i="4"/>
  <c r="L4" i="4"/>
  <c r="K4" i="4"/>
  <c r="T7" i="5"/>
  <c r="C7" i="6" s="1"/>
  <c r="T8" i="5"/>
  <c r="C8" i="6" s="1"/>
  <c r="T9" i="5"/>
  <c r="C9" i="6" s="1"/>
  <c r="T15" i="5"/>
  <c r="C15" i="6" s="1"/>
  <c r="T16" i="5"/>
  <c r="C16" i="6" s="1"/>
  <c r="T17" i="5"/>
  <c r="C17" i="6" s="1"/>
  <c r="N5" i="5"/>
  <c r="N7" i="5"/>
  <c r="Q7" i="5" s="1"/>
  <c r="N8" i="5"/>
  <c r="N9" i="5"/>
  <c r="N11" i="5"/>
  <c r="N13" i="5"/>
  <c r="N15" i="5"/>
  <c r="N16" i="5"/>
  <c r="N17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M18" i="5" s="1"/>
  <c r="J4" i="5"/>
  <c r="U15" i="5"/>
  <c r="R10" i="4"/>
  <c r="R11" i="4"/>
  <c r="R16" i="4"/>
  <c r="R17" i="4"/>
  <c r="G13" i="8" l="1"/>
  <c r="I17" i="8"/>
  <c r="G9" i="8"/>
  <c r="G12" i="8"/>
  <c r="I11" i="8"/>
  <c r="I19" i="8"/>
  <c r="I14" i="8"/>
  <c r="G11" i="8"/>
  <c r="I15" i="8"/>
  <c r="I10" i="8"/>
  <c r="I7" i="8"/>
  <c r="G8" i="8"/>
  <c r="I9" i="8"/>
  <c r="G16" i="8"/>
  <c r="G18" i="8"/>
  <c r="I6" i="8"/>
  <c r="I16" i="8"/>
  <c r="I18" i="8"/>
  <c r="G17" i="8"/>
  <c r="G6" i="8"/>
  <c r="G5" i="8"/>
  <c r="I8" i="8"/>
  <c r="G15" i="8"/>
  <c r="I5" i="8"/>
  <c r="G10" i="8"/>
  <c r="G7" i="8"/>
  <c r="I12" i="8"/>
  <c r="Q15" i="5"/>
  <c r="S18" i="5"/>
  <c r="C18" i="6"/>
  <c r="C10" i="6"/>
  <c r="U7" i="5"/>
  <c r="R12" i="4"/>
  <c r="R14" i="4"/>
  <c r="R18" i="4"/>
  <c r="O4" i="4"/>
  <c r="R4" i="4" s="1"/>
  <c r="R7" i="4"/>
  <c r="U13" i="4"/>
  <c r="R15" i="4"/>
  <c r="R5" i="4"/>
  <c r="U12" i="4"/>
  <c r="R9" i="4"/>
  <c r="R8" i="4"/>
  <c r="S7" i="5"/>
  <c r="U12" i="5"/>
  <c r="S12" i="5"/>
  <c r="Q10" i="5"/>
  <c r="S15" i="5"/>
  <c r="Q14" i="5"/>
  <c r="Q6" i="5"/>
  <c r="Q12" i="5"/>
  <c r="Q4" i="5"/>
  <c r="Q18" i="5"/>
  <c r="U5" i="5"/>
  <c r="S5" i="5"/>
  <c r="U13" i="5"/>
  <c r="S13" i="5"/>
  <c r="U11" i="5"/>
  <c r="S11" i="5"/>
  <c r="U9" i="5"/>
  <c r="S9" i="5"/>
  <c r="U16" i="5"/>
  <c r="S16" i="5"/>
  <c r="S17" i="5"/>
  <c r="U17" i="5"/>
  <c r="U8" i="5"/>
  <c r="S8" i="5"/>
  <c r="Q11" i="5"/>
  <c r="Q5" i="5"/>
  <c r="Q13" i="5"/>
  <c r="U18" i="5"/>
  <c r="Q8" i="5"/>
  <c r="Q16" i="5"/>
  <c r="Q9" i="5"/>
  <c r="U10" i="5"/>
  <c r="Q17" i="5"/>
  <c r="T17" i="4" l="1"/>
  <c r="Q20" i="5"/>
  <c r="U4" i="5"/>
  <c r="S4" i="5"/>
  <c r="U6" i="5"/>
  <c r="S6" i="5"/>
  <c r="S14" i="5"/>
  <c r="U14" i="5"/>
  <c r="V13" i="4" l="1"/>
  <c r="V9" i="4"/>
  <c r="V11" i="4"/>
  <c r="V8" i="4"/>
  <c r="V5" i="4"/>
  <c r="T12" i="4"/>
  <c r="V12" i="4"/>
  <c r="V6" i="4"/>
  <c r="T4" i="4"/>
  <c r="V7" i="4"/>
  <c r="T13" i="4"/>
  <c r="V10" i="4"/>
  <c r="T9" i="4"/>
  <c r="T15" i="4"/>
  <c r="V4" i="4"/>
  <c r="V16" i="4"/>
  <c r="V17" i="4"/>
  <c r="T10" i="4"/>
  <c r="V14" i="4"/>
  <c r="T7" i="4"/>
  <c r="T11" i="4"/>
  <c r="T14" i="4"/>
  <c r="T5" i="4"/>
  <c r="T6" i="4"/>
  <c r="T18" i="4"/>
  <c r="T8" i="4"/>
  <c r="T16" i="4"/>
  <c r="V15" i="4"/>
  <c r="V18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M6" i="1"/>
  <c r="N6" i="1" s="1"/>
  <c r="M7" i="1"/>
  <c r="N7" i="1" s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N12" i="1"/>
  <c r="N13" i="1"/>
  <c r="N14" i="1"/>
  <c r="N17" i="1"/>
  <c r="N18" i="1"/>
  <c r="M5" i="1"/>
  <c r="N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N8" i="1"/>
  <c r="N9" i="1"/>
  <c r="N10" i="1"/>
  <c r="N1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<sst xmlns="http://schemas.openxmlformats.org/spreadsheetml/2006/main" count="156" uniqueCount="82">
  <si>
    <t>Lösung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</si>
  <si>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</si>
  <si>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</si>
  <si>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</si>
  <si>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</si>
  <si>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</si>
  <si>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</si>
  <si>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</si>
  <si>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</si>
  <si>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</si>
  <si>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</si>
  <si>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</si>
  <si>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</si>
  <si>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</si>
  <si>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</si>
  <si>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</si>
  <si>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Stammlösung</t>
  </si>
  <si>
    <t>Stammlösung [g] ideal</t>
  </si>
  <si>
    <t>H2O [g] ideal</t>
  </si>
  <si>
    <t>Stammlösung [g] real</t>
  </si>
  <si>
    <t>H2O [g] real</t>
  </si>
  <si>
    <t>Konz [mmol/kg] soll</t>
  </si>
  <si>
    <t>Konz [mmol/kg] ist</t>
  </si>
  <si>
    <t>Messungen</t>
  </si>
  <si>
    <t>Berechnungen bei 25°C</t>
  </si>
  <si>
    <t>pH bei 25°C</t>
  </si>
  <si>
    <t>pH bei 40°C</t>
  </si>
  <si>
    <t>a = 10^(-pH-Wert)</t>
  </si>
  <si>
    <t>Aktivtät a</t>
  </si>
  <si>
    <r>
      <t xml:space="preserve">Mittlerer Aktivitätskoeffizient </t>
    </r>
    <r>
      <rPr>
        <b/>
        <sz val="11"/>
        <color theme="1"/>
        <rFont val="Calibri"/>
        <family val="2"/>
      </rPr>
      <t>γ</t>
    </r>
  </si>
  <si>
    <r>
      <rPr>
        <b/>
        <sz val="11"/>
        <color theme="1"/>
        <rFont val="Calibri"/>
        <family val="2"/>
      </rPr>
      <t>α</t>
    </r>
    <r>
      <rPr>
        <b/>
        <sz val="12.65"/>
        <color theme="1"/>
        <rFont val="Calibri"/>
        <family val="2"/>
      </rPr>
      <t>[%]</t>
    </r>
  </si>
  <si>
    <t>α = γ * 100</t>
  </si>
  <si>
    <t>Ionenstärke I</t>
  </si>
  <si>
    <t>I = 0,5 * 2 * a = a</t>
  </si>
  <si>
    <r>
      <t>γ</t>
    </r>
    <r>
      <rPr>
        <b/>
        <sz val="12.65"/>
        <color theme="1"/>
        <rFont val="Calibri"/>
        <family val="2"/>
      </rPr>
      <t xml:space="preserve"> = a/c   c in [mol/g]</t>
    </r>
  </si>
  <si>
    <t xml:space="preserve">Debye-Radius [mm] </t>
  </si>
  <si>
    <t>r = sqrt(εRT/2ρF^2I)</t>
  </si>
  <si>
    <t>Berechnung bei 40°C</t>
  </si>
  <si>
    <t>Mittlerer Aktivitätskoeffizient γ</t>
  </si>
  <si>
    <t>α[%]</t>
  </si>
  <si>
    <t>Konz [mol/kg]</t>
  </si>
  <si>
    <t>Graph: Dissoziation</t>
  </si>
  <si>
    <t>Graph: Debey-Radius</t>
  </si>
  <si>
    <t>Residuen</t>
  </si>
  <si>
    <r>
      <t>ln[rD]-</t>
    </r>
    <r>
      <rPr>
        <b/>
        <sz val="11"/>
        <color theme="1"/>
        <rFont val="Calibri"/>
        <family val="2"/>
      </rPr>
      <t>ŷ</t>
    </r>
  </si>
  <si>
    <t>Mittelwert +- StD</t>
  </si>
  <si>
    <t>Mittelwert</t>
  </si>
  <si>
    <t>Mittel -StD</t>
  </si>
  <si>
    <t>Mittel +StD</t>
  </si>
  <si>
    <t>y-Wert: log[rD]</t>
  </si>
  <si>
    <t>ŷ(log[c])</t>
  </si>
  <si>
    <t>y-Werte: log[α]</t>
  </si>
  <si>
    <t>x-Werte:  log[c]</t>
  </si>
  <si>
    <t>x-Wert: log[c]</t>
  </si>
  <si>
    <t>mean = 10^y</t>
  </si>
  <si>
    <t>log[rD]-ŷ</t>
  </si>
  <si>
    <t>Vergleich</t>
  </si>
  <si>
    <t>lg(konz)</t>
  </si>
  <si>
    <t>X = 
rD(40°C/25°C)</t>
  </si>
  <si>
    <t>(X-1.0)*100</t>
  </si>
  <si>
    <t xml:space="preserve">Debye-Radius [nm] </t>
  </si>
  <si>
    <t>y = -0.5x + 0.983</t>
  </si>
  <si>
    <t>y = -0.5x + 0.9937</t>
  </si>
  <si>
    <t>Unterschied</t>
  </si>
  <si>
    <t>steigung</t>
  </si>
  <si>
    <t>RangeAddress</t>
  </si>
  <si>
    <t>Options</t>
  </si>
  <si>
    <t>CellWidth</t>
  </si>
  <si>
    <t>Indent</t>
  </si>
  <si>
    <t>FileName</t>
  </si>
  <si>
    <t>$y_i$</t>
  </si>
  <si>
    <t>$\hat{y}_i$</t>
  </si>
  <si>
    <t>$y_i - \hat{y}_i$</t>
  </si>
  <si>
    <t>$x_i$ [mmol/kg]</t>
  </si>
  <si>
    <t>StD</t>
  </si>
  <si>
    <t>rD_mean</t>
  </si>
  <si>
    <t>rD-StD</t>
  </si>
  <si>
    <t>rD+StD</t>
  </si>
  <si>
    <t>40°C Dissoziation</t>
  </si>
  <si>
    <t>25°C Dissoziation</t>
  </si>
  <si>
    <t>Vergleich der Temperaturen</t>
  </si>
  <si>
    <t>X = 
$\alpha (40^\circ C/25^\circ C)$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</si>
</sst>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.65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2" borderId="0" xfId="0" applyFont="1" applyFill="1" applyBorder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0" xfId="0" applyFont="1" applyAlignment="1"/>
    <xf numFmtId="2" fontId="0" fillId="2" borderId="0" xfId="0" applyNumberFormat="1" applyFill="1" applyBorder="1"/>
    <xf numFmtId="2" fontId="0" fillId="4" borderId="1" xfId="0" applyNumberFormat="1" applyFill="1" applyBorder="1"/>
    <xf numFmtId="0" fontId="0" fillId="0" borderId="2" xfId="0" applyBorder="1"/>
    <xf numFmtId="0" fontId="3" fillId="0" borderId="1" xfId="0" applyFont="1" applyBorder="1"/>
    <xf numFmtId="0" fontId="3" fillId="0" borderId="0" xfId="0" applyFont="1" applyBorder="1"/>
    <xf numFmtId="0" fontId="1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/>
    <xf numFmtId="166" fontId="0" fillId="0" borderId="0" xfId="0" applyNumberFormat="1" applyFont="1" applyBorder="1"/>
    <xf numFmtId="166" fontId="0" fillId="0" borderId="0" xfId="0" applyNumberFormat="1" applyBorder="1"/>
    <xf numFmtId="166" fontId="0" fillId="0" borderId="1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0" fillId="0" borderId="0" xfId="0" applyNumberFormat="1"/>
    <xf numFmtId="168" fontId="0" fillId="0" borderId="1" xfId="0" applyNumberFormat="1" applyBorder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Dissoziation in Abhängigkeit der Konzentration</a:t>
            </a:r>
          </a:p>
        </c:rich>
      </c:tx>
      <c:layout>
        <c:manualLayout>
          <c:xMode val="edge"/>
          <c:yMode val="edge"/>
          <c:x val="0.12764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458442694663165E-2"/>
          <c:y val="0.16245370370370371"/>
          <c:w val="0.89031933508311456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flat">
                <a:solidFill>
                  <a:srgbClr val="C00000"/>
                </a:solidFill>
                <a:prstDash val="lgDash"/>
                <a:miter lim="800000"/>
              </a:ln>
              <a:effectLst/>
            </c:spPr>
            <c:trendlineType val="linear"/>
            <c:forward val="1.6"/>
            <c:dispRSqr val="1"/>
            <c:dispEq val="1"/>
            <c:trendlineLbl>
              <c:layout>
                <c:manualLayout>
                  <c:x val="-0.19985192475940508"/>
                  <c:y val="-0.52696741032370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'25°C'!$K$4:$K$18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'25°C'!$L$4:$L$18</c:f>
              <c:numCache>
                <c:formatCode>General</c:formatCode>
                <c:ptCount val="15"/>
                <c:pt idx="0">
                  <c:v>0.27092577749400448</c:v>
                </c:pt>
                <c:pt idx="1">
                  <c:v>0.46195577315798547</c:v>
                </c:pt>
                <c:pt idx="2">
                  <c:v>0.57221976755727166</c:v>
                </c:pt>
                <c:pt idx="3">
                  <c:v>0.61730297125174372</c:v>
                </c:pt>
                <c:pt idx="4">
                  <c:v>0.71841746723518962</c:v>
                </c:pt>
                <c:pt idx="5">
                  <c:v>0.77023173902124265</c:v>
                </c:pt>
                <c:pt idx="6">
                  <c:v>1.0882654229276729</c:v>
                </c:pt>
                <c:pt idx="7">
                  <c:v>1.0913022385012106</c:v>
                </c:pt>
                <c:pt idx="8">
                  <c:v>1.134677837567255</c:v>
                </c:pt>
                <c:pt idx="9">
                  <c:v>1.1869844725960568</c:v>
                </c:pt>
                <c:pt idx="10">
                  <c:v>1.2267026080133743</c:v>
                </c:pt>
                <c:pt idx="11">
                  <c:v>1.2603189830405401</c:v>
                </c:pt>
                <c:pt idx="12">
                  <c:v>1.3120400410352711</c:v>
                </c:pt>
                <c:pt idx="13">
                  <c:v>1.4079289463499245</c:v>
                </c:pt>
                <c:pt idx="14">
                  <c:v>1.4961173104021819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3-4521-887C-76219A07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8552"/>
        <c:axId val="366337240"/>
      </c:scatterChart>
      <c:valAx>
        <c:axId val="366338552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37240"/>
        <c:crosses val="autoZero"/>
        <c:crossBetween val="midCat"/>
      </c:valAx>
      <c:valAx>
        <c:axId val="366337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3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Residuenanalyse</a:t>
            </a:r>
            <a:r>
              <a:rPr lang="de-DE" baseline="0"/>
              <a:t> 40°C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alpha'!$A$5:$A$19</c:f>
              <c:numCache>
                <c:formatCode>0.00000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alpha'!$D$5:$D$19</c:f>
              <c:numCache>
                <c:formatCode>0.00000</c:formatCode>
                <c:ptCount val="15"/>
                <c:pt idx="0">
                  <c:v>-2.6136191887763033E-2</c:v>
                </c:pt>
                <c:pt idx="1">
                  <c:v>-2.3156682474245738E-3</c:v>
                </c:pt>
                <c:pt idx="2">
                  <c:v>-2.4480024953326129E-3</c:v>
                </c:pt>
                <c:pt idx="3">
                  <c:v>2.8322769551986093E-3</c:v>
                </c:pt>
                <c:pt idx="4">
                  <c:v>3.1627856693904333E-3</c:v>
                </c:pt>
                <c:pt idx="5">
                  <c:v>7.6861123753604321E-3</c:v>
                </c:pt>
                <c:pt idx="6">
                  <c:v>1.7556043157239243E-2</c:v>
                </c:pt>
                <c:pt idx="7">
                  <c:v>1.920867819235883E-2</c:v>
                </c:pt>
                <c:pt idx="8">
                  <c:v>1.0023679204100633E-2</c:v>
                </c:pt>
                <c:pt idx="9">
                  <c:v>6.5829499867733343E-3</c:v>
                </c:pt>
                <c:pt idx="10">
                  <c:v>9.9655592808782778E-3</c:v>
                </c:pt>
                <c:pt idx="11">
                  <c:v>1.0911590570661822E-2</c:v>
                </c:pt>
                <c:pt idx="12">
                  <c:v>-1.7405809668605166E-2</c:v>
                </c:pt>
                <c:pt idx="13">
                  <c:v>-1.6870673963711447E-3</c:v>
                </c:pt>
                <c:pt idx="14">
                  <c:v>-3.9412959679132609E-2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D-4A3D-9728-E97BBE4A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87976"/>
        <c:axId val="728984696"/>
      </c:scatterChart>
      <c:valAx>
        <c:axId val="72898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8984696"/>
        <c:crosses val="autoZero"/>
        <c:crossBetween val="midCat"/>
      </c:valAx>
      <c:valAx>
        <c:axId val="7289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Residuen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0633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898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Residuenanalyse 25°C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alpha'!$A$27:$A$41</c:f>
              <c:numCache>
                <c:formatCode>0.000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alpha'!$D$27:$D$41</c:f>
              <c:numCache>
                <c:formatCode>0.000</c:formatCode>
                <c:ptCount val="15"/>
                <c:pt idx="0">
                  <c:v>-3.956443291052425E-2</c:v>
                </c:pt>
                <c:pt idx="1">
                  <c:v>1.4828047721575699E-2</c:v>
                </c:pt>
                <c:pt idx="2">
                  <c:v>2.5114215063025913E-2</c:v>
                </c:pt>
                <c:pt idx="3">
                  <c:v>-9.2728473994228011E-3</c:v>
                </c:pt>
                <c:pt idx="4">
                  <c:v>-8.5222211428629402E-3</c:v>
                </c:pt>
                <c:pt idx="5">
                  <c:v>6.1565526795005487E-3</c:v>
                </c:pt>
                <c:pt idx="6">
                  <c:v>7.3527474608017229E-3</c:v>
                </c:pt>
                <c:pt idx="7">
                  <c:v>9.0111524455107617E-3</c:v>
                </c:pt>
                <c:pt idx="8">
                  <c:v>1.0003567095477672E-2</c:v>
                </c:pt>
                <c:pt idx="9">
                  <c:v>6.7952204847063769E-3</c:v>
                </c:pt>
                <c:pt idx="10">
                  <c:v>1.0329294236103292E-2</c:v>
                </c:pt>
                <c:pt idx="11">
                  <c:v>1.4531966384385697E-3</c:v>
                </c:pt>
                <c:pt idx="12">
                  <c:v>-6.6139335906385543E-3</c:v>
                </c:pt>
                <c:pt idx="13">
                  <c:v>9.4389976016933108E-3</c:v>
                </c:pt>
                <c:pt idx="14">
                  <c:v>-3.7720336789368814E-2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E-4620-B3A6-FED310D8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27752"/>
        <c:axId val="681130704"/>
      </c:scatterChart>
      <c:valAx>
        <c:axId val="6811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130704"/>
        <c:crosses val="autoZero"/>
        <c:crossBetween val="midCat"/>
      </c:valAx>
      <c:valAx>
        <c:axId val="6811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Residuen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633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12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rD'!$B$4:$B$18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rD'!$C$4:$C$18</c:f>
              <c:numCache>
                <c:formatCode>General</c:formatCode>
                <c:ptCount val="15"/>
                <c:pt idx="0">
                  <c:v>0.97566336937095532</c:v>
                </c:pt>
                <c:pt idx="1">
                  <c:v>0.97566336937095499</c:v>
                </c:pt>
                <c:pt idx="2">
                  <c:v>0.97566336937095499</c:v>
                </c:pt>
                <c:pt idx="3">
                  <c:v>0.9756633693709541</c:v>
                </c:pt>
                <c:pt idx="4">
                  <c:v>0.9756633693709541</c:v>
                </c:pt>
                <c:pt idx="5">
                  <c:v>0.9756633693709541</c:v>
                </c:pt>
                <c:pt idx="6">
                  <c:v>0.97566336937095499</c:v>
                </c:pt>
                <c:pt idx="7">
                  <c:v>0.9756633693709541</c:v>
                </c:pt>
                <c:pt idx="8">
                  <c:v>0.97566336937095499</c:v>
                </c:pt>
                <c:pt idx="9">
                  <c:v>0.9756633693709541</c:v>
                </c:pt>
                <c:pt idx="10">
                  <c:v>0.9756633693709541</c:v>
                </c:pt>
                <c:pt idx="11">
                  <c:v>0.9756633693709541</c:v>
                </c:pt>
                <c:pt idx="12">
                  <c:v>0.97566336937095421</c:v>
                </c:pt>
                <c:pt idx="13">
                  <c:v>0.97566336937095421</c:v>
                </c:pt>
                <c:pt idx="14">
                  <c:v>0.97566336937095421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F-48B0-AD06-EED18836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18680"/>
        <c:axId val="420319008"/>
      </c:scatterChart>
      <c:valAx>
        <c:axId val="4203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  <a:r>
                  <a:rPr lang="de-DE" baseline="0"/>
                  <a:t> [mol/kg]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319008"/>
        <c:crosses val="autoZero"/>
        <c:crossBetween val="midCat"/>
      </c:valAx>
      <c:valAx>
        <c:axId val="42031900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rD(40°C</a:t>
                </a:r>
                <a:r>
                  <a:rPr lang="de-DE" baseline="0"/>
                  <a:t> / 25°C)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31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rD'!$B$4:$B$18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rD'!$D$4:$D$18</c:f>
              <c:numCache>
                <c:formatCode>General</c:formatCode>
                <c:ptCount val="15"/>
                <c:pt idx="0">
                  <c:v>-2.4336630629044675</c:v>
                </c:pt>
                <c:pt idx="1">
                  <c:v>-2.4336630629045009</c:v>
                </c:pt>
                <c:pt idx="2">
                  <c:v>-2.4336630629045009</c:v>
                </c:pt>
                <c:pt idx="3">
                  <c:v>-2.4336630629045897</c:v>
                </c:pt>
                <c:pt idx="4">
                  <c:v>-2.4336630629045897</c:v>
                </c:pt>
                <c:pt idx="5">
                  <c:v>-2.4336630629045897</c:v>
                </c:pt>
                <c:pt idx="6">
                  <c:v>-2.4336630629045009</c:v>
                </c:pt>
                <c:pt idx="7">
                  <c:v>-2.4336630629045897</c:v>
                </c:pt>
                <c:pt idx="8">
                  <c:v>-2.4336630629045009</c:v>
                </c:pt>
                <c:pt idx="9">
                  <c:v>-2.4336630629045897</c:v>
                </c:pt>
                <c:pt idx="10">
                  <c:v>-2.4336630629045897</c:v>
                </c:pt>
                <c:pt idx="11">
                  <c:v>-2.4336630629045897</c:v>
                </c:pt>
                <c:pt idx="12">
                  <c:v>-2.4336630629045786</c:v>
                </c:pt>
                <c:pt idx="13">
                  <c:v>-2.4336630629045786</c:v>
                </c:pt>
                <c:pt idx="14">
                  <c:v>-2.4336630629045786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D13-A7F8-4379D21B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87744"/>
        <c:axId val="415897256"/>
      </c:scatterChart>
      <c:valAx>
        <c:axId val="4158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  <a:r>
                  <a:rPr lang="de-DE" baseline="0"/>
                  <a:t> [mol/kg]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97256"/>
        <c:crosses val="autoZero"/>
        <c:crossBetween val="midCat"/>
      </c:valAx>
      <c:valAx>
        <c:axId val="4158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Unterschied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Debey-Radius in Abhängigkeit</a:t>
            </a:r>
            <a:r>
              <a:rPr lang="de-DE" baseline="0"/>
              <a:t> der Konzentration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rgbClr val="C00000"/>
                </a:solidFill>
                <a:prstDash val="sysDot"/>
                <a:miter lim="800000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0.18510367454068241"/>
                  <c:y val="-0.4241976523767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'25°C'!$N$4:$N$18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'25°C'!$O$4:$O$18</c:f>
              <c:numCache>
                <c:formatCode>General</c:formatCode>
                <c:ptCount val="15"/>
                <c:pt idx="0">
                  <c:v>1.6334880904397244</c:v>
                </c:pt>
                <c:pt idx="1">
                  <c:v>1.7840030882717148</c:v>
                </c:pt>
                <c:pt idx="2">
                  <c:v>1.8941350854713581</c:v>
                </c:pt>
                <c:pt idx="3">
                  <c:v>1.981676687318594</c:v>
                </c:pt>
                <c:pt idx="4">
                  <c:v>2.092233935310317</c:v>
                </c:pt>
                <c:pt idx="5">
                  <c:v>2.1331410712033434</c:v>
                </c:pt>
                <c:pt idx="6">
                  <c:v>2.4821579131565588</c:v>
                </c:pt>
                <c:pt idx="7">
                  <c:v>2.4836763209433275</c:v>
                </c:pt>
                <c:pt idx="8">
                  <c:v>2.5303641204763498</c:v>
                </c:pt>
                <c:pt idx="9">
                  <c:v>2.5915174379907504</c:v>
                </c:pt>
                <c:pt idx="10">
                  <c:v>2.6313765056994098</c:v>
                </c:pt>
                <c:pt idx="11">
                  <c:v>2.6781846932129922</c:v>
                </c:pt>
                <c:pt idx="12">
                  <c:v>2.7440452222103575</c:v>
                </c:pt>
                <c:pt idx="13">
                  <c:v>2.8319896748676845</c:v>
                </c:pt>
                <c:pt idx="14">
                  <c:v>2.9810838568938132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4-4E02-A1BD-85606623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36352"/>
        <c:axId val="291441600"/>
      </c:scatterChart>
      <c:valAx>
        <c:axId val="291436352"/>
        <c:scaling>
          <c:orientation val="minMax"/>
          <c:max val="-2.7"/>
          <c:min val="-4.09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41600"/>
        <c:crosses val="autoZero"/>
        <c:crossBetween val="midCat"/>
      </c:valAx>
      <c:valAx>
        <c:axId val="2914416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'25°C'!$K$4:$K$18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'25°C'!$T$4:$T$18</c:f>
              <c:numCache>
                <c:formatCode>General</c:formatCode>
                <c:ptCount val="15"/>
                <c:pt idx="0">
                  <c:v>42.999448824986423</c:v>
                </c:pt>
                <c:pt idx="1">
                  <c:v>60.810403702863653</c:v>
                </c:pt>
                <c:pt idx="2">
                  <c:v>78.362788866749625</c:v>
                </c:pt>
                <c:pt idx="3">
                  <c:v>95.863103669216173</c:v>
                </c:pt>
                <c:pt idx="4">
                  <c:v>123.6541605824314</c:v>
                </c:pt>
                <c:pt idx="5">
                  <c:v>135.86758921584138</c:v>
                </c:pt>
                <c:pt idx="6">
                  <c:v>303.48184206231804</c:v>
                </c:pt>
                <c:pt idx="7">
                  <c:v>304.54475146156852</c:v>
                </c:pt>
                <c:pt idx="8">
                  <c:v>339.10868971237318</c:v>
                </c:pt>
                <c:pt idx="9">
                  <c:v>390.38420370910558</c:v>
                </c:pt>
                <c:pt idx="10">
                  <c:v>427.90888484244454</c:v>
                </c:pt>
                <c:pt idx="11">
                  <c:v>476.60598478501049</c:v>
                </c:pt>
                <c:pt idx="12">
                  <c:v>554.65128120773466</c:v>
                </c:pt>
                <c:pt idx="13">
                  <c:v>679.14807362968793</c:v>
                </c:pt>
                <c:pt idx="14">
                  <c:v>957.32335730845534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F-433B-9E9E-4536EE7EC03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'25°C'!$K$4:$K$18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'25°C'!$U$4:$U$18</c:f>
              <c:numCache>
                <c:formatCode>General</c:formatCode>
                <c:ptCount val="15"/>
                <c:pt idx="0">
                  <c:v>42.999448824986423</c:v>
                </c:pt>
                <c:pt idx="1">
                  <c:v>60.810403702863653</c:v>
                </c:pt>
                <c:pt idx="2">
                  <c:v>78.362788866749625</c:v>
                </c:pt>
                <c:pt idx="3">
                  <c:v>95.863103669216173</c:v>
                </c:pt>
                <c:pt idx="4">
                  <c:v>123.6541605824314</c:v>
                </c:pt>
                <c:pt idx="5">
                  <c:v>135.86758921584138</c:v>
                </c:pt>
                <c:pt idx="6">
                  <c:v>303.48184206231804</c:v>
                </c:pt>
                <c:pt idx="7">
                  <c:v>304.54475146156852</c:v>
                </c:pt>
                <c:pt idx="8">
                  <c:v>339.10868971237318</c:v>
                </c:pt>
                <c:pt idx="9">
                  <c:v>390.38420370910558</c:v>
                </c:pt>
                <c:pt idx="10">
                  <c:v>427.90888484244454</c:v>
                </c:pt>
                <c:pt idx="11">
                  <c:v>476.60598478501049</c:v>
                </c:pt>
                <c:pt idx="12">
                  <c:v>554.65128120773466</c:v>
                </c:pt>
                <c:pt idx="13">
                  <c:v>679.14807362968793</c:v>
                </c:pt>
                <c:pt idx="14">
                  <c:v>957.32335730845534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F-433B-9E9E-4536EE7EC03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'25°C'!$K$4:$K$18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'25°C'!$V$4:$V$18</c:f>
              <c:numCache>
                <c:formatCode>General</c:formatCode>
                <c:ptCount val="15"/>
                <c:pt idx="0">
                  <c:v>42.999448824986423</c:v>
                </c:pt>
                <c:pt idx="1">
                  <c:v>60.810403702863653</c:v>
                </c:pt>
                <c:pt idx="2">
                  <c:v>78.362788866749625</c:v>
                </c:pt>
                <c:pt idx="3">
                  <c:v>95.863103669216173</c:v>
                </c:pt>
                <c:pt idx="4">
                  <c:v>123.6541605824314</c:v>
                </c:pt>
                <c:pt idx="5">
                  <c:v>135.86758921584138</c:v>
                </c:pt>
                <c:pt idx="6">
                  <c:v>303.48184206231804</c:v>
                </c:pt>
                <c:pt idx="7">
                  <c:v>304.54475146156852</c:v>
                </c:pt>
                <c:pt idx="8">
                  <c:v>339.10868971237318</c:v>
                </c:pt>
                <c:pt idx="9">
                  <c:v>390.38420370910558</c:v>
                </c:pt>
                <c:pt idx="10">
                  <c:v>427.90888484244454</c:v>
                </c:pt>
                <c:pt idx="11">
                  <c:v>476.60598478501049</c:v>
                </c:pt>
                <c:pt idx="12">
                  <c:v>554.65128120773466</c:v>
                </c:pt>
                <c:pt idx="13">
                  <c:v>679.14807362968793</c:v>
                </c:pt>
                <c:pt idx="14">
                  <c:v>957.32335730845534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F-433B-9E9E-4536EE7E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24192"/>
        <c:axId val="594328456"/>
      </c:scatterChart>
      <c:valAx>
        <c:axId val="5943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rD</a:t>
                </a:r>
                <a:r>
                  <a:rPr lang="de-DE" baseline="0"/>
                  <a:t> [mm]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328456"/>
        <c:crosses val="autoZero"/>
        <c:crossBetween val="midCat"/>
      </c:valAx>
      <c:valAx>
        <c:axId val="5943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32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rD</a:t>
            </a:r>
            <a:r>
              <a:rPr lang="de-DE" baseline="0"/>
              <a:t> gegen log(c)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'25°C'!$I$4:$I$18</c:f>
              <c:numCache>
                <c:formatCode>General</c:formatCode>
                <c:ptCount val="15"/>
                <c:pt idx="0">
                  <c:v>43.001944114206303</c:v>
                </c:pt>
                <c:pt idx="1">
                  <c:v>60.81393257472044</c:v>
                </c:pt>
                <c:pt idx="2">
                  <c:v>78.367336316255205</c:v>
                </c:pt>
                <c:pt idx="3">
                  <c:v>95.868666674689706</c:v>
                </c:pt>
                <c:pt idx="4">
                  <c:v>123.66133632310542</c:v>
                </c:pt>
                <c:pt idx="5">
                  <c:v>135.8754737106423</c:v>
                </c:pt>
                <c:pt idx="6">
                  <c:v>303.49945333384863</c:v>
                </c:pt>
                <c:pt idx="7">
                  <c:v>304.56242441450325</c:v>
                </c:pt>
                <c:pt idx="8">
                  <c:v>339.128368435727</c:v>
                </c:pt>
                <c:pt idx="9">
                  <c:v>390.40685798774746</c:v>
                </c:pt>
                <c:pt idx="10">
                  <c:v>427.93371670556439</c:v>
                </c:pt>
                <c:pt idx="11">
                  <c:v>476.63364257617928</c:v>
                </c:pt>
                <c:pt idx="12">
                  <c:v>554.68346802409167</c:v>
                </c:pt>
                <c:pt idx="13">
                  <c:v>679.18748508525618</c:v>
                </c:pt>
                <c:pt idx="14">
                  <c:v>957.37891147760672</c:v>
                </c:pt>
              </c:numCache>
            </c:numRef>
          </c:xVal>
          <c:yVal>
            <c:numRef>
              <c:f>'25°C'!$K$4:$K$18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C-4650-80B6-D28E0241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36136"/>
        <c:axId val="613839744"/>
      </c:scatterChart>
      <c:valAx>
        <c:axId val="6138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39744"/>
        <c:crosses val="autoZero"/>
        <c:crossBetween val="midCat"/>
      </c:valAx>
      <c:valAx>
        <c:axId val="613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3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Dissoziation in Abhängigkeit der Konzentration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34519419249818"/>
                  <c:y val="-0.4234894638170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'40°C'!$J$4:$J$18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'40°C'!$K$4:$K$18</c:f>
              <c:numCache>
                <c:formatCode>General</c:formatCode>
                <c:ptCount val="15"/>
                <c:pt idx="0">
                  <c:v>0.24092577749400421</c:v>
                </c:pt>
                <c:pt idx="1">
                  <c:v>0.40195577315798531</c:v>
                </c:pt>
                <c:pt idx="2">
                  <c:v>0.50221976755727193</c:v>
                </c:pt>
                <c:pt idx="3">
                  <c:v>0.58730297125174336</c:v>
                </c:pt>
                <c:pt idx="4">
                  <c:v>0.68841746723518982</c:v>
                </c:pt>
                <c:pt idx="5">
                  <c:v>0.73023173902124272</c:v>
                </c:pt>
                <c:pt idx="6">
                  <c:v>1.0582654229276729</c:v>
                </c:pt>
                <c:pt idx="7">
                  <c:v>1.0613022385012107</c:v>
                </c:pt>
                <c:pt idx="8">
                  <c:v>1.0946778375672555</c:v>
                </c:pt>
                <c:pt idx="9">
                  <c:v>1.1469844725960561</c:v>
                </c:pt>
                <c:pt idx="10">
                  <c:v>1.1867026080133745</c:v>
                </c:pt>
                <c:pt idx="11">
                  <c:v>1.2303189830405401</c:v>
                </c:pt>
                <c:pt idx="12">
                  <c:v>1.2620400410352712</c:v>
                </c:pt>
                <c:pt idx="13">
                  <c:v>1.3579289463499247</c:v>
                </c:pt>
                <c:pt idx="14">
                  <c:v>1.4561173104021821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F-41AC-AA69-C559B87C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26992"/>
        <c:axId val="544226008"/>
      </c:scatterChart>
      <c:valAx>
        <c:axId val="5442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226008"/>
        <c:crosses val="autoZero"/>
        <c:crossBetween val="midCat"/>
      </c:valAx>
      <c:valAx>
        <c:axId val="5442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</a:t>
                </a:r>
              </a:p>
              <a:p>
                <a:pPr>
                  <a:defRPr/>
                </a:pPr>
                <a:r>
                  <a:rPr lang="de-DE"/>
                  <a:t>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2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Debye-Radius in Abhängigkeit der Konzentration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layout>
        <c:manualLayout>
          <c:xMode val="edge"/>
          <c:yMode val="edge"/>
          <c:x val="0.13959266352223271"/>
          <c:y val="2.7695351137487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883167732146647E-2"/>
          <c:y val="0.1450196798625138"/>
          <c:w val="0.92103560465008016"/>
          <c:h val="0.694309368598954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151001236891367E-2"/>
                  <c:y val="-0.54684572699643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'40°C'!$M$4:$M$18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'40°C'!$N$4:$N$18</c:f>
              <c:numCache>
                <c:formatCode>General</c:formatCode>
                <c:ptCount val="15"/>
                <c:pt idx="0">
                  <c:v>1.6441468916175086</c:v>
                </c:pt>
                <c:pt idx="1">
                  <c:v>1.7946618894494992</c:v>
                </c:pt>
                <c:pt idx="2">
                  <c:v>1.9047938866491423</c:v>
                </c:pt>
                <c:pt idx="3">
                  <c:v>1.9923354884963782</c:v>
                </c:pt>
                <c:pt idx="4">
                  <c:v>2.1028927364881014</c:v>
                </c:pt>
                <c:pt idx="5">
                  <c:v>2.1437998723811273</c:v>
                </c:pt>
                <c:pt idx="6">
                  <c:v>2.4928167143343432</c:v>
                </c:pt>
                <c:pt idx="7">
                  <c:v>2.4943351221211119</c:v>
                </c:pt>
                <c:pt idx="8">
                  <c:v>2.5410229216541338</c:v>
                </c:pt>
                <c:pt idx="9">
                  <c:v>2.6021762391685348</c:v>
                </c:pt>
                <c:pt idx="10">
                  <c:v>2.6420353068771938</c:v>
                </c:pt>
                <c:pt idx="11">
                  <c:v>2.6888434943907766</c:v>
                </c:pt>
                <c:pt idx="12">
                  <c:v>2.7547040233881419</c:v>
                </c:pt>
                <c:pt idx="13">
                  <c:v>2.8426484760454689</c:v>
                </c:pt>
                <c:pt idx="14">
                  <c:v>2.9917426580715976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D-48D2-B5C8-BDBA21F2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22400"/>
        <c:axId val="544222728"/>
      </c:scatterChart>
      <c:valAx>
        <c:axId val="544222400"/>
        <c:scaling>
          <c:orientation val="minMax"/>
          <c:max val="-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222728"/>
        <c:crosses val="autoZero"/>
        <c:crossBetween val="midCat"/>
      </c:valAx>
      <c:valAx>
        <c:axId val="544222728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2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40663321306966E-2"/>
          <c:y val="8.7671232876712329E-2"/>
          <c:w val="0.90187005776528073"/>
          <c:h val="0.714051414806025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'40°C'!$M$4:$M$18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'40°C'!$S$4:$S$18</c:f>
              <c:numCache>
                <c:formatCode>General</c:formatCode>
                <c:ptCount val="15"/>
                <c:pt idx="0">
                  <c:v>44.072013129599902</c:v>
                </c:pt>
                <c:pt idx="1">
                  <c:v>62.327238688965323</c:v>
                </c:pt>
                <c:pt idx="2">
                  <c:v>80.317444855260803</c:v>
                </c:pt>
                <c:pt idx="3">
                  <c:v>98.254281833930719</c:v>
                </c:pt>
                <c:pt idx="4">
                  <c:v>126.73854985675619</c:v>
                </c:pt>
                <c:pt idx="5">
                  <c:v>139.25662629257076</c:v>
                </c:pt>
                <c:pt idx="6">
                  <c:v>311.05179469634453</c:v>
                </c:pt>
                <c:pt idx="7">
                  <c:v>312.14121696289538</c:v>
                </c:pt>
                <c:pt idx="8">
                  <c:v>347.56730687860983</c:v>
                </c:pt>
                <c:pt idx="9">
                  <c:v>400.1218206652573</c:v>
                </c:pt>
                <c:pt idx="10">
                  <c:v>438.58250527365095</c:v>
                </c:pt>
                <c:pt idx="11">
                  <c:v>488.49428988227345</c:v>
                </c:pt>
                <c:pt idx="12">
                  <c:v>568.48632286496377</c:v>
                </c:pt>
                <c:pt idx="13">
                  <c:v>696.08852289653908</c:v>
                </c:pt>
                <c:pt idx="14">
                  <c:v>981.20252062519955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4-4B11-B958-FB6F35E5A2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'40°C'!$M$4:$M$18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'40°C'!$T$4:$T$18</c:f>
              <c:numCache>
                <c:formatCode>General</c:formatCode>
                <c:ptCount val="15"/>
                <c:pt idx="0">
                  <c:v>44.072013129599902</c:v>
                </c:pt>
                <c:pt idx="1">
                  <c:v>62.327238688965323</c:v>
                </c:pt>
                <c:pt idx="2">
                  <c:v>80.317444855260803</c:v>
                </c:pt>
                <c:pt idx="3">
                  <c:v>98.254281833930719</c:v>
                </c:pt>
                <c:pt idx="4">
                  <c:v>126.73854985675619</c:v>
                </c:pt>
                <c:pt idx="5">
                  <c:v>139.25662629257076</c:v>
                </c:pt>
                <c:pt idx="6">
                  <c:v>311.05179469634453</c:v>
                </c:pt>
                <c:pt idx="7">
                  <c:v>312.14121696289538</c:v>
                </c:pt>
                <c:pt idx="8">
                  <c:v>347.56730687860983</c:v>
                </c:pt>
                <c:pt idx="9">
                  <c:v>400.1218206652573</c:v>
                </c:pt>
                <c:pt idx="10">
                  <c:v>438.58250527365095</c:v>
                </c:pt>
                <c:pt idx="11">
                  <c:v>488.49428988227345</c:v>
                </c:pt>
                <c:pt idx="12">
                  <c:v>568.48632286496377</c:v>
                </c:pt>
                <c:pt idx="13">
                  <c:v>696.08852289653908</c:v>
                </c:pt>
                <c:pt idx="14">
                  <c:v>981.20252062519955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4-4B11-B958-FB6F35E5A2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'40°C'!$M$4:$M$18</c:f>
              <c:numCache>
                <c:formatCode>General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'40°C'!$U$4:$U$18</c:f>
              <c:numCache>
                <c:formatCode>General</c:formatCode>
                <c:ptCount val="15"/>
                <c:pt idx="0">
                  <c:v>44.072013129599902</c:v>
                </c:pt>
                <c:pt idx="1">
                  <c:v>62.327238688965323</c:v>
                </c:pt>
                <c:pt idx="2">
                  <c:v>80.317444855260803</c:v>
                </c:pt>
                <c:pt idx="3">
                  <c:v>98.254281833930719</c:v>
                </c:pt>
                <c:pt idx="4">
                  <c:v>126.73854985675619</c:v>
                </c:pt>
                <c:pt idx="5">
                  <c:v>139.25662629257076</c:v>
                </c:pt>
                <c:pt idx="6">
                  <c:v>311.05179469634453</c:v>
                </c:pt>
                <c:pt idx="7">
                  <c:v>312.14121696289538</c:v>
                </c:pt>
                <c:pt idx="8">
                  <c:v>347.56730687860983</c:v>
                </c:pt>
                <c:pt idx="9">
                  <c:v>400.1218206652573</c:v>
                </c:pt>
                <c:pt idx="10">
                  <c:v>438.58250527365095</c:v>
                </c:pt>
                <c:pt idx="11">
                  <c:v>488.49428988227345</c:v>
                </c:pt>
                <c:pt idx="12">
                  <c:v>568.48632286496377</c:v>
                </c:pt>
                <c:pt idx="13">
                  <c:v>696.08852289653908</c:v>
                </c:pt>
                <c:pt idx="14">
                  <c:v>981.20252062519955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4-4B11-B958-FB6F35E5A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83928"/>
        <c:axId val="594884584"/>
      </c:scatterChart>
      <c:valAx>
        <c:axId val="5948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  <a:r>
                  <a:rPr lang="de-DE" baseline="0"/>
                  <a:t> [mol/kg]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884584"/>
        <c:crosses val="autoZero"/>
        <c:crossBetween val="midCat"/>
      </c:valAx>
      <c:valAx>
        <c:axId val="59488458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rD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88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Quotienten der Messerie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alpha'!$B$48:$B$62</c:f>
              <c:numCache>
                <c:formatCode>0.000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alpha'!$C$48:$C$62</c:f>
              <c:numCache>
                <c:formatCode>0.000</c:formatCode>
                <c:ptCount val="15"/>
                <c:pt idx="0">
                  <c:v>0.90483993313100464</c:v>
                </c:pt>
                <c:pt idx="1">
                  <c:v>0.90603237394095482</c:v>
                </c:pt>
                <c:pt idx="2">
                  <c:v>0.9069058797227123</c:v>
                </c:pt>
                <c:pt idx="3">
                  <c:v>0.90760081175674834</c:v>
                </c:pt>
                <c:pt idx="4">
                  <c:v>0.9084792099954756</c:v>
                </c:pt>
                <c:pt idx="5">
                  <c:v>0.90880444035398955</c:v>
                </c:pt>
                <c:pt idx="6">
                  <c:v>0.91158402184382314</c:v>
                </c:pt>
                <c:pt idx="7">
                  <c:v>0.91159613304719389</c:v>
                </c:pt>
                <c:pt idx="8">
                  <c:v>0.91196860525642454</c:v>
                </c:pt>
                <c:pt idx="9">
                  <c:v>0.91245671265634865</c:v>
                </c:pt>
                <c:pt idx="10">
                  <c:v>0.91277499637737225</c:v>
                </c:pt>
                <c:pt idx="11">
                  <c:v>0.91314891214885618</c:v>
                </c:pt>
                <c:pt idx="12">
                  <c:v>0.91367528229187689</c:v>
                </c:pt>
                <c:pt idx="13">
                  <c:v>0.91437862455884411</c:v>
                </c:pt>
                <c:pt idx="14">
                  <c:v>0.9155722535451406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78B-95F2-5A6231B5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37640"/>
        <c:axId val="591337968"/>
      </c:scatterChart>
      <c:valAx>
        <c:axId val="59133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</a:t>
                </a:r>
                <a:r>
                  <a:rPr lang="de-DE" baseline="0"/>
                  <a:t> [mol/kg]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337968"/>
        <c:crosses val="autoZero"/>
        <c:crossBetween val="midCat"/>
      </c:valAx>
      <c:valAx>
        <c:axId val="591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(40°C/25°C)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3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+mn-lt"/>
              </a:rPr>
              <a:t>Prozentuale Unterschiede zwischen den Temperaturen</a:t>
            </a:r>
            <a:endParaRPr lang="de-DE" sz="1200" b="1">
              <a:effectLst/>
              <a:latin typeface="+mn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layout>
        <c:manualLayout>
          <c:xMode val="edge"/>
          <c:yMode val="edge"/>
          <c:x val="0.113090113735783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61111111111111E-2"/>
          <c:y val="0.14231481481481481"/>
          <c:w val="0.85282633420822396"/>
          <c:h val="0.709537037037037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alpha'!$B$48:$B$62</c:f>
              <c:numCache>
                <c:formatCode>0.000</c:formatCode>
                <c:ptCount val="15"/>
                <c:pt idx="0">
                  <c:v>-1.3009257774940046</c:v>
                </c:pt>
                <c:pt idx="1">
                  <c:v>-1.6019557731579859</c:v>
                </c:pt>
                <c:pt idx="2">
                  <c:v>-1.822219767557272</c:v>
                </c:pt>
                <c:pt idx="3">
                  <c:v>-1.9973029712517438</c:v>
                </c:pt>
                <c:pt idx="4">
                  <c:v>-2.2184174672351897</c:v>
                </c:pt>
                <c:pt idx="5">
                  <c:v>-2.3002317390212426</c:v>
                </c:pt>
                <c:pt idx="6">
                  <c:v>-2.9982654229276737</c:v>
                </c:pt>
                <c:pt idx="7">
                  <c:v>-3.0013022385012111</c:v>
                </c:pt>
                <c:pt idx="8">
                  <c:v>-3.0946778375672555</c:v>
                </c:pt>
                <c:pt idx="9">
                  <c:v>-3.216984472596057</c:v>
                </c:pt>
                <c:pt idx="10">
                  <c:v>-3.296702608013375</c:v>
                </c:pt>
                <c:pt idx="11">
                  <c:v>-3.3903189830405407</c:v>
                </c:pt>
                <c:pt idx="12">
                  <c:v>-3.5220400410352712</c:v>
                </c:pt>
                <c:pt idx="13">
                  <c:v>-3.6979289463499252</c:v>
                </c:pt>
                <c:pt idx="14">
                  <c:v>-3.9961173104021825</c:v>
                </c:pt>
              </c:numCache>
            </c:numRef>
          </c:xVal>
          <c:yVal>
            <c:numRef>
              <c:f>'Vergleich alpha'!$D$48:$D$62</c:f>
              <c:numCache>
                <c:formatCode>0.000</c:formatCode>
                <c:ptCount val="15"/>
                <c:pt idx="0">
                  <c:v>-9.5160066868995372</c:v>
                </c:pt>
                <c:pt idx="1">
                  <c:v>-9.3967626059045184</c:v>
                </c:pt>
                <c:pt idx="2">
                  <c:v>-9.3094120277287686</c:v>
                </c:pt>
                <c:pt idx="3">
                  <c:v>-9.2399188243251658</c:v>
                </c:pt>
                <c:pt idx="4">
                  <c:v>-9.1520790004524404</c:v>
                </c:pt>
                <c:pt idx="5">
                  <c:v>-9.1195559646010445</c:v>
                </c:pt>
                <c:pt idx="6">
                  <c:v>-8.8415978156176855</c:v>
                </c:pt>
                <c:pt idx="7">
                  <c:v>-8.8403866952806105</c:v>
                </c:pt>
                <c:pt idx="8">
                  <c:v>-8.8031394743575468</c:v>
                </c:pt>
                <c:pt idx="9">
                  <c:v>-8.754328734365135</c:v>
                </c:pt>
                <c:pt idx="10">
                  <c:v>-8.7225003622627746</c:v>
                </c:pt>
                <c:pt idx="11">
                  <c:v>-8.685108785114382</c:v>
                </c:pt>
                <c:pt idx="12">
                  <c:v>-8.6324717708123107</c:v>
                </c:pt>
                <c:pt idx="13">
                  <c:v>-8.5621375441155898</c:v>
                </c:pt>
                <c:pt idx="14">
                  <c:v>-8.4427746454859403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CFF-976F-56962983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40072"/>
        <c:axId val="682140400"/>
      </c:scatterChart>
      <c:valAx>
        <c:axId val="68214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log(c) [mol/kg]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140400"/>
        <c:crosses val="autoZero"/>
        <c:crossBetween val="midCat"/>
      </c:valAx>
      <c:valAx>
        <c:axId val="6821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Unterschied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14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20</xdr:row>
      <xdr:rowOff>171450</xdr:rowOff>
    </xdr:from>
    <xdr:to>
      <xdr:col>11</xdr:col>
      <xdr:colOff>352425</xdr:colOff>
      <xdr:row>35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53159B-C5DC-4628-8D81-7ECAE676C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20</xdr:row>
      <xdr:rowOff>142875</xdr:rowOff>
    </xdr:from>
    <xdr:to>
      <xdr:col>16</xdr:col>
      <xdr:colOff>304800</xdr:colOff>
      <xdr:row>35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541C173-1B45-4A36-8EC3-2C29A57A4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20</xdr:row>
      <xdr:rowOff>152400</xdr:rowOff>
    </xdr:from>
    <xdr:to>
      <xdr:col>22</xdr:col>
      <xdr:colOff>400050</xdr:colOff>
      <xdr:row>35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495E39E-AA6A-45AF-8239-06E9E1CF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90487</xdr:colOff>
      <xdr:row>20</xdr:row>
      <xdr:rowOff>114300</xdr:rowOff>
    </xdr:from>
    <xdr:to>
      <xdr:col>5</xdr:col>
      <xdr:colOff>1481137</xdr:colOff>
      <xdr:row>35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93D934-7CD0-40A7-8C8A-0477C558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152400</xdr:rowOff>
    </xdr:from>
    <xdr:to>
      <xdr:col>6</xdr:col>
      <xdr:colOff>28575</xdr:colOff>
      <xdr:row>39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E42900-12E5-4C29-BCE6-2EBB51D1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21</xdr:row>
      <xdr:rowOff>104774</xdr:rowOff>
    </xdr:from>
    <xdr:to>
      <xdr:col>13</xdr:col>
      <xdr:colOff>695325</xdr:colOff>
      <xdr:row>41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24561C-21E0-4D69-B94C-5E54B1F0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833436</xdr:colOff>
      <xdr:row>21</xdr:row>
      <xdr:rowOff>114299</xdr:rowOff>
    </xdr:from>
    <xdr:to>
      <xdr:col>20</xdr:col>
      <xdr:colOff>476249</xdr:colOff>
      <xdr:row>39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66B59E3-19CC-4B28-B2E1-CB8EF763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42</xdr:row>
      <xdr:rowOff>171450</xdr:rowOff>
    </xdr:from>
    <xdr:to>
      <xdr:col>10</xdr:col>
      <xdr:colOff>568569</xdr:colOff>
      <xdr:row>59</xdr:row>
      <xdr:rowOff>5861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1D84C8-82E1-40E6-BF10-096DCA49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547322</xdr:colOff>
      <xdr:row>59</xdr:row>
      <xdr:rowOff>52753</xdr:rowOff>
    </xdr:from>
    <xdr:to>
      <xdr:col>10</xdr:col>
      <xdr:colOff>703751</xdr:colOff>
      <xdr:row>77</xdr:row>
      <xdr:rowOff>71071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573BB3-2B98-488E-89A4-A52D7FB86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1</xdr:row>
      <xdr:rowOff>85725</xdr:rowOff>
    </xdr:from>
    <xdr:to>
      <xdr:col>17</xdr:col>
      <xdr:colOff>271462</xdr:colOff>
      <xdr:row>18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571F993-1D8C-4A44-9068-4429E44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23</xdr:row>
      <xdr:rowOff>276225</xdr:rowOff>
    </xdr:from>
    <xdr:to>
      <xdr:col>17</xdr:col>
      <xdr:colOff>285750</xdr:colOff>
      <xdr:row>42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61D0627-AD4E-48CE-88D1-73A022C68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25</xdr:row>
      <xdr:rowOff>57150</xdr:rowOff>
    </xdr:from>
    <xdr:to>
      <xdr:col>7</xdr:col>
      <xdr:colOff>128587</xdr:colOff>
      <xdr:row>39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54014-3BB7-4FE1-A195-EB6E3451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25</xdr:row>
      <xdr:rowOff>38100</xdr:rowOff>
    </xdr:from>
    <xdr:to>
      <xdr:col>13</xdr:col>
      <xdr:colOff>190500</xdr:colOff>
      <xdr:row>39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C54EE0-1E19-4F94-8140-C195CC64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opLeftCell="N1" zoomScale="115" zoomScaleNormal="115" workbookViewId="0">
      <selection activeCell="V5" sqref="V5"/>
    </sheetView>
  </sheetViews>
  <sheetFormatPr baseColWidth="10" defaultColWidth="9.140625" defaultRowHeight="15" x14ac:dyDescent="0.25"/>
  <cols>
    <col min="1" max="1" width="9.140625" customWidth="1"/>
    <col min="2" max="2" width="16.5703125" customWidth="1"/>
    <col min="3" max="10" width="18.85546875" customWidth="1"/>
    <col min="11" max="11" width="13" customWidth="1"/>
    <col min="12" max="12" width="17.28515625" customWidth="1"/>
    <col min="13" max="13" width="29.5703125" bestFit="1" customWidth="1"/>
    <col min="14" max="14" width="10.5703125" customWidth="1"/>
    <col min="15" max="15" width="15.5703125" bestFit="1" customWidth="1"/>
    <col min="16" max="16" width="19.42578125" bestFit="1" customWidth="1"/>
    <col min="17" max="17" width="15.85546875" customWidth="1"/>
    <col min="18" max="18" width="9.5703125" bestFit="1" customWidth="1"/>
    <col min="19" max="19" width="29.5703125" bestFit="1" customWidth="1"/>
    <col min="20" max="20" width="12.85546875" customWidth="1"/>
    <col min="21" max="21" width="12.85546875" bestFit="1" customWidth="1"/>
    <col min="22" max="22" width="19.42578125" bestFit="1" customWidth="1"/>
  </cols>
  <sheetData>
    <row r="1" spans="1:16384" ht="28.5" x14ac:dyDescent="0.45">
      <c r="A1" s="22" t="s">
        <v>23</v>
      </c>
      <c r="B1" s="22"/>
      <c r="C1" s="6"/>
      <c r="D1" s="6"/>
      <c r="E1" s="6"/>
      <c r="F1" s="6"/>
      <c r="G1" s="6"/>
      <c r="L1" s="22" t="s">
        <v>24</v>
      </c>
      <c r="M1" s="22"/>
      <c r="N1" s="9"/>
      <c r="O1" s="9"/>
      <c r="P1" s="9"/>
      <c r="Q1" s="6"/>
      <c r="R1" s="21" t="s">
        <v>37</v>
      </c>
      <c r="S1" s="21"/>
      <c r="T1" s="9"/>
      <c r="U1" s="9"/>
      <c r="V1" s="6"/>
      <c r="W1" s="6"/>
      <c r="X1" s="22" t="s">
        <v>63</v>
      </c>
      <c r="Y1" s="22"/>
      <c r="Z1" s="22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3" spans="1:1638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384" s="7" customFormat="1" ht="18" thickBot="1" x14ac:dyDescent="0.35">
      <c r="A4" s="7" t="s">
        <v>0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  <c r="H4" s="7" t="s">
        <v>22</v>
      </c>
      <c r="I4" s="7" t="s">
        <v>25</v>
      </c>
      <c r="J4" s="7" t="s">
        <v>26</v>
      </c>
      <c r="L4" s="7" t="s">
        <v>28</v>
      </c>
      <c r="M4" s="7" t="s">
        <v>29</v>
      </c>
      <c r="N4" s="13" t="s">
        <v>30</v>
      </c>
      <c r="O4" s="7" t="s">
        <v>32</v>
      </c>
      <c r="P4" s="7" t="s">
        <v>60</v>
      </c>
      <c r="R4" s="7" t="s">
        <v>28</v>
      </c>
      <c r="S4" s="7" t="s">
        <v>29</v>
      </c>
      <c r="T4" s="13" t="s">
        <v>30</v>
      </c>
      <c r="U4" s="7" t="s">
        <v>32</v>
      </c>
      <c r="V4" s="7" t="s">
        <v>35</v>
      </c>
    </row>
    <row r="5" spans="1:16384" x14ac:dyDescent="0.25">
      <c r="A5" s="3" t="s">
        <v>1</v>
      </c>
      <c r="B5" s="3">
        <v>50.012</v>
      </c>
      <c r="C5" s="4">
        <v>50</v>
      </c>
      <c r="D5" s="4">
        <v>0</v>
      </c>
      <c r="E5" s="5">
        <v>50.06</v>
      </c>
      <c r="F5" s="5">
        <v>0</v>
      </c>
      <c r="G5" s="4">
        <v>50</v>
      </c>
      <c r="H5" s="10">
        <f>(E5*B5)/(E5+F5)</f>
        <v>50.011999999999993</v>
      </c>
      <c r="I5" s="2">
        <v>3.03</v>
      </c>
      <c r="J5" s="2">
        <v>3.06</v>
      </c>
      <c r="L5">
        <f>10^(-I5)</f>
        <v>9.3325430079699062E-4</v>
      </c>
      <c r="M5" s="3">
        <f>L5/(H5 * 10^-3)</f>
        <v>1.866060747014698E-2</v>
      </c>
      <c r="N5">
        <f>M5*100</f>
        <v>1.8660607470146979</v>
      </c>
      <c r="O5">
        <f>L5</f>
        <v>9.3325430079699062E-4</v>
      </c>
      <c r="P5">
        <f>SQRT(((78.5*8.854*10^-12)*8.31*298.15)/(2*96490^2*H5*10^-3))*10^9</f>
        <v>43.001944114206303</v>
      </c>
      <c r="R5">
        <f>10^-J5</f>
        <v>8.7096358995607975E-4</v>
      </c>
      <c r="S5">
        <f>R5/(H5 * 10^-3)</f>
        <v>1.7415092176999117E-2</v>
      </c>
      <c r="T5" s="12">
        <f>S5*100</f>
        <v>1.7415092176999116</v>
      </c>
      <c r="U5">
        <f>R5</f>
        <v>8.7096358995607975E-4</v>
      </c>
      <c r="V5" s="3">
        <f>SQRT(((78.5*8.854*10^-12)*8.31*313.15)/(2*96490^2*H5*10^-3))*10^9</f>
        <v>44.070389777828453</v>
      </c>
      <c r="X5" s="12">
        <f>V5/P5</f>
        <v>1.0248464502159373</v>
      </c>
    </row>
    <row r="6" spans="1:16384" x14ac:dyDescent="0.25">
      <c r="A6" s="3" t="s">
        <v>2</v>
      </c>
      <c r="B6" s="3">
        <v>50.012</v>
      </c>
      <c r="C6" s="4">
        <v>25</v>
      </c>
      <c r="D6" s="4">
        <v>25</v>
      </c>
      <c r="E6" s="5">
        <v>25.04</v>
      </c>
      <c r="F6" s="5">
        <v>25.04</v>
      </c>
      <c r="G6" s="4">
        <v>25</v>
      </c>
      <c r="H6" s="10">
        <f t="shared" ref="H6:H19" si="0">(E6*B6)/(E6+F6)</f>
        <v>25.005999999999997</v>
      </c>
      <c r="I6" s="2">
        <v>3.14</v>
      </c>
      <c r="J6" s="2">
        <v>3.2</v>
      </c>
      <c r="L6">
        <f t="shared" ref="L6:L19" si="1">10^(-I6)</f>
        <v>7.2443596007498929E-4</v>
      </c>
      <c r="M6" s="3">
        <f t="shared" ref="M6:M19" si="2">L6/(H6 * 10^-3)</f>
        <v>2.897048548648282E-2</v>
      </c>
      <c r="N6">
        <f t="shared" ref="N6:N19" si="3">M6*100</f>
        <v>2.8970485486482822</v>
      </c>
      <c r="O6">
        <f t="shared" ref="O6:O19" si="4">L6</f>
        <v>7.2443596007498929E-4</v>
      </c>
      <c r="P6">
        <f t="shared" ref="P6:P19" si="5">SQRT(((78.5*8.854*10^-12)*8.31*298.15)/(2*96490^2*H6*10^-3))*10^9</f>
        <v>60.81393257472044</v>
      </c>
      <c r="R6">
        <f t="shared" ref="R6:R19" si="6">10^-J6</f>
        <v>6.3095734448019244E-4</v>
      </c>
      <c r="S6">
        <f t="shared" ref="S6:S19" si="7">R6/(H6 * 10^-3)</f>
        <v>2.5232238042077602E-2</v>
      </c>
      <c r="T6" s="3">
        <f t="shared" ref="T6:T19" si="8">S6*100</f>
        <v>2.5232238042077602</v>
      </c>
      <c r="U6">
        <f t="shared" ref="U6:U19" si="9">R6</f>
        <v>6.3095734448019244E-4</v>
      </c>
      <c r="V6" s="3">
        <f t="shared" ref="V6:V19" si="10">SQRT(((78.5*8.854*10^-12)*8.31*313.15)/(2*96490^2*H6*10^-3))*10^9</f>
        <v>62.324942922873618</v>
      </c>
      <c r="X6" s="3">
        <f t="shared" ref="X6:X19" si="11">V6/P6</f>
        <v>1.0248464502159376</v>
      </c>
    </row>
    <row r="7" spans="1:16384" x14ac:dyDescent="0.25">
      <c r="A7" s="3" t="s">
        <v>3</v>
      </c>
      <c r="B7" s="3">
        <v>50.012</v>
      </c>
      <c r="C7" s="4">
        <v>15</v>
      </c>
      <c r="D7" s="4">
        <v>35</v>
      </c>
      <c r="E7" s="5">
        <v>15.1</v>
      </c>
      <c r="F7" s="5">
        <v>35.049999999999997</v>
      </c>
      <c r="G7" s="4">
        <v>15</v>
      </c>
      <c r="H7" s="10">
        <f t="shared" si="0"/>
        <v>15.058448654037887</v>
      </c>
      <c r="I7" s="2">
        <v>3.25</v>
      </c>
      <c r="J7" s="2">
        <v>3.32</v>
      </c>
      <c r="L7">
        <f t="shared" si="1"/>
        <v>5.6234132519034856E-4</v>
      </c>
      <c r="M7" s="3">
        <f t="shared" si="2"/>
        <v>3.7343908267705783E-2</v>
      </c>
      <c r="N7">
        <f t="shared" si="3"/>
        <v>3.7343908267705785</v>
      </c>
      <c r="O7">
        <f t="shared" si="4"/>
        <v>5.6234132519034856E-4</v>
      </c>
      <c r="P7">
        <f t="shared" si="5"/>
        <v>78.367336316255205</v>
      </c>
      <c r="R7">
        <f t="shared" si="6"/>
        <v>4.7863009232263827E-4</v>
      </c>
      <c r="S7">
        <f t="shared" si="7"/>
        <v>3.1784820821784632E-2</v>
      </c>
      <c r="T7" s="3">
        <f t="shared" si="8"/>
        <v>3.178482082178463</v>
      </c>
      <c r="U7">
        <f t="shared" si="9"/>
        <v>4.7863009232263827E-4</v>
      </c>
      <c r="V7" s="3">
        <f t="shared" si="10"/>
        <v>80.314486436592659</v>
      </c>
      <c r="X7" s="3">
        <f t="shared" si="11"/>
        <v>1.0248464502159373</v>
      </c>
    </row>
    <row r="8" spans="1:16384" x14ac:dyDescent="0.25">
      <c r="A8" s="3" t="s">
        <v>6</v>
      </c>
      <c r="B8" s="3">
        <v>50.012</v>
      </c>
      <c r="C8" s="4">
        <v>10</v>
      </c>
      <c r="D8" s="4">
        <v>40</v>
      </c>
      <c r="E8" s="5">
        <v>10.08</v>
      </c>
      <c r="F8" s="5">
        <v>40.020000000000003</v>
      </c>
      <c r="G8" s="4">
        <v>10</v>
      </c>
      <c r="H8" s="10">
        <f t="shared" si="0"/>
        <v>10.062294610778443</v>
      </c>
      <c r="I8" s="2">
        <v>3.38</v>
      </c>
      <c r="J8" s="2">
        <v>3.41</v>
      </c>
      <c r="L8">
        <f t="shared" si="1"/>
        <v>4.1686938347033518E-4</v>
      </c>
      <c r="M8" s="3">
        <f t="shared" si="2"/>
        <v>4.142885888312161E-2</v>
      </c>
      <c r="N8">
        <f t="shared" si="3"/>
        <v>4.1428858883121613</v>
      </c>
      <c r="O8">
        <f t="shared" si="4"/>
        <v>4.1686938347033518E-4</v>
      </c>
      <c r="P8">
        <f t="shared" si="5"/>
        <v>95.868666674689706</v>
      </c>
      <c r="R8">
        <f t="shared" si="6"/>
        <v>3.8904514499428012E-4</v>
      </c>
      <c r="S8">
        <f t="shared" si="7"/>
        <v>3.8663660729784839E-2</v>
      </c>
      <c r="T8" s="3">
        <f t="shared" si="8"/>
        <v>3.8663660729784839</v>
      </c>
      <c r="U8">
        <f t="shared" si="9"/>
        <v>3.8904514499428012E-4</v>
      </c>
      <c r="V8" s="3">
        <f t="shared" si="10"/>
        <v>98.250662728490695</v>
      </c>
      <c r="X8" s="3">
        <f t="shared" si="11"/>
        <v>1.0248464502159376</v>
      </c>
    </row>
    <row r="9" spans="1:16384" x14ac:dyDescent="0.25">
      <c r="A9" s="3" t="s">
        <v>7</v>
      </c>
      <c r="B9" s="3">
        <v>50.012</v>
      </c>
      <c r="C9" s="4">
        <v>6</v>
      </c>
      <c r="D9" s="4">
        <v>44</v>
      </c>
      <c r="E9" s="5">
        <v>6.08</v>
      </c>
      <c r="F9" s="5">
        <v>44.2</v>
      </c>
      <c r="G9" s="4">
        <v>6</v>
      </c>
      <c r="H9" s="10">
        <f t="shared" si="0"/>
        <v>6.047592680986476</v>
      </c>
      <c r="I9" s="2">
        <v>3.5</v>
      </c>
      <c r="J9" s="2">
        <v>3.53</v>
      </c>
      <c r="L9">
        <f t="shared" si="1"/>
        <v>3.1622776601683783E-4</v>
      </c>
      <c r="M9" s="3">
        <f t="shared" si="2"/>
        <v>5.2289858576463372E-2</v>
      </c>
      <c r="N9">
        <f t="shared" si="3"/>
        <v>5.2289858576463368</v>
      </c>
      <c r="O9">
        <f t="shared" si="4"/>
        <v>3.1622776601683783E-4</v>
      </c>
      <c r="P9">
        <f t="shared" si="5"/>
        <v>123.66133632310542</v>
      </c>
      <c r="R9">
        <f t="shared" si="6"/>
        <v>2.9512092266663857E-4</v>
      </c>
      <c r="S9">
        <f t="shared" si="7"/>
        <v>4.879973540455089E-2</v>
      </c>
      <c r="T9" s="3">
        <f t="shared" si="8"/>
        <v>4.8799735404550892</v>
      </c>
      <c r="U9">
        <f t="shared" si="9"/>
        <v>2.9512092266663857E-4</v>
      </c>
      <c r="V9" s="3">
        <f t="shared" si="10"/>
        <v>126.73388155969377</v>
      </c>
      <c r="X9" s="3">
        <f t="shared" si="11"/>
        <v>1.0248464502159376</v>
      </c>
    </row>
    <row r="10" spans="1:16384" x14ac:dyDescent="0.25">
      <c r="A10" s="3" t="s">
        <v>4</v>
      </c>
      <c r="B10" s="3">
        <v>50.012</v>
      </c>
      <c r="C10" s="4">
        <v>5</v>
      </c>
      <c r="D10" s="4">
        <v>45</v>
      </c>
      <c r="E10" s="5">
        <v>5.01</v>
      </c>
      <c r="F10" s="5">
        <v>45.01</v>
      </c>
      <c r="G10" s="4">
        <v>5</v>
      </c>
      <c r="H10" s="10">
        <f t="shared" si="0"/>
        <v>5.0091987205117956</v>
      </c>
      <c r="I10" s="2">
        <v>3.53</v>
      </c>
      <c r="J10" s="2">
        <v>3.57</v>
      </c>
      <c r="L10">
        <f t="shared" si="1"/>
        <v>2.9512092266663857E-4</v>
      </c>
      <c r="M10" s="3">
        <f t="shared" si="2"/>
        <v>5.8915794547772647E-2</v>
      </c>
      <c r="N10">
        <f t="shared" si="3"/>
        <v>5.8915794547772649</v>
      </c>
      <c r="O10">
        <f t="shared" si="4"/>
        <v>2.9512092266663857E-4</v>
      </c>
      <c r="P10">
        <f t="shared" si="5"/>
        <v>135.8754737106423</v>
      </c>
      <c r="R10">
        <f t="shared" si="6"/>
        <v>2.6915348039269167E-4</v>
      </c>
      <c r="S10">
        <f t="shared" si="7"/>
        <v>5.3731843236834484E-2</v>
      </c>
      <c r="T10" s="3">
        <f t="shared" si="8"/>
        <v>5.3731843236834482</v>
      </c>
      <c r="U10">
        <f t="shared" si="9"/>
        <v>2.6915348039269167E-4</v>
      </c>
      <c r="V10" s="3">
        <f t="shared" si="10"/>
        <v>139.25149690376065</v>
      </c>
      <c r="X10" s="3">
        <f t="shared" si="11"/>
        <v>1.0248464502159371</v>
      </c>
    </row>
    <row r="11" spans="1:16384" x14ac:dyDescent="0.25">
      <c r="A11" s="3" t="s">
        <v>8</v>
      </c>
      <c r="B11" s="3">
        <v>5.0149999999999997</v>
      </c>
      <c r="C11" s="4">
        <v>10</v>
      </c>
      <c r="D11" s="4">
        <v>40</v>
      </c>
      <c r="E11" s="5">
        <v>10.02</v>
      </c>
      <c r="F11" s="5">
        <v>40.03</v>
      </c>
      <c r="G11" s="4">
        <v>1</v>
      </c>
      <c r="H11" s="10">
        <f t="shared" si="0"/>
        <v>1.0040019980019981</v>
      </c>
      <c r="I11" s="2">
        <v>3.91</v>
      </c>
      <c r="J11" s="2">
        <v>3.94</v>
      </c>
      <c r="L11">
        <f t="shared" si="1"/>
        <v>1.2302687708123794E-4</v>
      </c>
      <c r="M11" s="3">
        <f t="shared" si="2"/>
        <v>0.12253648630786201</v>
      </c>
      <c r="N11">
        <f t="shared" si="3"/>
        <v>12.253648630786202</v>
      </c>
      <c r="O11">
        <f t="shared" si="4"/>
        <v>1.2302687708123794E-4</v>
      </c>
      <c r="P11">
        <f t="shared" si="5"/>
        <v>303.49945333384863</v>
      </c>
      <c r="R11">
        <f t="shared" si="6"/>
        <v>1.148153621496881E-4</v>
      </c>
      <c r="S11">
        <f t="shared" si="7"/>
        <v>0.11435770285136385</v>
      </c>
      <c r="T11" s="3">
        <f t="shared" si="8"/>
        <v>11.435770285136385</v>
      </c>
      <c r="U11">
        <f t="shared" si="9"/>
        <v>1.148153621496881E-4</v>
      </c>
      <c r="V11" s="3">
        <f t="shared" si="10"/>
        <v>311.04033739167232</v>
      </c>
      <c r="X11" s="3">
        <f t="shared" si="11"/>
        <v>1.0248464502159373</v>
      </c>
    </row>
    <row r="12" spans="1:16384" x14ac:dyDescent="0.25">
      <c r="A12" s="3" t="s">
        <v>5</v>
      </c>
      <c r="B12" s="3">
        <v>5.0149999999999997</v>
      </c>
      <c r="C12" s="4">
        <v>10</v>
      </c>
      <c r="D12" s="4">
        <v>40</v>
      </c>
      <c r="E12" s="5">
        <v>9.98</v>
      </c>
      <c r="F12" s="5">
        <v>40.22</v>
      </c>
      <c r="G12" s="4">
        <v>1</v>
      </c>
      <c r="H12" s="10">
        <f t="shared" si="0"/>
        <v>0.99700597609561747</v>
      </c>
      <c r="I12" s="2">
        <v>3.91</v>
      </c>
      <c r="J12" s="2">
        <v>3.94</v>
      </c>
      <c r="L12">
        <f t="shared" si="1"/>
        <v>1.2302687708123794E-4</v>
      </c>
      <c r="M12" s="3">
        <f t="shared" si="2"/>
        <v>0.12339632863889582</v>
      </c>
      <c r="N12">
        <f t="shared" si="3"/>
        <v>12.339632863889582</v>
      </c>
      <c r="O12">
        <f t="shared" si="4"/>
        <v>1.2302687708123794E-4</v>
      </c>
      <c r="P12">
        <f t="shared" si="5"/>
        <v>304.56242441450325</v>
      </c>
      <c r="R12">
        <f t="shared" si="6"/>
        <v>1.148153621496881E-4</v>
      </c>
      <c r="S12">
        <f t="shared" si="7"/>
        <v>0.11516015440480848</v>
      </c>
      <c r="T12" s="3">
        <f t="shared" si="8"/>
        <v>11.516015440480848</v>
      </c>
      <c r="U12">
        <f t="shared" si="9"/>
        <v>1.148153621496881E-4</v>
      </c>
      <c r="V12" s="3">
        <f t="shared" si="10"/>
        <v>312.12971953036345</v>
      </c>
      <c r="X12" s="3">
        <f t="shared" si="11"/>
        <v>1.0248464502159376</v>
      </c>
    </row>
    <row r="13" spans="1:16384" x14ac:dyDescent="0.25">
      <c r="A13" s="3" t="s">
        <v>11</v>
      </c>
      <c r="B13" s="3">
        <v>5.0149999999999997</v>
      </c>
      <c r="C13" s="4">
        <v>8</v>
      </c>
      <c r="D13" s="4">
        <v>42</v>
      </c>
      <c r="E13" s="5">
        <v>8.0299999999999994</v>
      </c>
      <c r="F13" s="5">
        <v>42.05</v>
      </c>
      <c r="G13" s="4">
        <v>0.8</v>
      </c>
      <c r="H13" s="10">
        <f t="shared" si="0"/>
        <v>0.80412240415335456</v>
      </c>
      <c r="I13" s="2">
        <v>3.96</v>
      </c>
      <c r="J13" s="2">
        <v>4</v>
      </c>
      <c r="L13">
        <f t="shared" si="1"/>
        <v>1.0964781961431837E-4</v>
      </c>
      <c r="M13" s="3">
        <f t="shared" si="2"/>
        <v>0.1363571255420554</v>
      </c>
      <c r="N13">
        <f t="shared" si="3"/>
        <v>13.63571255420554</v>
      </c>
      <c r="O13">
        <f t="shared" si="4"/>
        <v>1.0964781961431837E-4</v>
      </c>
      <c r="P13">
        <f t="shared" si="5"/>
        <v>339.128368435727</v>
      </c>
      <c r="R13">
        <f t="shared" si="6"/>
        <v>1E-4</v>
      </c>
      <c r="S13">
        <f t="shared" si="7"/>
        <v>0.12435917651776925</v>
      </c>
      <c r="T13" s="3">
        <f t="shared" si="8"/>
        <v>12.435917651776924</v>
      </c>
      <c r="U13">
        <f t="shared" si="9"/>
        <v>1E-4</v>
      </c>
      <c r="V13" s="3">
        <f t="shared" si="10"/>
        <v>347.5545045588774</v>
      </c>
      <c r="X13" s="3">
        <f t="shared" si="11"/>
        <v>1.0248464502159376</v>
      </c>
    </row>
    <row r="14" spans="1:16384" x14ac:dyDescent="0.25">
      <c r="A14" s="3" t="s">
        <v>12</v>
      </c>
      <c r="B14" s="3">
        <v>5.0149999999999997</v>
      </c>
      <c r="C14" s="4">
        <v>6</v>
      </c>
      <c r="D14" s="4">
        <v>44</v>
      </c>
      <c r="E14" s="5">
        <v>6.07</v>
      </c>
      <c r="F14" s="5">
        <v>44.1</v>
      </c>
      <c r="G14" s="4">
        <v>0.6</v>
      </c>
      <c r="H14" s="10">
        <f t="shared" si="0"/>
        <v>0.60675802272274271</v>
      </c>
      <c r="I14" s="2">
        <v>4.03</v>
      </c>
      <c r="J14" s="2">
        <v>4.07</v>
      </c>
      <c r="L14">
        <f t="shared" si="1"/>
        <v>9.3325430079699046E-5</v>
      </c>
      <c r="M14" s="3">
        <f t="shared" si="2"/>
        <v>0.15380996473835498</v>
      </c>
      <c r="N14">
        <f t="shared" si="3"/>
        <v>15.380996473835499</v>
      </c>
      <c r="O14">
        <f t="shared" si="4"/>
        <v>9.3325430079699046E-5</v>
      </c>
      <c r="P14">
        <f t="shared" si="5"/>
        <v>390.40685798774746</v>
      </c>
      <c r="R14">
        <f t="shared" si="6"/>
        <v>8.5113803820237487E-5</v>
      </c>
      <c r="S14">
        <f t="shared" si="7"/>
        <v>0.14027635504232983</v>
      </c>
      <c r="T14" s="3">
        <f t="shared" si="8"/>
        <v>14.027635504232983</v>
      </c>
      <c r="U14">
        <f t="shared" si="9"/>
        <v>8.5113803820237487E-5</v>
      </c>
      <c r="V14" s="3">
        <f t="shared" si="10"/>
        <v>400.10708254870059</v>
      </c>
      <c r="X14" s="3">
        <f t="shared" si="11"/>
        <v>1.0248464502159376</v>
      </c>
    </row>
    <row r="15" spans="1:16384" x14ac:dyDescent="0.25">
      <c r="A15" s="3" t="s">
        <v>9</v>
      </c>
      <c r="B15" s="3">
        <v>5.0149999999999997</v>
      </c>
      <c r="C15" s="4">
        <v>5</v>
      </c>
      <c r="D15" s="4">
        <v>45</v>
      </c>
      <c r="E15" s="5">
        <v>5.04</v>
      </c>
      <c r="F15" s="5">
        <v>45.01</v>
      </c>
      <c r="G15" s="4">
        <v>0.5</v>
      </c>
      <c r="H15" s="10">
        <f t="shared" si="0"/>
        <v>0.50500699300699303</v>
      </c>
      <c r="I15" s="2">
        <v>4.07</v>
      </c>
      <c r="J15" s="2">
        <v>4.1100000000000003</v>
      </c>
      <c r="L15">
        <f t="shared" si="1"/>
        <v>8.5113803820237487E-5</v>
      </c>
      <c r="M15" s="3">
        <f t="shared" si="2"/>
        <v>0.16853985192054335</v>
      </c>
      <c r="N15">
        <f t="shared" si="3"/>
        <v>16.853985192054335</v>
      </c>
      <c r="O15">
        <f t="shared" si="4"/>
        <v>8.5113803820237487E-5</v>
      </c>
      <c r="P15">
        <f t="shared" si="5"/>
        <v>427.93371670556439</v>
      </c>
      <c r="R15">
        <f t="shared" si="6"/>
        <v>7.7624711662869057E-5</v>
      </c>
      <c r="S15">
        <f t="shared" si="7"/>
        <v>0.15371017181497554</v>
      </c>
      <c r="T15" s="3">
        <f t="shared" si="8"/>
        <v>15.371017181497553</v>
      </c>
      <c r="U15">
        <f t="shared" si="9"/>
        <v>7.7624711662869057E-5</v>
      </c>
      <c r="V15" s="3">
        <f t="shared" si="10"/>
        <v>438.56635049341025</v>
      </c>
      <c r="X15" s="3">
        <f t="shared" si="11"/>
        <v>1.0248464502159373</v>
      </c>
    </row>
    <row r="16" spans="1:16384" x14ac:dyDescent="0.25">
      <c r="A16" s="3" t="s">
        <v>13</v>
      </c>
      <c r="B16" s="3">
        <v>5.0149999999999997</v>
      </c>
      <c r="C16" s="4">
        <v>4</v>
      </c>
      <c r="D16" s="4">
        <v>46</v>
      </c>
      <c r="E16" s="5">
        <v>4.07</v>
      </c>
      <c r="F16" s="5">
        <v>46.07</v>
      </c>
      <c r="G16" s="4">
        <v>0.4</v>
      </c>
      <c r="H16" s="10">
        <f t="shared" si="0"/>
        <v>0.4070811727163941</v>
      </c>
      <c r="I16" s="2">
        <v>4.13</v>
      </c>
      <c r="J16" s="2">
        <v>4.16</v>
      </c>
      <c r="L16">
        <f t="shared" si="1"/>
        <v>7.4131024130091641E-5</v>
      </c>
      <c r="M16" s="3">
        <f t="shared" si="2"/>
        <v>0.18210378936325153</v>
      </c>
      <c r="N16">
        <f t="shared" si="3"/>
        <v>18.210378936325153</v>
      </c>
      <c r="O16">
        <f t="shared" si="4"/>
        <v>7.4131024130091641E-5</v>
      </c>
      <c r="P16">
        <f t="shared" si="5"/>
        <v>476.63364257617928</v>
      </c>
      <c r="R16">
        <f t="shared" si="6"/>
        <v>6.9183097091893571E-5</v>
      </c>
      <c r="S16">
        <f t="shared" si="7"/>
        <v>0.16994914461468388</v>
      </c>
      <c r="T16" s="3">
        <f t="shared" si="8"/>
        <v>16.994914461468387</v>
      </c>
      <c r="U16">
        <f t="shared" si="9"/>
        <v>6.9183097091893571E-5</v>
      </c>
      <c r="V16" s="3">
        <f t="shared" si="10"/>
        <v>488.4762966476892</v>
      </c>
      <c r="X16" s="3">
        <f t="shared" si="11"/>
        <v>1.0248464502159373</v>
      </c>
    </row>
    <row r="17" spans="1:24" x14ac:dyDescent="0.25">
      <c r="A17" s="3" t="s">
        <v>14</v>
      </c>
      <c r="B17" s="3">
        <v>0.50119999999999998</v>
      </c>
      <c r="C17" s="4">
        <v>30</v>
      </c>
      <c r="D17" s="4">
        <v>20</v>
      </c>
      <c r="E17" s="5">
        <v>30.04</v>
      </c>
      <c r="F17" s="5">
        <v>20.05</v>
      </c>
      <c r="G17" s="4">
        <v>0.3</v>
      </c>
      <c r="H17" s="10">
        <f t="shared" si="0"/>
        <v>0.30057991615092827</v>
      </c>
      <c r="I17" s="2">
        <v>4.21</v>
      </c>
      <c r="J17" s="2">
        <v>4.26</v>
      </c>
      <c r="L17">
        <f t="shared" si="1"/>
        <v>6.1659500186148184E-5</v>
      </c>
      <c r="M17" s="3">
        <f t="shared" si="2"/>
        <v>0.20513513003705641</v>
      </c>
      <c r="N17">
        <f t="shared" si="3"/>
        <v>20.51351300370564</v>
      </c>
      <c r="O17">
        <f t="shared" si="4"/>
        <v>6.1659500186148184E-5</v>
      </c>
      <c r="P17">
        <f t="shared" si="5"/>
        <v>554.68346802409167</v>
      </c>
      <c r="R17">
        <f t="shared" si="6"/>
        <v>5.4954087385762447E-5</v>
      </c>
      <c r="S17">
        <f t="shared" si="7"/>
        <v>0.18282687708971448</v>
      </c>
      <c r="T17" s="3">
        <f t="shared" si="8"/>
        <v>18.282687708971448</v>
      </c>
      <c r="U17">
        <f t="shared" si="9"/>
        <v>5.4954087385762447E-5</v>
      </c>
      <c r="V17" s="3">
        <f t="shared" si="10"/>
        <v>568.46538319795582</v>
      </c>
      <c r="X17" s="3">
        <f t="shared" si="11"/>
        <v>1.0248464502159376</v>
      </c>
    </row>
    <row r="18" spans="1:24" x14ac:dyDescent="0.25">
      <c r="A18" s="3" t="s">
        <v>10</v>
      </c>
      <c r="B18" s="3">
        <v>0.50119999999999998</v>
      </c>
      <c r="C18" s="4">
        <v>20</v>
      </c>
      <c r="D18" s="4">
        <v>30</v>
      </c>
      <c r="E18" s="5">
        <v>20</v>
      </c>
      <c r="F18" s="5">
        <v>30</v>
      </c>
      <c r="G18" s="4">
        <v>0.2</v>
      </c>
      <c r="H18" s="10">
        <f t="shared" si="0"/>
        <v>0.20047999999999999</v>
      </c>
      <c r="I18" s="2">
        <v>4.29</v>
      </c>
      <c r="J18" s="2">
        <v>4.34</v>
      </c>
      <c r="L18">
        <f t="shared" si="1"/>
        <v>5.12861383991364E-5</v>
      </c>
      <c r="M18" s="3">
        <f t="shared" si="2"/>
        <v>0.25581673183926773</v>
      </c>
      <c r="N18">
        <f t="shared" si="3"/>
        <v>25.581673183926775</v>
      </c>
      <c r="O18">
        <f t="shared" si="4"/>
        <v>5.12861383991364E-5</v>
      </c>
      <c r="P18">
        <f t="shared" si="5"/>
        <v>679.18748508525618</v>
      </c>
      <c r="R18">
        <f t="shared" si="6"/>
        <v>4.5708818961487455E-5</v>
      </c>
      <c r="S18">
        <f t="shared" si="7"/>
        <v>0.22799690224205635</v>
      </c>
      <c r="T18" s="3">
        <f t="shared" si="8"/>
        <v>22.799690224205634</v>
      </c>
      <c r="U18">
        <f t="shared" si="9"/>
        <v>4.5708818961487455E-5</v>
      </c>
      <c r="V18" s="3">
        <f t="shared" si="10"/>
        <v>696.06288312071467</v>
      </c>
      <c r="X18" s="3">
        <f t="shared" si="11"/>
        <v>1.0248464502159373</v>
      </c>
    </row>
    <row r="19" spans="1:24" s="8" customFormat="1" ht="15.75" thickBot="1" x14ac:dyDescent="0.3">
      <c r="A19" s="8" t="s">
        <v>15</v>
      </c>
      <c r="B19" s="8">
        <v>0.50119999999999998</v>
      </c>
      <c r="C19" s="8">
        <v>10</v>
      </c>
      <c r="D19" s="8">
        <v>40</v>
      </c>
      <c r="E19" s="8">
        <v>10.119999999999999</v>
      </c>
      <c r="F19" s="8">
        <v>40.15</v>
      </c>
      <c r="G19" s="8">
        <v>0.1</v>
      </c>
      <c r="H19" s="11">
        <f t="shared" si="0"/>
        <v>0.10089803063457331</v>
      </c>
      <c r="I19" s="8">
        <v>4.5</v>
      </c>
      <c r="J19" s="8">
        <v>4.54</v>
      </c>
      <c r="L19" s="8">
        <f t="shared" si="1"/>
        <v>3.1622776601683748E-5</v>
      </c>
      <c r="M19" s="8">
        <f t="shared" si="2"/>
        <v>0.31341321929476801</v>
      </c>
      <c r="N19" s="8">
        <f t="shared" si="3"/>
        <v>31.341321929476802</v>
      </c>
      <c r="O19" s="8">
        <f t="shared" si="4"/>
        <v>3.1622776601683748E-5</v>
      </c>
      <c r="P19" s="8">
        <f t="shared" si="5"/>
        <v>957.37891147760672</v>
      </c>
      <c r="R19" s="8">
        <f t="shared" si="6"/>
        <v>2.8840315031266029E-5</v>
      </c>
      <c r="S19" s="8">
        <f t="shared" si="7"/>
        <v>0.28583625319425932</v>
      </c>
      <c r="T19" s="8">
        <f t="shared" si="8"/>
        <v>28.583625319425931</v>
      </c>
      <c r="U19" s="8">
        <f t="shared" si="9"/>
        <v>2.8840315031266029E-5</v>
      </c>
      <c r="V19" s="8">
        <f t="shared" si="10"/>
        <v>981.16637893942357</v>
      </c>
      <c r="X19" s="8">
        <f t="shared" si="11"/>
        <v>1.0248464502159376</v>
      </c>
    </row>
    <row r="20" spans="1:24" ht="17.25" x14ac:dyDescent="0.3">
      <c r="L20" s="15" t="s">
        <v>27</v>
      </c>
      <c r="M20" s="16" t="s">
        <v>34</v>
      </c>
      <c r="N20" s="14" t="s">
        <v>31</v>
      </c>
      <c r="O20" s="17" t="s">
        <v>33</v>
      </c>
      <c r="P20" s="17" t="s">
        <v>36</v>
      </c>
    </row>
    <row r="24" spans="1:24" x14ac:dyDescent="0.25">
      <c r="J24" s="3"/>
    </row>
  </sheetData>
  <sortState ref="A5:K19">
    <sortCondition descending="1" ref="H5:H19"/>
  </sortState>
  <mergeCells count="4">
    <mergeCell ref="R1:S1"/>
    <mergeCell ref="A1:B1"/>
    <mergeCell ref="L1:M1"/>
    <mergeCell ref="X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7972-A2BF-4E07-8340-562D4BF807DF}">
  <dimension ref="B1:V20"/>
  <sheetViews>
    <sheetView topLeftCell="H1" workbookViewId="0">
      <selection activeCell="L4" sqref="L4:L18"/>
    </sheetView>
  </sheetViews>
  <sheetFormatPr baseColWidth="10" defaultRowHeight="15" x14ac:dyDescent="0.25"/>
  <cols>
    <col min="3" max="3" width="17.85546875" bestFit="1" customWidth="1"/>
    <col min="4" max="4" width="17.85546875" customWidth="1"/>
    <col min="5" max="5" width="12" bestFit="1" customWidth="1"/>
    <col min="6" max="6" width="29.5703125" bestFit="1" customWidth="1"/>
    <col min="7" max="7" width="12" bestFit="1" customWidth="1"/>
    <col min="8" max="8" width="12.5703125" bestFit="1" customWidth="1"/>
    <col min="9" max="9" width="19.140625" bestFit="1" customWidth="1"/>
    <col min="11" max="11" width="13.42578125" bestFit="1" customWidth="1"/>
    <col min="12" max="12" width="13.85546875" bestFit="1" customWidth="1"/>
    <col min="14" max="14" width="13.28515625" bestFit="1" customWidth="1"/>
    <col min="15" max="15" width="21.28515625" customWidth="1"/>
  </cols>
  <sheetData>
    <row r="1" spans="2:22" ht="26.25" x14ac:dyDescent="0.4">
      <c r="K1" s="23" t="s">
        <v>41</v>
      </c>
      <c r="L1" s="23"/>
      <c r="M1" s="23"/>
      <c r="N1" s="23" t="s">
        <v>42</v>
      </c>
      <c r="O1" s="23"/>
      <c r="Q1" s="23" t="s">
        <v>43</v>
      </c>
      <c r="R1" s="23"/>
      <c r="T1" s="23" t="s">
        <v>45</v>
      </c>
      <c r="U1" s="23"/>
      <c r="V1" s="23"/>
    </row>
    <row r="2" spans="2:22" x14ac:dyDescent="0.25">
      <c r="Q2" s="24" t="s">
        <v>61</v>
      </c>
      <c r="R2" s="24"/>
    </row>
    <row r="3" spans="2:22" s="7" customFormat="1" ht="15.75" thickBot="1" x14ac:dyDescent="0.3">
      <c r="B3" s="7" t="s">
        <v>0</v>
      </c>
      <c r="C3" s="7" t="s">
        <v>22</v>
      </c>
      <c r="D3" s="7" t="s">
        <v>40</v>
      </c>
      <c r="E3" s="7" t="s">
        <v>28</v>
      </c>
      <c r="F3" s="7" t="s">
        <v>38</v>
      </c>
      <c r="G3" s="7" t="s">
        <v>39</v>
      </c>
      <c r="H3" s="7" t="s">
        <v>32</v>
      </c>
      <c r="I3" s="7" t="s">
        <v>35</v>
      </c>
      <c r="K3" s="7" t="s">
        <v>52</v>
      </c>
      <c r="L3" s="7" t="s">
        <v>51</v>
      </c>
      <c r="N3" s="7" t="s">
        <v>53</v>
      </c>
      <c r="O3" s="7" t="s">
        <v>49</v>
      </c>
      <c r="Q3" s="13" t="s">
        <v>50</v>
      </c>
      <c r="R3" s="7" t="s">
        <v>43</v>
      </c>
      <c r="T3" s="7" t="s">
        <v>47</v>
      </c>
      <c r="U3" s="7" t="s">
        <v>46</v>
      </c>
      <c r="V3" s="7" t="s">
        <v>48</v>
      </c>
    </row>
    <row r="4" spans="2:22" x14ac:dyDescent="0.25">
      <c r="B4" s="3" t="s">
        <v>1</v>
      </c>
      <c r="C4">
        <v>50.011999999999993</v>
      </c>
      <c r="D4">
        <f>C4*10^-3</f>
        <v>5.0011999999999994E-2</v>
      </c>
      <c r="E4">
        <v>9.3325430079699062E-4</v>
      </c>
      <c r="F4">
        <v>1.866060747014698E-2</v>
      </c>
      <c r="G4">
        <v>1.8660607470146979</v>
      </c>
      <c r="H4">
        <v>9.3325430079699062E-4</v>
      </c>
      <c r="I4" s="12">
        <f>Tabelle1!P5</f>
        <v>43.001944114206303</v>
      </c>
      <c r="K4">
        <f t="shared" ref="K4:K18" si="0">LOG(D4)</f>
        <v>-1.3009257774940046</v>
      </c>
      <c r="L4">
        <f t="shared" ref="L4:L18" si="1">LOG(G4)</f>
        <v>0.27092577749400448</v>
      </c>
      <c r="N4" s="12">
        <f>K4</f>
        <v>-1.3009257774940046</v>
      </c>
      <c r="O4">
        <f t="shared" ref="O4:O18" si="2">LOG(I4)</f>
        <v>1.6334880904397244</v>
      </c>
      <c r="Q4" s="12">
        <f>-0.5*LOG(D4) + 0.983</f>
        <v>1.6334628887470024</v>
      </c>
      <c r="R4" s="12">
        <f>O4-Q4</f>
        <v>2.5201692722021107E-5</v>
      </c>
      <c r="T4" s="12">
        <f>U4-$R$20</f>
        <v>42.999448824986423</v>
      </c>
      <c r="U4" s="3">
        <f>10^(Q4)</f>
        <v>42.999448824986423</v>
      </c>
      <c r="V4" s="12">
        <f>U4+$R$20</f>
        <v>42.999448824986423</v>
      </c>
    </row>
    <row r="5" spans="2:22" x14ac:dyDescent="0.25">
      <c r="B5" s="3" t="s">
        <v>2</v>
      </c>
      <c r="C5">
        <v>25.005999999999997</v>
      </c>
      <c r="D5">
        <f t="shared" ref="D5:D18" si="3">C5*10^-3</f>
        <v>2.5005999999999997E-2</v>
      </c>
      <c r="E5">
        <v>7.2443596007498929E-4</v>
      </c>
      <c r="F5">
        <v>2.897048548648282E-2</v>
      </c>
      <c r="G5">
        <v>2.8970485486482822</v>
      </c>
      <c r="H5">
        <v>7.2443596007498929E-4</v>
      </c>
      <c r="I5" s="3">
        <f>Tabelle1!P6</f>
        <v>60.81393257472044</v>
      </c>
      <c r="K5">
        <f t="shared" si="0"/>
        <v>-1.6019557731579859</v>
      </c>
      <c r="L5">
        <f t="shared" si="1"/>
        <v>0.46195577315798547</v>
      </c>
      <c r="N5" s="3">
        <f t="shared" ref="N5:N18" si="4">K5</f>
        <v>-1.6019557731579859</v>
      </c>
      <c r="O5">
        <f t="shared" si="2"/>
        <v>1.7840030882717148</v>
      </c>
      <c r="Q5" s="3">
        <f t="shared" ref="Q5:Q18" si="5">-0.5*LOG(D5) + 0.983</f>
        <v>1.783977886578993</v>
      </c>
      <c r="R5" s="3">
        <f t="shared" ref="R5:R18" si="6">O5-Q5</f>
        <v>2.5201692721799063E-5</v>
      </c>
      <c r="T5" s="3">
        <f t="shared" ref="T5:T18" si="7">U5-$R$20</f>
        <v>60.810403702863653</v>
      </c>
      <c r="U5" s="3">
        <f t="shared" ref="U5:U18" si="8">10^(Q5)</f>
        <v>60.810403702863653</v>
      </c>
      <c r="V5" s="3">
        <f t="shared" ref="V5:V18" si="9">U5+$R$20</f>
        <v>60.810403702863653</v>
      </c>
    </row>
    <row r="6" spans="2:22" x14ac:dyDescent="0.25">
      <c r="B6" s="3" t="s">
        <v>3</v>
      </c>
      <c r="C6">
        <v>15.058448654037887</v>
      </c>
      <c r="D6">
        <f t="shared" si="3"/>
        <v>1.5058448654037888E-2</v>
      </c>
      <c r="E6">
        <v>5.6234132519034856E-4</v>
      </c>
      <c r="F6">
        <v>3.7343908267705783E-2</v>
      </c>
      <c r="G6">
        <v>3.7343908267705785</v>
      </c>
      <c r="H6">
        <v>5.6234132519034856E-4</v>
      </c>
      <c r="I6" s="3">
        <f>Tabelle1!P7</f>
        <v>78.367336316255205</v>
      </c>
      <c r="K6">
        <f t="shared" si="0"/>
        <v>-1.822219767557272</v>
      </c>
      <c r="L6">
        <f t="shared" si="1"/>
        <v>0.57221976755727166</v>
      </c>
      <c r="N6" s="3">
        <f t="shared" si="4"/>
        <v>-1.822219767557272</v>
      </c>
      <c r="O6">
        <f t="shared" si="2"/>
        <v>1.8941350854713581</v>
      </c>
      <c r="Q6" s="3">
        <f t="shared" si="5"/>
        <v>1.8941098837786359</v>
      </c>
      <c r="R6" s="3">
        <f t="shared" si="6"/>
        <v>2.5201692722243152E-5</v>
      </c>
      <c r="T6" s="3">
        <f t="shared" si="7"/>
        <v>78.362788866749625</v>
      </c>
      <c r="U6" s="3">
        <f t="shared" si="8"/>
        <v>78.362788866749625</v>
      </c>
      <c r="V6" s="3">
        <f t="shared" si="9"/>
        <v>78.362788866749625</v>
      </c>
    </row>
    <row r="7" spans="2:22" x14ac:dyDescent="0.25">
      <c r="B7" s="3" t="s">
        <v>6</v>
      </c>
      <c r="C7">
        <v>10.062294610778443</v>
      </c>
      <c r="D7">
        <f t="shared" si="3"/>
        <v>1.0062294610778443E-2</v>
      </c>
      <c r="E7">
        <v>4.1686938347033518E-4</v>
      </c>
      <c r="F7">
        <v>4.142885888312161E-2</v>
      </c>
      <c r="G7">
        <v>4.1428858883121613</v>
      </c>
      <c r="H7">
        <v>4.1686938347033518E-4</v>
      </c>
      <c r="I7" s="3">
        <f>Tabelle1!P8</f>
        <v>95.868666674689706</v>
      </c>
      <c r="K7">
        <f t="shared" si="0"/>
        <v>-1.9973029712517438</v>
      </c>
      <c r="L7">
        <f t="shared" si="1"/>
        <v>0.61730297125174372</v>
      </c>
      <c r="N7" s="3">
        <f t="shared" si="4"/>
        <v>-1.9973029712517438</v>
      </c>
      <c r="O7">
        <f t="shared" si="2"/>
        <v>1.981676687318594</v>
      </c>
      <c r="Q7" s="3">
        <f t="shared" si="5"/>
        <v>1.9816514856258718</v>
      </c>
      <c r="R7" s="3">
        <f t="shared" si="6"/>
        <v>2.5201692722243152E-5</v>
      </c>
      <c r="T7" s="3">
        <f t="shared" si="7"/>
        <v>95.863103669216173</v>
      </c>
      <c r="U7" s="3">
        <f t="shared" si="8"/>
        <v>95.863103669216173</v>
      </c>
      <c r="V7" s="3">
        <f t="shared" si="9"/>
        <v>95.863103669216173</v>
      </c>
    </row>
    <row r="8" spans="2:22" x14ac:dyDescent="0.25">
      <c r="B8" s="3" t="s">
        <v>7</v>
      </c>
      <c r="C8">
        <v>6.047592680986476</v>
      </c>
      <c r="D8">
        <f t="shared" si="3"/>
        <v>6.0475926809864765E-3</v>
      </c>
      <c r="E8">
        <v>3.1622776601683783E-4</v>
      </c>
      <c r="F8">
        <v>5.2289858576463372E-2</v>
      </c>
      <c r="G8">
        <v>5.2289858576463368</v>
      </c>
      <c r="H8">
        <v>3.1622776601683783E-4</v>
      </c>
      <c r="I8" s="3">
        <f>Tabelle1!P9</f>
        <v>123.66133632310542</v>
      </c>
      <c r="K8">
        <f t="shared" si="0"/>
        <v>-2.2184174672351897</v>
      </c>
      <c r="L8">
        <f t="shared" si="1"/>
        <v>0.71841746723518962</v>
      </c>
      <c r="N8" s="3">
        <f t="shared" si="4"/>
        <v>-2.2184174672351897</v>
      </c>
      <c r="O8">
        <f t="shared" si="2"/>
        <v>2.092233935310317</v>
      </c>
      <c r="Q8" s="3">
        <f t="shared" si="5"/>
        <v>2.092208733617595</v>
      </c>
      <c r="R8" s="3">
        <f t="shared" si="6"/>
        <v>2.5201692722021107E-5</v>
      </c>
      <c r="T8" s="3">
        <f t="shared" si="7"/>
        <v>123.6541605824314</v>
      </c>
      <c r="U8" s="3">
        <f t="shared" si="8"/>
        <v>123.6541605824314</v>
      </c>
      <c r="V8" s="3">
        <f t="shared" si="9"/>
        <v>123.6541605824314</v>
      </c>
    </row>
    <row r="9" spans="2:22" x14ac:dyDescent="0.25">
      <c r="B9" s="3" t="s">
        <v>4</v>
      </c>
      <c r="C9">
        <v>5.0091987205117956</v>
      </c>
      <c r="D9">
        <f t="shared" si="3"/>
        <v>5.0091987205117955E-3</v>
      </c>
      <c r="E9">
        <v>2.9512092266663857E-4</v>
      </c>
      <c r="F9">
        <v>5.8915794547772647E-2</v>
      </c>
      <c r="G9">
        <v>5.8915794547772649</v>
      </c>
      <c r="H9">
        <v>2.9512092266663857E-4</v>
      </c>
      <c r="I9" s="3">
        <f>Tabelle1!P10</f>
        <v>135.8754737106423</v>
      </c>
      <c r="K9">
        <f t="shared" si="0"/>
        <v>-2.3002317390212426</v>
      </c>
      <c r="L9">
        <f t="shared" si="1"/>
        <v>0.77023173902124265</v>
      </c>
      <c r="N9" s="3">
        <f t="shared" si="4"/>
        <v>-2.3002317390212426</v>
      </c>
      <c r="O9">
        <f t="shared" si="2"/>
        <v>2.1331410712033434</v>
      </c>
      <c r="Q9" s="3">
        <f t="shared" si="5"/>
        <v>2.1331158695106214</v>
      </c>
      <c r="R9" s="3">
        <f t="shared" si="6"/>
        <v>2.5201692722021107E-5</v>
      </c>
      <c r="T9" s="3">
        <f t="shared" si="7"/>
        <v>135.86758921584138</v>
      </c>
      <c r="U9" s="3">
        <f t="shared" si="8"/>
        <v>135.86758921584138</v>
      </c>
      <c r="V9" s="3">
        <f t="shared" si="9"/>
        <v>135.86758921584138</v>
      </c>
    </row>
    <row r="10" spans="2:22" x14ac:dyDescent="0.25">
      <c r="B10" s="3" t="s">
        <v>8</v>
      </c>
      <c r="C10">
        <v>1.0040019980019981</v>
      </c>
      <c r="D10">
        <f t="shared" si="3"/>
        <v>1.0040019980019981E-3</v>
      </c>
      <c r="E10">
        <v>1.2302687708123794E-4</v>
      </c>
      <c r="F10">
        <v>0.12253648630786201</v>
      </c>
      <c r="G10">
        <v>12.253648630786202</v>
      </c>
      <c r="H10">
        <v>1.2302687708123794E-4</v>
      </c>
      <c r="I10" s="3">
        <f>Tabelle1!P11</f>
        <v>303.49945333384863</v>
      </c>
      <c r="K10">
        <f t="shared" si="0"/>
        <v>-2.9982654229276737</v>
      </c>
      <c r="L10">
        <f t="shared" si="1"/>
        <v>1.0882654229276729</v>
      </c>
      <c r="N10" s="3">
        <f t="shared" si="4"/>
        <v>-2.9982654229276737</v>
      </c>
      <c r="O10">
        <f t="shared" si="2"/>
        <v>2.4821579131565588</v>
      </c>
      <c r="Q10" s="3">
        <f t="shared" si="5"/>
        <v>2.4821327114638367</v>
      </c>
      <c r="R10" s="3">
        <f t="shared" si="6"/>
        <v>2.5201692722021107E-5</v>
      </c>
      <c r="T10" s="3">
        <f t="shared" si="7"/>
        <v>303.48184206231804</v>
      </c>
      <c r="U10" s="3">
        <f t="shared" si="8"/>
        <v>303.48184206231804</v>
      </c>
      <c r="V10" s="3">
        <f t="shared" si="9"/>
        <v>303.48184206231804</v>
      </c>
    </row>
    <row r="11" spans="2:22" x14ac:dyDescent="0.25">
      <c r="B11" s="3" t="s">
        <v>5</v>
      </c>
      <c r="C11">
        <v>0.99700597609561747</v>
      </c>
      <c r="D11">
        <f t="shared" si="3"/>
        <v>9.9700597609561755E-4</v>
      </c>
      <c r="E11">
        <v>1.2302687708123794E-4</v>
      </c>
      <c r="F11">
        <v>0.12339632863889582</v>
      </c>
      <c r="G11">
        <v>12.339632863889582</v>
      </c>
      <c r="H11">
        <v>1.2302687708123794E-4</v>
      </c>
      <c r="I11" s="3">
        <f>Tabelle1!P12</f>
        <v>304.56242441450325</v>
      </c>
      <c r="K11">
        <f t="shared" si="0"/>
        <v>-3.0013022385012111</v>
      </c>
      <c r="L11">
        <f t="shared" si="1"/>
        <v>1.0913022385012106</v>
      </c>
      <c r="N11" s="3">
        <f t="shared" si="4"/>
        <v>-3.0013022385012111</v>
      </c>
      <c r="O11">
        <f t="shared" si="2"/>
        <v>2.4836763209433275</v>
      </c>
      <c r="Q11" s="3">
        <f t="shared" si="5"/>
        <v>2.4836511192506054</v>
      </c>
      <c r="R11" s="3">
        <f t="shared" si="6"/>
        <v>2.5201692722021107E-5</v>
      </c>
      <c r="T11" s="3">
        <f t="shared" si="7"/>
        <v>304.54475146156852</v>
      </c>
      <c r="U11" s="3">
        <f t="shared" si="8"/>
        <v>304.54475146156852</v>
      </c>
      <c r="V11" s="3">
        <f t="shared" si="9"/>
        <v>304.54475146156852</v>
      </c>
    </row>
    <row r="12" spans="2:22" x14ac:dyDescent="0.25">
      <c r="B12" s="3" t="s">
        <v>11</v>
      </c>
      <c r="C12">
        <v>0.80412240415335456</v>
      </c>
      <c r="D12">
        <f t="shared" si="3"/>
        <v>8.0412240415335455E-4</v>
      </c>
      <c r="E12">
        <v>1.0964781961431837E-4</v>
      </c>
      <c r="F12">
        <v>0.1363571255420554</v>
      </c>
      <c r="G12">
        <v>13.63571255420554</v>
      </c>
      <c r="H12">
        <v>1.0964781961431837E-4</v>
      </c>
      <c r="I12" s="3">
        <f>Tabelle1!P13</f>
        <v>339.128368435727</v>
      </c>
      <c r="K12">
        <f t="shared" si="0"/>
        <v>-3.0946778375672555</v>
      </c>
      <c r="L12">
        <f t="shared" si="1"/>
        <v>1.134677837567255</v>
      </c>
      <c r="N12" s="3">
        <f t="shared" si="4"/>
        <v>-3.0946778375672555</v>
      </c>
      <c r="O12">
        <f t="shared" si="2"/>
        <v>2.5303641204763498</v>
      </c>
      <c r="Q12" s="3">
        <f t="shared" si="5"/>
        <v>2.5303389187836278</v>
      </c>
      <c r="R12" s="3">
        <f t="shared" si="6"/>
        <v>2.5201692722021107E-5</v>
      </c>
      <c r="T12" s="3">
        <f t="shared" si="7"/>
        <v>339.10868971237318</v>
      </c>
      <c r="U12" s="3">
        <f t="shared" si="8"/>
        <v>339.10868971237318</v>
      </c>
      <c r="V12" s="3">
        <f t="shared" si="9"/>
        <v>339.10868971237318</v>
      </c>
    </row>
    <row r="13" spans="2:22" x14ac:dyDescent="0.25">
      <c r="B13" s="3" t="s">
        <v>12</v>
      </c>
      <c r="C13">
        <v>0.60675802272274271</v>
      </c>
      <c r="D13">
        <f t="shared" si="3"/>
        <v>6.0675802272274273E-4</v>
      </c>
      <c r="E13">
        <v>9.3325430079699046E-5</v>
      </c>
      <c r="F13">
        <v>0.15380996473835498</v>
      </c>
      <c r="G13">
        <v>15.380996473835499</v>
      </c>
      <c r="H13">
        <v>9.3325430079699046E-5</v>
      </c>
      <c r="I13" s="3">
        <f>Tabelle1!P14</f>
        <v>390.40685798774746</v>
      </c>
      <c r="K13">
        <f t="shared" si="0"/>
        <v>-3.216984472596057</v>
      </c>
      <c r="L13">
        <f t="shared" si="1"/>
        <v>1.1869844725960568</v>
      </c>
      <c r="N13" s="3">
        <f t="shared" si="4"/>
        <v>-3.216984472596057</v>
      </c>
      <c r="O13">
        <f t="shared" si="2"/>
        <v>2.5915174379907504</v>
      </c>
      <c r="Q13" s="3">
        <f t="shared" si="5"/>
        <v>2.5914922362980284</v>
      </c>
      <c r="R13" s="3">
        <f t="shared" si="6"/>
        <v>2.5201692722021107E-5</v>
      </c>
      <c r="T13" s="3">
        <f t="shared" si="7"/>
        <v>390.38420370910558</v>
      </c>
      <c r="U13" s="3">
        <f t="shared" si="8"/>
        <v>390.38420370910558</v>
      </c>
      <c r="V13" s="3">
        <f t="shared" si="9"/>
        <v>390.38420370910558</v>
      </c>
    </row>
    <row r="14" spans="2:22" x14ac:dyDescent="0.25">
      <c r="B14" s="3" t="s">
        <v>9</v>
      </c>
      <c r="C14">
        <v>0.50500699300699303</v>
      </c>
      <c r="D14">
        <f t="shared" si="3"/>
        <v>5.0500699300699305E-4</v>
      </c>
      <c r="E14">
        <v>8.5113803820237487E-5</v>
      </c>
      <c r="F14">
        <v>0.16853985192054335</v>
      </c>
      <c r="G14">
        <v>16.853985192054335</v>
      </c>
      <c r="H14">
        <v>8.5113803820237487E-5</v>
      </c>
      <c r="I14" s="3">
        <f>Tabelle1!P15</f>
        <v>427.93371670556439</v>
      </c>
      <c r="K14">
        <f t="shared" si="0"/>
        <v>-3.296702608013375</v>
      </c>
      <c r="L14">
        <f t="shared" si="1"/>
        <v>1.2267026080133743</v>
      </c>
      <c r="N14" s="3">
        <f t="shared" si="4"/>
        <v>-3.296702608013375</v>
      </c>
      <c r="O14">
        <f t="shared" si="2"/>
        <v>2.6313765056994098</v>
      </c>
      <c r="Q14" s="3">
        <f t="shared" si="5"/>
        <v>2.6313513040066874</v>
      </c>
      <c r="R14" s="3">
        <f t="shared" si="6"/>
        <v>2.5201692722465197E-5</v>
      </c>
      <c r="T14" s="3">
        <f t="shared" si="7"/>
        <v>427.90888484244454</v>
      </c>
      <c r="U14" s="3">
        <f t="shared" si="8"/>
        <v>427.90888484244454</v>
      </c>
      <c r="V14" s="3">
        <f t="shared" si="9"/>
        <v>427.90888484244454</v>
      </c>
    </row>
    <row r="15" spans="2:22" x14ac:dyDescent="0.25">
      <c r="B15" s="3" t="s">
        <v>13</v>
      </c>
      <c r="C15">
        <v>0.4070811727163941</v>
      </c>
      <c r="D15">
        <f t="shared" si="3"/>
        <v>4.0708117271639408E-4</v>
      </c>
      <c r="E15">
        <v>7.4131024130091641E-5</v>
      </c>
      <c r="F15">
        <v>0.18210378936325153</v>
      </c>
      <c r="G15">
        <v>18.210378936325153</v>
      </c>
      <c r="H15">
        <v>7.4131024130091641E-5</v>
      </c>
      <c r="I15" s="3">
        <f>Tabelle1!P16</f>
        <v>476.63364257617928</v>
      </c>
      <c r="K15">
        <f t="shared" si="0"/>
        <v>-3.3903189830405407</v>
      </c>
      <c r="L15">
        <f t="shared" si="1"/>
        <v>1.2603189830405401</v>
      </c>
      <c r="N15" s="3">
        <f t="shared" si="4"/>
        <v>-3.3903189830405407</v>
      </c>
      <c r="O15">
        <f t="shared" si="2"/>
        <v>2.6781846932129922</v>
      </c>
      <c r="Q15" s="3">
        <f t="shared" si="5"/>
        <v>2.6781594915202702</v>
      </c>
      <c r="R15" s="3">
        <f t="shared" si="6"/>
        <v>2.5201692722021107E-5</v>
      </c>
      <c r="T15" s="3">
        <f t="shared" si="7"/>
        <v>476.60598478501049</v>
      </c>
      <c r="U15" s="3">
        <f t="shared" si="8"/>
        <v>476.60598478501049</v>
      </c>
      <c r="V15" s="3">
        <f t="shared" si="9"/>
        <v>476.60598478501049</v>
      </c>
    </row>
    <row r="16" spans="2:22" x14ac:dyDescent="0.25">
      <c r="B16" s="3" t="s">
        <v>14</v>
      </c>
      <c r="C16">
        <v>0.30057991615092827</v>
      </c>
      <c r="D16">
        <f t="shared" si="3"/>
        <v>3.0057991615092827E-4</v>
      </c>
      <c r="E16">
        <v>6.1659500186148184E-5</v>
      </c>
      <c r="F16">
        <v>0.20513513003705641</v>
      </c>
      <c r="G16">
        <v>20.51351300370564</v>
      </c>
      <c r="H16">
        <v>6.1659500186148184E-5</v>
      </c>
      <c r="I16" s="3">
        <f>Tabelle1!P17</f>
        <v>554.68346802409167</v>
      </c>
      <c r="K16">
        <f t="shared" si="0"/>
        <v>-3.5220400410352712</v>
      </c>
      <c r="L16">
        <f t="shared" si="1"/>
        <v>1.3120400410352711</v>
      </c>
      <c r="N16" s="3">
        <f t="shared" si="4"/>
        <v>-3.5220400410352712</v>
      </c>
      <c r="O16">
        <f t="shared" si="2"/>
        <v>2.7440452222103575</v>
      </c>
      <c r="Q16" s="3">
        <f t="shared" si="5"/>
        <v>2.7440200205176355</v>
      </c>
      <c r="R16" s="3">
        <f t="shared" si="6"/>
        <v>2.5201692722021107E-5</v>
      </c>
      <c r="T16" s="3">
        <f t="shared" si="7"/>
        <v>554.65128120773466</v>
      </c>
      <c r="U16" s="3">
        <f t="shared" si="8"/>
        <v>554.65128120773466</v>
      </c>
      <c r="V16" s="3">
        <f t="shared" si="9"/>
        <v>554.65128120773466</v>
      </c>
    </row>
    <row r="17" spans="2:22" x14ac:dyDescent="0.25">
      <c r="B17" s="3" t="s">
        <v>10</v>
      </c>
      <c r="C17">
        <v>0.20047999999999999</v>
      </c>
      <c r="D17">
        <f t="shared" si="3"/>
        <v>2.0048E-4</v>
      </c>
      <c r="E17">
        <v>5.12861383991364E-5</v>
      </c>
      <c r="F17">
        <v>0.25581673183926773</v>
      </c>
      <c r="G17">
        <v>25.581673183926775</v>
      </c>
      <c r="H17">
        <v>5.12861383991364E-5</v>
      </c>
      <c r="I17" s="3">
        <f>Tabelle1!P18</f>
        <v>679.18748508525618</v>
      </c>
      <c r="K17">
        <f t="shared" si="0"/>
        <v>-3.6979289463499252</v>
      </c>
      <c r="L17">
        <f t="shared" si="1"/>
        <v>1.4079289463499245</v>
      </c>
      <c r="N17" s="3">
        <f t="shared" si="4"/>
        <v>-3.6979289463499252</v>
      </c>
      <c r="O17">
        <f t="shared" si="2"/>
        <v>2.8319896748676845</v>
      </c>
      <c r="Q17" s="3">
        <f t="shared" si="5"/>
        <v>2.8319644731749625</v>
      </c>
      <c r="R17" s="3">
        <f t="shared" si="6"/>
        <v>2.5201692722021107E-5</v>
      </c>
      <c r="T17" s="3">
        <f t="shared" si="7"/>
        <v>679.14807362968793</v>
      </c>
      <c r="U17" s="3">
        <f t="shared" si="8"/>
        <v>679.14807362968793</v>
      </c>
      <c r="V17" s="3">
        <f t="shared" si="9"/>
        <v>679.14807362968793</v>
      </c>
    </row>
    <row r="18" spans="2:22" s="8" customFormat="1" ht="15.75" thickBot="1" x14ac:dyDescent="0.3">
      <c r="B18" s="8" t="s">
        <v>15</v>
      </c>
      <c r="C18" s="8">
        <v>0.10089803063457331</v>
      </c>
      <c r="D18" s="8">
        <f t="shared" si="3"/>
        <v>1.0089803063457331E-4</v>
      </c>
      <c r="E18" s="8">
        <v>3.1622776601683748E-5</v>
      </c>
      <c r="F18" s="8">
        <v>0.31341321929476801</v>
      </c>
      <c r="G18" s="8">
        <v>31.341321929476802</v>
      </c>
      <c r="H18" s="8">
        <v>3.1622776601683748E-5</v>
      </c>
      <c r="I18" s="8">
        <f>Tabelle1!P19</f>
        <v>957.37891147760672</v>
      </c>
      <c r="K18" s="8">
        <f t="shared" si="0"/>
        <v>-3.9961173104021825</v>
      </c>
      <c r="L18" s="8">
        <f t="shared" si="1"/>
        <v>1.4961173104021819</v>
      </c>
      <c r="N18" s="8">
        <f t="shared" si="4"/>
        <v>-3.9961173104021825</v>
      </c>
      <c r="O18" s="8">
        <f t="shared" si="2"/>
        <v>2.9810838568938132</v>
      </c>
      <c r="Q18" s="8">
        <f t="shared" si="5"/>
        <v>2.9810586552010911</v>
      </c>
      <c r="R18" s="8">
        <f t="shared" si="6"/>
        <v>2.5201692722021107E-5</v>
      </c>
      <c r="T18" s="8">
        <f t="shared" si="7"/>
        <v>957.32335730845534</v>
      </c>
      <c r="U18" s="8">
        <f t="shared" si="8"/>
        <v>957.32335730845534</v>
      </c>
      <c r="V18" s="8">
        <f t="shared" si="9"/>
        <v>957.32335730845534</v>
      </c>
    </row>
    <row r="19" spans="2:22" x14ac:dyDescent="0.25">
      <c r="N19" t="s">
        <v>64</v>
      </c>
      <c r="R19" s="15" t="s">
        <v>55</v>
      </c>
      <c r="U19" s="15" t="s">
        <v>54</v>
      </c>
    </row>
    <row r="20" spans="2:22" x14ac:dyDescent="0.25">
      <c r="N20">
        <f>SLOPE(O4:O18,N4:N18)</f>
        <v>-0.5</v>
      </c>
      <c r="R20" s="18">
        <v>1.6360028281919833E-16</v>
      </c>
    </row>
  </sheetData>
  <mergeCells count="5">
    <mergeCell ref="T1:V1"/>
    <mergeCell ref="K1:M1"/>
    <mergeCell ref="Q1:R1"/>
    <mergeCell ref="Q2:R2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837D-7A0E-450D-8F3F-ABA26D8F78C3}">
  <dimension ref="A1:W20"/>
  <sheetViews>
    <sheetView topLeftCell="G16" workbookViewId="0">
      <selection activeCell="N3" sqref="N3"/>
    </sheetView>
  </sheetViews>
  <sheetFormatPr baseColWidth="10" defaultRowHeight="15" x14ac:dyDescent="0.25"/>
  <cols>
    <col min="3" max="3" width="13.42578125" bestFit="1" customWidth="1"/>
    <col min="4" max="4" width="12" bestFit="1" customWidth="1"/>
    <col min="5" max="5" width="29.5703125" bestFit="1" customWidth="1"/>
    <col min="6" max="6" width="12" bestFit="1" customWidth="1"/>
    <col min="7" max="7" width="12.5703125" bestFit="1" customWidth="1"/>
    <col min="8" max="8" width="19.140625" bestFit="1" customWidth="1"/>
    <col min="10" max="11" width="14.85546875" bestFit="1" customWidth="1"/>
    <col min="13" max="13" width="13.28515625" bestFit="1" customWidth="1"/>
    <col min="14" max="14" width="13.42578125" bestFit="1" customWidth="1"/>
  </cols>
  <sheetData>
    <row r="1" spans="1:23" ht="26.25" x14ac:dyDescent="0.4">
      <c r="J1" s="23" t="s">
        <v>41</v>
      </c>
      <c r="K1" s="23"/>
      <c r="L1" s="23"/>
      <c r="M1" s="23" t="s">
        <v>42</v>
      </c>
      <c r="N1" s="23"/>
      <c r="O1" s="23"/>
      <c r="P1" s="23" t="s">
        <v>43</v>
      </c>
      <c r="Q1" s="23"/>
      <c r="S1" s="23" t="s">
        <v>45</v>
      </c>
      <c r="T1" s="23"/>
      <c r="U1" s="23"/>
    </row>
    <row r="2" spans="1:23" x14ac:dyDescent="0.25">
      <c r="P2" s="24" t="s">
        <v>62</v>
      </c>
      <c r="Q2" s="24"/>
    </row>
    <row r="3" spans="1:23" s="7" customFormat="1" ht="15.75" thickBot="1" x14ac:dyDescent="0.3">
      <c r="B3" s="7" t="s">
        <v>0</v>
      </c>
      <c r="C3" s="7" t="s">
        <v>40</v>
      </c>
      <c r="D3" s="7" t="s">
        <v>28</v>
      </c>
      <c r="E3" s="7" t="s">
        <v>38</v>
      </c>
      <c r="F3" s="7" t="s">
        <v>39</v>
      </c>
      <c r="G3" s="7" t="s">
        <v>32</v>
      </c>
      <c r="H3" s="7" t="s">
        <v>35</v>
      </c>
      <c r="J3" s="7" t="s">
        <v>52</v>
      </c>
      <c r="K3" s="7" t="s">
        <v>51</v>
      </c>
      <c r="M3" s="7" t="s">
        <v>53</v>
      </c>
      <c r="N3" s="7" t="s">
        <v>49</v>
      </c>
      <c r="P3" s="7" t="s">
        <v>50</v>
      </c>
      <c r="Q3" s="7" t="s">
        <v>43</v>
      </c>
      <c r="S3" s="7" t="s">
        <v>47</v>
      </c>
      <c r="T3" s="7" t="s">
        <v>46</v>
      </c>
      <c r="U3" s="7" t="s">
        <v>48</v>
      </c>
    </row>
    <row r="4" spans="1:23" s="7" customFormat="1" ht="15.75" thickBot="1" x14ac:dyDescent="0.3">
      <c r="A4"/>
      <c r="B4" s="3" t="s">
        <v>1</v>
      </c>
      <c r="C4" s="3">
        <v>5.0011999999999994E-2</v>
      </c>
      <c r="D4">
        <v>8.7096358995607975E-4</v>
      </c>
      <c r="E4">
        <v>1.7415092176999117E-2</v>
      </c>
      <c r="F4">
        <v>1.7415092176999116</v>
      </c>
      <c r="G4">
        <v>8.7096358995607975E-4</v>
      </c>
      <c r="H4" s="12">
        <f>Tabelle1!V5</f>
        <v>44.070389777828453</v>
      </c>
      <c r="I4"/>
      <c r="J4">
        <f>LOG(C4)</f>
        <v>-1.3009257774940046</v>
      </c>
      <c r="K4" s="12">
        <f>LOG(F4)</f>
        <v>0.24092577749400421</v>
      </c>
      <c r="L4"/>
      <c r="M4" s="12">
        <f>J4</f>
        <v>-1.3009257774940046</v>
      </c>
      <c r="N4" s="3">
        <f>LOG(H4)</f>
        <v>1.6441468916175086</v>
      </c>
      <c r="O4"/>
      <c r="P4" s="3">
        <f>$M$19*LOG(C4) + 0.9937</f>
        <v>1.6441628887470023</v>
      </c>
      <c r="Q4" s="12">
        <f>N4-P4</f>
        <v>-1.5997129493738882E-5</v>
      </c>
      <c r="R4"/>
      <c r="S4" s="12">
        <f>T4-$R$20</f>
        <v>44.072013129599902</v>
      </c>
      <c r="T4" s="3">
        <f>10^(P4)</f>
        <v>44.072013129599902</v>
      </c>
      <c r="U4" s="12">
        <f>T4+$R$20</f>
        <v>44.072013129599902</v>
      </c>
      <c r="V4" s="1"/>
      <c r="W4" s="1"/>
    </row>
    <row r="5" spans="1:23" x14ac:dyDescent="0.25">
      <c r="B5" s="3" t="s">
        <v>2</v>
      </c>
      <c r="C5" s="3">
        <v>2.5005999999999997E-2</v>
      </c>
      <c r="D5">
        <v>6.3095734448019244E-4</v>
      </c>
      <c r="E5">
        <v>2.5232238042077602E-2</v>
      </c>
      <c r="F5">
        <v>2.5232238042077602</v>
      </c>
      <c r="G5">
        <v>6.3095734448019244E-4</v>
      </c>
      <c r="H5" s="3">
        <f>Tabelle1!V6</f>
        <v>62.324942922873618</v>
      </c>
      <c r="J5">
        <f t="shared" ref="J5:J18" si="0">LOG(C5)</f>
        <v>-1.6019557731579859</v>
      </c>
      <c r="K5" s="3">
        <f t="shared" ref="K5:K18" si="1">LOG(F5)</f>
        <v>0.40195577315798531</v>
      </c>
      <c r="M5" s="3">
        <f t="shared" ref="M5:M18" si="2">J5</f>
        <v>-1.6019557731579859</v>
      </c>
      <c r="N5" s="3">
        <f t="shared" ref="N5:N18" si="3">LOG(H5)</f>
        <v>1.7946618894494992</v>
      </c>
      <c r="P5" s="3">
        <f t="shared" ref="P5:P18" si="4">$M$19*LOG(C5) + 0.9937</f>
        <v>1.7946778865789932</v>
      </c>
      <c r="Q5" s="3">
        <f t="shared" ref="Q5:Q18" si="5">N5-P5</f>
        <v>-1.5997129493960927E-5</v>
      </c>
      <c r="S5" s="3">
        <f t="shared" ref="S5:S18" si="6">T5-$R$20</f>
        <v>62.327238688965323</v>
      </c>
      <c r="T5" s="3">
        <f t="shared" ref="T5:T18" si="7">10^(P5)</f>
        <v>62.327238688965323</v>
      </c>
      <c r="U5" s="3">
        <f t="shared" ref="U5:U18" si="8">T5+$R$20</f>
        <v>62.327238688965323</v>
      </c>
      <c r="V5" s="3"/>
      <c r="W5" s="3"/>
    </row>
    <row r="6" spans="1:23" x14ac:dyDescent="0.25">
      <c r="B6" s="3" t="s">
        <v>3</v>
      </c>
      <c r="C6" s="3">
        <v>1.5058448654037888E-2</v>
      </c>
      <c r="D6">
        <v>4.7863009232263827E-4</v>
      </c>
      <c r="E6">
        <v>3.1784820821784632E-2</v>
      </c>
      <c r="F6">
        <v>3.178482082178463</v>
      </c>
      <c r="G6">
        <v>4.7863009232263827E-4</v>
      </c>
      <c r="H6" s="3">
        <f>Tabelle1!V7</f>
        <v>80.314486436592659</v>
      </c>
      <c r="J6">
        <f t="shared" si="0"/>
        <v>-1.822219767557272</v>
      </c>
      <c r="K6" s="3">
        <f t="shared" si="1"/>
        <v>0.50221976755727193</v>
      </c>
      <c r="M6" s="3">
        <f t="shared" si="2"/>
        <v>-1.822219767557272</v>
      </c>
      <c r="N6" s="3">
        <f t="shared" si="3"/>
        <v>1.9047938866491423</v>
      </c>
      <c r="P6" s="3">
        <f t="shared" si="4"/>
        <v>1.9048098837786362</v>
      </c>
      <c r="Q6" s="3">
        <f t="shared" si="5"/>
        <v>-1.5997129493960927E-5</v>
      </c>
      <c r="S6" s="3">
        <f t="shared" si="6"/>
        <v>80.317444855260803</v>
      </c>
      <c r="T6" s="3">
        <f t="shared" si="7"/>
        <v>80.317444855260803</v>
      </c>
      <c r="U6" s="3">
        <f t="shared" si="8"/>
        <v>80.317444855260803</v>
      </c>
      <c r="V6" s="3"/>
      <c r="W6" s="3"/>
    </row>
    <row r="7" spans="1:23" x14ac:dyDescent="0.25">
      <c r="B7" s="3" t="s">
        <v>6</v>
      </c>
      <c r="C7" s="3">
        <v>1.0062294610778443E-2</v>
      </c>
      <c r="D7">
        <v>3.8904514499428012E-4</v>
      </c>
      <c r="E7">
        <v>3.8663660729784839E-2</v>
      </c>
      <c r="F7">
        <v>3.8663660729784839</v>
      </c>
      <c r="G7">
        <v>3.8904514499428012E-4</v>
      </c>
      <c r="H7" s="3">
        <f>Tabelle1!V8</f>
        <v>98.250662728490695</v>
      </c>
      <c r="J7">
        <f t="shared" si="0"/>
        <v>-1.9973029712517438</v>
      </c>
      <c r="K7" s="3">
        <f t="shared" si="1"/>
        <v>0.58730297125174336</v>
      </c>
      <c r="M7" s="3">
        <f t="shared" si="2"/>
        <v>-1.9973029712517438</v>
      </c>
      <c r="N7" s="3">
        <f t="shared" si="3"/>
        <v>1.9923354884963782</v>
      </c>
      <c r="P7" s="3">
        <f t="shared" si="4"/>
        <v>1.9923514856258722</v>
      </c>
      <c r="Q7" s="3">
        <f t="shared" si="5"/>
        <v>-1.5997129493960927E-5</v>
      </c>
      <c r="S7" s="3">
        <f t="shared" si="6"/>
        <v>98.254281833930719</v>
      </c>
      <c r="T7" s="3">
        <f t="shared" si="7"/>
        <v>98.254281833930719</v>
      </c>
      <c r="U7" s="3">
        <f t="shared" si="8"/>
        <v>98.254281833930719</v>
      </c>
      <c r="V7" s="3"/>
      <c r="W7" s="3"/>
    </row>
    <row r="8" spans="1:23" x14ac:dyDescent="0.25">
      <c r="B8" s="3" t="s">
        <v>7</v>
      </c>
      <c r="C8" s="3">
        <v>6.0475926809864765E-3</v>
      </c>
      <c r="D8">
        <v>2.9512092266663857E-4</v>
      </c>
      <c r="E8">
        <v>4.879973540455089E-2</v>
      </c>
      <c r="F8">
        <v>4.8799735404550892</v>
      </c>
      <c r="G8">
        <v>2.9512092266663857E-4</v>
      </c>
      <c r="H8" s="3">
        <f>Tabelle1!V9</f>
        <v>126.73388155969377</v>
      </c>
      <c r="J8">
        <f t="shared" si="0"/>
        <v>-2.2184174672351897</v>
      </c>
      <c r="K8" s="3">
        <f t="shared" si="1"/>
        <v>0.68841746723518982</v>
      </c>
      <c r="M8" s="3">
        <f t="shared" si="2"/>
        <v>-2.2184174672351897</v>
      </c>
      <c r="N8" s="3">
        <f t="shared" si="3"/>
        <v>2.1028927364881014</v>
      </c>
      <c r="P8" s="3">
        <f t="shared" si="4"/>
        <v>2.1029087336175953</v>
      </c>
      <c r="Q8" s="3">
        <f t="shared" si="5"/>
        <v>-1.5997129493960927E-5</v>
      </c>
      <c r="S8" s="3">
        <f t="shared" si="6"/>
        <v>126.73854985675619</v>
      </c>
      <c r="T8" s="3">
        <f t="shared" si="7"/>
        <v>126.73854985675619</v>
      </c>
      <c r="U8" s="3">
        <f t="shared" si="8"/>
        <v>126.73854985675619</v>
      </c>
      <c r="V8" s="3"/>
      <c r="W8" s="3"/>
    </row>
    <row r="9" spans="1:23" x14ac:dyDescent="0.25">
      <c r="B9" s="3" t="s">
        <v>4</v>
      </c>
      <c r="C9" s="3">
        <v>5.0091987205117955E-3</v>
      </c>
      <c r="D9">
        <v>2.6915348039269167E-4</v>
      </c>
      <c r="E9">
        <v>5.3731843236834484E-2</v>
      </c>
      <c r="F9">
        <v>5.3731843236834482</v>
      </c>
      <c r="G9">
        <v>2.6915348039269167E-4</v>
      </c>
      <c r="H9" s="3">
        <f>Tabelle1!V10</f>
        <v>139.25149690376065</v>
      </c>
      <c r="J9">
        <f t="shared" si="0"/>
        <v>-2.3002317390212426</v>
      </c>
      <c r="K9" s="3">
        <f t="shared" si="1"/>
        <v>0.73023173902124272</v>
      </c>
      <c r="M9" s="3">
        <f t="shared" si="2"/>
        <v>-2.3002317390212426</v>
      </c>
      <c r="N9" s="3">
        <f t="shared" si="3"/>
        <v>2.1437998723811273</v>
      </c>
      <c r="P9" s="3">
        <f t="shared" si="4"/>
        <v>2.1438158695106218</v>
      </c>
      <c r="Q9" s="3">
        <f t="shared" si="5"/>
        <v>-1.5997129494405016E-5</v>
      </c>
      <c r="S9" s="3">
        <f t="shared" si="6"/>
        <v>139.25662629257076</v>
      </c>
      <c r="T9" s="3">
        <f t="shared" si="7"/>
        <v>139.25662629257076</v>
      </c>
      <c r="U9" s="3">
        <f t="shared" si="8"/>
        <v>139.25662629257076</v>
      </c>
      <c r="V9" s="3"/>
      <c r="W9" s="3"/>
    </row>
    <row r="10" spans="1:23" x14ac:dyDescent="0.25">
      <c r="B10" s="3" t="s">
        <v>8</v>
      </c>
      <c r="C10" s="3">
        <v>1.0040019980019981E-3</v>
      </c>
      <c r="D10">
        <v>1.148153621496881E-4</v>
      </c>
      <c r="E10">
        <v>0.11435770285136385</v>
      </c>
      <c r="F10">
        <v>11.435770285136385</v>
      </c>
      <c r="G10">
        <v>1.148153621496881E-4</v>
      </c>
      <c r="H10" s="3">
        <f>Tabelle1!V11</f>
        <v>311.04033739167232</v>
      </c>
      <c r="J10">
        <f t="shared" si="0"/>
        <v>-2.9982654229276737</v>
      </c>
      <c r="K10" s="3">
        <f t="shared" si="1"/>
        <v>1.0582654229276729</v>
      </c>
      <c r="M10" s="3">
        <f t="shared" si="2"/>
        <v>-2.9982654229276737</v>
      </c>
      <c r="N10" s="3">
        <f t="shared" si="3"/>
        <v>2.4928167143343432</v>
      </c>
      <c r="P10" s="3">
        <f t="shared" si="4"/>
        <v>2.4928327114638371</v>
      </c>
      <c r="Q10" s="3">
        <f t="shared" si="5"/>
        <v>-1.5997129493960927E-5</v>
      </c>
      <c r="S10" s="3">
        <f t="shared" si="6"/>
        <v>311.05179469634453</v>
      </c>
      <c r="T10" s="3">
        <f t="shared" si="7"/>
        <v>311.05179469634453</v>
      </c>
      <c r="U10" s="3">
        <f t="shared" si="8"/>
        <v>311.05179469634453</v>
      </c>
      <c r="V10" s="3"/>
      <c r="W10" s="3"/>
    </row>
    <row r="11" spans="1:23" x14ac:dyDescent="0.25">
      <c r="B11" s="3" t="s">
        <v>5</v>
      </c>
      <c r="C11" s="3">
        <v>9.9700597609561755E-4</v>
      </c>
      <c r="D11">
        <v>1.148153621496881E-4</v>
      </c>
      <c r="E11">
        <v>0.11516015440480848</v>
      </c>
      <c r="F11">
        <v>11.516015440480848</v>
      </c>
      <c r="G11">
        <v>1.148153621496881E-4</v>
      </c>
      <c r="H11" s="3">
        <f>Tabelle1!V12</f>
        <v>312.12971953036345</v>
      </c>
      <c r="J11">
        <f t="shared" si="0"/>
        <v>-3.0013022385012111</v>
      </c>
      <c r="K11" s="3">
        <f t="shared" si="1"/>
        <v>1.0613022385012107</v>
      </c>
      <c r="M11" s="3">
        <f t="shared" si="2"/>
        <v>-3.0013022385012111</v>
      </c>
      <c r="N11" s="3">
        <f t="shared" si="3"/>
        <v>2.4943351221211119</v>
      </c>
      <c r="P11" s="3">
        <f t="shared" si="4"/>
        <v>2.4943511192506058</v>
      </c>
      <c r="Q11" s="3">
        <f t="shared" si="5"/>
        <v>-1.5997129493960927E-5</v>
      </c>
      <c r="S11" s="3">
        <f t="shared" si="6"/>
        <v>312.14121696289538</v>
      </c>
      <c r="T11" s="3">
        <f t="shared" si="7"/>
        <v>312.14121696289538</v>
      </c>
      <c r="U11" s="3">
        <f t="shared" si="8"/>
        <v>312.14121696289538</v>
      </c>
      <c r="V11" s="3"/>
      <c r="W11" s="3"/>
    </row>
    <row r="12" spans="1:23" x14ac:dyDescent="0.25">
      <c r="B12" s="3" t="s">
        <v>11</v>
      </c>
      <c r="C12" s="3">
        <v>8.0412240415335455E-4</v>
      </c>
      <c r="D12">
        <v>1E-4</v>
      </c>
      <c r="E12">
        <v>0.12435917651776925</v>
      </c>
      <c r="F12">
        <v>12.435917651776924</v>
      </c>
      <c r="G12">
        <v>1E-4</v>
      </c>
      <c r="H12" s="3">
        <f>Tabelle1!V13</f>
        <v>347.5545045588774</v>
      </c>
      <c r="J12">
        <f t="shared" si="0"/>
        <v>-3.0946778375672555</v>
      </c>
      <c r="K12" s="3">
        <f t="shared" si="1"/>
        <v>1.0946778375672555</v>
      </c>
      <c r="M12" s="3">
        <f t="shared" si="2"/>
        <v>-3.0946778375672555</v>
      </c>
      <c r="N12" s="3">
        <f t="shared" si="3"/>
        <v>2.5410229216541338</v>
      </c>
      <c r="P12" s="3">
        <f t="shared" si="4"/>
        <v>2.5410389187836282</v>
      </c>
      <c r="Q12" s="3">
        <f t="shared" si="5"/>
        <v>-1.5997129494405016E-5</v>
      </c>
      <c r="S12" s="3">
        <f t="shared" si="6"/>
        <v>347.56730687860983</v>
      </c>
      <c r="T12" s="3">
        <f t="shared" si="7"/>
        <v>347.56730687860983</v>
      </c>
      <c r="U12" s="3">
        <f t="shared" si="8"/>
        <v>347.56730687860983</v>
      </c>
      <c r="V12" s="3"/>
      <c r="W12" s="3"/>
    </row>
    <row r="13" spans="1:23" x14ac:dyDescent="0.25">
      <c r="B13" s="3" t="s">
        <v>12</v>
      </c>
      <c r="C13" s="3">
        <v>6.0675802272274273E-4</v>
      </c>
      <c r="D13">
        <v>8.5113803820237487E-5</v>
      </c>
      <c r="E13">
        <v>0.14027635504232983</v>
      </c>
      <c r="F13">
        <v>14.027635504232983</v>
      </c>
      <c r="G13">
        <v>8.5113803820237487E-5</v>
      </c>
      <c r="H13" s="3">
        <f>Tabelle1!V14</f>
        <v>400.10708254870059</v>
      </c>
      <c r="J13">
        <f t="shared" si="0"/>
        <v>-3.216984472596057</v>
      </c>
      <c r="K13" s="3">
        <f t="shared" si="1"/>
        <v>1.1469844725960561</v>
      </c>
      <c r="M13" s="3">
        <f t="shared" si="2"/>
        <v>-3.216984472596057</v>
      </c>
      <c r="N13" s="3">
        <f t="shared" si="3"/>
        <v>2.6021762391685348</v>
      </c>
      <c r="P13" s="3">
        <f t="shared" si="4"/>
        <v>2.6021922362980288</v>
      </c>
      <c r="Q13" s="3">
        <f t="shared" si="5"/>
        <v>-1.5997129493960927E-5</v>
      </c>
      <c r="S13" s="3">
        <f t="shared" si="6"/>
        <v>400.1218206652573</v>
      </c>
      <c r="T13" s="3">
        <f t="shared" si="7"/>
        <v>400.1218206652573</v>
      </c>
      <c r="U13" s="3">
        <f t="shared" si="8"/>
        <v>400.1218206652573</v>
      </c>
      <c r="V13" s="3"/>
      <c r="W13" s="3"/>
    </row>
    <row r="14" spans="1:23" x14ac:dyDescent="0.25">
      <c r="B14" s="3" t="s">
        <v>9</v>
      </c>
      <c r="C14" s="3">
        <v>5.0500699300699305E-4</v>
      </c>
      <c r="D14">
        <v>7.7624711662869057E-5</v>
      </c>
      <c r="E14">
        <v>0.15371017181497554</v>
      </c>
      <c r="F14">
        <v>15.371017181497553</v>
      </c>
      <c r="G14">
        <v>7.7624711662869057E-5</v>
      </c>
      <c r="H14" s="3">
        <f>Tabelle1!V15</f>
        <v>438.56635049341025</v>
      </c>
      <c r="J14">
        <f t="shared" si="0"/>
        <v>-3.296702608013375</v>
      </c>
      <c r="K14" s="3">
        <f t="shared" si="1"/>
        <v>1.1867026080133745</v>
      </c>
      <c r="M14" s="3">
        <f t="shared" si="2"/>
        <v>-3.296702608013375</v>
      </c>
      <c r="N14" s="3">
        <f t="shared" si="3"/>
        <v>2.6420353068771938</v>
      </c>
      <c r="P14" s="3">
        <f t="shared" si="4"/>
        <v>2.6420513040066878</v>
      </c>
      <c r="Q14" s="3">
        <f t="shared" si="5"/>
        <v>-1.5997129493960927E-5</v>
      </c>
      <c r="S14" s="3">
        <f t="shared" si="6"/>
        <v>438.58250527365095</v>
      </c>
      <c r="T14" s="3">
        <f t="shared" si="7"/>
        <v>438.58250527365095</v>
      </c>
      <c r="U14" s="3">
        <f t="shared" si="8"/>
        <v>438.58250527365095</v>
      </c>
      <c r="V14" s="3"/>
      <c r="W14" s="3"/>
    </row>
    <row r="15" spans="1:23" x14ac:dyDescent="0.25">
      <c r="B15" s="3" t="s">
        <v>13</v>
      </c>
      <c r="C15" s="3">
        <v>4.0708117271639408E-4</v>
      </c>
      <c r="D15">
        <v>6.9183097091893571E-5</v>
      </c>
      <c r="E15">
        <v>0.16994914461468388</v>
      </c>
      <c r="F15">
        <v>16.994914461468387</v>
      </c>
      <c r="G15">
        <v>6.9183097091893571E-5</v>
      </c>
      <c r="H15" s="3">
        <f>Tabelle1!V16</f>
        <v>488.4762966476892</v>
      </c>
      <c r="J15">
        <f t="shared" si="0"/>
        <v>-3.3903189830405407</v>
      </c>
      <c r="K15" s="3">
        <f t="shared" si="1"/>
        <v>1.2303189830405401</v>
      </c>
      <c r="M15" s="3">
        <f t="shared" si="2"/>
        <v>-3.3903189830405407</v>
      </c>
      <c r="N15" s="3">
        <f t="shared" si="3"/>
        <v>2.6888434943907766</v>
      </c>
      <c r="P15" s="3">
        <f t="shared" si="4"/>
        <v>2.6888594915202706</v>
      </c>
      <c r="Q15" s="3">
        <f t="shared" si="5"/>
        <v>-1.5997129493960927E-5</v>
      </c>
      <c r="S15" s="3">
        <f t="shared" si="6"/>
        <v>488.49428988227345</v>
      </c>
      <c r="T15" s="3">
        <f t="shared" si="7"/>
        <v>488.49428988227345</v>
      </c>
      <c r="U15" s="3">
        <f t="shared" si="8"/>
        <v>488.49428988227345</v>
      </c>
      <c r="V15" s="3"/>
      <c r="W15" s="3"/>
    </row>
    <row r="16" spans="1:23" x14ac:dyDescent="0.25">
      <c r="B16" s="3" t="s">
        <v>14</v>
      </c>
      <c r="C16" s="3">
        <v>3.0057991615092827E-4</v>
      </c>
      <c r="D16">
        <v>5.4954087385762447E-5</v>
      </c>
      <c r="E16">
        <v>0.18282687708971448</v>
      </c>
      <c r="F16">
        <v>18.282687708971448</v>
      </c>
      <c r="G16">
        <v>5.4954087385762447E-5</v>
      </c>
      <c r="H16" s="3">
        <f>Tabelle1!V17</f>
        <v>568.46538319795582</v>
      </c>
      <c r="J16">
        <f t="shared" si="0"/>
        <v>-3.5220400410352712</v>
      </c>
      <c r="K16" s="3">
        <f t="shared" si="1"/>
        <v>1.2620400410352712</v>
      </c>
      <c r="M16" s="3">
        <f t="shared" si="2"/>
        <v>-3.5220400410352712</v>
      </c>
      <c r="N16" s="3">
        <f t="shared" si="3"/>
        <v>2.7547040233881419</v>
      </c>
      <c r="P16" s="3">
        <f t="shared" si="4"/>
        <v>2.7547200205176363</v>
      </c>
      <c r="Q16" s="3">
        <f t="shared" si="5"/>
        <v>-1.5997129494405016E-5</v>
      </c>
      <c r="S16" s="3">
        <f t="shared" si="6"/>
        <v>568.48632286496377</v>
      </c>
      <c r="T16" s="3">
        <f t="shared" si="7"/>
        <v>568.48632286496377</v>
      </c>
      <c r="U16" s="3">
        <f t="shared" si="8"/>
        <v>568.48632286496377</v>
      </c>
      <c r="V16" s="3"/>
      <c r="W16" s="3"/>
    </row>
    <row r="17" spans="1:23" x14ac:dyDescent="0.25">
      <c r="B17" s="3" t="s">
        <v>10</v>
      </c>
      <c r="C17" s="3">
        <v>2.0048E-4</v>
      </c>
      <c r="D17">
        <v>4.5708818961487455E-5</v>
      </c>
      <c r="E17">
        <v>0.22799690224205635</v>
      </c>
      <c r="F17">
        <v>22.799690224205634</v>
      </c>
      <c r="G17">
        <v>4.5708818961487455E-5</v>
      </c>
      <c r="H17" s="3">
        <f>Tabelle1!V18</f>
        <v>696.06288312071467</v>
      </c>
      <c r="J17">
        <f t="shared" si="0"/>
        <v>-3.6979289463499252</v>
      </c>
      <c r="K17" s="3">
        <f t="shared" si="1"/>
        <v>1.3579289463499247</v>
      </c>
      <c r="M17" s="3">
        <f t="shared" si="2"/>
        <v>-3.6979289463499252</v>
      </c>
      <c r="N17" s="3">
        <f t="shared" si="3"/>
        <v>2.8426484760454689</v>
      </c>
      <c r="P17" s="3">
        <f t="shared" si="4"/>
        <v>2.8426644731749633</v>
      </c>
      <c r="Q17" s="3">
        <f t="shared" si="5"/>
        <v>-1.5997129494405016E-5</v>
      </c>
      <c r="S17" s="3">
        <f t="shared" si="6"/>
        <v>696.08852289653908</v>
      </c>
      <c r="T17" s="3">
        <f t="shared" si="7"/>
        <v>696.08852289653908</v>
      </c>
      <c r="U17" s="3">
        <f t="shared" si="8"/>
        <v>696.08852289653908</v>
      </c>
      <c r="V17" s="3"/>
      <c r="W17" s="3"/>
    </row>
    <row r="18" spans="1:23" s="8" customFormat="1" ht="15.75" thickBot="1" x14ac:dyDescent="0.3">
      <c r="B18" s="8" t="s">
        <v>15</v>
      </c>
      <c r="C18" s="8">
        <v>1.0089803063457331E-4</v>
      </c>
      <c r="D18" s="8">
        <v>2.8840315031266029E-5</v>
      </c>
      <c r="E18" s="8">
        <v>0.28583625319425932</v>
      </c>
      <c r="F18" s="8">
        <v>28.583625319425931</v>
      </c>
      <c r="G18" s="8">
        <v>2.8840315031266029E-5</v>
      </c>
      <c r="H18" s="8">
        <f>Tabelle1!V19</f>
        <v>981.16637893942357</v>
      </c>
      <c r="J18" s="8">
        <f t="shared" si="0"/>
        <v>-3.9961173104021825</v>
      </c>
      <c r="K18" s="8">
        <f t="shared" si="1"/>
        <v>1.4561173104021821</v>
      </c>
      <c r="M18" s="8">
        <f t="shared" si="2"/>
        <v>-3.9961173104021825</v>
      </c>
      <c r="N18" s="8">
        <f t="shared" si="3"/>
        <v>2.9917426580715976</v>
      </c>
      <c r="P18" s="8">
        <f t="shared" si="4"/>
        <v>2.9917586552010915</v>
      </c>
      <c r="Q18" s="8">
        <f t="shared" si="5"/>
        <v>-1.5997129493960927E-5</v>
      </c>
      <c r="S18" s="8">
        <f t="shared" si="6"/>
        <v>981.20252062519955</v>
      </c>
      <c r="T18" s="8">
        <f t="shared" si="7"/>
        <v>981.20252062519955</v>
      </c>
      <c r="U18" s="8">
        <f t="shared" si="8"/>
        <v>981.20252062519955</v>
      </c>
    </row>
    <row r="19" spans="1:23" s="8" customFormat="1" ht="15.75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18"/>
      <c r="K19" s="3"/>
      <c r="L19" s="3"/>
      <c r="M19" s="20">
        <f>SLOPE(N4:N18,M4:M18)</f>
        <v>-0.50000000000000011</v>
      </c>
      <c r="N19" s="3"/>
      <c r="O19" s="3"/>
      <c r="P19"/>
      <c r="Q19" s="15" t="s">
        <v>44</v>
      </c>
      <c r="R19"/>
      <c r="S19"/>
      <c r="T19" s="15" t="s">
        <v>54</v>
      </c>
      <c r="U19"/>
      <c r="V19" s="3"/>
      <c r="W19" s="3"/>
    </row>
    <row r="20" spans="1:23" s="3" customFormat="1" x14ac:dyDescent="0.25">
      <c r="P20"/>
      <c r="Q20" s="18">
        <f>_xlfn.STDEV.S(Q4:Q18)</f>
        <v>2.1991972729550359E-16</v>
      </c>
      <c r="R20"/>
      <c r="S20"/>
      <c r="T20"/>
      <c r="U20"/>
    </row>
  </sheetData>
  <mergeCells count="5">
    <mergeCell ref="J1:L1"/>
    <mergeCell ref="M1:O1"/>
    <mergeCell ref="P1:Q1"/>
    <mergeCell ref="S1:U1"/>
    <mergeCell ref="P2:Q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C8E0-3F60-4F3D-A368-7929909E1BCA}">
  <dimension ref="A1:I64"/>
  <sheetViews>
    <sheetView zoomScaleNormal="100" workbookViewId="0">
      <selection activeCell="C5" sqref="C5"/>
    </sheetView>
  </sheetViews>
  <sheetFormatPr baseColWidth="10" defaultRowHeight="15" x14ac:dyDescent="0.25"/>
  <cols>
    <col min="1" max="1" width="15.42578125" bestFit="1" customWidth="1"/>
    <col min="3" max="3" width="28.7109375" bestFit="1" customWidth="1"/>
    <col min="4" max="4" width="15.42578125" bestFit="1" customWidth="1"/>
    <col min="5" max="5" width="18.7109375" customWidth="1"/>
    <col min="6" max="6" width="12" bestFit="1" customWidth="1"/>
    <col min="7" max="7" width="14.85546875" bestFit="1" customWidth="1"/>
  </cols>
  <sheetData>
    <row r="1" spans="1:9" ht="33.75" x14ac:dyDescent="0.5">
      <c r="A1" s="25" t="s">
        <v>78</v>
      </c>
      <c r="B1" s="25"/>
      <c r="C1" s="25"/>
      <c r="D1" s="25"/>
    </row>
    <row r="4" spans="1:9" ht="15.75" thickBot="1" x14ac:dyDescent="0.3">
      <c r="A4" s="26" t="s">
        <v>73</v>
      </c>
      <c r="B4" s="26" t="s">
        <v>70</v>
      </c>
      <c r="C4" s="26" t="s">
        <v>71</v>
      </c>
      <c r="D4" s="26" t="s">
        <v>72</v>
      </c>
      <c r="G4" s="26" t="s">
        <v>76</v>
      </c>
      <c r="H4" s="26" t="s">
        <v>75</v>
      </c>
      <c r="I4" s="26" t="s">
        <v>77</v>
      </c>
    </row>
    <row r="5" spans="1:9" x14ac:dyDescent="0.25">
      <c r="A5" s="33">
        <v>-1.3009257774940046</v>
      </c>
      <c r="B5" s="33">
        <v>0.24092577749400421</v>
      </c>
      <c r="C5" s="33">
        <f>-0.4558*A5-0.3259</f>
        <v>0.26706196938176724</v>
      </c>
      <c r="D5" s="33">
        <f>B5-C5</f>
        <v>-2.6136191887763033E-2</v>
      </c>
      <c r="G5" s="35">
        <f>H5-$D$21</f>
        <v>1.833341740617092</v>
      </c>
      <c r="H5" s="35">
        <f>10^C5</f>
        <v>1.8495325095274355</v>
      </c>
      <c r="I5" s="35">
        <f>H5+$D$21</f>
        <v>1.8657232784377791</v>
      </c>
    </row>
    <row r="6" spans="1:9" x14ac:dyDescent="0.25">
      <c r="A6" s="33">
        <v>-1.6019557731579859</v>
      </c>
      <c r="B6" s="33">
        <v>0.40195577315798531</v>
      </c>
      <c r="C6" s="33">
        <f>-0.4558*A6-0.3259</f>
        <v>0.40427144140540988</v>
      </c>
      <c r="D6" s="33">
        <f>B6-C6</f>
        <v>-2.3156682474245738E-3</v>
      </c>
      <c r="G6" s="35">
        <f>H6-$D$21</f>
        <v>2.5205228551831</v>
      </c>
      <c r="H6" s="35">
        <f t="shared" ref="H6:H19" si="0">10^C6</f>
        <v>2.5367136240934438</v>
      </c>
      <c r="I6" s="35">
        <f>H6+$D$21</f>
        <v>2.5529043930037876</v>
      </c>
    </row>
    <row r="7" spans="1:9" x14ac:dyDescent="0.25">
      <c r="A7" s="33">
        <v>-1.822219767557272</v>
      </c>
      <c r="B7" s="33">
        <v>0.50221976755727193</v>
      </c>
      <c r="C7" s="33">
        <f>-0.4558*A7-0.3259</f>
        <v>0.50466777005260455</v>
      </c>
      <c r="D7" s="33">
        <f>B7-C7</f>
        <v>-2.4480024953326129E-3</v>
      </c>
      <c r="G7" s="35">
        <f>H7-$D$21</f>
        <v>3.1802581610587795</v>
      </c>
      <c r="H7" s="35">
        <f t="shared" si="0"/>
        <v>3.1964489299691232</v>
      </c>
      <c r="I7" s="35">
        <f>H7+$D$21</f>
        <v>3.212639698879467</v>
      </c>
    </row>
    <row r="8" spans="1:9" x14ac:dyDescent="0.25">
      <c r="A8" s="33">
        <v>-1.9973029712517438</v>
      </c>
      <c r="B8" s="33">
        <v>0.58730297125174336</v>
      </c>
      <c r="C8" s="33">
        <f>-0.4558*A8-0.3259</f>
        <v>0.58447069429654475</v>
      </c>
      <c r="D8" s="33">
        <f>B8-C8</f>
        <v>2.8322769551986093E-3</v>
      </c>
      <c r="G8" s="35">
        <f>H8-$D$21</f>
        <v>3.8250426120210426</v>
      </c>
      <c r="H8" s="35">
        <f t="shared" si="0"/>
        <v>3.8412333809313863</v>
      </c>
      <c r="I8" s="35">
        <f>H8+$D$21</f>
        <v>3.8574241498417301</v>
      </c>
    </row>
    <row r="9" spans="1:9" x14ac:dyDescent="0.25">
      <c r="A9" s="33">
        <v>-2.2184174672351897</v>
      </c>
      <c r="B9" s="33">
        <v>0.68841746723518982</v>
      </c>
      <c r="C9" s="33">
        <f>-0.4558*A9-0.3259</f>
        <v>0.68525468156579938</v>
      </c>
      <c r="D9" s="33">
        <f>B9-C9</f>
        <v>3.1627856693904333E-3</v>
      </c>
      <c r="G9" s="35">
        <f>H9-$D$21</f>
        <v>4.8283730521530659</v>
      </c>
      <c r="H9" s="35">
        <f t="shared" si="0"/>
        <v>4.8445638210634092</v>
      </c>
      <c r="I9" s="35">
        <f>H9+$D$21</f>
        <v>4.8607545899737525</v>
      </c>
    </row>
    <row r="10" spans="1:9" x14ac:dyDescent="0.25">
      <c r="A10" s="33">
        <v>-2.3002317390212426</v>
      </c>
      <c r="B10" s="33">
        <v>0.73023173902124272</v>
      </c>
      <c r="C10" s="33">
        <f>-0.4558*A10-0.3259</f>
        <v>0.72254562664588229</v>
      </c>
      <c r="D10" s="33">
        <f>B10-C10</f>
        <v>7.6861123753604321E-3</v>
      </c>
      <c r="G10" s="35">
        <f>H10-$D$21</f>
        <v>5.2627358697659634</v>
      </c>
      <c r="H10" s="35">
        <f t="shared" si="0"/>
        <v>5.2789266386763067</v>
      </c>
      <c r="I10" s="35">
        <f>H10+$D$21</f>
        <v>5.2951174075866501</v>
      </c>
    </row>
    <row r="11" spans="1:9" x14ac:dyDescent="0.25">
      <c r="A11" s="33">
        <v>-2.9982654229276737</v>
      </c>
      <c r="B11" s="33">
        <v>1.0582654229276729</v>
      </c>
      <c r="C11" s="33">
        <f>-0.4558*A11-0.3259</f>
        <v>1.0407093797704337</v>
      </c>
      <c r="D11" s="33">
        <f>B11-C11</f>
        <v>1.7556043157239243E-2</v>
      </c>
      <c r="G11" s="35">
        <f>H11-$D$21</f>
        <v>10.966515782344688</v>
      </c>
      <c r="H11" s="35">
        <f t="shared" si="0"/>
        <v>10.982706551255031</v>
      </c>
      <c r="I11" s="35">
        <f>H11+$D$21</f>
        <v>10.998897320165375</v>
      </c>
    </row>
    <row r="12" spans="1:9" x14ac:dyDescent="0.25">
      <c r="A12" s="33">
        <v>-3.0013022385012111</v>
      </c>
      <c r="B12" s="33">
        <v>1.0613022385012107</v>
      </c>
      <c r="C12" s="33">
        <f>-0.4558*A12-0.3259</f>
        <v>1.0420935603088519</v>
      </c>
      <c r="D12" s="33">
        <f>B12-C12</f>
        <v>1.920867819235883E-2</v>
      </c>
      <c r="G12" s="35">
        <f>H12-$D$21</f>
        <v>11.001575634576589</v>
      </c>
      <c r="H12" s="35">
        <f t="shared" si="0"/>
        <v>11.017766403486933</v>
      </c>
      <c r="I12" s="35">
        <f>H12+$D$21</f>
        <v>11.033957172397276</v>
      </c>
    </row>
    <row r="13" spans="1:9" x14ac:dyDescent="0.25">
      <c r="A13" s="33">
        <v>-3.0946778375672555</v>
      </c>
      <c r="B13" s="33">
        <v>1.0946778375672555</v>
      </c>
      <c r="C13" s="33">
        <f>-0.4558*A13-0.3259</f>
        <v>1.0846541583631548</v>
      </c>
      <c r="D13" s="33">
        <f>B13-C13</f>
        <v>1.0023679204100633E-2</v>
      </c>
      <c r="G13" s="35">
        <f>H13-$D$21</f>
        <v>12.135988241181257</v>
      </c>
      <c r="H13" s="35">
        <f t="shared" si="0"/>
        <v>12.152179010091601</v>
      </c>
      <c r="I13" s="35">
        <f>H13+$D$21</f>
        <v>12.168369779001944</v>
      </c>
    </row>
    <row r="14" spans="1:9" x14ac:dyDescent="0.25">
      <c r="A14" s="33">
        <v>-3.216984472596057</v>
      </c>
      <c r="B14" s="33">
        <v>1.1469844725960561</v>
      </c>
      <c r="C14" s="33">
        <f>-0.4558*A14-0.3259</f>
        <v>1.1404015226092827</v>
      </c>
      <c r="D14" s="33">
        <f>B14-C14</f>
        <v>6.5829499867733343E-3</v>
      </c>
      <c r="G14" s="35">
        <f>H14-$D$21</f>
        <v>13.800419982850917</v>
      </c>
      <c r="H14" s="35">
        <f t="shared" si="0"/>
        <v>13.81661075176126</v>
      </c>
      <c r="I14" s="35">
        <f>H14+$D$21</f>
        <v>13.832801520671604</v>
      </c>
    </row>
    <row r="15" spans="1:9" x14ac:dyDescent="0.25">
      <c r="A15" s="33">
        <v>-3.296702608013375</v>
      </c>
      <c r="B15" s="33">
        <v>1.1867026080133745</v>
      </c>
      <c r="C15" s="33">
        <f>-0.4558*A15-0.3259</f>
        <v>1.1767370487324962</v>
      </c>
      <c r="D15" s="33">
        <f>B15-C15</f>
        <v>9.9655592808782778E-3</v>
      </c>
      <c r="G15" s="35">
        <f>H15-$D$21</f>
        <v>15.006130608006318</v>
      </c>
      <c r="H15" s="35">
        <f t="shared" si="0"/>
        <v>15.022321376916661</v>
      </c>
      <c r="I15" s="35">
        <f>H15+$D$21</f>
        <v>15.038512145827005</v>
      </c>
    </row>
    <row r="16" spans="1:9" x14ac:dyDescent="0.25">
      <c r="A16" s="33">
        <v>-3.3903189830405407</v>
      </c>
      <c r="B16" s="33">
        <v>1.2303189830405401</v>
      </c>
      <c r="C16" s="33">
        <f>-0.4558*A16-0.3259</f>
        <v>1.2194073924698783</v>
      </c>
      <c r="D16" s="33">
        <f>B16-C16</f>
        <v>1.0911590570661822E-2</v>
      </c>
      <c r="G16" s="35">
        <f>H16-$D$21</f>
        <v>16.55704819966973</v>
      </c>
      <c r="H16" s="35">
        <f t="shared" si="0"/>
        <v>16.573238968580075</v>
      </c>
      <c r="I16" s="35">
        <f>H16+$D$21</f>
        <v>16.58942973749042</v>
      </c>
    </row>
    <row r="17" spans="1:9" x14ac:dyDescent="0.25">
      <c r="A17" s="33">
        <v>-3.5220400410352712</v>
      </c>
      <c r="B17" s="33">
        <v>1.2620400410352712</v>
      </c>
      <c r="C17" s="33">
        <f>-0.4558*A17-0.3259</f>
        <v>1.2794458507038764</v>
      </c>
      <c r="D17" s="33">
        <f>B17-C17</f>
        <v>-1.7405809668605166E-2</v>
      </c>
      <c r="G17" s="35">
        <f>H17-$D$21</f>
        <v>19.01411869596004</v>
      </c>
      <c r="H17" s="35">
        <f t="shared" si="0"/>
        <v>19.030309464870385</v>
      </c>
      <c r="I17" s="35">
        <f>H17+$D$21</f>
        <v>19.04650023378073</v>
      </c>
    </row>
    <row r="18" spans="1:9" x14ac:dyDescent="0.25">
      <c r="A18" s="33">
        <v>-3.6979289463499252</v>
      </c>
      <c r="B18" s="33">
        <v>1.3579289463499247</v>
      </c>
      <c r="C18" s="33">
        <f>-0.4558*A18-0.3259</f>
        <v>1.3596160137462958</v>
      </c>
      <c r="D18" s="33">
        <f>B18-C18</f>
        <v>-1.6870673963711447E-3</v>
      </c>
      <c r="G18" s="35">
        <f>H18-$D$21</f>
        <v>22.872239751561363</v>
      </c>
      <c r="H18" s="35">
        <f t="shared" si="0"/>
        <v>22.888430520471708</v>
      </c>
      <c r="I18" s="35">
        <f>H18+$D$21</f>
        <v>22.904621289382053</v>
      </c>
    </row>
    <row r="19" spans="1:9" ht="15.75" thickBot="1" x14ac:dyDescent="0.3">
      <c r="A19" s="34">
        <v>-3.9961173104021825</v>
      </c>
      <c r="B19" s="34">
        <v>1.4561173104021821</v>
      </c>
      <c r="C19" s="34">
        <f>-0.4558*A19-0.3259</f>
        <v>1.4955302700813147</v>
      </c>
      <c r="D19" s="34">
        <f>B19-C19</f>
        <v>-3.9412959679132609E-2</v>
      </c>
      <c r="G19" s="29">
        <f>H19-$D$21</f>
        <v>31.282795392448083</v>
      </c>
      <c r="H19" s="29">
        <f t="shared" si="0"/>
        <v>31.298986161358428</v>
      </c>
      <c r="I19" s="29">
        <f>H19+$D$21</f>
        <v>31.315176930268773</v>
      </c>
    </row>
    <row r="21" spans="1:9" x14ac:dyDescent="0.25">
      <c r="D21">
        <f>_xlfn.STDEV.S(D5:D19)</f>
        <v>1.6190768910343569E-2</v>
      </c>
    </row>
    <row r="24" spans="1:9" ht="33.75" x14ac:dyDescent="0.5">
      <c r="A24" s="25" t="s">
        <v>79</v>
      </c>
      <c r="B24" s="25"/>
      <c r="C24" s="25"/>
      <c r="D24" s="25"/>
    </row>
    <row r="26" spans="1:9" ht="15.75" thickBot="1" x14ac:dyDescent="0.3">
      <c r="A26" s="26" t="s">
        <v>73</v>
      </c>
      <c r="B26" s="26" t="s">
        <v>70</v>
      </c>
      <c r="C26" s="26" t="s">
        <v>71</v>
      </c>
      <c r="D26" s="26" t="s">
        <v>72</v>
      </c>
      <c r="G26" s="26" t="s">
        <v>76</v>
      </c>
      <c r="H26" s="26" t="s">
        <v>75</v>
      </c>
      <c r="I26" s="26" t="s">
        <v>77</v>
      </c>
    </row>
    <row r="27" spans="1:9" x14ac:dyDescent="0.25">
      <c r="A27" s="35">
        <v>-1.3009257774940046</v>
      </c>
      <c r="B27" s="35">
        <v>0.27092577749400448</v>
      </c>
      <c r="C27" s="35">
        <f>-0.4539*A27-0.28</f>
        <v>0.31049021040452873</v>
      </c>
      <c r="D27" s="35">
        <f>B27-C27</f>
        <v>-3.956443291052425E-2</v>
      </c>
      <c r="G27" s="35">
        <f>H27-$D$43</f>
        <v>2.0259995942115525</v>
      </c>
      <c r="H27" s="35">
        <f>10^C27</f>
        <v>2.0440438599206434</v>
      </c>
      <c r="I27" s="35">
        <f>H27+$D$43</f>
        <v>2.0620881256297343</v>
      </c>
    </row>
    <row r="28" spans="1:9" x14ac:dyDescent="0.25">
      <c r="A28" s="35">
        <v>-1.6019557731579859</v>
      </c>
      <c r="B28" s="35">
        <v>0.46195577315798547</v>
      </c>
      <c r="C28" s="35">
        <f t="shared" ref="C28:C41" si="1">-0.4539*A28-0.28</f>
        <v>0.44712772543640977</v>
      </c>
      <c r="D28" s="35">
        <f>B28-C28</f>
        <v>1.4828047721575699E-2</v>
      </c>
      <c r="G28" s="35">
        <f t="shared" ref="G28:G41" si="2">H28-$D$43</f>
        <v>2.7817603517126246</v>
      </c>
      <c r="H28" s="35">
        <f t="shared" ref="H28:H41" si="3">10^C28</f>
        <v>2.7998046174217155</v>
      </c>
      <c r="I28" s="35">
        <f t="shared" ref="I28:I41" si="4">H28+$D$43</f>
        <v>2.8178488831308064</v>
      </c>
    </row>
    <row r="29" spans="1:9" x14ac:dyDescent="0.25">
      <c r="A29" s="35">
        <v>-1.822219767557272</v>
      </c>
      <c r="B29" s="35">
        <v>0.57221976755727166</v>
      </c>
      <c r="C29" s="35">
        <f t="shared" si="1"/>
        <v>0.54710555249424575</v>
      </c>
      <c r="D29" s="35">
        <f>B29-C29</f>
        <v>2.5114215063025913E-2</v>
      </c>
      <c r="G29" s="35">
        <f t="shared" si="2"/>
        <v>3.5065209636468393</v>
      </c>
      <c r="H29" s="35">
        <f t="shared" si="3"/>
        <v>3.5245652293559302</v>
      </c>
      <c r="I29" s="35">
        <f t="shared" si="4"/>
        <v>3.5426094950650211</v>
      </c>
    </row>
    <row r="30" spans="1:9" x14ac:dyDescent="0.25">
      <c r="A30" s="35">
        <v>-1.9973029712517438</v>
      </c>
      <c r="B30" s="35">
        <v>0.61730297125174372</v>
      </c>
      <c r="C30" s="35">
        <f t="shared" si="1"/>
        <v>0.62657581865116652</v>
      </c>
      <c r="D30" s="35">
        <f>B30-C30</f>
        <v>-9.2728473994228011E-3</v>
      </c>
      <c r="G30" s="35">
        <f t="shared" si="2"/>
        <v>4.2142496361620534</v>
      </c>
      <c r="H30" s="35">
        <f t="shared" si="3"/>
        <v>4.2322939018711443</v>
      </c>
      <c r="I30" s="35">
        <f t="shared" si="4"/>
        <v>4.2503381675802352</v>
      </c>
    </row>
    <row r="31" spans="1:9" x14ac:dyDescent="0.25">
      <c r="A31" s="35">
        <v>-2.2184174672351897</v>
      </c>
      <c r="B31" s="35">
        <v>0.71841746723518962</v>
      </c>
      <c r="C31" s="35">
        <f t="shared" si="1"/>
        <v>0.72693968837805256</v>
      </c>
      <c r="D31" s="35">
        <f>B31-C31</f>
        <v>-8.5222211428629402E-3</v>
      </c>
      <c r="G31" s="35">
        <f t="shared" si="2"/>
        <v>5.3145640843350845</v>
      </c>
      <c r="H31" s="35">
        <f t="shared" si="3"/>
        <v>5.3326083500441754</v>
      </c>
      <c r="I31" s="35">
        <f t="shared" si="4"/>
        <v>5.3506526157532663</v>
      </c>
    </row>
    <row r="32" spans="1:9" x14ac:dyDescent="0.25">
      <c r="A32" s="35">
        <v>-2.3002317390212426</v>
      </c>
      <c r="B32" s="35">
        <v>0.77023173902124265</v>
      </c>
      <c r="C32" s="35">
        <f t="shared" si="1"/>
        <v>0.7640751863417421</v>
      </c>
      <c r="D32" s="35">
        <f>B32-C32</f>
        <v>6.1565526795005487E-3</v>
      </c>
      <c r="G32" s="35">
        <f t="shared" si="2"/>
        <v>5.7906054330314936</v>
      </c>
      <c r="H32" s="35">
        <f t="shared" si="3"/>
        <v>5.8086496987405845</v>
      </c>
      <c r="I32" s="35">
        <f t="shared" si="4"/>
        <v>5.8266939644496754</v>
      </c>
    </row>
    <row r="33" spans="1:9" x14ac:dyDescent="0.25">
      <c r="A33" s="35">
        <v>-2.9982654229276737</v>
      </c>
      <c r="B33" s="35">
        <v>1.0882654229276729</v>
      </c>
      <c r="C33" s="35">
        <f t="shared" si="1"/>
        <v>1.0809126754668712</v>
      </c>
      <c r="D33" s="35">
        <f>B33-C33</f>
        <v>7.3527474608017229E-3</v>
      </c>
      <c r="G33" s="35">
        <f t="shared" si="2"/>
        <v>12.029892389697361</v>
      </c>
      <c r="H33" s="35">
        <f t="shared" si="3"/>
        <v>12.047936655406451</v>
      </c>
      <c r="I33" s="35">
        <f t="shared" si="4"/>
        <v>12.065980921115541</v>
      </c>
    </row>
    <row r="34" spans="1:9" x14ac:dyDescent="0.25">
      <c r="A34" s="35">
        <v>-3.0013022385012111</v>
      </c>
      <c r="B34" s="35">
        <v>1.0913022385012106</v>
      </c>
      <c r="C34" s="35">
        <f t="shared" si="1"/>
        <v>1.0822910860556998</v>
      </c>
      <c r="D34" s="35">
        <f>B34-C34</f>
        <v>9.0111524455107617E-3</v>
      </c>
      <c r="G34" s="35">
        <f t="shared" si="2"/>
        <v>12.068192176143539</v>
      </c>
      <c r="H34" s="35">
        <f t="shared" si="3"/>
        <v>12.086236441852629</v>
      </c>
      <c r="I34" s="35">
        <f t="shared" si="4"/>
        <v>12.104280707561719</v>
      </c>
    </row>
    <row r="35" spans="1:9" x14ac:dyDescent="0.25">
      <c r="A35" s="35">
        <v>-3.0946778375672555</v>
      </c>
      <c r="B35" s="35">
        <v>1.134677837567255</v>
      </c>
      <c r="C35" s="35">
        <f t="shared" si="1"/>
        <v>1.1246742704717774</v>
      </c>
      <c r="D35" s="35">
        <f>B35-C35</f>
        <v>1.0003567095477672E-2</v>
      </c>
      <c r="G35" s="35">
        <f t="shared" si="2"/>
        <v>13.307172128856037</v>
      </c>
      <c r="H35" s="35">
        <f t="shared" si="3"/>
        <v>13.325216394565127</v>
      </c>
      <c r="I35" s="35">
        <f t="shared" si="4"/>
        <v>13.343260660274217</v>
      </c>
    </row>
    <row r="36" spans="1:9" x14ac:dyDescent="0.25">
      <c r="A36" s="35">
        <v>-3.216984472596057</v>
      </c>
      <c r="B36" s="35">
        <v>1.1869844725960568</v>
      </c>
      <c r="C36" s="35">
        <f t="shared" si="1"/>
        <v>1.1801892521113504</v>
      </c>
      <c r="D36" s="35">
        <f>B36-C36</f>
        <v>6.7952204847063769E-3</v>
      </c>
      <c r="G36" s="35">
        <f t="shared" si="2"/>
        <v>15.124165288033216</v>
      </c>
      <c r="H36" s="35">
        <f t="shared" si="3"/>
        <v>15.142209553742306</v>
      </c>
      <c r="I36" s="35">
        <f t="shared" si="4"/>
        <v>15.160253819451396</v>
      </c>
    </row>
    <row r="37" spans="1:9" x14ac:dyDescent="0.25">
      <c r="A37" s="35">
        <v>-3.296702608013375</v>
      </c>
      <c r="B37" s="35">
        <v>1.2267026080133743</v>
      </c>
      <c r="C37" s="35">
        <f t="shared" si="1"/>
        <v>1.216373313777271</v>
      </c>
      <c r="D37" s="35">
        <f>B37-C37</f>
        <v>1.0329294236103292E-2</v>
      </c>
      <c r="G37" s="35">
        <f t="shared" si="2"/>
        <v>16.439813844490416</v>
      </c>
      <c r="H37" s="35">
        <f t="shared" si="3"/>
        <v>16.457858110199506</v>
      </c>
      <c r="I37" s="35">
        <f t="shared" si="4"/>
        <v>16.475902375908596</v>
      </c>
    </row>
    <row r="38" spans="1:9" x14ac:dyDescent="0.25">
      <c r="A38" s="35">
        <v>-3.3903189830405407</v>
      </c>
      <c r="B38" s="35">
        <v>1.2603189830405401</v>
      </c>
      <c r="C38" s="35">
        <f t="shared" si="1"/>
        <v>1.2588657864021016</v>
      </c>
      <c r="D38" s="35">
        <f>B38-C38</f>
        <v>1.4531966384385697E-3</v>
      </c>
      <c r="G38" s="35">
        <f t="shared" si="2"/>
        <v>18.13150259141776</v>
      </c>
      <c r="H38" s="35">
        <f t="shared" si="3"/>
        <v>18.14954685712685</v>
      </c>
      <c r="I38" s="35">
        <f t="shared" si="4"/>
        <v>18.16759112283594</v>
      </c>
    </row>
    <row r="39" spans="1:9" x14ac:dyDescent="0.25">
      <c r="A39" s="35">
        <v>-3.5220400410352712</v>
      </c>
      <c r="B39" s="35">
        <v>1.3120400410352711</v>
      </c>
      <c r="C39" s="35">
        <f t="shared" si="1"/>
        <v>1.3186539746259096</v>
      </c>
      <c r="D39" s="35">
        <f>B39-C39</f>
        <v>-6.6139335906385543E-3</v>
      </c>
      <c r="G39" s="35">
        <f t="shared" si="2"/>
        <v>20.81026293894076</v>
      </c>
      <c r="H39" s="35">
        <f t="shared" si="3"/>
        <v>20.82830720464985</v>
      </c>
      <c r="I39" s="35">
        <f t="shared" si="4"/>
        <v>20.84635147035894</v>
      </c>
    </row>
    <row r="40" spans="1:9" x14ac:dyDescent="0.25">
      <c r="A40" s="35">
        <v>-3.6979289463499252</v>
      </c>
      <c r="B40" s="35">
        <v>1.4079289463499245</v>
      </c>
      <c r="C40" s="35">
        <f t="shared" si="1"/>
        <v>1.3984899487482312</v>
      </c>
      <c r="D40" s="35">
        <f>B40-C40</f>
        <v>9.4389976016933108E-3</v>
      </c>
      <c r="G40" s="35">
        <f t="shared" si="2"/>
        <v>25.013632881724863</v>
      </c>
      <c r="H40" s="35">
        <f t="shared" si="3"/>
        <v>25.031677147433953</v>
      </c>
      <c r="I40" s="35">
        <f t="shared" si="4"/>
        <v>25.049721413143043</v>
      </c>
    </row>
    <row r="41" spans="1:9" ht="15.75" thickBot="1" x14ac:dyDescent="0.3">
      <c r="A41" s="29">
        <v>-3.9961173104021825</v>
      </c>
      <c r="B41" s="29">
        <v>1.4961173104021819</v>
      </c>
      <c r="C41" s="29">
        <f t="shared" si="1"/>
        <v>1.5338376471915507</v>
      </c>
      <c r="D41" s="29">
        <f>B41-C41</f>
        <v>-3.7720336789368814E-2</v>
      </c>
      <c r="G41" s="29">
        <f t="shared" si="2"/>
        <v>34.167118117890041</v>
      </c>
      <c r="H41" s="29">
        <f t="shared" si="3"/>
        <v>34.185162383599135</v>
      </c>
      <c r="I41" s="29">
        <f t="shared" si="4"/>
        <v>34.203206649308228</v>
      </c>
    </row>
    <row r="43" spans="1:9" x14ac:dyDescent="0.25">
      <c r="D43" s="37">
        <f>_xlfn.STDEV.S(D27:D41)</f>
        <v>1.804426570909072E-2</v>
      </c>
    </row>
    <row r="45" spans="1:9" ht="36" x14ac:dyDescent="0.55000000000000004">
      <c r="A45" s="36" t="s">
        <v>80</v>
      </c>
      <c r="B45" s="36"/>
      <c r="C45" s="36"/>
      <c r="D45" s="36"/>
      <c r="E45" s="36"/>
    </row>
    <row r="47" spans="1:9" ht="30.75" thickBot="1" x14ac:dyDescent="0.3">
      <c r="B47" s="30" t="s">
        <v>57</v>
      </c>
      <c r="C47" s="31" t="s">
        <v>81</v>
      </c>
      <c r="D47" s="30" t="s">
        <v>59</v>
      </c>
    </row>
    <row r="48" spans="1:9" x14ac:dyDescent="0.25">
      <c r="B48" s="35">
        <f>A27</f>
        <v>-1.3009257774940046</v>
      </c>
      <c r="C48" s="35">
        <f>H5/H27</f>
        <v>0.90483993313100464</v>
      </c>
      <c r="D48" s="35">
        <f>(C48-1)*100</f>
        <v>-9.5160066868995372</v>
      </c>
    </row>
    <row r="49" spans="2:4" x14ac:dyDescent="0.25">
      <c r="B49" s="35">
        <f t="shared" ref="B49:B64" si="5">A28</f>
        <v>-1.6019557731579859</v>
      </c>
      <c r="C49" s="35">
        <f t="shared" ref="C49:C62" si="6">H6/H28</f>
        <v>0.90603237394095482</v>
      </c>
      <c r="D49" s="35">
        <f t="shared" ref="D49:D62" si="7">(C49-1)*100</f>
        <v>-9.3967626059045184</v>
      </c>
    </row>
    <row r="50" spans="2:4" x14ac:dyDescent="0.25">
      <c r="B50" s="35">
        <f t="shared" si="5"/>
        <v>-1.822219767557272</v>
      </c>
      <c r="C50" s="35">
        <f t="shared" si="6"/>
        <v>0.9069058797227123</v>
      </c>
      <c r="D50" s="35">
        <f t="shared" si="7"/>
        <v>-9.3094120277287686</v>
      </c>
    </row>
    <row r="51" spans="2:4" x14ac:dyDescent="0.25">
      <c r="B51" s="35">
        <f t="shared" si="5"/>
        <v>-1.9973029712517438</v>
      </c>
      <c r="C51" s="35">
        <f t="shared" si="6"/>
        <v>0.90760081175674834</v>
      </c>
      <c r="D51" s="35">
        <f t="shared" si="7"/>
        <v>-9.2399188243251658</v>
      </c>
    </row>
    <row r="52" spans="2:4" x14ac:dyDescent="0.25">
      <c r="B52" s="35">
        <f t="shared" si="5"/>
        <v>-2.2184174672351897</v>
      </c>
      <c r="C52" s="35">
        <f t="shared" si="6"/>
        <v>0.9084792099954756</v>
      </c>
      <c r="D52" s="35">
        <f t="shared" si="7"/>
        <v>-9.1520790004524404</v>
      </c>
    </row>
    <row r="53" spans="2:4" x14ac:dyDescent="0.25">
      <c r="B53" s="35">
        <f t="shared" si="5"/>
        <v>-2.3002317390212426</v>
      </c>
      <c r="C53" s="35">
        <f t="shared" si="6"/>
        <v>0.90880444035398955</v>
      </c>
      <c r="D53" s="35">
        <f t="shared" si="7"/>
        <v>-9.1195559646010445</v>
      </c>
    </row>
    <row r="54" spans="2:4" x14ac:dyDescent="0.25">
      <c r="B54" s="35">
        <f t="shared" si="5"/>
        <v>-2.9982654229276737</v>
      </c>
      <c r="C54" s="35">
        <f t="shared" si="6"/>
        <v>0.91158402184382314</v>
      </c>
      <c r="D54" s="35">
        <f t="shared" si="7"/>
        <v>-8.8415978156176855</v>
      </c>
    </row>
    <row r="55" spans="2:4" x14ac:dyDescent="0.25">
      <c r="B55" s="35">
        <f t="shared" si="5"/>
        <v>-3.0013022385012111</v>
      </c>
      <c r="C55" s="35">
        <f t="shared" si="6"/>
        <v>0.91159613304719389</v>
      </c>
      <c r="D55" s="35">
        <f t="shared" si="7"/>
        <v>-8.8403866952806105</v>
      </c>
    </row>
    <row r="56" spans="2:4" x14ac:dyDescent="0.25">
      <c r="B56" s="35">
        <f t="shared" si="5"/>
        <v>-3.0946778375672555</v>
      </c>
      <c r="C56" s="35">
        <f t="shared" si="6"/>
        <v>0.91196860525642454</v>
      </c>
      <c r="D56" s="35">
        <f t="shared" si="7"/>
        <v>-8.8031394743575468</v>
      </c>
    </row>
    <row r="57" spans="2:4" x14ac:dyDescent="0.25">
      <c r="B57" s="35">
        <f t="shared" si="5"/>
        <v>-3.216984472596057</v>
      </c>
      <c r="C57" s="35">
        <f t="shared" si="6"/>
        <v>0.91245671265634865</v>
      </c>
      <c r="D57" s="35">
        <f t="shared" si="7"/>
        <v>-8.754328734365135</v>
      </c>
    </row>
    <row r="58" spans="2:4" x14ac:dyDescent="0.25">
      <c r="B58" s="35">
        <f t="shared" si="5"/>
        <v>-3.296702608013375</v>
      </c>
      <c r="C58" s="35">
        <f t="shared" si="6"/>
        <v>0.91277499637737225</v>
      </c>
      <c r="D58" s="35">
        <f t="shared" si="7"/>
        <v>-8.7225003622627746</v>
      </c>
    </row>
    <row r="59" spans="2:4" x14ac:dyDescent="0.25">
      <c r="B59" s="35">
        <f t="shared" si="5"/>
        <v>-3.3903189830405407</v>
      </c>
      <c r="C59" s="35">
        <f t="shared" si="6"/>
        <v>0.91314891214885618</v>
      </c>
      <c r="D59" s="35">
        <f t="shared" si="7"/>
        <v>-8.685108785114382</v>
      </c>
    </row>
    <row r="60" spans="2:4" x14ac:dyDescent="0.25">
      <c r="B60" s="35">
        <f>A39</f>
        <v>-3.5220400410352712</v>
      </c>
      <c r="C60" s="35">
        <f t="shared" si="6"/>
        <v>0.91367528229187689</v>
      </c>
      <c r="D60" s="35">
        <f t="shared" si="7"/>
        <v>-8.6324717708123107</v>
      </c>
    </row>
    <row r="61" spans="2:4" x14ac:dyDescent="0.25">
      <c r="B61" s="35">
        <f t="shared" si="5"/>
        <v>-3.6979289463499252</v>
      </c>
      <c r="C61" s="35">
        <f t="shared" si="6"/>
        <v>0.91437862455884411</v>
      </c>
      <c r="D61" s="35">
        <f t="shared" si="7"/>
        <v>-8.5621375441155898</v>
      </c>
    </row>
    <row r="62" spans="2:4" ht="15.75" thickBot="1" x14ac:dyDescent="0.3">
      <c r="B62" s="29">
        <f t="shared" si="5"/>
        <v>-3.9961173104021825</v>
      </c>
      <c r="C62" s="29">
        <f t="shared" si="6"/>
        <v>0.9155722535451406</v>
      </c>
      <c r="D62" s="29">
        <f t="shared" si="7"/>
        <v>-8.4427746454859403</v>
      </c>
    </row>
    <row r="63" spans="2:4" x14ac:dyDescent="0.25">
      <c r="B63" s="33"/>
    </row>
    <row r="64" spans="2:4" x14ac:dyDescent="0.25">
      <c r="B64" s="33"/>
    </row>
  </sheetData>
  <mergeCells count="3">
    <mergeCell ref="A1:D1"/>
    <mergeCell ref="A24:D24"/>
    <mergeCell ref="A45:E4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2963-368F-4917-8CEC-DD48ECA3C11A}">
  <dimension ref="A1:E1"/>
  <sheetViews>
    <sheetView workbookViewId="0"/>
  </sheetViews>
  <sheetFormatPr baseColWidth="10" defaultRowHeight="15" x14ac:dyDescent="0.25"/>
  <sheetData>
    <row r="1" spans="1:5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1A8E-66ED-4D18-AF8A-358BF1618BE0}">
  <dimension ref="A1:J35"/>
  <sheetViews>
    <sheetView tabSelected="1" topLeftCell="A17" zoomScale="110" zoomScaleNormal="110" workbookViewId="0">
      <selection activeCell="G23" sqref="G23"/>
    </sheetView>
  </sheetViews>
  <sheetFormatPr baseColWidth="10" defaultRowHeight="15" x14ac:dyDescent="0.25"/>
  <cols>
    <col min="3" max="3" width="14.28515625" style="19" customWidth="1"/>
    <col min="7" max="7" width="15.5703125" bestFit="1" customWidth="1"/>
    <col min="10" max="10" width="14.85546875" bestFit="1" customWidth="1"/>
  </cols>
  <sheetData>
    <row r="1" spans="1:10" ht="33.75" x14ac:dyDescent="0.5">
      <c r="A1" s="25" t="s">
        <v>56</v>
      </c>
      <c r="B1" s="25"/>
    </row>
    <row r="3" spans="1:10" ht="30.75" thickBot="1" x14ac:dyDescent="0.3">
      <c r="B3" s="30" t="s">
        <v>57</v>
      </c>
      <c r="C3" s="31" t="s">
        <v>58</v>
      </c>
      <c r="D3" s="30" t="s">
        <v>59</v>
      </c>
    </row>
    <row r="4" spans="1:10" ht="15.75" thickBot="1" x14ac:dyDescent="0.3">
      <c r="B4">
        <v>-1.3009257774940046</v>
      </c>
      <c r="C4" s="19">
        <f>'25°C'!U4/'40°C'!T4</f>
        <v>0.97566336937095532</v>
      </c>
      <c r="D4">
        <f>(C4-1)*100</f>
        <v>-2.4336630629044675</v>
      </c>
      <c r="G4" s="26" t="s">
        <v>73</v>
      </c>
      <c r="H4" s="26" t="s">
        <v>70</v>
      </c>
      <c r="I4" s="26" t="s">
        <v>71</v>
      </c>
      <c r="J4" s="26" t="s">
        <v>72</v>
      </c>
    </row>
    <row r="5" spans="1:10" x14ac:dyDescent="0.25">
      <c r="B5">
        <v>-1.6019557731579859</v>
      </c>
      <c r="C5" s="19">
        <f>'25°C'!U5/'40°C'!T5</f>
        <v>0.97566336937095499</v>
      </c>
      <c r="D5">
        <f t="shared" ref="D5:D18" si="0">(C5-1)*100</f>
        <v>-2.4336630629045009</v>
      </c>
      <c r="G5" s="27">
        <v>50.011999999999993</v>
      </c>
      <c r="H5" s="28">
        <v>1.6441468916175086</v>
      </c>
      <c r="I5" s="28">
        <f>-0.5*LOG(G5*10^-3)+0.983</f>
        <v>1.6334628887470024</v>
      </c>
      <c r="J5" s="28">
        <f>H5-I5</f>
        <v>1.0684002870506193E-2</v>
      </c>
    </row>
    <row r="6" spans="1:10" x14ac:dyDescent="0.25">
      <c r="B6">
        <v>-1.822219767557272</v>
      </c>
      <c r="C6" s="19">
        <f>'25°C'!U6/'40°C'!T6</f>
        <v>0.97566336937095499</v>
      </c>
      <c r="D6">
        <f t="shared" si="0"/>
        <v>-2.4336630629045009</v>
      </c>
      <c r="G6" s="28">
        <v>25.005999999999997</v>
      </c>
      <c r="H6" s="28">
        <v>1.7946618894494992</v>
      </c>
      <c r="I6" s="28">
        <f t="shared" ref="I6:I19" si="1">-0.5*LOG(G6*10^-3)+0.983</f>
        <v>1.783977886578993</v>
      </c>
      <c r="J6" s="28">
        <f t="shared" ref="J6:J19" si="2">H6-I6</f>
        <v>1.0684002870506193E-2</v>
      </c>
    </row>
    <row r="7" spans="1:10" x14ac:dyDescent="0.25">
      <c r="B7">
        <v>-1.9973029712517438</v>
      </c>
      <c r="C7" s="19">
        <f>'25°C'!U7/'40°C'!T7</f>
        <v>0.9756633693709541</v>
      </c>
      <c r="D7">
        <f t="shared" si="0"/>
        <v>-2.4336630629045897</v>
      </c>
      <c r="G7" s="28">
        <v>15.058448654037887</v>
      </c>
      <c r="H7" s="28">
        <v>1.9047938866491423</v>
      </c>
      <c r="I7" s="28">
        <f t="shared" si="1"/>
        <v>1.8941098837786359</v>
      </c>
      <c r="J7" s="28">
        <f t="shared" si="2"/>
        <v>1.0684002870506415E-2</v>
      </c>
    </row>
    <row r="8" spans="1:10" x14ac:dyDescent="0.25">
      <c r="B8">
        <v>-2.2184174672351897</v>
      </c>
      <c r="C8" s="19">
        <f>'25°C'!U8/'40°C'!T8</f>
        <v>0.9756633693709541</v>
      </c>
      <c r="D8">
        <f t="shared" si="0"/>
        <v>-2.4336630629045897</v>
      </c>
      <c r="G8" s="28">
        <v>10.062294610778443</v>
      </c>
      <c r="H8" s="28">
        <v>1.9923354884963782</v>
      </c>
      <c r="I8" s="28">
        <f t="shared" si="1"/>
        <v>1.9816514856258718</v>
      </c>
      <c r="J8" s="28">
        <f t="shared" si="2"/>
        <v>1.0684002870506415E-2</v>
      </c>
    </row>
    <row r="9" spans="1:10" x14ac:dyDescent="0.25">
      <c r="B9">
        <v>-2.3002317390212426</v>
      </c>
      <c r="C9" s="19">
        <f>'25°C'!U9/'40°C'!T9</f>
        <v>0.9756633693709541</v>
      </c>
      <c r="D9">
        <f t="shared" si="0"/>
        <v>-2.4336630629045897</v>
      </c>
      <c r="G9" s="28">
        <v>6.047592680986476</v>
      </c>
      <c r="H9" s="28">
        <v>2.1028927364881014</v>
      </c>
      <c r="I9" s="28">
        <f t="shared" si="1"/>
        <v>2.092208733617595</v>
      </c>
      <c r="J9" s="28">
        <f t="shared" si="2"/>
        <v>1.0684002870506415E-2</v>
      </c>
    </row>
    <row r="10" spans="1:10" x14ac:dyDescent="0.25">
      <c r="B10">
        <v>-2.9982654229276737</v>
      </c>
      <c r="C10" s="19">
        <f>'25°C'!U10/'40°C'!T10</f>
        <v>0.97566336937095499</v>
      </c>
      <c r="D10">
        <f t="shared" si="0"/>
        <v>-2.4336630629045009</v>
      </c>
      <c r="G10" s="28">
        <v>5.0091987205117956</v>
      </c>
      <c r="H10" s="28">
        <v>2.1437998723811273</v>
      </c>
      <c r="I10" s="28">
        <f t="shared" si="1"/>
        <v>2.1331158695106214</v>
      </c>
      <c r="J10" s="28">
        <f t="shared" si="2"/>
        <v>1.0684002870505971E-2</v>
      </c>
    </row>
    <row r="11" spans="1:10" x14ac:dyDescent="0.25">
      <c r="B11">
        <v>-3.0013022385012111</v>
      </c>
      <c r="C11" s="19">
        <f>'25°C'!U11/'40°C'!T11</f>
        <v>0.9756633693709541</v>
      </c>
      <c r="D11">
        <f t="shared" si="0"/>
        <v>-2.4336630629045897</v>
      </c>
      <c r="G11" s="28">
        <v>1.0040019980019981</v>
      </c>
      <c r="H11" s="28">
        <v>2.4928167143343432</v>
      </c>
      <c r="I11" s="28">
        <f t="shared" si="1"/>
        <v>2.4821327114638367</v>
      </c>
      <c r="J11" s="28">
        <f t="shared" si="2"/>
        <v>1.0684002870506415E-2</v>
      </c>
    </row>
    <row r="12" spans="1:10" x14ac:dyDescent="0.25">
      <c r="B12">
        <v>-3.0946778375672555</v>
      </c>
      <c r="C12" s="19">
        <f>'25°C'!U12/'40°C'!T12</f>
        <v>0.97566336937095499</v>
      </c>
      <c r="D12">
        <f t="shared" si="0"/>
        <v>-2.4336630629045009</v>
      </c>
      <c r="G12" s="28">
        <v>0.99700597609561747</v>
      </c>
      <c r="H12" s="28">
        <v>2.4943351221211119</v>
      </c>
      <c r="I12" s="28">
        <f t="shared" si="1"/>
        <v>2.4836511192506054</v>
      </c>
      <c r="J12" s="28">
        <f t="shared" si="2"/>
        <v>1.0684002870506415E-2</v>
      </c>
    </row>
    <row r="13" spans="1:10" x14ac:dyDescent="0.25">
      <c r="B13">
        <v>-3.216984472596057</v>
      </c>
      <c r="C13" s="19">
        <f>'25°C'!U13/'40°C'!T13</f>
        <v>0.9756633693709541</v>
      </c>
      <c r="D13">
        <f t="shared" si="0"/>
        <v>-2.4336630629045897</v>
      </c>
      <c r="G13" s="28">
        <v>0.80412240415335456</v>
      </c>
      <c r="H13" s="28">
        <v>2.5410229216541338</v>
      </c>
      <c r="I13" s="28">
        <f t="shared" si="1"/>
        <v>2.5303389187836278</v>
      </c>
      <c r="J13" s="28">
        <f t="shared" si="2"/>
        <v>1.0684002870505971E-2</v>
      </c>
    </row>
    <row r="14" spans="1:10" x14ac:dyDescent="0.25">
      <c r="B14">
        <v>-3.296702608013375</v>
      </c>
      <c r="C14" s="19">
        <f>'25°C'!U14/'40°C'!T14</f>
        <v>0.9756633693709541</v>
      </c>
      <c r="D14">
        <f t="shared" si="0"/>
        <v>-2.4336630629045897</v>
      </c>
      <c r="G14" s="28">
        <v>0.60675802272274271</v>
      </c>
      <c r="H14" s="28">
        <v>2.6021762391685348</v>
      </c>
      <c r="I14" s="28">
        <f t="shared" si="1"/>
        <v>2.5914922362980284</v>
      </c>
      <c r="J14" s="28">
        <f t="shared" si="2"/>
        <v>1.0684002870506415E-2</v>
      </c>
    </row>
    <row r="15" spans="1:10" x14ac:dyDescent="0.25">
      <c r="B15">
        <v>-3.3903189830405407</v>
      </c>
      <c r="C15" s="19">
        <f>'25°C'!U15/'40°C'!T15</f>
        <v>0.9756633693709541</v>
      </c>
      <c r="D15">
        <f t="shared" si="0"/>
        <v>-2.4336630629045897</v>
      </c>
      <c r="G15" s="28">
        <v>0.50500699300699303</v>
      </c>
      <c r="H15" s="28">
        <v>2.6420353068771938</v>
      </c>
      <c r="I15" s="28">
        <f t="shared" si="1"/>
        <v>2.6313513040066874</v>
      </c>
      <c r="J15" s="28">
        <f t="shared" si="2"/>
        <v>1.0684002870506415E-2</v>
      </c>
    </row>
    <row r="16" spans="1:10" x14ac:dyDescent="0.25">
      <c r="B16">
        <v>-3.5220400410352712</v>
      </c>
      <c r="C16" s="19">
        <f>'25°C'!U16/'40°C'!T16</f>
        <v>0.97566336937095421</v>
      </c>
      <c r="D16">
        <f t="shared" si="0"/>
        <v>-2.4336630629045786</v>
      </c>
      <c r="G16" s="28">
        <v>0.4070811727163941</v>
      </c>
      <c r="H16" s="28">
        <v>2.6888434943907766</v>
      </c>
      <c r="I16" s="28">
        <f t="shared" si="1"/>
        <v>2.6781594915202702</v>
      </c>
      <c r="J16" s="28">
        <f t="shared" si="2"/>
        <v>1.0684002870506415E-2</v>
      </c>
    </row>
    <row r="17" spans="2:10" x14ac:dyDescent="0.25">
      <c r="B17">
        <v>-3.6979289463499252</v>
      </c>
      <c r="C17" s="19">
        <f>'25°C'!U17/'40°C'!T17</f>
        <v>0.97566336937095421</v>
      </c>
      <c r="D17">
        <f t="shared" si="0"/>
        <v>-2.4336630629045786</v>
      </c>
      <c r="G17" s="28">
        <v>0.30057991615092827</v>
      </c>
      <c r="H17" s="28">
        <v>2.7547040233881419</v>
      </c>
      <c r="I17" s="28">
        <f t="shared" si="1"/>
        <v>2.7440200205176355</v>
      </c>
      <c r="J17" s="28">
        <f t="shared" si="2"/>
        <v>1.0684002870506415E-2</v>
      </c>
    </row>
    <row r="18" spans="2:10" ht="15.75" thickBot="1" x14ac:dyDescent="0.3">
      <c r="B18" s="8">
        <v>-3.9961173104021825</v>
      </c>
      <c r="C18" s="32">
        <f>'25°C'!U18/'40°C'!T18</f>
        <v>0.97566336937095421</v>
      </c>
      <c r="D18" s="8">
        <f t="shared" si="0"/>
        <v>-2.4336630629045786</v>
      </c>
      <c r="G18" s="28">
        <v>0.20047999999999999</v>
      </c>
      <c r="H18" s="28">
        <v>2.8426484760454689</v>
      </c>
      <c r="I18" s="28">
        <f t="shared" si="1"/>
        <v>2.8319644731749625</v>
      </c>
      <c r="J18" s="28">
        <f t="shared" si="2"/>
        <v>1.0684002870506415E-2</v>
      </c>
    </row>
    <row r="19" spans="2:10" ht="15.75" thickBot="1" x14ac:dyDescent="0.3">
      <c r="G19" s="29">
        <v>0.10089803063457331</v>
      </c>
      <c r="H19" s="29">
        <v>2.9917426580715976</v>
      </c>
      <c r="I19" s="29">
        <f t="shared" si="1"/>
        <v>2.9810586552010911</v>
      </c>
      <c r="J19" s="29">
        <f t="shared" si="2"/>
        <v>1.0684002870506415E-2</v>
      </c>
    </row>
    <row r="21" spans="2:10" x14ac:dyDescent="0.25">
      <c r="F21" s="15" t="s">
        <v>74</v>
      </c>
      <c r="J21">
        <f>_xlfn.STDEV.S(J5:J19)</f>
        <v>1.6360028281919833E-16</v>
      </c>
    </row>
    <row r="35" spans="9:10" x14ac:dyDescent="0.25">
      <c r="I35" s="3"/>
      <c r="J35" s="3"/>
    </row>
  </sheetData>
  <sortState ref="D4:D18">
    <sortCondition descending="1" ref="D4"/>
  </sortState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25°C</vt:lpstr>
      <vt:lpstr>40°C</vt:lpstr>
      <vt:lpstr>Vergleich alpha</vt:lpstr>
      <vt:lpstr>Excel2LaTeX</vt:lpstr>
      <vt:lpstr>Vergleich 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2017-12-21T22:55:16Z</dcterms:modified>
</cp:coreProperties>
</file>