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2"/>
  <workbookPr autoCompressPictures="0"/>
  <mc:AlternateContent xmlns:mc="http://schemas.openxmlformats.org/markup-compatibility/2006">
    <mc:Choice Requires="x15">
      <x15ac:absPath xmlns:x15ac="http://schemas.microsoft.com/office/spreadsheetml/2010/11/ac" url="/Users/davidromoff/Downloads/"/>
    </mc:Choice>
  </mc:AlternateContent>
  <xr:revisionPtr revIDLastSave="0" documentId="8_{8D3864A1-45CA-2148-8338-A5FDC6DC48C1}" xr6:coauthVersionLast="47" xr6:coauthVersionMax="47" xr10:uidLastSave="{00000000-0000-0000-0000-000000000000}"/>
  <bookViews>
    <workbookView xWindow="0" yWindow="0" windowWidth="28800" windowHeight="16200" tabRatio="500" xr2:uid="{00000000-000D-0000-FFFF-FFFF00000000}"/>
  </bookViews>
  <sheets>
    <sheet name="Class11" sheetId="8" r:id="rId1"/>
    <sheet name="Learning Objective" sheetId="20" r:id="rId2"/>
    <sheet name="Market Liquidity" sheetId="23" r:id="rId3"/>
    <sheet name="Liquidity Risk Mitigation" sheetId="21" r:id="rId4"/>
    <sheet name="Liquidity Stress Test" sheetId="22" r:id="rId5"/>
    <sheet name="Liquidity_VaR" sheetId="1" r:id="rId6"/>
    <sheet name="Liquidity" sheetId="2" r:id="rId7"/>
    <sheet name="LiquidityOtherThougths" sheetId="3" r:id="rId8"/>
    <sheet name="Laddering" sheetId="26" r:id="rId9"/>
    <sheet name="Homework" sheetId="9" state="hidden" r:id="rId10"/>
    <sheet name="Discussion" sheetId="7" state="hidden" r:id="rId11"/>
    <sheet name="Q1" sheetId="27" r:id="rId12"/>
    <sheet name="Q1_Calc" sheetId="28" r:id="rId13"/>
    <sheet name="Q1_BankTable" sheetId="29" r:id="rId14"/>
    <sheet name="Q2_LiquidityVaR" sheetId="31" r:id="rId15"/>
    <sheet name="Q3_DaysToLiquidate" sheetId="30" r:id="rId16"/>
    <sheet name="EndowmentPortfolio_March" sheetId="18" r:id="rId17"/>
    <sheet name="EndowmentPortfolio_June" sheetId="19" r:id="rId18"/>
    <sheet name="LiquidityRiskCaseStudy" sheetId="41" r:id="rId19"/>
    <sheet name="LCS_MarketData" sheetId="43" r:id="rId20"/>
    <sheet name="LCS_Exhibit 1" sheetId="34" r:id="rId21"/>
    <sheet name="LCS_Exhibit 2" sheetId="35" r:id="rId22"/>
    <sheet name="LCS_Exhibit 3" sheetId="36" r:id="rId23"/>
    <sheet name="LCS_Exhibit 4" sheetId="37" r:id="rId24"/>
    <sheet name="LCS_Exhibit 5" sheetId="38" r:id="rId25"/>
    <sheet name="LCS_Exhibit 6" sheetId="39" r:id="rId26"/>
    <sheet name="LCS_Exhibit 7" sheetId="40" r:id="rId27"/>
    <sheet name="OtherLiquidityModels" sheetId="25" r:id="rId28"/>
    <sheet name="Remember" sheetId="10" r:id="rId29"/>
  </sheets>
  <externalReferences>
    <externalReference r:id="rId30"/>
    <externalReference r:id="rId31"/>
    <externalReference r:id="rId32"/>
    <externalReference r:id="rId33"/>
    <externalReference r:id="rId34"/>
    <externalReference r:id="rId35"/>
    <externalReference r:id="rId36"/>
    <externalReference r:id="rId37"/>
    <externalReference r:id="rId38"/>
  </externalReferences>
  <definedNames>
    <definedName name="a" localSheetId="1">'Learning Objective'!$B$8:$B$24</definedName>
    <definedName name="a" localSheetId="3">'Liquidity Risk Mitigation'!$B$7:$B$17</definedName>
    <definedName name="a" localSheetId="4">'Liquidity Stress Test'!$B$10:$B$26</definedName>
    <definedName name="a" localSheetId="2">'Market Liquidity'!$B$10:$B$27</definedName>
    <definedName name="a">Liquidity_VaR!$B$7:$B$23</definedName>
    <definedName name="AccrualPMT">[1]CDS!$I$21:$I$25</definedName>
    <definedName name="alan">[2]Excel!$C$10</definedName>
    <definedName name="alpha" localSheetId="1">'Learning Objective'!$G$29</definedName>
    <definedName name="alpha" localSheetId="3">'Liquidity Risk Mitigation'!$G$24</definedName>
    <definedName name="alpha" localSheetId="4">'Liquidity Stress Test'!$G$31</definedName>
    <definedName name="alpha" localSheetId="2">'Market Liquidity'!$G$32</definedName>
    <definedName name="alpha">Liquidity_VaR!$G$28</definedName>
    <definedName name="bid" localSheetId="1">'Learning Objective'!$C$8:$C$24</definedName>
    <definedName name="bid" localSheetId="3">'Liquidity Risk Mitigation'!$C$7:$C$17</definedName>
    <definedName name="bid" localSheetId="4">'Liquidity Stress Test'!$C$10:$C$26</definedName>
    <definedName name="bid" localSheetId="2">'Market Liquidity'!$C$10:$C$27</definedName>
    <definedName name="bid">Liquidity_VaR!$C$7:$C$23</definedName>
    <definedName name="Bond_Value" localSheetId="1">#REF!</definedName>
    <definedName name="Bond_Value" localSheetId="3">#REF!</definedName>
    <definedName name="Bond_Value" localSheetId="4">#REF!</definedName>
    <definedName name="Bond_Value" localSheetId="2">#REF!</definedName>
    <definedName name="Bond_Value" localSheetId="11">#REF!</definedName>
    <definedName name="Bond_Value">#REF!</definedName>
    <definedName name="Bond_Value_">#REF!</definedName>
    <definedName name="C_">[3]OptionsHW!$C$20:$E$20</definedName>
    <definedName name="Cd">[4]Options2!#REF!</definedName>
    <definedName name="Change">[2]VaR0!#REF!</definedName>
    <definedName name="CI">#REF!</definedName>
    <definedName name="CI_lo">#REF!</definedName>
    <definedName name="contracts">[3]OptionsHW!$C$26:$E$26</definedName>
    <definedName name="CouponPmt" localSheetId="1">#REF!</definedName>
    <definedName name="CouponPmt" localSheetId="3">#REF!</definedName>
    <definedName name="CouponPmt" localSheetId="4">#REF!</definedName>
    <definedName name="CouponPmt" localSheetId="2">#REF!</definedName>
    <definedName name="CouponPmt" localSheetId="11">#REF!</definedName>
    <definedName name="CouponPmt">#REF!</definedName>
    <definedName name="CouponRate" localSheetId="1">#REF!</definedName>
    <definedName name="CouponRate" localSheetId="3">#REF!</definedName>
    <definedName name="CouponRate" localSheetId="4">#REF!</definedName>
    <definedName name="CouponRate" localSheetId="2">#REF!</definedName>
    <definedName name="CouponRate" localSheetId="11">#REF!</definedName>
    <definedName name="CouponRate">#REF!</definedName>
    <definedName name="Cu">[4]Options2!#REF!</definedName>
    <definedName name="d">[4]Options2!$C$7</definedName>
    <definedName name="d1_">#REF!</definedName>
    <definedName name="d2_">#REF!</definedName>
    <definedName name="dollar_rate">[5]FX_Intro!$C$67</definedName>
    <definedName name="Eloss">[1]Spread2PD!$C$16</definedName>
    <definedName name="Epayoff">[1]CDS!$E$21:$E$25</definedName>
    <definedName name="Face" localSheetId="1">#REF!</definedName>
    <definedName name="Face" localSheetId="3">#REF!</definedName>
    <definedName name="Face" localSheetId="4">#REF!</definedName>
    <definedName name="Face" localSheetId="2">#REF!</definedName>
    <definedName name="Face" localSheetId="11">#REF!</definedName>
    <definedName name="Face">#REF!</definedName>
    <definedName name="forward_rate">[5]FX_Intro!$C$68</definedName>
    <definedName name="Frequency" localSheetId="1">#REF!</definedName>
    <definedName name="Frequency" localSheetId="3">#REF!</definedName>
    <definedName name="Frequency" localSheetId="4">#REF!</definedName>
    <definedName name="Frequency" localSheetId="2">#REF!</definedName>
    <definedName name="Frequency" localSheetId="11">#REF!</definedName>
    <definedName name="Frequency">#REF!</definedName>
    <definedName name="hazard">[1]CDS!$B$7:$B$7</definedName>
    <definedName name="K">[3]OptionsHW!$C$3</definedName>
    <definedName name="Loss">[1]Spread2PD!$E$40:$E$44</definedName>
    <definedName name="loss_30">#REF!</definedName>
    <definedName name="loss_t">#REF!</definedName>
    <definedName name="lossAmount">[1]Spread2PD!$G$45</definedName>
    <definedName name="Mean">#REF!</definedName>
    <definedName name="midprice" localSheetId="1">'Learning Objective'!$E$8:$E$24</definedName>
    <definedName name="midprice" localSheetId="3">'Liquidity Risk Mitigation'!$E$9:$E$19</definedName>
    <definedName name="midprice" localSheetId="4">'Liquidity Stress Test'!$E$10:$E$26</definedName>
    <definedName name="midprice" localSheetId="2">'Market Liquidity'!$E$10:$E$27</definedName>
    <definedName name="midprice">Liquidity_VaR!$E$7:$E$23</definedName>
    <definedName name="mu" localSheetId="1">'Learning Objective'!$G$26</definedName>
    <definedName name="mu" localSheetId="3">'Liquidity Risk Mitigation'!$G$21</definedName>
    <definedName name="mu" localSheetId="4">'Liquidity Stress Test'!$G$28</definedName>
    <definedName name="mu" localSheetId="2">'Market Liquidity'!$G$29</definedName>
    <definedName name="mu">Liquidity_VaR!$G$25</definedName>
    <definedName name="n" localSheetId="1">#REF!</definedName>
    <definedName name="n" localSheetId="3">#REF!</definedName>
    <definedName name="n" localSheetId="4">#REF!</definedName>
    <definedName name="n" localSheetId="2">#REF!</definedName>
    <definedName name="n" localSheetId="11">#REF!</definedName>
    <definedName name="n">#REF!</definedName>
    <definedName name="n_" localSheetId="1">#REF!</definedName>
    <definedName name="n_" localSheetId="3">#REF!</definedName>
    <definedName name="n_" localSheetId="4">#REF!</definedName>
    <definedName name="n_" localSheetId="2">#REF!</definedName>
    <definedName name="n_" localSheetId="11">#REF!</definedName>
    <definedName name="n_">#REF!</definedName>
    <definedName name="N__d1">[3]OptionsHW!$C$14:$E$14</definedName>
    <definedName name="N__d2">[3]OptionsHW!$C$15:$E$15</definedName>
    <definedName name="N_d1">[3]OptionsHW!$C$12:$E$12</definedName>
    <definedName name="N_d2">[3]OptionsHW!$C$13:$E$13</definedName>
    <definedName name="notional">[3]OptionsHW!$C$25:$E$25</definedName>
    <definedName name="offer" localSheetId="1">'Learning Objective'!$D$8:$D$24</definedName>
    <definedName name="offer" localSheetId="3">'Liquidity Risk Mitigation'!$D$9:$D$17</definedName>
    <definedName name="offer" localSheetId="4">'Liquidity Stress Test'!$D$10:$D$26</definedName>
    <definedName name="offer" localSheetId="2">'Market Liquidity'!$D$10:$D$27</definedName>
    <definedName name="offer">Liquidity_VaR!$D$7:$D$23</definedName>
    <definedName name="p">[6]Bond!$F$6</definedName>
    <definedName name="PD">[1]CDS!$C$21:$C$25</definedName>
    <definedName name="Period" localSheetId="1">#REF!</definedName>
    <definedName name="Period" localSheetId="3">#REF!</definedName>
    <definedName name="Period" localSheetId="4">#REF!</definedName>
    <definedName name="Period" localSheetId="2">#REF!</definedName>
    <definedName name="Period" localSheetId="11">#REF!</definedName>
    <definedName name="Period">#REF!</definedName>
    <definedName name="peso_rate">[5]FX_Intro!$C$66</definedName>
    <definedName name="pmt" localSheetId="1">#REF!</definedName>
    <definedName name="pmt" localSheetId="3">#REF!</definedName>
    <definedName name="pmt" localSheetId="4">#REF!</definedName>
    <definedName name="pmt" localSheetId="2">#REF!</definedName>
    <definedName name="pmt" localSheetId="11">#REF!</definedName>
    <definedName name="pmt">#REF!</definedName>
    <definedName name="pmt_" localSheetId="1">#REF!</definedName>
    <definedName name="pmt_" localSheetId="3">#REF!</definedName>
    <definedName name="pmt_" localSheetId="4">#REF!</definedName>
    <definedName name="pmt_" localSheetId="2">#REF!</definedName>
    <definedName name="pmt_" localSheetId="11">#REF!</definedName>
    <definedName name="pmt_">#REF!</definedName>
    <definedName name="pmtperyear">[6]Bond!$C$6</definedName>
    <definedName name="pmts">[6]Bond!$E$12:$E$25</definedName>
    <definedName name="Price">[2]VaR0!#REF!</definedName>
    <definedName name="PS">[1]CDS!$C$11:$C$15</definedName>
    <definedName name="PV">[1]CDS!$E$11:$E$15</definedName>
    <definedName name="PV_">[1]CDS!$F$21:$F$25</definedName>
    <definedName name="pv_rf">[1]Spread2PD!$F$20:$F$29</definedName>
    <definedName name="pv_rf_">[1]Spread2PD!$F$40:$F$44</definedName>
    <definedName name="pv2_">[6]Dur2!$G$12:$G$25</definedName>
    <definedName name="PVA">[6]InstallmentLoan!$F$3</definedName>
    <definedName name="PVPMT_A">[1]CDS!$J$21:$J$25</definedName>
    <definedName name="q">#REF!</definedName>
    <definedName name="R_">[1]CDS!$D$21:$D$25</definedName>
    <definedName name="rate">[1]CDS!$C$7</definedName>
    <definedName name="rated">[3]fxHW!$F$4:$H$4</definedName>
    <definedName name="ratef">[3]fxHW!$F$5:$H$5</definedName>
    <definedName name="RatingLast">[7]CreditMatrix!$D$10:$D$109</definedName>
    <definedName name="RatingNow">[7]CreditMatrix!$E$10:$E$109</definedName>
    <definedName name="ratingsTbl">[7]CreditMatrix!$B$2:$C$7</definedName>
    <definedName name="Recovery">[1]Spread2PD!$D$40:$D$44</definedName>
    <definedName name="s" localSheetId="1">'Learning Objective'!$G$8:$G$24</definedName>
    <definedName name="s" localSheetId="3">'Liquidity Risk Mitigation'!$G$9:$G$19</definedName>
    <definedName name="s" localSheetId="4">'Liquidity Stress Test'!$G$10:$G$26</definedName>
    <definedName name="s" localSheetId="2">'Market Liquidity'!$G$10:$G$27</definedName>
    <definedName name="s">Liquidity_VaR!$G$7:$G$23</definedName>
    <definedName name="S0">#REF!</definedName>
    <definedName name="S0_e_qt">[3]OptionsHW!$C$17:$E$17</definedName>
    <definedName name="SD">#REF!</definedName>
    <definedName name="Shares" localSheetId="1">'Learning Objective'!$I$8:$I$24</definedName>
    <definedName name="Shares" localSheetId="3">'Liquidity Risk Mitigation'!$I$9:$I$18</definedName>
    <definedName name="Shares" localSheetId="4">'Liquidity Stress Test'!$I$10:$I$26</definedName>
    <definedName name="Shares" localSheetId="2">'Market Liquidity'!$I$10:$I$27</definedName>
    <definedName name="Shares">Liquidity_VaR!$I$7:$I$23</definedName>
    <definedName name="sigma" localSheetId="1">'Learning Objective'!$G$27</definedName>
    <definedName name="sigma" localSheetId="3">'Liquidity Risk Mitigation'!$G$22</definedName>
    <definedName name="sigma" localSheetId="4">'Liquidity Stress Test'!$G$29</definedName>
    <definedName name="sigma" localSheetId="2">'Market Liquidity'!$G$30</definedName>
    <definedName name="sigma">Liquidity_VaR!$G$26</definedName>
    <definedName name="simS" localSheetId="1">'Learning Objective'!$G$30</definedName>
    <definedName name="simS" localSheetId="3">'Liquidity Risk Mitigation'!$G$25</definedName>
    <definedName name="simS" localSheetId="4">'Liquidity Stress Test'!$G$32</definedName>
    <definedName name="simS" localSheetId="2">'Market Liquidity'!$G$33</definedName>
    <definedName name="simS">Liquidity_VaR!$G$29</definedName>
    <definedName name="sims_a">[8]VaR1!$I$17:$I$37</definedName>
    <definedName name="sims_h">[8]VaR1!$H$17:$H$37</definedName>
    <definedName name="simSpread" localSheetId="1">'Learning Objective'!$J$8:$J$24</definedName>
    <definedName name="simSpread" localSheetId="3">'Liquidity Risk Mitigation'!$J$9:$J$19</definedName>
    <definedName name="simSpread" localSheetId="4">'Liquidity Stress Test'!$J$10:$J$26</definedName>
    <definedName name="simSpread" localSheetId="2">'Market Liquidity'!$J$10:$J$27</definedName>
    <definedName name="simSpread">Liquidity_VaR!$H$7:$H$23</definedName>
    <definedName name="simSpreadPerShare" localSheetId="1">'Learning Objective'!$H$8:$H$24</definedName>
    <definedName name="simSpreadPerShare" localSheetId="3">'Liquidity Risk Mitigation'!$H$9:$H$18</definedName>
    <definedName name="simSpreadPerShare" localSheetId="4">'Liquidity Stress Test'!$H$10:$H$26</definedName>
    <definedName name="simSpreadPerShare" localSheetId="2">'Market Liquidity'!$H$10:$H$27</definedName>
    <definedName name="simSpreadPerShare">Liquidity_VaR!#REF!</definedName>
    <definedName name="Spot">[3]fxHW!$F$3:$H$3</definedName>
    <definedName name="spread" localSheetId="1">'Learning Objective'!$F$8:$F$24</definedName>
    <definedName name="spread" localSheetId="3">'Liquidity Risk Mitigation'!$F$9:$F$19</definedName>
    <definedName name="spread" localSheetId="4">'Liquidity Stress Test'!$F$10:$F$26</definedName>
    <definedName name="spread" localSheetId="2">'Market Liquidity'!$F$10:$F$27</definedName>
    <definedName name="spread">Liquidity_VaR!$F$7:$F$23</definedName>
    <definedName name="SpreadVaR" localSheetId="1">'Learning Objective'!$G$30</definedName>
    <definedName name="SpreadVaR" localSheetId="3">'Liquidity Risk Mitigation'!$G$25</definedName>
    <definedName name="SpreadVaR" localSheetId="4">'Liquidity Stress Test'!$G$32</definedName>
    <definedName name="SpreadVaR" localSheetId="2">'Market Liquidity'!$G$33</definedName>
    <definedName name="SpreadVaR">Liquidity_VaR!$G$29</definedName>
    <definedName name="StartingPortfolio">[1]ExporeInf!$C$29:$H$29</definedName>
    <definedName name="t">[1]CDS!$B$11:$B$15</definedName>
    <definedName name="t_">[1]CDS!$B$21:$B$25</definedName>
    <definedName name="table_asf">[9]ASF!$C$31:$D$34</definedName>
    <definedName name="Time">#REF!</definedName>
    <definedName name="Time_">[1]Spread2PD!$B$40:$B$44</definedName>
    <definedName name="tmat">[1]ExporeInf!$C$3:$H$8</definedName>
    <definedName name="tmat12">#REF!</definedName>
    <definedName name="tmat5">[1]ExporeInf!$C$12:$H$17</definedName>
    <definedName name="tmatInf">[1]ExporeInf!$C$21:$H$26</definedName>
    <definedName name="u">[4]Options2!$C$6</definedName>
    <definedName name="usd_peso">[5]FX_Intro!$C$65</definedName>
    <definedName name="v" localSheetId="1">#REF!</definedName>
    <definedName name="v" localSheetId="3">#REF!</definedName>
    <definedName name="v" localSheetId="4">#REF!</definedName>
    <definedName name="v" localSheetId="2">#REF!</definedName>
    <definedName name="v" localSheetId="11">#REF!</definedName>
    <definedName name="v">#REF!</definedName>
    <definedName name="value">[6]Curve0!$E$26</definedName>
    <definedName name="value_01">[6]Dur2!$I$12</definedName>
    <definedName name="value_lo">#REF!</definedName>
    <definedName name="value_rf_">[1]Spread2PD!$C$40:$C$44</definedName>
    <definedName name="weight">[7]CreditMatrix_Weighted!$F$10:$F$109</definedName>
    <definedName name="X">#REF!</definedName>
    <definedName name="X_e_rt">[3]OptionsHW!$C$18:$E$18</definedName>
    <definedName name="y">[6]Bond!$C$8</definedName>
    <definedName name="years">[6]Bond!$C$7</definedName>
    <definedName name="YTM" localSheetId="1">#REF!</definedName>
    <definedName name="YTM" localSheetId="3">#REF!</definedName>
    <definedName name="YTM" localSheetId="4">#REF!</definedName>
    <definedName name="YTM" localSheetId="2">#REF!</definedName>
    <definedName name="YTM" localSheetId="11">#REF!</definedName>
    <definedName name="YTM">#REF!</definedName>
    <definedName name="YTM_rf" localSheetId="1">#REF!</definedName>
    <definedName name="YTM_rf" localSheetId="3">#REF!</definedName>
    <definedName name="YTM_rf" localSheetId="4">#REF!</definedName>
    <definedName name="YTM_rf" localSheetId="2">#REF!</definedName>
    <definedName name="YTM_rf" localSheetId="11">#REF!</definedName>
    <definedName name="YTM_rf">#REF!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B25" i="28" l="1"/>
  <c r="AC25" i="28"/>
  <c r="AD25" i="28"/>
  <c r="AE25" i="28"/>
  <c r="AF25" i="28"/>
  <c r="AG25" i="28"/>
  <c r="AA25" i="28"/>
  <c r="C19" i="39"/>
  <c r="D19" i="39"/>
  <c r="E19" i="39"/>
  <c r="E20" i="39" s="1"/>
  <c r="F19" i="39"/>
  <c r="F20" i="39" s="1"/>
  <c r="G19" i="39"/>
  <c r="G20" i="39" s="1"/>
  <c r="H19" i="39"/>
  <c r="I19" i="39"/>
  <c r="J19" i="39"/>
  <c r="C20" i="39"/>
  <c r="D20" i="39"/>
  <c r="H20" i="39"/>
  <c r="I20" i="39"/>
  <c r="J20" i="39"/>
  <c r="C22" i="39"/>
  <c r="D22" i="39"/>
  <c r="E22" i="39"/>
  <c r="F22" i="39"/>
  <c r="G22" i="39"/>
  <c r="H22" i="39"/>
  <c r="I22" i="39"/>
  <c r="J22" i="39"/>
  <c r="C23" i="39"/>
  <c r="D23" i="39"/>
  <c r="E23" i="39"/>
  <c r="F23" i="39"/>
  <c r="G23" i="39"/>
  <c r="H23" i="39"/>
  <c r="I23" i="39"/>
  <c r="J23" i="39"/>
  <c r="C24" i="39"/>
  <c r="D24" i="39"/>
  <c r="E24" i="39"/>
  <c r="F24" i="39"/>
  <c r="G24" i="39"/>
  <c r="H24" i="39"/>
  <c r="I24" i="39"/>
  <c r="J24" i="39"/>
  <c r="C25" i="39"/>
  <c r="D25" i="39"/>
  <c r="E25" i="39"/>
  <c r="G25" i="39"/>
  <c r="H25" i="39"/>
  <c r="I25" i="39"/>
  <c r="J25" i="39"/>
  <c r="C12" i="38"/>
  <c r="G13" i="38"/>
  <c r="H13" i="38"/>
  <c r="I13" i="38"/>
  <c r="J13" i="38"/>
  <c r="C15" i="38"/>
  <c r="C19" i="38" s="1"/>
  <c r="D15" i="38"/>
  <c r="D19" i="38" s="1"/>
  <c r="E15" i="38"/>
  <c r="E19" i="38" s="1"/>
  <c r="F15" i="38"/>
  <c r="G15" i="38"/>
  <c r="H15" i="38"/>
  <c r="I15" i="38"/>
  <c r="J15" i="38"/>
  <c r="C16" i="38"/>
  <c r="C17" i="38"/>
  <c r="F19" i="38"/>
  <c r="G19" i="38"/>
  <c r="H19" i="38"/>
  <c r="I19" i="38"/>
  <c r="J19" i="38"/>
  <c r="C25" i="38"/>
  <c r="C27" i="38" s="1"/>
  <c r="C32" i="38" s="1"/>
  <c r="C41" i="38" s="1"/>
  <c r="D27" i="38"/>
  <c r="E27" i="38"/>
  <c r="F27" i="38"/>
  <c r="G27" i="38"/>
  <c r="H27" i="38"/>
  <c r="H32" i="38" s="1"/>
  <c r="H41" i="38" s="1"/>
  <c r="I27" i="38"/>
  <c r="I32" i="38" s="1"/>
  <c r="I41" i="38" s="1"/>
  <c r="J27" i="38"/>
  <c r="J32" i="38" s="1"/>
  <c r="J41" i="38" s="1"/>
  <c r="C28" i="38"/>
  <c r="C29" i="38"/>
  <c r="C30" i="38"/>
  <c r="D32" i="38"/>
  <c r="E32" i="38"/>
  <c r="F32" i="38"/>
  <c r="F41" i="38" s="1"/>
  <c r="G32" i="38"/>
  <c r="G41" i="38" s="1"/>
  <c r="C35" i="38"/>
  <c r="C37" i="38"/>
  <c r="C40" i="38"/>
  <c r="D40" i="38"/>
  <c r="E40" i="38"/>
  <c r="F40" i="38"/>
  <c r="G40" i="38"/>
  <c r="H40" i="38"/>
  <c r="I40" i="38"/>
  <c r="J40" i="38"/>
  <c r="D41" i="38"/>
  <c r="E41" i="38"/>
  <c r="C11" i="37"/>
  <c r="C13" i="37"/>
  <c r="D13" i="37"/>
  <c r="D21" i="37" s="1"/>
  <c r="D24" i="37" s="1"/>
  <c r="D27" i="37" s="1"/>
  <c r="E13" i="37"/>
  <c r="F13" i="37"/>
  <c r="G13" i="37"/>
  <c r="H13" i="37"/>
  <c r="H21" i="37" s="1"/>
  <c r="H24" i="37" s="1"/>
  <c r="H27" i="37" s="1"/>
  <c r="I13" i="37"/>
  <c r="I21" i="37" s="1"/>
  <c r="I24" i="37" s="1"/>
  <c r="I27" i="37" s="1"/>
  <c r="J13" i="37"/>
  <c r="J21" i="37" s="1"/>
  <c r="J24" i="37" s="1"/>
  <c r="J27" i="37" s="1"/>
  <c r="C17" i="37"/>
  <c r="G17" i="37"/>
  <c r="J18" i="37"/>
  <c r="G18" i="37" s="1"/>
  <c r="D19" i="37"/>
  <c r="C19" i="37" s="1"/>
  <c r="C18" i="37" s="1"/>
  <c r="E19" i="37"/>
  <c r="F19" i="37"/>
  <c r="H19" i="37"/>
  <c r="I19" i="37"/>
  <c r="J19" i="37"/>
  <c r="E21" i="37"/>
  <c r="F21" i="37"/>
  <c r="F24" i="37" s="1"/>
  <c r="F27" i="37" s="1"/>
  <c r="C23" i="37"/>
  <c r="G23" i="37"/>
  <c r="E24" i="37"/>
  <c r="E27" i="37" s="1"/>
  <c r="C25" i="37"/>
  <c r="G25" i="37"/>
  <c r="D18" i="36"/>
  <c r="E18" i="36"/>
  <c r="F18" i="36"/>
  <c r="D25" i="36"/>
  <c r="E25" i="36"/>
  <c r="F25" i="36"/>
  <c r="D35" i="36"/>
  <c r="D37" i="36" s="1"/>
  <c r="D39" i="36" s="1"/>
  <c r="E35" i="36"/>
  <c r="E37" i="36" s="1"/>
  <c r="E39" i="36" s="1"/>
  <c r="F35" i="36"/>
  <c r="F37" i="36" s="1"/>
  <c r="F39" i="36" s="1"/>
  <c r="D12" i="35"/>
  <c r="D15" i="35" s="1"/>
  <c r="D20" i="35" s="1"/>
  <c r="E12" i="35"/>
  <c r="E15" i="35" s="1"/>
  <c r="E20" i="35" s="1"/>
  <c r="D13" i="35"/>
  <c r="E13" i="35"/>
  <c r="F13" i="35"/>
  <c r="F15" i="35"/>
  <c r="F20" i="35" s="1"/>
  <c r="D26" i="35"/>
  <c r="E26" i="35"/>
  <c r="D29" i="35"/>
  <c r="D34" i="35" s="1"/>
  <c r="D43" i="35" s="1"/>
  <c r="E29" i="35"/>
  <c r="E34" i="35" s="1"/>
  <c r="E43" i="35" s="1"/>
  <c r="F29" i="35"/>
  <c r="F34" i="35" s="1"/>
  <c r="D42" i="35"/>
  <c r="E42" i="35"/>
  <c r="F42" i="35"/>
  <c r="D13" i="34"/>
  <c r="D21" i="34" s="1"/>
  <c r="E13" i="34"/>
  <c r="F13" i="34"/>
  <c r="D19" i="34"/>
  <c r="E19" i="34"/>
  <c r="F19" i="34"/>
  <c r="E21" i="34"/>
  <c r="F21" i="34"/>
  <c r="D29" i="34"/>
  <c r="E29" i="34"/>
  <c r="F29" i="34"/>
  <c r="F35" i="34" s="1"/>
  <c r="D34" i="34"/>
  <c r="E34" i="34"/>
  <c r="F34" i="34"/>
  <c r="D35" i="34"/>
  <c r="E35" i="34"/>
  <c r="F43" i="35" l="1"/>
  <c r="F32" i="37"/>
  <c r="F33" i="37"/>
  <c r="G19" i="37"/>
  <c r="G21" i="37" s="1"/>
  <c r="G24" i="37" s="1"/>
  <c r="G27" i="37" s="1"/>
  <c r="D32" i="37"/>
  <c r="D33" i="37"/>
  <c r="C21" i="37"/>
  <c r="C24" i="37" s="1"/>
  <c r="C27" i="37" s="1"/>
  <c r="J32" i="37"/>
  <c r="J33" i="37"/>
  <c r="I33" i="37"/>
  <c r="I32" i="37"/>
  <c r="E32" i="37"/>
  <c r="E33" i="37"/>
  <c r="H32" i="37"/>
  <c r="H33" i="37"/>
  <c r="F25" i="39"/>
  <c r="G33" i="37" l="1"/>
  <c r="G32" i="37"/>
  <c r="C33" i="37"/>
  <c r="C32" i="37"/>
  <c r="H29" i="28" l="1"/>
  <c r="I29" i="28" s="1"/>
  <c r="H28" i="28"/>
  <c r="I28" i="28" s="1"/>
  <c r="AA23" i="28"/>
  <c r="H23" i="28"/>
  <c r="AA22" i="28"/>
  <c r="D22" i="28"/>
  <c r="AA21" i="28"/>
  <c r="AA20" i="28"/>
  <c r="H20" i="28"/>
  <c r="K20" i="28" s="1"/>
  <c r="I19" i="28"/>
  <c r="AA18" i="28"/>
  <c r="Q17" i="28"/>
  <c r="AA17" i="28" s="1"/>
  <c r="AA16" i="28"/>
  <c r="Q16" i="28"/>
  <c r="J16" i="28"/>
  <c r="I16" i="28"/>
  <c r="H16" i="28"/>
  <c r="H11" i="28" s="1"/>
  <c r="H15" i="28"/>
  <c r="D15" i="28"/>
  <c r="AA14" i="28"/>
  <c r="Q14" i="28"/>
  <c r="Q15" i="28" s="1"/>
  <c r="AA15" i="28" s="1"/>
  <c r="L14" i="28"/>
  <c r="J14" i="28"/>
  <c r="K14" i="28" s="1"/>
  <c r="I14" i="28"/>
  <c r="L13" i="28"/>
  <c r="K13" i="28"/>
  <c r="J13" i="28"/>
  <c r="I13" i="28"/>
  <c r="L12" i="28"/>
  <c r="K12" i="28"/>
  <c r="J12" i="28"/>
  <c r="I12" i="28"/>
  <c r="H12" i="28"/>
  <c r="H17" i="28" s="1"/>
  <c r="D12" i="28"/>
  <c r="Q9" i="28"/>
  <c r="D9" i="28"/>
  <c r="AA8" i="28"/>
  <c r="H8" i="28"/>
  <c r="AA4" i="28"/>
  <c r="L4" i="28"/>
  <c r="K4" i="28"/>
  <c r="H4" i="28"/>
  <c r="D4" i="28"/>
  <c r="I45" i="19"/>
  <c r="J45" i="19" s="1"/>
  <c r="K45" i="19" s="1"/>
  <c r="L45" i="19" s="1"/>
  <c r="M45" i="19" s="1"/>
  <c r="N45" i="19" s="1"/>
  <c r="H45" i="19"/>
  <c r="I45" i="18"/>
  <c r="J45" i="18" s="1"/>
  <c r="K45" i="18" s="1"/>
  <c r="L45" i="18" s="1"/>
  <c r="M45" i="18" s="1"/>
  <c r="N45" i="18" s="1"/>
  <c r="O45" i="18" s="1"/>
  <c r="P45" i="18" s="1"/>
  <c r="Q45" i="18" s="1"/>
  <c r="R45" i="18" s="1"/>
  <c r="S45" i="18" s="1"/>
  <c r="H45" i="18"/>
  <c r="AA7" i="28" l="1"/>
  <c r="AD4" i="28"/>
  <c r="AA6" i="28"/>
  <c r="AC4" i="28"/>
  <c r="AA5" i="28"/>
  <c r="AB4" i="28"/>
  <c r="Q10" i="28"/>
  <c r="Q27" i="28"/>
  <c r="Q11" i="28"/>
  <c r="AA11" i="28" s="1"/>
  <c r="Q12" i="28"/>
  <c r="AA12" i="28" s="1"/>
  <c r="AA9" i="28"/>
  <c r="Q13" i="28"/>
  <c r="AA13" i="28" s="1"/>
  <c r="Q4" i="28"/>
  <c r="H22" i="28"/>
  <c r="H27" i="28" s="1"/>
  <c r="I23" i="28" s="1"/>
  <c r="J17" i="28"/>
  <c r="J8" i="28"/>
  <c r="J4" i="28" s="1"/>
  <c r="R9" i="28"/>
  <c r="J28" i="28"/>
  <c r="I15" i="28"/>
  <c r="I11" i="28" s="1"/>
  <c r="I17" i="28"/>
  <c r="I8" i="28"/>
  <c r="I4" i="28" s="1"/>
  <c r="J29" i="28"/>
  <c r="R14" i="28"/>
  <c r="AD14" i="28"/>
  <c r="I20" i="28"/>
  <c r="AE14" i="28"/>
  <c r="Q19" i="28"/>
  <c r="J20" i="28"/>
  <c r="AF14" i="28"/>
  <c r="F33" i="19"/>
  <c r="M43" i="19"/>
  <c r="F38" i="19"/>
  <c r="L43" i="19"/>
  <c r="K43" i="19"/>
  <c r="F13" i="19"/>
  <c r="J43" i="19"/>
  <c r="F11" i="19"/>
  <c r="F17" i="19"/>
  <c r="F18" i="19"/>
  <c r="I43" i="19"/>
  <c r="F10" i="19"/>
  <c r="S43" i="19" s="1"/>
  <c r="H43" i="19"/>
  <c r="F7" i="19"/>
  <c r="F14" i="19"/>
  <c r="F24" i="19"/>
  <c r="F25" i="19"/>
  <c r="F28" i="19"/>
  <c r="F29" i="19"/>
  <c r="F30" i="19"/>
  <c r="G43" i="19"/>
  <c r="F39" i="19"/>
  <c r="F40" i="19"/>
  <c r="F12" i="19"/>
  <c r="N43" i="19"/>
  <c r="F19" i="19"/>
  <c r="F20" i="19"/>
  <c r="F21" i="19"/>
  <c r="F34" i="19"/>
  <c r="F35" i="19"/>
  <c r="R43" i="19"/>
  <c r="F33" i="18"/>
  <c r="M43" i="18"/>
  <c r="F38" i="18"/>
  <c r="L43" i="18"/>
  <c r="K43" i="18"/>
  <c r="F13" i="18"/>
  <c r="J43" i="18"/>
  <c r="F11" i="18"/>
  <c r="F17" i="18"/>
  <c r="F18" i="18"/>
  <c r="I43" i="18"/>
  <c r="F10" i="18"/>
  <c r="H43" i="18"/>
  <c r="F7" i="18"/>
  <c r="F14" i="18"/>
  <c r="F24" i="18"/>
  <c r="F25" i="18"/>
  <c r="F28" i="18"/>
  <c r="F29" i="18"/>
  <c r="F30" i="18"/>
  <c r="G43" i="18"/>
  <c r="F39" i="18"/>
  <c r="F40" i="18"/>
  <c r="F12" i="18"/>
  <c r="N43" i="18"/>
  <c r="F19" i="18"/>
  <c r="F20" i="18"/>
  <c r="F21" i="18"/>
  <c r="F34" i="18"/>
  <c r="F35" i="18"/>
  <c r="F23" i="1"/>
  <c r="E23" i="1"/>
  <c r="F7" i="1"/>
  <c r="E7" i="1"/>
  <c r="F8" i="1"/>
  <c r="E8" i="1"/>
  <c r="F9" i="1"/>
  <c r="E9" i="1"/>
  <c r="F10" i="1"/>
  <c r="E10" i="1"/>
  <c r="F11" i="1"/>
  <c r="E11" i="1"/>
  <c r="F12" i="1"/>
  <c r="E12" i="1"/>
  <c r="F13" i="1"/>
  <c r="E13" i="1"/>
  <c r="F14" i="1"/>
  <c r="E14" i="1"/>
  <c r="F15" i="1"/>
  <c r="E15" i="1"/>
  <c r="F16" i="1"/>
  <c r="E16" i="1"/>
  <c r="F17" i="1"/>
  <c r="E17" i="1"/>
  <c r="F18" i="1"/>
  <c r="E18" i="1"/>
  <c r="F19" i="1"/>
  <c r="E19" i="1"/>
  <c r="F20" i="1"/>
  <c r="E20" i="1"/>
  <c r="F21" i="1"/>
  <c r="E21" i="1"/>
  <c r="F22" i="1"/>
  <c r="E22" i="1"/>
  <c r="G21" i="1" l="1"/>
  <c r="Q28" i="28"/>
  <c r="AA10" i="28"/>
  <c r="I22" i="28"/>
  <c r="I27" i="28" s="1"/>
  <c r="J23" i="28" s="1"/>
  <c r="J27" i="28" s="1"/>
  <c r="K23" i="28" s="1"/>
  <c r="AC9" i="28"/>
  <c r="AB9" i="28"/>
  <c r="AD9" i="28"/>
  <c r="AD17" i="28"/>
  <c r="AD15" i="28"/>
  <c r="AD16" i="28"/>
  <c r="R15" i="28"/>
  <c r="R19" i="28"/>
  <c r="R26" i="28" s="1"/>
  <c r="R16" i="28"/>
  <c r="R17" i="28"/>
  <c r="AF15" i="28"/>
  <c r="AF16" i="28"/>
  <c r="AF17" i="28"/>
  <c r="AC7" i="28"/>
  <c r="AC5" i="28"/>
  <c r="AC8" i="28"/>
  <c r="AC6" i="28"/>
  <c r="AA19" i="28"/>
  <c r="Q26" i="28"/>
  <c r="AD6" i="28"/>
  <c r="AD8" i="28"/>
  <c r="AD5" i="28"/>
  <c r="AD7" i="28"/>
  <c r="R27" i="28"/>
  <c r="R12" i="28"/>
  <c r="R13" i="28"/>
  <c r="R10" i="28"/>
  <c r="R11" i="28"/>
  <c r="K19" i="28"/>
  <c r="K29" i="28" s="1"/>
  <c r="S14" i="28"/>
  <c r="AE17" i="28"/>
  <c r="AE15" i="28"/>
  <c r="AE16" i="28"/>
  <c r="Q6" i="28"/>
  <c r="Q8" i="28"/>
  <c r="R4" i="28"/>
  <c r="Q7" i="28"/>
  <c r="Q5" i="28"/>
  <c r="AG14" i="28"/>
  <c r="AB6" i="28"/>
  <c r="AB5" i="28"/>
  <c r="AB8" i="28"/>
  <c r="AB7" i="28"/>
  <c r="K28" i="28"/>
  <c r="J15" i="28"/>
  <c r="J11" i="28" s="1"/>
  <c r="J22" i="28" s="1"/>
  <c r="S9" i="28"/>
  <c r="F43" i="19"/>
  <c r="S43" i="18"/>
  <c r="T43" i="18"/>
  <c r="T43" i="19"/>
  <c r="F43" i="18"/>
  <c r="G45" i="18" s="1"/>
  <c r="R43" i="18"/>
  <c r="G22" i="1"/>
  <c r="G17" i="1"/>
  <c r="G18" i="1"/>
  <c r="G10" i="1"/>
  <c r="G8" i="1"/>
  <c r="G23" i="1"/>
  <c r="G13" i="1"/>
  <c r="G16" i="1"/>
  <c r="G14" i="1"/>
  <c r="G9" i="1"/>
  <c r="G11" i="1"/>
  <c r="G19" i="1"/>
  <c r="G20" i="1"/>
  <c r="G15" i="1"/>
  <c r="G12" i="1"/>
  <c r="G7" i="1"/>
  <c r="L29" i="28" l="1"/>
  <c r="U14" i="28" s="1"/>
  <c r="T14" i="28"/>
  <c r="R5" i="28"/>
  <c r="S4" i="28"/>
  <c r="R8" i="28"/>
  <c r="R6" i="28"/>
  <c r="R7" i="28"/>
  <c r="AC11" i="28"/>
  <c r="AC12" i="28"/>
  <c r="AC13" i="28"/>
  <c r="AC10" i="28"/>
  <c r="AD10" i="28"/>
  <c r="AD11" i="28"/>
  <c r="AD12" i="28"/>
  <c r="AD13" i="28"/>
  <c r="L28" i="28"/>
  <c r="K15" i="28"/>
  <c r="K11" i="28" s="1"/>
  <c r="K22" i="28" s="1"/>
  <c r="K27" i="28" s="1"/>
  <c r="L23" i="28" s="1"/>
  <c r="T9" i="28"/>
  <c r="S19" i="28"/>
  <c r="S26" i="28" s="1"/>
  <c r="S16" i="28"/>
  <c r="S17" i="28"/>
  <c r="S15" i="28"/>
  <c r="AB13" i="28"/>
  <c r="AB10" i="28"/>
  <c r="AB11" i="28"/>
  <c r="AB12" i="28"/>
  <c r="R28" i="28"/>
  <c r="S27" i="28"/>
  <c r="S11" i="28"/>
  <c r="S12" i="28"/>
  <c r="S13" i="28"/>
  <c r="S10" i="28"/>
  <c r="AG15" i="28"/>
  <c r="AG16" i="28"/>
  <c r="AG17" i="28"/>
  <c r="G45" i="19"/>
  <c r="G26" i="1"/>
  <c r="G25" i="1"/>
  <c r="G29" i="1" l="1"/>
  <c r="H20" i="1" s="1"/>
  <c r="S7" i="28"/>
  <c r="S6" i="28"/>
  <c r="T4" i="28"/>
  <c r="S8" i="28"/>
  <c r="S5" i="28"/>
  <c r="S28" i="28"/>
  <c r="T27" i="28"/>
  <c r="T12" i="28"/>
  <c r="T13" i="28"/>
  <c r="T10" i="28"/>
  <c r="T11" i="28"/>
  <c r="L15" i="28"/>
  <c r="L11" i="28" s="1"/>
  <c r="L22" i="28" s="1"/>
  <c r="L27" i="28" s="1"/>
  <c r="U9" i="28"/>
  <c r="T16" i="28"/>
  <c r="T17" i="28"/>
  <c r="T15" i="28"/>
  <c r="T19" i="28"/>
  <c r="T26" i="28" s="1"/>
  <c r="U16" i="28"/>
  <c r="U17" i="28"/>
  <c r="U15" i="28"/>
  <c r="U19" i="28"/>
  <c r="U26" i="28" s="1"/>
  <c r="H10" i="1" l="1"/>
  <c r="H21" i="1"/>
  <c r="H15" i="1"/>
  <c r="H16" i="1"/>
  <c r="H12" i="1"/>
  <c r="H7" i="1"/>
  <c r="H17" i="1"/>
  <c r="H8" i="1"/>
  <c r="H23" i="1"/>
  <c r="H13" i="1"/>
  <c r="H9" i="1"/>
  <c r="H11" i="1"/>
  <c r="H19" i="1"/>
  <c r="H18" i="1"/>
  <c r="H22" i="1"/>
  <c r="H14" i="1"/>
  <c r="U13" i="28"/>
  <c r="U10" i="28"/>
  <c r="U27" i="28"/>
  <c r="U12" i="28"/>
  <c r="U11" i="28"/>
  <c r="T8" i="28"/>
  <c r="T7" i="28"/>
  <c r="T6" i="28"/>
  <c r="U4" i="28"/>
  <c r="T5" i="28"/>
  <c r="T28" i="28"/>
  <c r="H25" i="1" l="1"/>
  <c r="U28" i="28"/>
  <c r="U7" i="28"/>
  <c r="U6" i="28"/>
  <c r="U5" i="28"/>
  <c r="U8" i="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8" authorId="0" shapeId="0" xr:uid="{00000000-0006-0000-0600-000001000000}">
      <text>
        <r>
          <rPr>
            <b/>
            <sz val="9"/>
            <color rgb="FF000000"/>
            <rFont val="Tahoma"/>
            <family val="2"/>
          </rPr>
          <t xml:space="preserve">Penny stock joke punchline:
</t>
        </r>
        <r>
          <rPr>
            <b/>
            <sz val="9"/>
            <color rgb="FF000000"/>
            <rFont val="Tahoma"/>
            <family val="2"/>
          </rPr>
          <t xml:space="preserve">'who are you going to sell it to?'
</t>
        </r>
      </text>
    </comment>
    <comment ref="D8" authorId="0" shapeId="0" xr:uid="{00000000-0006-0000-0600-000002000000}">
      <text>
        <r>
          <rPr>
            <b/>
            <sz val="9"/>
            <color rgb="FF000000"/>
            <rFont val="Tahoma"/>
            <family val="2"/>
          </rPr>
          <t xml:space="preserve">Penny stock joke punchline:
</t>
        </r>
        <r>
          <rPr>
            <b/>
            <sz val="9"/>
            <color rgb="FF000000"/>
            <rFont val="Tahoma"/>
            <family val="2"/>
          </rPr>
          <t xml:space="preserve">'who are you going to sell it to?'
</t>
        </r>
      </text>
    </comment>
    <comment ref="F11" authorId="0" shapeId="0" xr:uid="{00000000-0006-0000-0600-000003000000}">
      <text>
        <r>
          <rPr>
            <b/>
            <sz val="9"/>
            <color rgb="FF000000"/>
            <rFont val="Tahoma"/>
            <family val="2"/>
          </rPr>
          <t xml:space="preserve">ING Barings
</t>
        </r>
        <r>
          <rPr>
            <b/>
            <sz val="9"/>
            <color rgb="FF000000"/>
            <rFont val="Tahoma"/>
            <family val="2"/>
          </rPr>
          <t>Singapore Stock Exchange</t>
        </r>
      </text>
    </comment>
  </commentList>
</comments>
</file>

<file path=xl/sharedStrings.xml><?xml version="1.0" encoding="utf-8"?>
<sst xmlns="http://schemas.openxmlformats.org/spreadsheetml/2006/main" count="834" uniqueCount="545">
  <si>
    <t>simS</t>
  </si>
  <si>
    <t>alpha</t>
  </si>
  <si>
    <t>sigma</t>
  </si>
  <si>
    <t>mu</t>
  </si>
  <si>
    <t>s</t>
  </si>
  <si>
    <t>spread</t>
  </si>
  <si>
    <t>midprice</t>
  </si>
  <si>
    <t>offer</t>
  </si>
  <si>
    <t>bid</t>
  </si>
  <si>
    <t>a</t>
  </si>
  <si>
    <t>Risk Management and Financial Institutions</t>
  </si>
  <si>
    <t>Depends</t>
  </si>
  <si>
    <t>MarketRisk</t>
  </si>
  <si>
    <t>Fire Sales / Squeeze</t>
  </si>
  <si>
    <t>Hedge Funds</t>
  </si>
  <si>
    <t>Private Equity</t>
  </si>
  <si>
    <t>Contract Fulfillment</t>
  </si>
  <si>
    <t>N/A</t>
  </si>
  <si>
    <t>Commercial Real Estate</t>
  </si>
  <si>
    <t>Default</t>
  </si>
  <si>
    <t>The Counterparty</t>
  </si>
  <si>
    <t>OTC</t>
  </si>
  <si>
    <t>Bancruptcy</t>
  </si>
  <si>
    <t>The Exchange</t>
  </si>
  <si>
    <t>You'd have to be big.</t>
  </si>
  <si>
    <t>Futures</t>
  </si>
  <si>
    <t>Preferred stock</t>
  </si>
  <si>
    <t>Probably Not</t>
  </si>
  <si>
    <t>ETF's</t>
  </si>
  <si>
    <t>Penny Stocks</t>
  </si>
  <si>
    <t>Stocks</t>
  </si>
  <si>
    <t>Theoretical Pricing</t>
  </si>
  <si>
    <t>Fire Sales</t>
  </si>
  <si>
    <t>ABS</t>
  </si>
  <si>
    <t>Bonds</t>
  </si>
  <si>
    <t>CD's</t>
  </si>
  <si>
    <t>Money Printing</t>
  </si>
  <si>
    <t>Treasuries</t>
  </si>
  <si>
    <t>Asset Types:</t>
  </si>
  <si>
    <t>Credit Risk</t>
  </si>
  <si>
    <t>Exogenous Liquidity</t>
  </si>
  <si>
    <t>Manage on the way down.</t>
  </si>
  <si>
    <t>Stress testing should inspire research and planning:</t>
  </si>
  <si>
    <t>Study the history of your industry</t>
  </si>
  <si>
    <t>Capital during good times is not enough to cover capital required in bad times.</t>
  </si>
  <si>
    <t>AIG and Goldman</t>
  </si>
  <si>
    <t>“See you in court”</t>
  </si>
  <si>
    <t>Credit lines unavailable to banks in trouble.</t>
  </si>
  <si>
    <t>Price Copiers</t>
  </si>
  <si>
    <t>Think about and research for next time:</t>
  </si>
  <si>
    <t>This Time:</t>
  </si>
  <si>
    <t>If you have any professional experience with liquidity risk, please share with the class.</t>
  </si>
  <si>
    <t>Think of examples of when liquidity risk is market risk or vice versa.</t>
  </si>
  <si>
    <t>8 Steps in stress testing. What are the missing steps #4 and #8?</t>
  </si>
  <si>
    <t>1 Define scenarios and levels.</t>
  </si>
  <si>
    <t>2 For each of them, identify contractual cash flows.</t>
  </si>
  <si>
    <t>3 For each of them, identify cash flows from customers.</t>
  </si>
  <si>
    <t>5 Total the customer cash flows and the treasury cash flows.</t>
  </si>
  <si>
    <t>6 Calculate the amount of liquid funds.</t>
  </si>
  <si>
    <t>7 Compare need to availability.</t>
  </si>
  <si>
    <t>What's some of the definciencies in liquidity ratios? Select all that are relevant</t>
  </si>
  <si>
    <t>Historical</t>
  </si>
  <si>
    <t>Single View</t>
  </si>
  <si>
    <t>Exclude Off-Balance Sheet Exposures</t>
  </si>
  <si>
    <r>
      <rPr>
        <sz val="20"/>
        <color rgb="FF0000FF"/>
        <rFont val="Calibri"/>
        <family val="2"/>
        <scheme val="minor"/>
      </rPr>
      <t>True</t>
    </r>
    <r>
      <rPr>
        <sz val="20"/>
        <color theme="1"/>
        <rFont val="Calibri"/>
        <family val="2"/>
        <scheme val="minor"/>
      </rPr>
      <t xml:space="preserve"> or False: Borrowing short term and investing long term is risky.</t>
    </r>
  </si>
  <si>
    <r>
      <rPr>
        <sz val="20"/>
        <color rgb="FF0000FF"/>
        <rFont val="Calibri"/>
        <family val="2"/>
        <scheme val="minor"/>
      </rPr>
      <t>True</t>
    </r>
    <r>
      <rPr>
        <sz val="20"/>
        <color theme="1"/>
        <rFont val="Calibri"/>
        <family val="2"/>
        <scheme val="minor"/>
      </rPr>
      <t xml:space="preserve"> or False: Capital during good times is not enough to cover capital required in bad times.</t>
    </r>
  </si>
  <si>
    <t>4. Add treasury cash flows.</t>
  </si>
  <si>
    <t>8. Inform management.</t>
  </si>
  <si>
    <r>
      <rPr>
        <sz val="20"/>
        <color rgb="FF0000FF"/>
        <rFont val="Calibri"/>
        <family val="2"/>
        <scheme val="minor"/>
      </rPr>
      <t xml:space="preserve">True </t>
    </r>
    <r>
      <rPr>
        <sz val="20"/>
        <color theme="1"/>
        <rFont val="Calibri"/>
        <family val="2"/>
        <scheme val="minor"/>
      </rPr>
      <t>or False: CBC shall exceed the FCE</t>
    </r>
  </si>
  <si>
    <t>Liquidity Risk Categories</t>
  </si>
  <si>
    <t>Average Trading Volume</t>
  </si>
  <si>
    <t>Bid-Ask Spread</t>
  </si>
  <si>
    <t>Others (percentage of outstanding stocks, stressed bid-ask, number of market pricing provider, credit rating, stale price)</t>
  </si>
  <si>
    <t>Liquidity Other Thoughts and Concepts</t>
  </si>
  <si>
    <t>Short term funding for long term needs</t>
  </si>
  <si>
    <t>How to manage liquidity Trading Risk (Hull Chp 24.1)</t>
  </si>
  <si>
    <t>How to manage liquidity Funding Risk (Hull Chp 24.2)</t>
  </si>
  <si>
    <t xml:space="preserve">What are some of the traditional methods and techniques to meaure liquidity risk? Please list 3 of them. </t>
  </si>
  <si>
    <t xml:space="preserve">What is liquidity VaR? And what are the steps to calculate liquidity Bid-Offer VaR? </t>
  </si>
  <si>
    <t>Liquidity VaR (exogenous liquidity risk vs. endogenous liquidity risk)</t>
  </si>
  <si>
    <t>What are exogenous liquidity risk and endogenous liquidity risk?</t>
  </si>
  <si>
    <t>General requirements</t>
  </si>
  <si>
    <t>Specific requirements</t>
  </si>
  <si>
    <t>Quiz 11 Review</t>
  </si>
  <si>
    <t>Exogenous and Engogenous Liquidity Risk</t>
  </si>
  <si>
    <t>What are the exogenous, endogenous liquidity risk of Bonds?</t>
  </si>
  <si>
    <t>What are the exogenous, endogenous liquidity risk of ABS?</t>
  </si>
  <si>
    <t>What are the exogenous, endogenous liquidity risk of Futures?</t>
  </si>
  <si>
    <t>Stress tests Matz (Ch 6)</t>
  </si>
  <si>
    <t>CFP (Matz Ch 9)</t>
  </si>
  <si>
    <t>Liquidity buffers (Matz Ch 5)</t>
  </si>
  <si>
    <t>Fire drills / war games / strategy sessions</t>
  </si>
  <si>
    <t>True or False: Unencumbered Assets is much easier to sell or transfer than the one with encumbrance.</t>
  </si>
  <si>
    <t>True or False: Loan to deposit ratios are not measures of liquidity risk</t>
  </si>
  <si>
    <t>True or False: Capital during good times is not enough to cover capital required in bad times.</t>
  </si>
  <si>
    <t>Bankruptcy</t>
  </si>
  <si>
    <t>Title</t>
  </si>
  <si>
    <t>Description</t>
  </si>
  <si>
    <t>Instructions</t>
  </si>
  <si>
    <t>Expected</t>
  </si>
  <si>
    <t>US$ million</t>
  </si>
  <si>
    <t>Yield</t>
  </si>
  <si>
    <t>Liquidity</t>
  </si>
  <si>
    <t>Assets</t>
  </si>
  <si>
    <t>Q1</t>
  </si>
  <si>
    <t>Q2</t>
  </si>
  <si>
    <t>Q3</t>
  </si>
  <si>
    <t>Q4</t>
  </si>
  <si>
    <t>US$ mn</t>
  </si>
  <si>
    <t>Current Assets</t>
  </si>
  <si>
    <t>Inflows</t>
  </si>
  <si>
    <t>Cash &amp; bank accounts</t>
  </si>
  <si>
    <t>Sales</t>
  </si>
  <si>
    <t>-</t>
  </si>
  <si>
    <t>Accounts receivable</t>
  </si>
  <si>
    <t>Other</t>
  </si>
  <si>
    <t>Fixed Assets</t>
  </si>
  <si>
    <t>Property, plant &amp; equipment</t>
  </si>
  <si>
    <t>Long term investments</t>
  </si>
  <si>
    <t>Outflows</t>
  </si>
  <si>
    <t>Payroll</t>
  </si>
  <si>
    <t>Equities</t>
  </si>
  <si>
    <t>Total Assets</t>
  </si>
  <si>
    <t>Capital expenditure</t>
  </si>
  <si>
    <t>Liabilities &amp; Equity</t>
  </si>
  <si>
    <t>Current Liabilities</t>
  </si>
  <si>
    <t>Accounts payable</t>
  </si>
  <si>
    <t>Derivatives</t>
  </si>
  <si>
    <t>Short term debt</t>
  </si>
  <si>
    <t>Net Cash Flow</t>
  </si>
  <si>
    <t>Long term debt</t>
  </si>
  <si>
    <t>Beginning cash &amp; bank accounts</t>
  </si>
  <si>
    <t>Shareholder Equity</t>
  </si>
  <si>
    <t>Total Liabilities &amp; Equity</t>
  </si>
  <si>
    <t>Total</t>
  </si>
  <si>
    <t>COMPANY J SUMMARY BALANCE SHEET</t>
  </si>
  <si>
    <t>COMPANY J FORECAST FUNDING MIX</t>
  </si>
  <si>
    <t>Maturity Bucket</t>
  </si>
  <si>
    <t>Cost</t>
  </si>
  <si>
    <t>30 days</t>
  </si>
  <si>
    <t>90 days</t>
  </si>
  <si>
    <t>1 year</t>
  </si>
  <si>
    <t>2 years</t>
  </si>
  <si>
    <t>5 years</t>
  </si>
  <si>
    <t>USA (60%)</t>
  </si>
  <si>
    <t>Inventories</t>
  </si>
  <si>
    <t>Canada (10%)</t>
  </si>
  <si>
    <t>EU (15%)</t>
  </si>
  <si>
    <t>Other current assets</t>
  </si>
  <si>
    <t>China (15%)</t>
  </si>
  <si>
    <t>Asset sales</t>
  </si>
  <si>
    <t>Cost of goods sold</t>
  </si>
  <si>
    <t>Fixed expenses</t>
  </si>
  <si>
    <t>Bank fees and interest</t>
  </si>
  <si>
    <t>Other current liabilities</t>
  </si>
  <si>
    <t>China</t>
  </si>
  <si>
    <t>Not available</t>
  </si>
  <si>
    <t>Long term debt repayments</t>
  </si>
  <si>
    <t xml:space="preserve">Undrawn Loan Commitments </t>
  </si>
  <si>
    <t>Other non-current Liabilities</t>
  </si>
  <si>
    <t>USA</t>
  </si>
  <si>
    <t>Canada</t>
  </si>
  <si>
    <t>EU</t>
  </si>
  <si>
    <t>New long term debt</t>
  </si>
  <si>
    <t>New short term debt</t>
  </si>
  <si>
    <t>Short term debt repayments</t>
  </si>
  <si>
    <t>Ending cash and bank accounts</t>
  </si>
  <si>
    <t>Ending short term debt</t>
  </si>
  <si>
    <t>Ending long term debt</t>
  </si>
  <si>
    <t>Tab 1</t>
  </si>
  <si>
    <t>SIGMA COLLEGE ENDOWMENT - INVESTMENT PORTFOLIO LIQUIDITY PROJECTION</t>
  </si>
  <si>
    <t>Investment</t>
  </si>
  <si>
    <t>Days to Liquidate or Close Out</t>
  </si>
  <si>
    <t>Projected</t>
  </si>
  <si>
    <t>Quantity</t>
  </si>
  <si>
    <t>Price</t>
  </si>
  <si>
    <t>FX</t>
  </si>
  <si>
    <t>US$ Value</t>
  </si>
  <si>
    <t>Volatility</t>
  </si>
  <si>
    <t>VaR</t>
  </si>
  <si>
    <t>Stress</t>
  </si>
  <si>
    <t>Liquidity Metric</t>
  </si>
  <si>
    <t>Cash</t>
  </si>
  <si>
    <t>Fixed income</t>
  </si>
  <si>
    <t>Sovereign Q, EUR, 1,000,000, 31-Dec-2026, 1.5%, 360/360</t>
  </si>
  <si>
    <t>1 day: up to USD 10mn          2 days: up to USD 25mn</t>
  </si>
  <si>
    <t xml:space="preserve">Bank R, USD, 2,000,000, senior unsecured, 31-Dec-2021, 2.0%, 180/360 </t>
  </si>
  <si>
    <t>1 day: up to USD 1mn                                                             2 days: up to USD 5mn                           5 days: up to USD 12mn</t>
  </si>
  <si>
    <t>Bank S, USD, 5,000,000, Coco, 31-Dec-2034, 6%, 180/360</t>
  </si>
  <si>
    <t>10 days: up to USD 2mn     30 days: up to USD 5mn        60 days: up to USD 10mn</t>
  </si>
  <si>
    <t>5 days: up to USD 5mn                         10 days: up to USD 10mn</t>
  </si>
  <si>
    <t>US Treasury, USD, 1,000,000, 0%, 31-Dec-2036</t>
  </si>
  <si>
    <t>1 day: up to USD 5Mn               2 days: up to USD 20mn</t>
  </si>
  <si>
    <t>Company U, common stock, Nasdaq</t>
  </si>
  <si>
    <t>1 day: up to USD 5mn               2 days: up to USD 10mn       5 days up to USD 20 mn</t>
  </si>
  <si>
    <t>Company V, common stock, Nasdaq</t>
  </si>
  <si>
    <t>1 day: up to USD 3mn               2 days: up to USD 8mn                 5 days up to USD 15 mn</t>
  </si>
  <si>
    <t>Company W, common stock, Euronext</t>
  </si>
  <si>
    <t>2 days: up to USD 5mn               5 days: up to USD 10mn             10 days up to USD 20 mn</t>
  </si>
  <si>
    <t>Company X, common stock, Nikkei</t>
  </si>
  <si>
    <t>5 days: up to USD 5mn               10 days: up to USD 10mn</t>
  </si>
  <si>
    <t>Company Y, common stock, TSX</t>
  </si>
  <si>
    <t>1 day: up to USD 1mn               2 days: up to USD 2mn         5 days up to USD 5 mn</t>
  </si>
  <si>
    <t>Currencies</t>
  </si>
  <si>
    <t>Shorts</t>
  </si>
  <si>
    <t>1 day: up to USD 20mn</t>
  </si>
  <si>
    <t>1 day: up to USD 2mn</t>
  </si>
  <si>
    <t>Put, AEX, strike 395, 30-Sep-16</t>
  </si>
  <si>
    <t>Put, TSX 60, strike 740, 30-Sep-16</t>
  </si>
  <si>
    <t>Note 1</t>
  </si>
  <si>
    <t>Ownership of office tower located at 240 E Monroe in Chicago</t>
  </si>
  <si>
    <t>180 days: up to USD 10mn    360 days up to USD 20mn</t>
  </si>
  <si>
    <t>Ownership of West Hills shopping mall in Pittsburgh</t>
  </si>
  <si>
    <t>180 days: up to USD 5mn    360 days up to USD 10mn</t>
  </si>
  <si>
    <t>Ownership of luxury apartment building in Denver</t>
  </si>
  <si>
    <t>Z Investment Advisors Macro Fund</t>
  </si>
  <si>
    <t>30 days: up to USD 5mn                                                             60 days: up to USD 10mn</t>
  </si>
  <si>
    <t>Y Investment Advisors Value Fund</t>
  </si>
  <si>
    <t>180 days: up to USD 10mn                 360 days: up to USD 20mn</t>
  </si>
  <si>
    <t>X Investment Advisors Private Equity Fund</t>
  </si>
  <si>
    <t>360 days: up to USD 5 mn</t>
  </si>
  <si>
    <t>15% diversification applied</t>
  </si>
  <si>
    <t>Projected cumulative liquidity</t>
  </si>
  <si>
    <t>Policy minimum</t>
  </si>
  <si>
    <t>Tab 2</t>
  </si>
  <si>
    <t xml:space="preserve">SIGMA COLLEGE ENDOWMENT - ALTERNATIVE INVESTMENT PORTFOLIO LIQUIDITY PROJECTION </t>
  </si>
  <si>
    <r>
      <t>Quantity</t>
    </r>
    <r>
      <rPr>
        <b/>
        <sz val="11"/>
        <color rgb="FFFF0000"/>
        <rFont val="Calibri"/>
        <family val="2"/>
        <scheme val="minor"/>
      </rPr>
      <t>*</t>
    </r>
  </si>
  <si>
    <t>60 days: up to USD 10mn</t>
  </si>
  <si>
    <t>Design an investment mix for a financial institution that provides a level of liquidity which aligns with the institution’s financial objectives</t>
  </si>
  <si>
    <t>Choose the appropriate liquidity risk calculation method for investment portfolios</t>
  </si>
  <si>
    <t>Converse confidently about the methods, terminology, and mechanics of liquidity risk mitigation</t>
  </si>
  <si>
    <t>Apply appropriate methods and strategies to mitigate liquidity risk in funding and investment portfolios</t>
  </si>
  <si>
    <t>Construct diversification strategies to mitigate funding and investment liquidity risk</t>
  </si>
  <si>
    <t>Assess the impact of contingent events and actions on the liquidity risks in funding and investment portfolios</t>
  </si>
  <si>
    <t>Idiosyncratic stress scenario</t>
  </si>
  <si>
    <t xml:space="preserve">Select company-specific scenario </t>
  </si>
  <si>
    <t>Select relevant drivers</t>
  </si>
  <si>
    <t>Incorporate behavioral economics</t>
  </si>
  <si>
    <t>Incorporate dynamic decisions</t>
  </si>
  <si>
    <t>Systematic stress scenario</t>
  </si>
  <si>
    <t>Customize impact for industry and entity</t>
  </si>
  <si>
    <t xml:space="preserve">Liquidity stress testing </t>
  </si>
  <si>
    <t>Regulatory Approach – Prescribed, rules based, defined assumptions, results are comparable across firms.</t>
  </si>
  <si>
    <t xml:space="preserve">Firm Internal Approach – Unique, assumption based, tailored for business activities and strategy. </t>
  </si>
  <si>
    <t>Diversification</t>
  </si>
  <si>
    <t>Protection</t>
  </si>
  <si>
    <t>Regulation</t>
  </si>
  <si>
    <t>Investment Liquidity Risk Diversification</t>
  </si>
  <si>
    <t>Position size</t>
  </si>
  <si>
    <t>Diversity of holdings</t>
  </si>
  <si>
    <t>Laddered maturities</t>
  </si>
  <si>
    <t>Un-correlated markets</t>
  </si>
  <si>
    <t>Investment Liquidity Risk Protection</t>
  </si>
  <si>
    <t>Limits</t>
  </si>
  <si>
    <t>Days to liquidate</t>
  </si>
  <si>
    <t>Market/geography</t>
  </si>
  <si>
    <t>Options</t>
  </si>
  <si>
    <t>Index short vs out-of-the-money OTC put</t>
  </si>
  <si>
    <t>Funding Liquidity Risk Diversification</t>
  </si>
  <si>
    <t>Markets/geographies</t>
  </si>
  <si>
    <t>Lenders</t>
  </si>
  <si>
    <t>Maturities</t>
  </si>
  <si>
    <t>Funding Liquidity Risk Protection</t>
  </si>
  <si>
    <t>Committed lines</t>
  </si>
  <si>
    <t xml:space="preserve">Unencumbered investments </t>
  </si>
  <si>
    <t>Behavioral modeling</t>
  </si>
  <si>
    <t>Contingency funding plan</t>
  </si>
  <si>
    <t>Funding Liquidity Risk Regulation</t>
  </si>
  <si>
    <t>Buffers</t>
  </si>
  <si>
    <t>Liquidity Coverage Ratio (LCR)</t>
  </si>
  <si>
    <t>Net Stable Funding Ratio (NSFR)</t>
  </si>
  <si>
    <t>Intraday Liquidity</t>
  </si>
  <si>
    <t>Investment Liquidity Risk Regulation</t>
  </si>
  <si>
    <t>Transparency</t>
  </si>
  <si>
    <t>Investment compliance</t>
  </si>
  <si>
    <t xml:space="preserve">The dollar bid–offer spread is </t>
  </si>
  <si>
    <t>p = Offer price - Bid price</t>
  </si>
  <si>
    <t>The proportional bid–offer spread for an asset is defined as</t>
  </si>
  <si>
    <t>s = (Offer price - Bid price)/mid-market price</t>
  </si>
  <si>
    <t>where the mid-market price is halfway between the bid and the offer price.</t>
  </si>
  <si>
    <t>In liquidating a position in an asset, a financial institution incurs a cost equal to</t>
  </si>
  <si>
    <t>Cost of liquiditation</t>
  </si>
  <si>
    <t>sα∕2</t>
  </si>
  <si>
    <t xml:space="preserve">where α is the dollar (mid-market) value of the position. </t>
  </si>
  <si>
    <t xml:space="preserve">One measure of the liquidity of a book is how much it would cost to liquidate the book in normal market conditions within a certain time. </t>
  </si>
  <si>
    <t>Cost of liquiditation (Normal market condition)</t>
  </si>
  <si>
    <t xml:space="preserve">Cost of liquiditation = </t>
  </si>
  <si>
    <t>Cost of liquiditation (Stressed market)</t>
  </si>
  <si>
    <t xml:space="preserve">the mean and standard deviation of the proportional bid–offer spread for the ith financial instrument held. </t>
  </si>
  <si>
    <t>Suppose that a financial institution has bought 10 million shares of one company and 50 million ounces of a commodity.</t>
  </si>
  <si>
    <t>The shares are bid $89.5, offer $90.5 and the commodity is bid $15, offer $15.1.</t>
  </si>
  <si>
    <t>The cost of liquidation in a normal market is</t>
  </si>
  <si>
    <t xml:space="preserve">The proportional bid–offer spread for the shares is 1/90 or 0.01111. </t>
  </si>
  <si>
    <t>The proportional bid–offer spread for the commodity is 0.1/15.05 or 0.006645.</t>
  </si>
  <si>
    <t>Suppose that in previous example, the mean and standard deviation for the bid–offer spread for the shares</t>
  </si>
  <si>
    <t>are $1.0 and $2.0, respectively. Suppose further that the mean and standard deviation for the bid–offer</t>
  </si>
  <si>
    <t>spread for the commodity are both $0.1. The mean and standard deviation for the proportional bid–offer</t>
  </si>
  <si>
    <t xml:space="preserve">spread for the shares are 0.01111 and 0.02222, respectively.  The mean and standard deviation for the </t>
  </si>
  <si>
    <t xml:space="preserve">proportional bid–offer spread for the commodity are both 0.006645. Assuming the spreads are normally </t>
  </si>
  <si>
    <t>distributed, the cost of liquidation that we are 99% confident will not be exceeded is</t>
  </si>
  <si>
    <t>0.5×900×(0.01111+2.326×0.02222)+0.5×752.5×(0.006645+2.326×0.006645) = 36.58</t>
  </si>
  <si>
    <t>Counterparty Risk</t>
  </si>
  <si>
    <t>Optics can be a legitimate issue.</t>
  </si>
  <si>
    <t>Given the above two concepts, strategize to increase liquidity as risk increases.</t>
  </si>
  <si>
    <t>Contingency Funding Plans (CFP)</t>
  </si>
  <si>
    <t>Are liquidity stress tests important for investment portfolios? Give reasons for your answer and an example that supports your opinion.</t>
  </si>
  <si>
    <t>Discussion</t>
  </si>
  <si>
    <t>Liquidity projection for an investment portfolio</t>
  </si>
  <si>
    <t>Triangle Models</t>
  </si>
  <si>
    <t>Market Impact Models</t>
  </si>
  <si>
    <t>Question 11.1 and 11.2</t>
  </si>
  <si>
    <t>Investment Risk</t>
  </si>
  <si>
    <t>Funding Risk</t>
  </si>
  <si>
    <t>This reflects the fact that trades are not done at the mid-market price. A 'buy' trade is done at the offer price and a 'sell' trade is done at the bid price</t>
  </si>
  <si>
    <r>
      <t>Suppose that s</t>
    </r>
    <r>
      <rPr>
        <vertAlign val="subscript"/>
        <sz val="15"/>
        <color theme="1"/>
        <rFont val="Calibri (Body)"/>
      </rPr>
      <t>i</t>
    </r>
    <r>
      <rPr>
        <sz val="15"/>
        <color theme="1"/>
        <rFont val="Calibri"/>
        <family val="2"/>
        <scheme val="minor"/>
      </rPr>
      <t xml:space="preserve"> is an estimate of the proportional bid–offer spread in normal market conditions for the ith financial instrument held by</t>
    </r>
  </si>
  <si>
    <r>
      <t>a financial institution and α</t>
    </r>
    <r>
      <rPr>
        <vertAlign val="subscript"/>
        <sz val="15"/>
        <color theme="1"/>
        <rFont val="Calibri (Body)"/>
      </rPr>
      <t>i</t>
    </r>
    <r>
      <rPr>
        <sz val="15"/>
        <color theme="1"/>
        <rFont val="Calibri"/>
        <family val="2"/>
        <scheme val="minor"/>
      </rPr>
      <t xml:space="preserve"> isthedollar value ofthe position in the instrument.</t>
    </r>
  </si>
  <si>
    <t>The mid-market value of the position in the shares is $90 × 10M = $900M.</t>
  </si>
  <si>
    <t xml:space="preserve">The mid-market value of the position in the commodity is $15.05 × 50 = $752.50M. </t>
  </si>
  <si>
    <r>
      <t>Another measure of liquidity is the cost of liquidation in stressed market conditions within a certain time period. Define μ</t>
    </r>
    <r>
      <rPr>
        <vertAlign val="subscript"/>
        <sz val="15"/>
        <color theme="1"/>
        <rFont val="Calibri (Body)"/>
      </rPr>
      <t>i</t>
    </r>
    <r>
      <rPr>
        <sz val="15"/>
        <color theme="1"/>
        <rFont val="Calibri"/>
        <family val="2"/>
        <scheme val="minor"/>
      </rPr>
      <t xml:space="preserve"> and σ</t>
    </r>
    <r>
      <rPr>
        <vertAlign val="subscript"/>
        <sz val="15"/>
        <color theme="1"/>
        <rFont val="Calibri (Body)"/>
      </rPr>
      <t>i</t>
    </r>
    <r>
      <rPr>
        <sz val="15"/>
        <color theme="1"/>
        <rFont val="Calibri"/>
        <family val="2"/>
        <scheme val="minor"/>
      </rPr>
      <t xml:space="preserve"> as the</t>
    </r>
  </si>
  <si>
    <t>$900M × 0.01111/2 + $752.5M × 0.006645/2 = $7.5M</t>
  </si>
  <si>
    <t>https://en.wikipedia.org/wiki/Laddering</t>
  </si>
  <si>
    <t>Traditional Methods and Techniques to Measure Liquidity Risk</t>
  </si>
  <si>
    <t>Method to Measure Liquidity Risk on the Liability Side</t>
  </si>
  <si>
    <t>5th Edition, Chapter 24, Page 541</t>
  </si>
  <si>
    <t>5th Edition, Chapter 24, Page 543</t>
  </si>
  <si>
    <t>&lt;- LiquidityVaR</t>
  </si>
  <si>
    <t>Company T, CAD, 1,500,000, 31-Dec-2020, 2.75%, 360/360</t>
  </si>
  <si>
    <t>Sell EUR, Buy USD, 1.05, 31-Dec-2020</t>
  </si>
  <si>
    <t>Sell CAD, Buy USD, 1.35, 30-Jun-2021</t>
  </si>
  <si>
    <t>Put, SPX, strike 1800, 31-Dec-20</t>
  </si>
  <si>
    <t>Put, AEX, strike 395, 30-Sep-21</t>
  </si>
  <si>
    <t>Put, TSX 60, strike 740, 30-Sep-21</t>
  </si>
  <si>
    <t>Study the attachments, fill in the shaded areas, then answer the following questions. 
According to your projections, what % of the portfolio can be liquidated in 5 days?
According to your projections, what % of the portfolio can be liquidated in 180days?
How much of CRE investment A can be purchased with the US $20 million endowment without breaching the minimum liquidity requirements?
How much of CRE investment B can be purchased with the remainder of the US $20 million endowment without breaching the minimum liquidity requirements?
Do you have any changes to this portfolio to suggest? </t>
  </si>
  <si>
    <t>Laddered Maturities</t>
  </si>
  <si>
    <t xml:space="preserve">Stress testing is a construct of scenarios, models, and risk drivers with unique characteristics, different methodologies and a variety of data elements. </t>
  </si>
  <si>
    <t>Endogenous Liquidity</t>
  </si>
  <si>
    <t>cost</t>
  </si>
  <si>
    <t>Diversification of funding sources and maturities for Company J</t>
  </si>
  <si>
    <t>You are the same treasury analyst as before in Company J, a multinational corporation with sales, suppliers and manufacturing in the USA, Canada, EU and China. You have assigned maturity buckets to your forecast funding mix. Your remaining task is to allocate the company’s forecast funding in each maturity bucket among its various funding sources.
In addition to the previous funding sources, commercial paper is also considered here.
'Accounts Payable' is labeled as 'Supplier Credit' when identified as a funding source.</t>
  </si>
  <si>
    <t xml:space="preserve">
The size of the company's commercial paper program is $125 million.
The commercial paper market's preferred maturity is 30 days, but there is also appetite up to 90 days.
You can successfully place about $25 million of commercial paper at 90 days but the rest will need to be at a shorter term.
Company J is issuing a long term bond for $130 million.  The rest of the long term debt will need to be acquired through bank syndicates.
The CFO's provides the following guidance:
Utilize all of the commercial paper in order to maintain investor interest.
Utilize all uncommitted short term bank lines equally with acceptable banks in order to build relations with these trusted banks.
Do not bother building relationships with banks below a AA rating (Q1_BankTable).</t>
  </si>
  <si>
    <t>COMPANY J 2021 CASH FLOW FORECAST</t>
  </si>
  <si>
    <t>COMPANY J FORECAST Q1 FUNDING MIX BREAKDOWN</t>
  </si>
  <si>
    <t xml:space="preserve">  </t>
  </si>
  <si>
    <t>Q1 Funding</t>
  </si>
  <si>
    <t>&gt;5 years</t>
  </si>
  <si>
    <t>Working Capital Employed</t>
  </si>
  <si>
    <t>Accounts Payable</t>
  </si>
  <si>
    <t>Commercial Paper</t>
  </si>
  <si>
    <t>Supplier Credit</t>
  </si>
  <si>
    <t>Bond Issue</t>
  </si>
  <si>
    <t>Syndicated Bank Loan</t>
  </si>
  <si>
    <t>USA Bank 1</t>
  </si>
  <si>
    <r>
      <t>Short Term Debt</t>
    </r>
    <r>
      <rPr>
        <i/>
        <sz val="11"/>
        <rFont val="Calibri"/>
        <family val="2"/>
        <scheme val="minor"/>
      </rPr>
      <t xml:space="preserve"> </t>
    </r>
  </si>
  <si>
    <t>USA Bank 2</t>
  </si>
  <si>
    <t>USA Bank 3</t>
  </si>
  <si>
    <t>Canada Bank 1</t>
  </si>
  <si>
    <t>Canada Bank 2</t>
  </si>
  <si>
    <t>Canada Bank 3</t>
  </si>
  <si>
    <r>
      <t>Long Term Debt</t>
    </r>
    <r>
      <rPr>
        <i/>
        <sz val="11"/>
        <rFont val="Calibri"/>
        <family val="2"/>
        <scheme val="minor"/>
      </rPr>
      <t xml:space="preserve"> </t>
    </r>
  </si>
  <si>
    <t>EU Bank 1</t>
  </si>
  <si>
    <t>EU Bank 2</t>
  </si>
  <si>
    <t>EU Bank 3</t>
  </si>
  <si>
    <t>China Bank 1</t>
  </si>
  <si>
    <t>China Bank 2</t>
  </si>
  <si>
    <t>China Bank 3</t>
  </si>
  <si>
    <t>Total Available Funding</t>
  </si>
  <si>
    <t>Undrawn loan commitments % total debt:</t>
  </si>
  <si>
    <t>% short term debt/total debt:</t>
  </si>
  <si>
    <t>Weighted average cost of borrowing:</t>
  </si>
  <si>
    <t>Bank</t>
  </si>
  <si>
    <t>Rating</t>
  </si>
  <si>
    <t>AAA</t>
  </si>
  <si>
    <t>AA</t>
  </si>
  <si>
    <t>A</t>
  </si>
  <si>
    <t>You are an analyst in the Finance Office of Lambda College, a private, non-profit university. One of your responsibilities is to monitor investment risks in the college’s endowment fund, including compliance with minimum liquidity requirements set by the college’s Board of Regents.  
These requirements appear in row 46. 
Your first task is to prepare the quarterly liquidity projection for the endowment fund’s investment portfolio. 
Do this in the EndowmentPortfolio_March tab.
A few months later, in June, the college receives a $20 million endowment which the Chief Investment Officer wishes to invest in commercial real estate (CRE), specifically: Partial ownership of a new luxury apartment building in DenverZ Investment Advisors CRE fund.  You are asked to calculate how much of the $20 million endowment can be invested in CRE investment A without breaching the minimum liquidity requirements set by the Board of Regents. You are also asked to advise whether the remainder can be invested in CRE investment B, Ownership of West Hills shopping mall in Pittsburgh. 
Do this in the EndowmentPortfolio_June tab.</t>
  </si>
  <si>
    <t>Suppose that an investor has shorted shares worth $5,000 of Company A and bought shares worth $3,000 of Company B. The proportional bid-offer spread for Company A is 0.01 and the proportional bid-offer spread for Company B is 0.02. What does it cost the investor to unwind the portfolio?</t>
  </si>
  <si>
    <t>Suppose that in Problem 24.3 the bid-offer spreads for the two companies are normally distributed. For Company A the bid-offer spread has a mean of 0.01 and a standard deviation of 0.01. For Company B the bid-offer spread has a mean of 0.02 and a standard deviation of 0.03. What is the cost of unwinding that the investor is 95% confident will not be exceeded?</t>
  </si>
  <si>
    <t>Data source:  J. C. Penney annual reports.</t>
  </si>
  <si>
    <t>*Income from discontinued operations netted against restructuring, pension, and miscellaneous costs.</t>
  </si>
  <si>
    <t>Diluted Earnings per Share</t>
  </si>
  <si>
    <t>Basic Earnings per Share</t>
  </si>
  <si>
    <t xml:space="preserve">Weighted Average Shares—Diluted </t>
  </si>
  <si>
    <t>Wt. Avg. Shares for Basic EPS—Basic</t>
  </si>
  <si>
    <t>Net Income</t>
  </si>
  <si>
    <t>Income Tax Expense</t>
  </si>
  <si>
    <t>Income before Tax</t>
  </si>
  <si>
    <t>Interest Expense</t>
  </si>
  <si>
    <t>Earnings before Interest and Taxes</t>
  </si>
  <si>
    <t>Total Other Income/Expenses Net</t>
  </si>
  <si>
    <t xml:space="preserve">Operating Income or Loss </t>
  </si>
  <si>
    <t>Total Operating Expenses</t>
  </si>
  <si>
    <r>
      <t>Other</t>
    </r>
    <r>
      <rPr>
        <vertAlign val="superscript"/>
        <sz val="11"/>
        <rFont val="Times New Roman"/>
        <family val="1"/>
      </rPr>
      <t>*</t>
    </r>
  </si>
  <si>
    <t>Depreciation and Amortization</t>
  </si>
  <si>
    <t>Selling General and Administrative</t>
  </si>
  <si>
    <t xml:space="preserve">Gross Profit </t>
  </si>
  <si>
    <t>Cost of Revenue</t>
  </si>
  <si>
    <t xml:space="preserve">Total Revenue </t>
  </si>
  <si>
    <t>(in millions of dollars, except per-share data)</t>
  </si>
  <si>
    <t>Income Statements 2010–12</t>
  </si>
  <si>
    <t>J. C. Penney Company</t>
  </si>
  <si>
    <t>Total Liabilities and Stockholders’ Equity</t>
  </si>
  <si>
    <t xml:space="preserve">Total Stockholder Equity </t>
  </si>
  <si>
    <t>Other Stockholder Equity</t>
  </si>
  <si>
    <t>Capital Surplus</t>
  </si>
  <si>
    <t>Retained Earnings</t>
  </si>
  <si>
    <t>Common Stock</t>
  </si>
  <si>
    <t>Stockholders’ Equity</t>
  </si>
  <si>
    <t xml:space="preserve">Total Liabilities </t>
  </si>
  <si>
    <t>Deferred Long-Term Liability Charges</t>
  </si>
  <si>
    <t>Other Liabilities</t>
  </si>
  <si>
    <t>Long-Term Debt</t>
  </si>
  <si>
    <t xml:space="preserve">Total Current Liabilities </t>
  </si>
  <si>
    <t>-  </t>
  </si>
  <si>
    <t>Other Current Liabilities</t>
  </si>
  <si>
    <t>Short-Term and Current Long-Term Debt</t>
  </si>
  <si>
    <t>Other Accounts Payable</t>
  </si>
  <si>
    <t>Merchandise Accounts Payable</t>
  </si>
  <si>
    <t>Liabilities</t>
  </si>
  <si>
    <t xml:space="preserve">Total Assets </t>
  </si>
  <si>
    <t>Other Assets</t>
  </si>
  <si>
    <t>Goodwill</t>
  </si>
  <si>
    <t>Property, Plant, and Equipment</t>
  </si>
  <si>
    <t xml:space="preserve">Total Current Assets </t>
  </si>
  <si>
    <t>Prepaid and Other</t>
  </si>
  <si>
    <t>Inventory</t>
  </si>
  <si>
    <t>Cash and Cash Equivalents</t>
  </si>
  <si>
    <t>(in millions of dollars)</t>
  </si>
  <si>
    <t>Balance Sheets 2010–12</t>
  </si>
  <si>
    <t>Cash and cash equivalents at end of period</t>
  </si>
  <si>
    <t>Cash and cash equivalents at beginning of period</t>
  </si>
  <si>
    <t>Net increase/(decrease) in cash and cash equivalents</t>
  </si>
  <si>
    <t xml:space="preserve">    Net cash provided by/(used in) financing activities</t>
  </si>
  <si>
    <t xml:space="preserve">  Other</t>
  </si>
  <si>
    <t xml:space="preserve">    of stock options</t>
  </si>
  <si>
    <t xml:space="preserve">  Proceeds from issuance of stock warrant and exercise</t>
  </si>
  <si>
    <t xml:space="preserve">  Stock repurchase program</t>
  </si>
  <si>
    <t xml:space="preserve">  Common dividends paid</t>
  </si>
  <si>
    <t xml:space="preserve">    debt and capital leases</t>
  </si>
  <si>
    <t xml:space="preserve">  Net proceeds from issuance and retirement of long-term </t>
  </si>
  <si>
    <t>Cash flows from financing activities:</t>
  </si>
  <si>
    <t xml:space="preserve">     Net cash provided by/(used in) investing activities</t>
  </si>
  <si>
    <t xml:space="preserve">  Acquisition</t>
  </si>
  <si>
    <t xml:space="preserve">  Proceeds from sale or redemption of nonoperating assets</t>
  </si>
  <si>
    <t xml:space="preserve">  Capital expenditures</t>
  </si>
  <si>
    <t>Cash flows from investing activities:</t>
  </si>
  <si>
    <t xml:space="preserve">    Net cash provided by/(used in) operating activities</t>
  </si>
  <si>
    <t xml:space="preserve">  Change in prepaid expenses and other</t>
  </si>
  <si>
    <t xml:space="preserve">  Change in merchandise accounts payable</t>
  </si>
  <si>
    <t xml:space="preserve">  Change in inventory</t>
  </si>
  <si>
    <t xml:space="preserve">  Deferred taxes</t>
  </si>
  <si>
    <t xml:space="preserve">  Stock-based compensation</t>
  </si>
  <si>
    <t xml:space="preserve">  Depreciation and amortization</t>
  </si>
  <si>
    <t xml:space="preserve">  Restructuring and management transition</t>
  </si>
  <si>
    <t xml:space="preserve">  Net income/(loss)</t>
  </si>
  <si>
    <t>Cash flows from operating activities:</t>
  </si>
  <si>
    <t>Cash Flow Statements 2010–12</t>
  </si>
  <si>
    <t>Data source:  J. C. Penney quarterly reports.</t>
  </si>
  <si>
    <t>Weighted Average Shares—Diluted EPS</t>
  </si>
  <si>
    <t>Weighted Average Shares—Basic EPS</t>
  </si>
  <si>
    <t>Operating Income</t>
  </si>
  <si>
    <t>Selling, General and Administrative</t>
  </si>
  <si>
    <t>Operating Expenses</t>
  </si>
  <si>
    <t>Q1 2011</t>
  </si>
  <si>
    <t>Q2 2011</t>
  </si>
  <si>
    <t>Q3 2011</t>
  </si>
  <si>
    <t>Q4 2011</t>
  </si>
  <si>
    <t>Q1 2012</t>
  </si>
  <si>
    <t>Q2 2012</t>
  </si>
  <si>
    <t>Q3 2012</t>
  </si>
  <si>
    <t>Q4 2012</t>
  </si>
  <si>
    <t>Quarterly Income Statements, 2011 and 2012</t>
  </si>
  <si>
    <t>Other Current Assets</t>
  </si>
  <si>
    <t>Quarterly Balance Sheets 2011–12</t>
  </si>
  <si>
    <t>Data source:  Yahoo!Finance and Mergent bond manuals as of February 2, 2013.</t>
  </si>
  <si>
    <t>Beta</t>
  </si>
  <si>
    <t>Aa2</t>
  </si>
  <si>
    <t>B3</t>
  </si>
  <si>
    <t>A2</t>
  </si>
  <si>
    <t>Ba3</t>
  </si>
  <si>
    <t>Baa1</t>
  </si>
  <si>
    <t>Baa3</t>
  </si>
  <si>
    <t>Moody’s Credit Rating</t>
  </si>
  <si>
    <t>Debt/Enterprise Value</t>
  </si>
  <si>
    <t>Debt/Assets</t>
  </si>
  <si>
    <t>Debt/EBIT</t>
  </si>
  <si>
    <t>Times interest earned (EBIT/interest)</t>
  </si>
  <si>
    <t xml:space="preserve">Enterprise Value (debt + market cap)                     </t>
  </si>
  <si>
    <t>Market Cap (price/sh × shares out)</t>
  </si>
  <si>
    <t>Debt (Long-term + Short-term)</t>
  </si>
  <si>
    <t>Shares outstanding (millions)</t>
  </si>
  <si>
    <t>Price per share</t>
  </si>
  <si>
    <t>Earnings per share</t>
  </si>
  <si>
    <t>Interest expense</t>
  </si>
  <si>
    <t>EBIT</t>
  </si>
  <si>
    <t>Walmart</t>
  </si>
  <si>
    <t>Sears</t>
  </si>
  <si>
    <t>Target</t>
  </si>
  <si>
    <t>Dillards</t>
  </si>
  <si>
    <t>Nordstroms</t>
  </si>
  <si>
    <t>Kohls</t>
  </si>
  <si>
    <t>Macy’s</t>
  </si>
  <si>
    <t>JCP</t>
  </si>
  <si>
    <t>(in millions of dollars, except per-share and ratio values)</t>
  </si>
  <si>
    <t xml:space="preserve">Financial Data and Ratios for J. C. Penney and Competitors </t>
  </si>
  <si>
    <t>Data source: J. C. Penney quarterly reports.</t>
  </si>
  <si>
    <t>Cash Balances: Q1 2010–Q4 2012</t>
  </si>
  <si>
    <t>Liquidity Case Study - Exhibit 1</t>
  </si>
  <si>
    <t>Liquidity Case Study - Exhibit 2</t>
  </si>
  <si>
    <t>Liquidity Case Study - Exhibit 3</t>
  </si>
  <si>
    <t>Liquidity Case Study  - Exhibit 4</t>
  </si>
  <si>
    <t>Liquidity Case Study  - Exhibit 5</t>
  </si>
  <si>
    <t>Liquidity Case Study - Exhibit 6</t>
  </si>
  <si>
    <t>Liquidity Case Study - Exhibit 7</t>
  </si>
  <si>
    <t>J.C. Penney Company stock performance (It is listed as private company now)</t>
  </si>
  <si>
    <t>Moody's</t>
  </si>
  <si>
    <t>Ba1</t>
  </si>
  <si>
    <t>S&amp;P</t>
  </si>
  <si>
    <t>BB</t>
  </si>
  <si>
    <t>BB+</t>
  </si>
  <si>
    <t>B+</t>
  </si>
  <si>
    <t>Current ratio</t>
  </si>
  <si>
    <t>Quick ratio</t>
  </si>
  <si>
    <t>Cash-to-Sales ratio</t>
  </si>
  <si>
    <t>Debt-to-Capital ratio</t>
  </si>
  <si>
    <t>Interest Coverage ratio</t>
  </si>
  <si>
    <t>Cash-to-Debt ratio</t>
  </si>
  <si>
    <t>When, if ever, should the company have raised external capital?</t>
  </si>
  <si>
    <t>Understand a retailer's risk during a stress period</t>
  </si>
  <si>
    <t>Analyse JCP's fundamentals to understand what went wrong and what could have been down better.</t>
  </si>
  <si>
    <t>How often, if ever, should the company seek to optimize it's capital structure (ie. Debt and equity financing.)?</t>
  </si>
  <si>
    <t>How do these ratios compare to the ratios of major competitors?</t>
  </si>
  <si>
    <t>Working Capital</t>
  </si>
  <si>
    <t>How was working capital managed over the 8 quarters?</t>
  </si>
  <si>
    <t>Assume JCP will experience a $1.5b net income loss for 2013 and cash balance of $1b is required for JCP to operate efficiently.</t>
  </si>
  <si>
    <t>J.C. Penny, JCP, experienced liquidity issues in 2010 and 2012 following a decline in sales and profits over preceding years.</t>
  </si>
  <si>
    <t>Over the 8 quarter period of 2011 and 2012, what were the following ratios?</t>
  </si>
  <si>
    <t>Date</t>
  </si>
  <si>
    <t>Source</t>
  </si>
  <si>
    <t>What triggers and actions do you recommend?</t>
  </si>
  <si>
    <t>Where do you recommend allocating Counter Balancing Capacity?</t>
  </si>
  <si>
    <t>Liquidity VaR</t>
  </si>
  <si>
    <t>Risk pricing as a competitive advantage</t>
  </si>
  <si>
    <t>The Dark Arts:</t>
  </si>
  <si>
    <t>Outline a contingnecy funding plan to recommend for 2013</t>
  </si>
  <si>
    <t>What are some causes of JCP's liquidity crunch?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</si>
</sst>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6" formatCode="&quot;$&quot;#,##0_);[Red]\(&quot;$&quot;#,##0\)"/>
    <numFmt numFmtId="8" formatCode="&quot;$&quot;#,##0.00_);[Red]\(&quot;$&quot;#,##0.00\)"/>
    <numFmt numFmtId="44" formatCode="_(&quot;$&quot;* #,##0.00_);_(&quot;$&quot;* \(#,##0.00\);_(&quot;$&quot;* &quot;-&quot;??_);_(@_)"/>
    <numFmt numFmtId="43" formatCode="_(* #,##0.00_);_(* \(#,##0.00\);_(* &quot;-&quot;??_);_(@_)"/>
    <numFmt numFmtId="164" formatCode="0.0%"/>
    <numFmt numFmtId="165" formatCode="_(&quot;$&quot;* #,##0_);_(&quot;$&quot;* \(#,##0\);_(&quot;$&quot;* &quot;-&quot;??_);_(@_)"/>
    <numFmt numFmtId="166" formatCode="0.0"/>
    <numFmt numFmtId="167" formatCode="#,##0.0_);\(#,##0.0\)"/>
    <numFmt numFmtId="168" formatCode="_(* #,##0.0_);_(* \(#,##0.0\);_(* &quot;-&quot;??_);_(@_)"/>
    <numFmt numFmtId="169" formatCode="#,##0;[Red]\(#,##0\)"/>
    <numFmt numFmtId="170" formatCode="&quot;$&quot;#,##0;[Red]\(&quot;$&quot;##,#00\)"/>
    <numFmt numFmtId="171" formatCode="0.0_);[Red]\(0.0\)"/>
    <numFmt numFmtId="172" formatCode="&quot;$&quot;#,##0.0_);[Red]\(&quot;$&quot;#,##0.0\)"/>
    <numFmt numFmtId="173" formatCode="&quot;$&quot;#,##0"/>
    <numFmt numFmtId="174" formatCode="m/d/yyyy;@"/>
  </numFmts>
  <fonts count="75">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4"/>
      <color theme="1"/>
      <name val="Calibri"/>
      <family val="2"/>
      <scheme val="minor"/>
    </font>
    <font>
      <sz val="11"/>
      <color theme="1"/>
      <name val="Calibri"/>
      <family val="2"/>
      <scheme val="minor"/>
    </font>
    <font>
      <sz val="20"/>
      <color theme="1"/>
      <name val="Calibri"/>
      <family val="2"/>
      <scheme val="minor"/>
    </font>
    <font>
      <sz val="22"/>
      <color theme="1"/>
      <name val="Calibri"/>
      <family val="2"/>
      <scheme val="minor"/>
    </font>
    <font>
      <u/>
      <sz val="11"/>
      <color theme="10"/>
      <name val="Calibri"/>
      <family val="2"/>
      <scheme val="minor"/>
    </font>
    <font>
      <u/>
      <sz val="11"/>
      <color theme="11"/>
      <name val="Calibri"/>
      <family val="2"/>
      <scheme val="minor"/>
    </font>
    <font>
      <b/>
      <sz val="12"/>
      <color theme="1"/>
      <name val="Calibri"/>
      <family val="2"/>
      <scheme val="minor"/>
    </font>
    <font>
      <sz val="20"/>
      <color rgb="FF0000FF"/>
      <name val="Calibri"/>
      <family val="2"/>
      <scheme val="minor"/>
    </font>
    <font>
      <sz val="22"/>
      <color rgb="FF0000FF"/>
      <name val="Calibri"/>
      <family val="2"/>
      <scheme val="minor"/>
    </font>
    <font>
      <b/>
      <sz val="20"/>
      <color theme="1"/>
      <name val="Calibri"/>
      <family val="2"/>
      <scheme val="minor"/>
    </font>
    <font>
      <sz val="14"/>
      <color theme="5"/>
      <name val="Calibri"/>
      <family val="2"/>
      <scheme val="minor"/>
    </font>
    <font>
      <u/>
      <sz val="20"/>
      <color theme="10"/>
      <name val="Calibri"/>
      <family val="2"/>
      <scheme val="minor"/>
    </font>
    <font>
      <sz val="11"/>
      <color rgb="FFFF0000"/>
      <name val="Calibri"/>
      <family val="2"/>
      <scheme val="minor"/>
    </font>
    <font>
      <b/>
      <sz val="11"/>
      <color theme="1"/>
      <name val="Calibri"/>
      <family val="2"/>
      <scheme val="minor"/>
    </font>
    <font>
      <i/>
      <sz val="11"/>
      <color theme="1"/>
      <name val="Calibri"/>
      <family val="2"/>
      <scheme val="minor"/>
    </font>
    <font>
      <b/>
      <sz val="11"/>
      <color rgb="FF0033CC"/>
      <name val="Calibri"/>
      <family val="2"/>
      <scheme val="minor"/>
    </font>
    <font>
      <sz val="10"/>
      <color theme="1"/>
      <name val="Calibri"/>
      <family val="2"/>
      <scheme val="minor"/>
    </font>
    <font>
      <sz val="10"/>
      <color rgb="FF0000FF"/>
      <name val="Calibri"/>
      <family val="2"/>
      <scheme val="minor"/>
    </font>
    <font>
      <i/>
      <sz val="10"/>
      <color rgb="FF00B050"/>
      <name val="Calibri"/>
      <family val="2"/>
      <scheme val="minor"/>
    </font>
    <font>
      <i/>
      <sz val="10"/>
      <color rgb="FFFF0000"/>
      <name val="Calibri"/>
      <family val="2"/>
      <scheme val="minor"/>
    </font>
    <font>
      <i/>
      <sz val="11"/>
      <color rgb="FF0000FF"/>
      <name val="Calibri"/>
      <family val="2"/>
      <scheme val="minor"/>
    </font>
    <font>
      <b/>
      <sz val="11"/>
      <color rgb="FFFF0000"/>
      <name val="Calibri"/>
      <family val="2"/>
      <scheme val="minor"/>
    </font>
    <font>
      <sz val="15"/>
      <color theme="1"/>
      <name val="Calibri"/>
      <family val="2"/>
      <scheme val="minor"/>
    </font>
    <font>
      <b/>
      <sz val="15"/>
      <color theme="1"/>
      <name val="Calibri"/>
      <family val="2"/>
      <scheme val="minor"/>
    </font>
    <font>
      <i/>
      <sz val="15"/>
      <color theme="1"/>
      <name val="Calibri"/>
      <family val="2"/>
      <scheme val="minor"/>
    </font>
    <font>
      <i/>
      <sz val="14"/>
      <color theme="1"/>
      <name val="Calibri"/>
      <family val="2"/>
      <scheme val="minor"/>
    </font>
    <font>
      <b/>
      <sz val="9"/>
      <color rgb="FF000000"/>
      <name val="Tahoma"/>
      <family val="2"/>
    </font>
    <font>
      <i/>
      <sz val="12"/>
      <color rgb="FFFF0000"/>
      <name val="Calibri"/>
      <family val="2"/>
      <scheme val="minor"/>
    </font>
    <font>
      <b/>
      <sz val="20"/>
      <color rgb="FF333333"/>
      <name val="Calibri"/>
      <family val="2"/>
    </font>
    <font>
      <sz val="20"/>
      <color rgb="FF333333"/>
      <name val="Calibri"/>
      <family val="2"/>
    </font>
    <font>
      <sz val="20"/>
      <name val="Calibri"/>
      <family val="2"/>
    </font>
    <font>
      <sz val="20"/>
      <name val="Calibri"/>
      <family val="2"/>
      <scheme val="minor"/>
    </font>
    <font>
      <sz val="14"/>
      <name val="Calibri"/>
      <family val="2"/>
      <scheme val="minor"/>
    </font>
    <font>
      <sz val="14"/>
      <name val="Symbol"/>
      <family val="1"/>
      <charset val="2"/>
    </font>
    <font>
      <vertAlign val="subscript"/>
      <sz val="15"/>
      <color theme="1"/>
      <name val="Calibri (Body)"/>
    </font>
    <font>
      <b/>
      <sz val="18"/>
      <color rgb="FF333333"/>
      <name val="Calibri"/>
      <family val="2"/>
      <scheme val="minor"/>
    </font>
    <font>
      <sz val="18"/>
      <color theme="1"/>
      <name val="Calibri"/>
      <family val="2"/>
      <scheme val="minor"/>
    </font>
    <font>
      <sz val="18"/>
      <color rgb="FF333333"/>
      <name val="Calibri"/>
      <family val="2"/>
      <scheme val="minor"/>
    </font>
    <font>
      <sz val="11"/>
      <name val="Calibri"/>
      <family val="2"/>
      <scheme val="minor"/>
    </font>
    <font>
      <b/>
      <sz val="11"/>
      <name val="Calibri"/>
      <family val="2"/>
      <scheme val="minor"/>
    </font>
    <font>
      <i/>
      <sz val="10"/>
      <name val="Calibri"/>
      <family val="2"/>
      <scheme val="minor"/>
    </font>
    <font>
      <i/>
      <sz val="11"/>
      <name val="Calibri"/>
      <family val="2"/>
      <scheme val="minor"/>
    </font>
    <font>
      <i/>
      <sz val="11"/>
      <color rgb="FF0070C0"/>
      <name val="Calibri"/>
      <family val="2"/>
      <scheme val="minor"/>
    </font>
    <font>
      <sz val="11"/>
      <color rgb="FF0070C0"/>
      <name val="Calibri"/>
      <family val="2"/>
      <scheme val="minor"/>
    </font>
    <font>
      <u/>
      <sz val="20"/>
      <color theme="1"/>
      <name val="Calibri"/>
      <family val="2"/>
      <scheme val="minor"/>
    </font>
    <font>
      <sz val="11"/>
      <color theme="1"/>
      <name val="Calibri"/>
      <family val="2"/>
    </font>
    <font>
      <sz val="12"/>
      <color theme="1"/>
      <name val="Times New Roman"/>
      <family val="2"/>
    </font>
    <font>
      <sz val="11"/>
      <color theme="1"/>
      <name val="Times New Roman"/>
      <family val="1"/>
    </font>
    <font>
      <sz val="10"/>
      <color theme="1"/>
      <name val="Times New Roman"/>
      <family val="1"/>
    </font>
    <font>
      <sz val="11"/>
      <name val="Times New Roman"/>
      <family val="1"/>
    </font>
    <font>
      <b/>
      <sz val="11"/>
      <name val="Times New Roman"/>
      <family val="1"/>
    </font>
    <font>
      <vertAlign val="superscript"/>
      <sz val="11"/>
      <name val="Times New Roman"/>
      <family val="1"/>
    </font>
    <font>
      <b/>
      <u/>
      <sz val="11"/>
      <color theme="1"/>
      <name val="Times New Roman"/>
      <family val="1"/>
    </font>
    <font>
      <sz val="12"/>
      <color rgb="FF000000"/>
      <name val="Times New Roman"/>
      <family val="1"/>
    </font>
    <font>
      <sz val="12"/>
      <color rgb="FF000000"/>
      <name val="Times New Roman Bold"/>
    </font>
    <font>
      <b/>
      <sz val="11"/>
      <color theme="1"/>
      <name val="Times New Roman"/>
      <family val="1"/>
    </font>
    <font>
      <sz val="11"/>
      <color indexed="0"/>
      <name val="Times New Roman"/>
      <family val="1"/>
    </font>
    <font>
      <sz val="12"/>
      <color theme="1"/>
      <name val="Times New Roman"/>
      <family val="1"/>
    </font>
    <font>
      <b/>
      <u/>
      <sz val="12"/>
      <name val="Times New Roman"/>
      <family val="1"/>
    </font>
    <font>
      <b/>
      <sz val="12"/>
      <color theme="1"/>
      <name val="Times New Roman"/>
      <family val="1"/>
    </font>
    <font>
      <sz val="10"/>
      <color theme="1"/>
      <name val="Times New Roman"/>
      <family val="2"/>
    </font>
    <font>
      <sz val="11"/>
      <color theme="1"/>
      <name val="Times New Roman"/>
      <family val="2"/>
    </font>
    <font>
      <u/>
      <sz val="11"/>
      <color theme="1"/>
      <name val="Times New Roman"/>
      <family val="2"/>
    </font>
    <font>
      <b/>
      <sz val="12"/>
      <color rgb="FF000000"/>
      <name val="Times New Roman"/>
      <family val="1"/>
    </font>
    <font>
      <sz val="20"/>
      <color theme="5"/>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bgColor indexed="64"/>
      </patternFill>
    </fill>
    <fill>
      <patternFill patternType="solid">
        <fgColor theme="0" tint="-0.499984740745262"/>
        <bgColor indexed="64"/>
      </patternFill>
    </fill>
  </fills>
  <borders count="24">
    <border>
      <left/>
      <right/>
      <top/>
      <bottom/>
      <diagonal/>
    </border>
    <border>
      <left/>
      <right style="thin">
        <color auto="1"/>
      </right>
      <top/>
      <bottom style="thin">
        <color auto="1"/>
      </bottom>
      <diagonal/>
    </border>
    <border>
      <left/>
      <right/>
      <top/>
      <bottom style="thin">
        <color auto="1"/>
      </bottom>
      <diagonal/>
    </border>
    <border>
      <left style="thin">
        <color auto="1"/>
      </left>
      <right/>
      <top/>
      <bottom style="thin">
        <color auto="1"/>
      </bottom>
      <diagonal/>
    </border>
    <border>
      <left/>
      <right style="thin">
        <color auto="1"/>
      </right>
      <top/>
      <bottom/>
      <diagonal/>
    </border>
    <border>
      <left style="thin">
        <color auto="1"/>
      </left>
      <right/>
      <top/>
      <bottom/>
      <diagonal/>
    </border>
    <border>
      <left/>
      <right style="thin">
        <color auto="1"/>
      </right>
      <top style="thin">
        <color auto="1"/>
      </top>
      <bottom/>
      <diagonal/>
    </border>
    <border>
      <left/>
      <right/>
      <top style="thin">
        <color auto="1"/>
      </top>
      <bottom/>
      <diagonal/>
    </border>
    <border>
      <left style="thin">
        <color auto="1"/>
      </left>
      <right/>
      <top style="thin">
        <color auto="1"/>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indexed="64"/>
      </bottom>
      <diagonal/>
    </border>
    <border>
      <left style="thin">
        <color rgb="FF000000"/>
      </left>
      <right/>
      <top style="thin">
        <color rgb="FF000000"/>
      </top>
      <bottom style="thin">
        <color indexed="64"/>
      </bottom>
      <diagonal/>
    </border>
    <border>
      <left/>
      <right/>
      <top style="thin">
        <color indexed="64"/>
      </top>
      <bottom style="double">
        <color indexed="64"/>
      </bottom>
      <diagonal/>
    </border>
    <border>
      <left/>
      <right/>
      <top style="thin">
        <color indexed="64"/>
      </top>
      <bottom style="thick">
        <color indexed="64"/>
      </bottom>
      <diagonal/>
    </border>
    <border>
      <left/>
      <right/>
      <top style="thin">
        <color indexed="64"/>
      </top>
      <bottom style="thin">
        <color indexed="64"/>
      </bottom>
      <diagonal/>
    </border>
  </borders>
  <cellStyleXfs count="39">
    <xf numFmtId="0" fontId="0" fillId="0" borderId="0"/>
    <xf numFmtId="44" fontId="11" fillId="0" borderId="0" applyFont="0" applyFill="0" applyBorder="0" applyAlignment="0" applyProtection="0"/>
    <xf numFmtId="9" fontId="11" fillId="0" borderId="0" applyFont="0" applyFill="0" applyBorder="0" applyAlignment="0" applyProtection="0"/>
    <xf numFmtId="0" fontId="9" fillId="0" borderId="0"/>
    <xf numFmtId="9" fontId="9" fillId="0" borderId="0" applyFont="0" applyFill="0" applyBorder="0" applyAlignment="0" applyProtection="0"/>
    <xf numFmtId="0" fontId="8" fillId="0" borderId="0"/>
    <xf numFmtId="0" fontId="8" fillId="0" borderId="0"/>
    <xf numFmtId="0" fontId="8" fillId="0" borderId="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4" fillId="0" borderId="0"/>
    <xf numFmtId="0" fontId="3" fillId="0" borderId="0"/>
    <xf numFmtId="0" fontId="2" fillId="0" borderId="0"/>
    <xf numFmtId="0" fontId="56" fillId="0" borderId="0"/>
    <xf numFmtId="43" fontId="56" fillId="0" borderId="0" applyFont="0" applyFill="0" applyBorder="0" applyAlignment="0" applyProtection="0"/>
    <xf numFmtId="9" fontId="56" fillId="0" borderId="0" applyFont="0" applyFill="0" applyBorder="0" applyAlignment="0" applyProtection="0"/>
  </cellStyleXfs>
  <cellXfs count="339">
    <xf numFmtId="0" fontId="0" fillId="0" borderId="0" xfId="0"/>
    <xf numFmtId="0" fontId="10" fillId="2" borderId="0" xfId="3" applyFont="1" applyFill="1"/>
    <xf numFmtId="164" fontId="10" fillId="2" borderId="0" xfId="2" applyNumberFormat="1" applyFont="1" applyFill="1"/>
    <xf numFmtId="44" fontId="10" fillId="2" borderId="0" xfId="1" applyFont="1" applyFill="1"/>
    <xf numFmtId="1" fontId="10" fillId="2" borderId="0" xfId="3" applyNumberFormat="1" applyFont="1" applyFill="1"/>
    <xf numFmtId="2" fontId="10" fillId="2" borderId="0" xfId="3" applyNumberFormat="1" applyFont="1" applyFill="1"/>
    <xf numFmtId="164" fontId="10" fillId="2" borderId="0" xfId="4" applyNumberFormat="1" applyFont="1" applyFill="1"/>
    <xf numFmtId="2" fontId="10" fillId="2" borderId="0" xfId="4" applyNumberFormat="1" applyFont="1" applyFill="1"/>
    <xf numFmtId="0" fontId="10" fillId="2" borderId="0" xfId="3" applyFont="1" applyFill="1" applyAlignment="1">
      <alignment horizontal="right"/>
    </xf>
    <xf numFmtId="9" fontId="10" fillId="2" borderId="0" xfId="3" applyNumberFormat="1" applyFont="1" applyFill="1" applyAlignment="1">
      <alignment horizontal="right"/>
    </xf>
    <xf numFmtId="0" fontId="12" fillId="3" borderId="0" xfId="0" applyFont="1" applyFill="1"/>
    <xf numFmtId="0" fontId="12" fillId="3" borderId="1" xfId="0" applyFont="1" applyFill="1" applyBorder="1"/>
    <xf numFmtId="0" fontId="12" fillId="3" borderId="2" xfId="0" applyFont="1" applyFill="1" applyBorder="1"/>
    <xf numFmtId="0" fontId="12" fillId="3" borderId="3" xfId="0" applyFont="1" applyFill="1" applyBorder="1"/>
    <xf numFmtId="0" fontId="12" fillId="3" borderId="4" xfId="0" applyFont="1" applyFill="1" applyBorder="1"/>
    <xf numFmtId="0" fontId="12" fillId="3" borderId="5" xfId="0" applyFont="1" applyFill="1" applyBorder="1"/>
    <xf numFmtId="0" fontId="12" fillId="3" borderId="6" xfId="0" applyFont="1" applyFill="1" applyBorder="1"/>
    <xf numFmtId="0" fontId="12" fillId="3" borderId="7" xfId="0" applyFont="1" applyFill="1" applyBorder="1"/>
    <xf numFmtId="0" fontId="12" fillId="3" borderId="8" xfId="0" applyFont="1" applyFill="1" applyBorder="1"/>
    <xf numFmtId="0" fontId="8" fillId="4" borderId="0" xfId="6" applyFill="1"/>
    <xf numFmtId="0" fontId="13" fillId="2" borderId="0" xfId="7" applyFont="1" applyFill="1"/>
    <xf numFmtId="0" fontId="13" fillId="2" borderId="0" xfId="0" applyFont="1" applyFill="1"/>
    <xf numFmtId="49" fontId="13" fillId="2" borderId="0" xfId="0" applyNumberFormat="1" applyFont="1" applyFill="1"/>
    <xf numFmtId="10" fontId="10" fillId="2" borderId="0" xfId="2" applyNumberFormat="1" applyFont="1" applyFill="1"/>
    <xf numFmtId="0" fontId="0" fillId="3" borderId="0" xfId="0" applyFill="1"/>
    <xf numFmtId="0" fontId="17" fillId="3" borderId="0" xfId="0" applyFont="1" applyFill="1"/>
    <xf numFmtId="0" fontId="18" fillId="3" borderId="0" xfId="0" applyFont="1" applyFill="1"/>
    <xf numFmtId="0" fontId="12" fillId="2" borderId="0" xfId="0" applyFont="1" applyFill="1"/>
    <xf numFmtId="0" fontId="19" fillId="3" borderId="0" xfId="0" applyFont="1" applyFill="1"/>
    <xf numFmtId="0" fontId="16" fillId="4" borderId="0" xfId="6" applyFont="1" applyFill="1"/>
    <xf numFmtId="2" fontId="20" fillId="2" borderId="0" xfId="3" applyNumberFormat="1" applyFont="1" applyFill="1"/>
    <xf numFmtId="164" fontId="20" fillId="2" borderId="0" xfId="2" applyNumberFormat="1" applyFont="1" applyFill="1"/>
    <xf numFmtId="0" fontId="13" fillId="3" borderId="0" xfId="0" applyFont="1" applyFill="1"/>
    <xf numFmtId="0" fontId="12" fillId="2" borderId="0" xfId="3" applyFont="1" applyFill="1"/>
    <xf numFmtId="0" fontId="7" fillId="4" borderId="0" xfId="6" applyFont="1" applyFill="1"/>
    <xf numFmtId="0" fontId="6" fillId="4" borderId="0" xfId="6" applyFont="1" applyFill="1"/>
    <xf numFmtId="0" fontId="5" fillId="4" borderId="0" xfId="6" applyFont="1" applyFill="1"/>
    <xf numFmtId="0" fontId="21" fillId="2" borderId="0" xfId="32" applyFont="1" applyFill="1"/>
    <xf numFmtId="0" fontId="23" fillId="0" borderId="0" xfId="0" applyFont="1"/>
    <xf numFmtId="0" fontId="0" fillId="0" borderId="13" xfId="0" applyBorder="1" applyAlignment="1">
      <alignment horizontal="center"/>
    </xf>
    <xf numFmtId="0" fontId="0" fillId="0" borderId="14" xfId="0" applyBorder="1" applyAlignment="1">
      <alignment horizontal="center"/>
    </xf>
    <xf numFmtId="0" fontId="0" fillId="0" borderId="5" xfId="0" applyBorder="1"/>
    <xf numFmtId="37" fontId="0" fillId="0" borderId="0" xfId="0" applyNumberFormat="1"/>
    <xf numFmtId="0" fontId="25" fillId="0" borderId="0" xfId="0" applyFont="1"/>
    <xf numFmtId="0" fontId="0" fillId="0" borderId="13" xfId="0" applyBorder="1"/>
    <xf numFmtId="0" fontId="23" fillId="0" borderId="2" xfId="0" applyFont="1" applyBorder="1" applyAlignment="1">
      <alignment horizontal="center"/>
    </xf>
    <xf numFmtId="0" fontId="23" fillId="0" borderId="3" xfId="0" applyFont="1" applyBorder="1" applyAlignment="1">
      <alignment horizontal="center"/>
    </xf>
    <xf numFmtId="0" fontId="23" fillId="0" borderId="1" xfId="0" applyFont="1" applyBorder="1" applyAlignment="1">
      <alignment horizontal="center"/>
    </xf>
    <xf numFmtId="0" fontId="23" fillId="0" borderId="15" xfId="0" applyFont="1" applyBorder="1" applyAlignment="1">
      <alignment horizontal="center"/>
    </xf>
    <xf numFmtId="0" fontId="0" fillId="0" borderId="8" xfId="0" applyBorder="1"/>
    <xf numFmtId="0" fontId="0" fillId="0" borderId="7" xfId="0" applyBorder="1"/>
    <xf numFmtId="2" fontId="0" fillId="0" borderId="14" xfId="0" applyNumberFormat="1" applyBorder="1" applyAlignment="1">
      <alignment horizontal="center"/>
    </xf>
    <xf numFmtId="37" fontId="0" fillId="0" borderId="14" xfId="0" applyNumberFormat="1" applyBorder="1"/>
    <xf numFmtId="167" fontId="0" fillId="0" borderId="5" xfId="0" applyNumberFormat="1" applyBorder="1" applyAlignment="1">
      <alignment horizontal="center"/>
    </xf>
    <xf numFmtId="167" fontId="0" fillId="0" borderId="13" xfId="0" applyNumberFormat="1" applyBorder="1" applyAlignment="1">
      <alignment horizontal="center"/>
    </xf>
    <xf numFmtId="0" fontId="0" fillId="0" borderId="5" xfId="0" applyBorder="1" applyAlignment="1">
      <alignment horizontal="center"/>
    </xf>
    <xf numFmtId="0" fontId="0" fillId="0" borderId="4" xfId="0" applyBorder="1" applyAlignment="1">
      <alignment horizontal="center"/>
    </xf>
    <xf numFmtId="0" fontId="26" fillId="0" borderId="14" xfId="0" applyFont="1" applyBorder="1" applyAlignment="1">
      <alignment horizontal="left" vertical="center" wrapText="1"/>
    </xf>
    <xf numFmtId="0" fontId="23" fillId="0" borderId="5" xfId="0" applyFont="1" applyBorder="1"/>
    <xf numFmtId="37" fontId="0" fillId="0" borderId="14" xfId="0" applyNumberFormat="1" applyBorder="1" applyAlignment="1">
      <alignment horizontal="center"/>
    </xf>
    <xf numFmtId="167" fontId="0" fillId="0" borderId="14" xfId="0" applyNumberFormat="1" applyBorder="1" applyAlignment="1">
      <alignment horizontal="center"/>
    </xf>
    <xf numFmtId="0" fontId="0" fillId="0" borderId="0" xfId="0" applyAlignment="1">
      <alignment vertical="center" wrapText="1"/>
    </xf>
    <xf numFmtId="0" fontId="0" fillId="0" borderId="14" xfId="0" applyBorder="1" applyAlignment="1">
      <alignment horizontal="center" vertical="center"/>
    </xf>
    <xf numFmtId="2" fontId="0" fillId="0" borderId="14" xfId="0" applyNumberFormat="1" applyBorder="1" applyAlignment="1">
      <alignment horizontal="center" vertical="center"/>
    </xf>
    <xf numFmtId="37" fontId="0" fillId="0" borderId="14" xfId="0" applyNumberFormat="1" applyBorder="1" applyAlignment="1">
      <alignment vertical="center"/>
    </xf>
    <xf numFmtId="167" fontId="0" fillId="0" borderId="5" xfId="0" applyNumberFormat="1" applyBorder="1" applyAlignment="1">
      <alignment horizontal="center" vertical="center"/>
    </xf>
    <xf numFmtId="167" fontId="0" fillId="0" borderId="14" xfId="0" applyNumberFormat="1" applyBorder="1" applyAlignment="1">
      <alignment horizontal="center" vertical="center"/>
    </xf>
    <xf numFmtId="10" fontId="0" fillId="0" borderId="5" xfId="0" applyNumberFormat="1" applyBorder="1" applyAlignment="1">
      <alignment horizontal="center" vertical="center"/>
    </xf>
    <xf numFmtId="10" fontId="0" fillId="0" borderId="14" xfId="0" applyNumberFormat="1" applyBorder="1" applyAlignment="1">
      <alignment horizontal="center" vertical="center"/>
    </xf>
    <xf numFmtId="0" fontId="0" fillId="0" borderId="4" xfId="0" applyBorder="1" applyAlignment="1">
      <alignment horizontal="center" vertical="center"/>
    </xf>
    <xf numFmtId="9" fontId="0" fillId="0" borderId="14" xfId="0" applyNumberFormat="1" applyBorder="1" applyAlignment="1">
      <alignment horizontal="center" vertical="center"/>
    </xf>
    <xf numFmtId="0" fontId="27" fillId="0" borderId="14" xfId="0" applyFont="1" applyBorder="1" applyAlignment="1">
      <alignment horizontal="left" vertical="center" wrapText="1"/>
    </xf>
    <xf numFmtId="10" fontId="22" fillId="0" borderId="5" xfId="0" applyNumberFormat="1" applyFont="1" applyBorder="1" applyAlignment="1">
      <alignment horizontal="center" vertical="center"/>
    </xf>
    <xf numFmtId="9" fontId="22" fillId="0" borderId="14" xfId="0" applyNumberFormat="1" applyFont="1" applyBorder="1" applyAlignment="1">
      <alignment horizontal="center" vertical="center"/>
    </xf>
    <xf numFmtId="164" fontId="0" fillId="0" borderId="14" xfId="0" applyNumberFormat="1" applyBorder="1" applyAlignment="1">
      <alignment horizontal="center" vertical="center"/>
    </xf>
    <xf numFmtId="0" fontId="0" fillId="0" borderId="0" xfId="0" applyAlignment="1">
      <alignment vertical="center"/>
    </xf>
    <xf numFmtId="0" fontId="0" fillId="0" borderId="5" xfId="0" applyBorder="1" applyAlignment="1">
      <alignment horizontal="center" vertical="center"/>
    </xf>
    <xf numFmtId="3" fontId="0" fillId="0" borderId="14" xfId="0" applyNumberFormat="1" applyBorder="1" applyAlignment="1">
      <alignment horizontal="center" vertical="center"/>
    </xf>
    <xf numFmtId="0" fontId="28" fillId="0" borderId="5" xfId="0" applyFont="1" applyBorder="1" applyAlignment="1">
      <alignment horizontal="center" vertical="center"/>
    </xf>
    <xf numFmtId="4" fontId="0" fillId="0" borderId="14" xfId="0" applyNumberFormat="1" applyBorder="1" applyAlignment="1">
      <alignment horizontal="center" vertical="center"/>
    </xf>
    <xf numFmtId="0" fontId="29" fillId="0" borderId="5" xfId="0" applyFont="1" applyBorder="1" applyAlignment="1">
      <alignment horizontal="center" wrapText="1"/>
    </xf>
    <xf numFmtId="0" fontId="0" fillId="0" borderId="3" xfId="0" applyBorder="1"/>
    <xf numFmtId="0" fontId="0" fillId="0" borderId="2" xfId="0" applyBorder="1" applyAlignment="1">
      <alignment vertical="center" wrapText="1"/>
    </xf>
    <xf numFmtId="0" fontId="0" fillId="0" borderId="15" xfId="0" applyBorder="1" applyAlignment="1">
      <alignment horizontal="center" vertical="center"/>
    </xf>
    <xf numFmtId="2" fontId="0" fillId="0" borderId="15" xfId="0" applyNumberFormat="1" applyBorder="1" applyAlignment="1">
      <alignment horizontal="center" vertical="center"/>
    </xf>
    <xf numFmtId="37" fontId="0" fillId="0" borderId="15" xfId="0" applyNumberFormat="1" applyBorder="1" applyAlignment="1">
      <alignment vertical="center"/>
    </xf>
    <xf numFmtId="167" fontId="0" fillId="0" borderId="3" xfId="0" applyNumberFormat="1" applyBorder="1" applyAlignment="1">
      <alignment horizontal="center" vertical="center"/>
    </xf>
    <xf numFmtId="167" fontId="0" fillId="0" borderId="15" xfId="0" applyNumberFormat="1"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center" vertical="center"/>
    </xf>
    <xf numFmtId="0" fontId="26" fillId="0" borderId="15" xfId="0" applyFont="1" applyBorder="1" applyAlignment="1">
      <alignment horizontal="left" vertical="center" wrapText="1"/>
    </xf>
    <xf numFmtId="0" fontId="29" fillId="0" borderId="0" xfId="0" applyFont="1"/>
    <xf numFmtId="0" fontId="29" fillId="0" borderId="0" xfId="0" applyFont="1" applyAlignment="1">
      <alignment horizontal="right"/>
    </xf>
    <xf numFmtId="0" fontId="0" fillId="0" borderId="0" xfId="0" applyAlignment="1">
      <alignment horizontal="right"/>
    </xf>
    <xf numFmtId="37" fontId="23" fillId="5" borderId="16" xfId="0" applyNumberFormat="1" applyFont="1" applyFill="1" applyBorder="1"/>
    <xf numFmtId="167" fontId="0" fillId="0" borderId="0" xfId="0" applyNumberFormat="1" applyAlignment="1">
      <alignment horizontal="center"/>
    </xf>
    <xf numFmtId="3" fontId="0" fillId="5" borderId="16" xfId="0" applyNumberFormat="1" applyFill="1" applyBorder="1"/>
    <xf numFmtId="167" fontId="24" fillId="0" borderId="0" xfId="0" applyNumberFormat="1" applyFont="1"/>
    <xf numFmtId="0" fontId="28" fillId="0" borderId="0" xfId="0" applyFont="1" applyAlignment="1">
      <alignment horizontal="right"/>
    </xf>
    <xf numFmtId="0" fontId="0" fillId="0" borderId="0" xfId="0" applyAlignment="1">
      <alignment horizontal="right" indent="1"/>
    </xf>
    <xf numFmtId="0" fontId="30" fillId="0" borderId="0" xfId="0" applyFont="1" applyAlignment="1">
      <alignment horizontal="right"/>
    </xf>
    <xf numFmtId="164" fontId="30" fillId="0" borderId="0" xfId="0" applyNumberFormat="1" applyFont="1" applyAlignment="1">
      <alignment horizontal="center"/>
    </xf>
    <xf numFmtId="0" fontId="30" fillId="0" borderId="0" xfId="0" applyFont="1"/>
    <xf numFmtId="9" fontId="30" fillId="0" borderId="0" xfId="0" applyNumberFormat="1" applyFont="1" applyAlignment="1">
      <alignment horizontal="center"/>
    </xf>
    <xf numFmtId="0" fontId="0" fillId="0" borderId="0" xfId="0" quotePrefix="1"/>
    <xf numFmtId="0" fontId="22" fillId="0" borderId="0" xfId="0" applyFont="1" applyAlignment="1">
      <alignment horizontal="right"/>
    </xf>
    <xf numFmtId="0" fontId="29" fillId="0" borderId="0" xfId="0" applyFont="1" applyAlignment="1">
      <alignment horizontal="left"/>
    </xf>
    <xf numFmtId="0" fontId="32" fillId="2" borderId="0" xfId="3" applyFont="1" applyFill="1"/>
    <xf numFmtId="0" fontId="32" fillId="2" borderId="0" xfId="0" applyFont="1" applyFill="1"/>
    <xf numFmtId="165" fontId="32" fillId="2" borderId="0" xfId="1" applyNumberFormat="1" applyFont="1" applyFill="1"/>
    <xf numFmtId="0" fontId="33" fillId="2" borderId="0" xfId="3" applyFont="1" applyFill="1"/>
    <xf numFmtId="0" fontId="33" fillId="2" borderId="0" xfId="0" applyFont="1" applyFill="1"/>
    <xf numFmtId="0" fontId="35" fillId="2" borderId="0" xfId="3" applyFont="1" applyFill="1"/>
    <xf numFmtId="2" fontId="35" fillId="2" borderId="0" xfId="3" applyNumberFormat="1" applyFont="1" applyFill="1"/>
    <xf numFmtId="2" fontId="35" fillId="2" borderId="0" xfId="4" applyNumberFormat="1" applyFont="1" applyFill="1"/>
    <xf numFmtId="164" fontId="35" fillId="2" borderId="0" xfId="4" applyNumberFormat="1" applyFont="1" applyFill="1"/>
    <xf numFmtId="1" fontId="35" fillId="2" borderId="0" xfId="3" applyNumberFormat="1" applyFont="1" applyFill="1"/>
    <xf numFmtId="44" fontId="35" fillId="2" borderId="0" xfId="1" applyFont="1" applyFill="1"/>
    <xf numFmtId="0" fontId="4" fillId="4" borderId="0" xfId="6" applyFont="1" applyFill="1"/>
    <xf numFmtId="0" fontId="37" fillId="4" borderId="0" xfId="6" applyFont="1" applyFill="1"/>
    <xf numFmtId="0" fontId="38" fillId="0" borderId="9" xfId="0" applyFont="1" applyBorder="1" applyAlignment="1">
      <alignment vertical="center" wrapText="1"/>
    </xf>
    <xf numFmtId="0" fontId="39" fillId="0" borderId="10" xfId="0" applyFont="1" applyBorder="1" applyAlignment="1">
      <alignment vertical="center" wrapText="1"/>
    </xf>
    <xf numFmtId="0" fontId="39" fillId="0" borderId="12" xfId="0" applyFont="1" applyBorder="1" applyAlignment="1">
      <alignment vertical="center" wrapText="1"/>
    </xf>
    <xf numFmtId="0" fontId="41" fillId="2" borderId="0" xfId="3" applyFont="1" applyFill="1"/>
    <xf numFmtId="0" fontId="42" fillId="2" borderId="0" xfId="0" applyFont="1" applyFill="1"/>
    <xf numFmtId="0" fontId="42" fillId="2" borderId="0" xfId="3" applyFont="1" applyFill="1"/>
    <xf numFmtId="0" fontId="43" fillId="2" borderId="0" xfId="3" applyFont="1" applyFill="1" applyAlignment="1">
      <alignment horizontal="right"/>
    </xf>
    <xf numFmtId="0" fontId="42" fillId="2" borderId="0" xfId="3" applyFont="1" applyFill="1" applyAlignment="1">
      <alignment horizontal="right"/>
    </xf>
    <xf numFmtId="9" fontId="42" fillId="2" borderId="0" xfId="3" applyNumberFormat="1" applyFont="1" applyFill="1" applyAlignment="1">
      <alignment horizontal="right"/>
    </xf>
    <xf numFmtId="165" fontId="42" fillId="2" borderId="0" xfId="1" applyNumberFormat="1" applyFont="1" applyFill="1"/>
    <xf numFmtId="2" fontId="42" fillId="2" borderId="0" xfId="3" applyNumberFormat="1" applyFont="1" applyFill="1"/>
    <xf numFmtId="2" fontId="42" fillId="2" borderId="0" xfId="4" applyNumberFormat="1" applyFont="1" applyFill="1"/>
    <xf numFmtId="164" fontId="42" fillId="2" borderId="0" xfId="4" applyNumberFormat="1" applyFont="1" applyFill="1"/>
    <xf numFmtId="1" fontId="42" fillId="2" borderId="0" xfId="3" applyNumberFormat="1" applyFont="1" applyFill="1"/>
    <xf numFmtId="44" fontId="42" fillId="2" borderId="0" xfId="1" applyFont="1" applyFill="1"/>
    <xf numFmtId="164" fontId="42" fillId="2" borderId="0" xfId="2" applyNumberFormat="1" applyFont="1" applyFill="1"/>
    <xf numFmtId="10" fontId="42" fillId="2" borderId="0" xfId="2" applyNumberFormat="1" applyFont="1" applyFill="1"/>
    <xf numFmtId="167" fontId="0" fillId="5" borderId="5" xfId="0" applyNumberFormat="1" applyFill="1" applyBorder="1" applyAlignment="1">
      <alignment horizontal="center" vertical="center"/>
    </xf>
    <xf numFmtId="167" fontId="0" fillId="5" borderId="14" xfId="0" applyNumberFormat="1" applyFill="1" applyBorder="1" applyAlignment="1">
      <alignment horizontal="center" vertical="center"/>
    </xf>
    <xf numFmtId="167" fontId="0" fillId="5" borderId="5" xfId="0" applyNumberFormat="1" applyFill="1" applyBorder="1" applyAlignment="1">
      <alignment horizontal="center"/>
    </xf>
    <xf numFmtId="167" fontId="0" fillId="5" borderId="14" xfId="0" applyNumberFormat="1" applyFill="1" applyBorder="1" applyAlignment="1">
      <alignment horizontal="center"/>
    </xf>
    <xf numFmtId="0" fontId="12" fillId="3" borderId="0" xfId="33" applyFont="1" applyFill="1"/>
    <xf numFmtId="0" fontId="32" fillId="6" borderId="0" xfId="3" applyFont="1" applyFill="1"/>
    <xf numFmtId="0" fontId="12" fillId="6" borderId="0" xfId="3" applyFont="1" applyFill="1"/>
    <xf numFmtId="0" fontId="33" fillId="6" borderId="0" xfId="3" applyFont="1" applyFill="1"/>
    <xf numFmtId="0" fontId="32" fillId="6" borderId="0" xfId="0" applyFont="1" applyFill="1"/>
    <xf numFmtId="0" fontId="10" fillId="6" borderId="0" xfId="3" applyFont="1" applyFill="1"/>
    <xf numFmtId="0" fontId="10" fillId="6" borderId="0" xfId="3" applyFont="1" applyFill="1" applyAlignment="1">
      <alignment horizontal="right"/>
    </xf>
    <xf numFmtId="9" fontId="10" fillId="6" borderId="0" xfId="3" applyNumberFormat="1" applyFont="1" applyFill="1" applyAlignment="1">
      <alignment horizontal="right"/>
    </xf>
    <xf numFmtId="2" fontId="10" fillId="6" borderId="0" xfId="3" applyNumberFormat="1" applyFont="1" applyFill="1"/>
    <xf numFmtId="2" fontId="10" fillId="6" borderId="0" xfId="4" applyNumberFormat="1" applyFont="1" applyFill="1"/>
    <xf numFmtId="164" fontId="10" fillId="6" borderId="0" xfId="4" applyNumberFormat="1" applyFont="1" applyFill="1"/>
    <xf numFmtId="1" fontId="10" fillId="6" borderId="0" xfId="3" applyNumberFormat="1" applyFont="1" applyFill="1"/>
    <xf numFmtId="44" fontId="10" fillId="6" borderId="0" xfId="1" applyFont="1" applyFill="1"/>
    <xf numFmtId="165" fontId="32" fillId="6" borderId="0" xfId="1" applyNumberFormat="1" applyFont="1" applyFill="1"/>
    <xf numFmtId="2" fontId="20" fillId="6" borderId="0" xfId="3" applyNumberFormat="1" applyFont="1" applyFill="1"/>
    <xf numFmtId="164" fontId="10" fillId="6" borderId="0" xfId="2" applyNumberFormat="1" applyFont="1" applyFill="1"/>
    <xf numFmtId="164" fontId="20" fillId="6" borderId="0" xfId="2" applyNumberFormat="1" applyFont="1" applyFill="1"/>
    <xf numFmtId="10" fontId="10" fillId="6" borderId="0" xfId="2" applyNumberFormat="1" applyFont="1" applyFill="1"/>
    <xf numFmtId="37" fontId="0" fillId="5" borderId="14" xfId="0" applyNumberFormat="1" applyFill="1" applyBorder="1" applyAlignment="1">
      <alignment horizontal="center"/>
    </xf>
    <xf numFmtId="0" fontId="0" fillId="5" borderId="14" xfId="0" applyFill="1" applyBorder="1" applyAlignment="1">
      <alignment horizontal="center" vertical="center"/>
    </xf>
    <xf numFmtId="3" fontId="0" fillId="5" borderId="14" xfId="0" applyNumberFormat="1" applyFill="1" applyBorder="1" applyAlignment="1">
      <alignment horizontal="center" vertical="center"/>
    </xf>
    <xf numFmtId="0" fontId="45" fillId="2" borderId="17" xfId="0" applyFont="1" applyFill="1" applyBorder="1" applyAlignment="1">
      <alignment horizontal="left" vertical="top"/>
    </xf>
    <xf numFmtId="0" fontId="47" fillId="2" borderId="18" xfId="0" applyFont="1" applyFill="1" applyBorder="1" applyAlignment="1">
      <alignment horizontal="left" vertical="top" wrapText="1"/>
    </xf>
    <xf numFmtId="0" fontId="46" fillId="2" borderId="18" xfId="0" applyFont="1" applyFill="1" applyBorder="1" applyAlignment="1">
      <alignment horizontal="left" vertical="top" wrapText="1"/>
    </xf>
    <xf numFmtId="0" fontId="45" fillId="2" borderId="20" xfId="0" applyFont="1" applyFill="1" applyBorder="1" applyAlignment="1">
      <alignment horizontal="left" vertical="top"/>
    </xf>
    <xf numFmtId="0" fontId="47" fillId="2" borderId="19" xfId="0" applyFont="1" applyFill="1" applyBorder="1" applyAlignment="1">
      <alignment horizontal="left" vertical="top" wrapText="1"/>
    </xf>
    <xf numFmtId="0" fontId="12" fillId="6" borderId="0" xfId="34" applyFont="1" applyFill="1"/>
    <xf numFmtId="0" fontId="14" fillId="6" borderId="0" xfId="32" applyFill="1"/>
    <xf numFmtId="0" fontId="34" fillId="2" borderId="0" xfId="1" applyNumberFormat="1" applyFont="1" applyFill="1"/>
    <xf numFmtId="0" fontId="38" fillId="0" borderId="11" xfId="0" applyFont="1" applyBorder="1" applyAlignment="1">
      <alignment vertical="center" wrapText="1"/>
    </xf>
    <xf numFmtId="0" fontId="0" fillId="2" borderId="0" xfId="0" applyFill="1" applyAlignment="1">
      <alignment horizontal="center"/>
    </xf>
    <xf numFmtId="0" fontId="40" fillId="0" borderId="10" xfId="0" applyFont="1" applyBorder="1" applyAlignment="1">
      <alignment vertical="center" wrapText="1"/>
    </xf>
    <xf numFmtId="0" fontId="48" fillId="2" borderId="0" xfId="0" applyFont="1" applyFill="1"/>
    <xf numFmtId="0" fontId="49" fillId="2" borderId="0" xfId="0" applyFont="1" applyFill="1"/>
    <xf numFmtId="0" fontId="48" fillId="2" borderId="0" xfId="0" applyFont="1" applyFill="1" applyAlignment="1">
      <alignment horizontal="center"/>
    </xf>
    <xf numFmtId="37" fontId="50" fillId="2" borderId="0" xfId="0" applyNumberFormat="1" applyFont="1" applyFill="1" applyAlignment="1">
      <alignment horizontal="center"/>
    </xf>
    <xf numFmtId="0" fontId="48" fillId="7" borderId="0" xfId="0" applyFont="1" applyFill="1"/>
    <xf numFmtId="0" fontId="49" fillId="2" borderId="0" xfId="0" applyFont="1" applyFill="1" applyAlignment="1">
      <alignment horizontal="center"/>
    </xf>
    <xf numFmtId="15" fontId="49" fillId="2" borderId="0" xfId="0" applyNumberFormat="1" applyFont="1" applyFill="1" applyAlignment="1">
      <alignment horizontal="center"/>
    </xf>
    <xf numFmtId="37" fontId="48" fillId="2" borderId="0" xfId="0" applyNumberFormat="1" applyFont="1" applyFill="1" applyAlignment="1">
      <alignment horizontal="center"/>
    </xf>
    <xf numFmtId="0" fontId="49" fillId="2" borderId="0" xfId="0" applyFont="1" applyFill="1" applyAlignment="1">
      <alignment horizontal="left"/>
    </xf>
    <xf numFmtId="0" fontId="48" fillId="2" borderId="13" xfId="0" applyFont="1" applyFill="1" applyBorder="1" applyAlignment="1">
      <alignment horizontal="center"/>
    </xf>
    <xf numFmtId="37" fontId="48" fillId="2" borderId="13" xfId="0" applyNumberFormat="1" applyFont="1" applyFill="1" applyBorder="1" applyAlignment="1">
      <alignment horizontal="center"/>
    </xf>
    <xf numFmtId="37" fontId="48" fillId="5" borderId="13" xfId="0" applyNumberFormat="1" applyFont="1" applyFill="1" applyBorder="1" applyAlignment="1">
      <alignment horizontal="center"/>
    </xf>
    <xf numFmtId="0" fontId="51" fillId="2" borderId="0" xfId="0" applyFont="1" applyFill="1"/>
    <xf numFmtId="0" fontId="52" fillId="2" borderId="0" xfId="0" applyFont="1" applyFill="1" applyAlignment="1">
      <alignment horizontal="center"/>
    </xf>
    <xf numFmtId="37" fontId="51" fillId="2" borderId="0" xfId="0" applyNumberFormat="1" applyFont="1" applyFill="1" applyAlignment="1">
      <alignment horizontal="center"/>
    </xf>
    <xf numFmtId="0" fontId="51" fillId="2" borderId="14" xfId="0" applyFont="1" applyFill="1" applyBorder="1" applyAlignment="1">
      <alignment horizontal="center"/>
    </xf>
    <xf numFmtId="37" fontId="48" fillId="2" borderId="14" xfId="0" applyNumberFormat="1" applyFont="1" applyFill="1" applyBorder="1" applyAlignment="1">
      <alignment horizontal="center"/>
    </xf>
    <xf numFmtId="1" fontId="51" fillId="2" borderId="14" xfId="0" applyNumberFormat="1" applyFont="1" applyFill="1" applyBorder="1" applyAlignment="1">
      <alignment horizontal="center"/>
    </xf>
    <xf numFmtId="37" fontId="48" fillId="5" borderId="14" xfId="0" applyNumberFormat="1" applyFont="1" applyFill="1" applyBorder="1" applyAlignment="1">
      <alignment horizontal="center"/>
    </xf>
    <xf numFmtId="0" fontId="48" fillId="2" borderId="14" xfId="0" applyFont="1" applyFill="1" applyBorder="1" applyAlignment="1">
      <alignment horizontal="center"/>
    </xf>
    <xf numFmtId="1" fontId="48" fillId="2" borderId="14" xfId="0" applyNumberFormat="1" applyFont="1" applyFill="1" applyBorder="1" applyAlignment="1">
      <alignment horizontal="center"/>
    </xf>
    <xf numFmtId="1" fontId="48" fillId="5" borderId="14" xfId="0" applyNumberFormat="1" applyFont="1" applyFill="1" applyBorder="1" applyAlignment="1">
      <alignment horizontal="center"/>
    </xf>
    <xf numFmtId="10" fontId="51" fillId="2" borderId="14" xfId="0" applyNumberFormat="1" applyFont="1" applyFill="1" applyBorder="1" applyAlignment="1">
      <alignment horizontal="center"/>
    </xf>
    <xf numFmtId="1" fontId="52" fillId="2" borderId="14" xfId="0" applyNumberFormat="1" applyFont="1" applyFill="1" applyBorder="1" applyAlignment="1">
      <alignment horizontal="center"/>
    </xf>
    <xf numFmtId="1" fontId="51" fillId="5" borderId="14" xfId="0" applyNumberFormat="1" applyFont="1" applyFill="1" applyBorder="1" applyAlignment="1">
      <alignment horizontal="center"/>
    </xf>
    <xf numFmtId="3" fontId="49" fillId="2" borderId="0" xfId="0" applyNumberFormat="1" applyFont="1" applyFill="1" applyAlignment="1">
      <alignment horizontal="center"/>
    </xf>
    <xf numFmtId="0" fontId="50" fillId="2" borderId="14" xfId="0" applyFont="1" applyFill="1" applyBorder="1" applyAlignment="1">
      <alignment horizontal="center"/>
    </xf>
    <xf numFmtId="0" fontId="48" fillId="5" borderId="14" xfId="0" applyFont="1" applyFill="1" applyBorder="1" applyAlignment="1">
      <alignment horizontal="center"/>
    </xf>
    <xf numFmtId="0" fontId="53" fillId="2" borderId="0" xfId="0" applyFont="1" applyFill="1" applyAlignment="1">
      <alignment horizontal="center"/>
    </xf>
    <xf numFmtId="0" fontId="48" fillId="5" borderId="15" xfId="0" applyFont="1" applyFill="1" applyBorder="1" applyAlignment="1">
      <alignment horizontal="center"/>
    </xf>
    <xf numFmtId="1" fontId="51" fillId="5" borderId="15" xfId="0" applyNumberFormat="1" applyFont="1" applyFill="1" applyBorder="1" applyAlignment="1">
      <alignment horizontal="center"/>
    </xf>
    <xf numFmtId="1" fontId="53" fillId="2" borderId="14" xfId="0" applyNumberFormat="1" applyFont="1" applyFill="1" applyBorder="1" applyAlignment="1">
      <alignment horizontal="center"/>
    </xf>
    <xf numFmtId="0" fontId="53" fillId="2" borderId="14" xfId="0" applyFont="1" applyFill="1" applyBorder="1" applyAlignment="1">
      <alignment horizontal="center"/>
    </xf>
    <xf numFmtId="37" fontId="52" fillId="2" borderId="0" xfId="0" applyNumberFormat="1" applyFont="1" applyFill="1" applyAlignment="1">
      <alignment horizontal="center"/>
    </xf>
    <xf numFmtId="0" fontId="50" fillId="2" borderId="15" xfId="0" applyFont="1" applyFill="1" applyBorder="1" applyAlignment="1">
      <alignment horizontal="center"/>
    </xf>
    <xf numFmtId="0" fontId="48" fillId="2" borderId="15" xfId="0" applyFont="1" applyFill="1" applyBorder="1" applyAlignment="1">
      <alignment horizontal="center"/>
    </xf>
    <xf numFmtId="1" fontId="51" fillId="2" borderId="15" xfId="0" applyNumberFormat="1" applyFont="1" applyFill="1" applyBorder="1" applyAlignment="1">
      <alignment horizontal="center"/>
    </xf>
    <xf numFmtId="1" fontId="48" fillId="2" borderId="15" xfId="0" applyNumberFormat="1" applyFont="1" applyFill="1" applyBorder="1" applyAlignment="1">
      <alignment horizontal="center"/>
    </xf>
    <xf numFmtId="0" fontId="48" fillId="2" borderId="0" xfId="0" applyFont="1" applyFill="1" applyAlignment="1">
      <alignment horizontal="right"/>
    </xf>
    <xf numFmtId="37" fontId="48" fillId="2" borderId="0" xfId="0" applyNumberFormat="1" applyFont="1" applyFill="1"/>
    <xf numFmtId="0" fontId="51" fillId="2" borderId="0" xfId="0" applyFont="1" applyFill="1" applyAlignment="1">
      <alignment horizontal="right"/>
    </xf>
    <xf numFmtId="164" fontId="51" fillId="2" borderId="0" xfId="0" applyNumberFormat="1" applyFont="1" applyFill="1" applyAlignment="1">
      <alignment horizontal="center"/>
    </xf>
    <xf numFmtId="0" fontId="51" fillId="2" borderId="0" xfId="0" applyFont="1" applyFill="1" applyAlignment="1">
      <alignment horizontal="center"/>
    </xf>
    <xf numFmtId="166" fontId="51" fillId="2" borderId="0" xfId="0" applyNumberFormat="1" applyFont="1" applyFill="1" applyAlignment="1">
      <alignment horizontal="center"/>
    </xf>
    <xf numFmtId="0" fontId="54" fillId="3" borderId="0" xfId="0" applyFont="1" applyFill="1"/>
    <xf numFmtId="0" fontId="46" fillId="3" borderId="0" xfId="35" applyFont="1" applyFill="1"/>
    <xf numFmtId="0" fontId="12" fillId="3" borderId="0" xfId="0" applyFont="1" applyFill="1" applyAlignment="1">
      <alignment wrapText="1"/>
    </xf>
    <xf numFmtId="0" fontId="12" fillId="5" borderId="0" xfId="0" applyFont="1" applyFill="1"/>
    <xf numFmtId="0" fontId="12" fillId="3" borderId="0" xfId="0" applyFont="1" applyFill="1" applyAlignment="1">
      <alignment vertical="top"/>
    </xf>
    <xf numFmtId="0" fontId="57" fillId="0" borderId="0" xfId="36" applyFont="1"/>
    <xf numFmtId="0" fontId="58" fillId="0" borderId="0" xfId="36" applyFont="1"/>
    <xf numFmtId="8" fontId="57" fillId="0" borderId="0" xfId="36" applyNumberFormat="1" applyFont="1"/>
    <xf numFmtId="168" fontId="57" fillId="0" borderId="0" xfId="37" applyNumberFormat="1" applyFont="1"/>
    <xf numFmtId="0" fontId="59" fillId="0" borderId="0" xfId="36" applyFont="1" applyAlignment="1">
      <alignment vertical="center"/>
    </xf>
    <xf numFmtId="38" fontId="59" fillId="0" borderId="21" xfId="36" applyNumberFormat="1" applyFont="1" applyBorder="1" applyAlignment="1">
      <alignment horizontal="right" vertical="center" wrapText="1"/>
    </xf>
    <xf numFmtId="0" fontId="60" fillId="0" borderId="0" xfId="36" applyFont="1" applyAlignment="1">
      <alignment vertical="center" wrapText="1"/>
    </xf>
    <xf numFmtId="0" fontId="59" fillId="0" borderId="0" xfId="36" applyFont="1" applyAlignment="1">
      <alignment vertical="center" wrapText="1"/>
    </xf>
    <xf numFmtId="0" fontId="59" fillId="0" borderId="2" xfId="36" applyFont="1" applyBorder="1" applyAlignment="1">
      <alignment vertical="center"/>
    </xf>
    <xf numFmtId="38" fontId="59" fillId="0" borderId="0" xfId="36" applyNumberFormat="1" applyFont="1" applyAlignment="1">
      <alignment horizontal="right" vertical="center" wrapText="1"/>
    </xf>
    <xf numFmtId="38" fontId="59" fillId="0" borderId="7" xfId="36" applyNumberFormat="1" applyFont="1" applyBorder="1" applyAlignment="1">
      <alignment horizontal="right" vertical="center" wrapText="1"/>
    </xf>
    <xf numFmtId="3" fontId="57" fillId="0" borderId="0" xfId="36" applyNumberFormat="1" applyFont="1"/>
    <xf numFmtId="0" fontId="62" fillId="0" borderId="0" xfId="36" applyFont="1"/>
    <xf numFmtId="0" fontId="63" fillId="0" borderId="0" xfId="36" applyFont="1"/>
    <xf numFmtId="0" fontId="63" fillId="0" borderId="0" xfId="36" applyFont="1" applyAlignment="1">
      <alignment horizontal="center"/>
    </xf>
    <xf numFmtId="38" fontId="57" fillId="0" borderId="0" xfId="36" applyNumberFormat="1" applyFont="1"/>
    <xf numFmtId="38" fontId="65" fillId="0" borderId="0" xfId="36" applyNumberFormat="1" applyFont="1" applyAlignment="1">
      <alignment horizontal="right" vertical="center" wrapText="1"/>
    </xf>
    <xf numFmtId="38" fontId="65" fillId="0" borderId="22" xfId="36" applyNumberFormat="1" applyFont="1" applyBorder="1" applyAlignment="1">
      <alignment vertical="center"/>
    </xf>
    <xf numFmtId="38" fontId="65" fillId="0" borderId="22" xfId="36" applyNumberFormat="1" applyFont="1" applyBorder="1" applyAlignment="1">
      <alignment horizontal="right" vertical="center"/>
    </xf>
    <xf numFmtId="0" fontId="57" fillId="0" borderId="0" xfId="36" applyFont="1" applyAlignment="1">
      <alignment vertical="center"/>
    </xf>
    <xf numFmtId="0" fontId="65" fillId="0" borderId="0" xfId="36" applyFont="1" applyAlignment="1">
      <alignment vertical="center"/>
    </xf>
    <xf numFmtId="38" fontId="65" fillId="0" borderId="7" xfId="36" applyNumberFormat="1" applyFont="1" applyBorder="1" applyAlignment="1">
      <alignment horizontal="right" vertical="center" wrapText="1"/>
    </xf>
    <xf numFmtId="38" fontId="57" fillId="0" borderId="0" xfId="36" applyNumberFormat="1" applyFont="1" applyAlignment="1">
      <alignment horizontal="right" vertical="center" wrapText="1"/>
    </xf>
    <xf numFmtId="2" fontId="57" fillId="0" borderId="0" xfId="36" applyNumberFormat="1" applyFont="1" applyAlignment="1">
      <alignment vertical="center"/>
    </xf>
    <xf numFmtId="0" fontId="57" fillId="0" borderId="0" xfId="36" applyFont="1" applyAlignment="1">
      <alignment vertical="center" wrapText="1"/>
    </xf>
    <xf numFmtId="1" fontId="57" fillId="0" borderId="0" xfId="36" applyNumberFormat="1" applyFont="1"/>
    <xf numFmtId="3" fontId="57" fillId="0" borderId="0" xfId="36" applyNumberFormat="1" applyFont="1" applyAlignment="1">
      <alignment vertical="center"/>
    </xf>
    <xf numFmtId="38" fontId="65" fillId="0" borderId="22" xfId="36" applyNumberFormat="1" applyFont="1" applyBorder="1" applyAlignment="1">
      <alignment horizontal="right" vertical="center" wrapText="1"/>
    </xf>
    <xf numFmtId="38" fontId="57" fillId="0" borderId="0" xfId="36" applyNumberFormat="1" applyFont="1" applyAlignment="1">
      <alignment vertical="center"/>
    </xf>
    <xf numFmtId="1" fontId="62" fillId="0" borderId="0" xfId="36" applyNumberFormat="1" applyFont="1" applyAlignment="1">
      <alignment horizontal="right" vertical="center"/>
    </xf>
    <xf numFmtId="0" fontId="56" fillId="0" borderId="0" xfId="36"/>
    <xf numFmtId="169" fontId="60" fillId="0" borderId="2" xfId="36" applyNumberFormat="1" applyFont="1" applyBorder="1"/>
    <xf numFmtId="0" fontId="66" fillId="0" borderId="0" xfId="36" applyFont="1" applyAlignment="1">
      <alignment vertical="center" wrapText="1"/>
    </xf>
    <xf numFmtId="169" fontId="60" fillId="0" borderId="0" xfId="36" applyNumberFormat="1" applyFont="1"/>
    <xf numFmtId="0" fontId="60" fillId="0" borderId="0" xfId="36" applyFont="1" applyAlignment="1">
      <alignment vertical="center"/>
    </xf>
    <xf numFmtId="170" fontId="59" fillId="0" borderId="0" xfId="36" applyNumberFormat="1" applyFont="1"/>
    <xf numFmtId="169" fontId="60" fillId="0" borderId="23" xfId="36" applyNumberFormat="1" applyFont="1" applyBorder="1"/>
    <xf numFmtId="169" fontId="59" fillId="0" borderId="2" xfId="36" applyNumberFormat="1" applyFont="1" applyBorder="1" applyAlignment="1">
      <alignment horizontal="right"/>
    </xf>
    <xf numFmtId="169" fontId="59" fillId="0" borderId="2" xfId="36" applyNumberFormat="1" applyFont="1" applyBorder="1"/>
    <xf numFmtId="169" fontId="59" fillId="0" borderId="0" xfId="36" applyNumberFormat="1" applyFont="1"/>
    <xf numFmtId="38" fontId="67" fillId="0" borderId="0" xfId="36" applyNumberFormat="1" applyFont="1" applyAlignment="1">
      <alignment horizontal="right" vertical="center" wrapText="1"/>
    </xf>
    <xf numFmtId="0" fontId="59" fillId="0" borderId="0" xfId="36" applyFont="1"/>
    <xf numFmtId="169" fontId="59" fillId="0" borderId="0" xfId="36" applyNumberFormat="1" applyFont="1" applyAlignment="1">
      <alignment horizontal="right"/>
    </xf>
    <xf numFmtId="0" fontId="67" fillId="0" borderId="0" xfId="36" applyFont="1"/>
    <xf numFmtId="38" fontId="66" fillId="0" borderId="0" xfId="36" applyNumberFormat="1" applyFont="1" applyAlignment="1">
      <alignment vertical="center" wrapText="1"/>
    </xf>
    <xf numFmtId="1" fontId="68" fillId="0" borderId="0" xfId="36" applyNumberFormat="1" applyFont="1" applyAlignment="1">
      <alignment horizontal="right"/>
    </xf>
    <xf numFmtId="0" fontId="64" fillId="0" borderId="0" xfId="36" applyFont="1" applyAlignment="1">
      <alignment horizontal="center" vertical="center"/>
    </xf>
    <xf numFmtId="166" fontId="57" fillId="0" borderId="0" xfId="36" applyNumberFormat="1" applyFont="1"/>
    <xf numFmtId="0" fontId="57" fillId="0" borderId="2" xfId="36" applyFont="1" applyBorder="1"/>
    <xf numFmtId="38" fontId="59" fillId="0" borderId="2" xfId="36" applyNumberFormat="1" applyFont="1" applyBorder="1" applyAlignment="1">
      <alignment horizontal="right" vertical="center" wrapText="1"/>
    </xf>
    <xf numFmtId="0" fontId="62" fillId="0" borderId="0" xfId="36" applyFont="1" applyAlignment="1">
      <alignment horizontal="right"/>
    </xf>
    <xf numFmtId="38" fontId="67" fillId="0" borderId="0" xfId="36" applyNumberFormat="1" applyFont="1"/>
    <xf numFmtId="38" fontId="69" fillId="0" borderId="0" xfId="36" applyNumberFormat="1" applyFont="1" applyAlignment="1">
      <alignment horizontal="right" vertical="center" wrapText="1"/>
    </xf>
    <xf numFmtId="3" fontId="57" fillId="0" borderId="0" xfId="36" applyNumberFormat="1" applyFont="1" applyAlignment="1">
      <alignment horizontal="right" vertical="center" wrapText="1"/>
    </xf>
    <xf numFmtId="3" fontId="57" fillId="0" borderId="0" xfId="37" applyNumberFormat="1" applyFont="1"/>
    <xf numFmtId="0" fontId="55" fillId="0" borderId="0" xfId="36" applyFont="1" applyAlignment="1">
      <alignment vertical="center"/>
    </xf>
    <xf numFmtId="0" fontId="70" fillId="0" borderId="0" xfId="36" applyFont="1"/>
    <xf numFmtId="0" fontId="71" fillId="0" borderId="0" xfId="36" applyFont="1"/>
    <xf numFmtId="0" fontId="71" fillId="0" borderId="0" xfId="36" applyFont="1" applyAlignment="1">
      <alignment horizontal="right"/>
    </xf>
    <xf numFmtId="0" fontId="71" fillId="0" borderId="0" xfId="36" quotePrefix="1" applyFont="1" applyAlignment="1">
      <alignment horizontal="right"/>
    </xf>
    <xf numFmtId="9" fontId="71" fillId="0" borderId="0" xfId="38" applyFont="1" applyFill="1" applyAlignment="1">
      <alignment horizontal="right"/>
    </xf>
    <xf numFmtId="171" fontId="71" fillId="0" borderId="0" xfId="37" applyNumberFormat="1" applyFont="1" applyFill="1" applyAlignment="1">
      <alignment horizontal="right"/>
    </xf>
    <xf numFmtId="0" fontId="71" fillId="0" borderId="0" xfId="36" applyFont="1" applyAlignment="1">
      <alignment wrapText="1"/>
    </xf>
    <xf numFmtId="6" fontId="71" fillId="0" borderId="0" xfId="36" applyNumberFormat="1" applyFont="1" applyAlignment="1">
      <alignment horizontal="right"/>
    </xf>
    <xf numFmtId="6" fontId="71" fillId="0" borderId="0" xfId="36" applyNumberFormat="1" applyFont="1" applyAlignment="1">
      <alignment horizontal="right" wrapText="1"/>
    </xf>
    <xf numFmtId="38" fontId="71" fillId="0" borderId="0" xfId="36" applyNumberFormat="1" applyFont="1" applyAlignment="1">
      <alignment horizontal="right"/>
    </xf>
    <xf numFmtId="38" fontId="71" fillId="0" borderId="0" xfId="37" applyNumberFormat="1" applyFont="1" applyFill="1" applyAlignment="1">
      <alignment horizontal="right"/>
    </xf>
    <xf numFmtId="172" fontId="71" fillId="0" borderId="0" xfId="36" applyNumberFormat="1" applyFont="1" applyAlignment="1">
      <alignment horizontal="right"/>
    </xf>
    <xf numFmtId="8" fontId="71" fillId="0" borderId="0" xfId="36" applyNumberFormat="1" applyFont="1" applyAlignment="1">
      <alignment horizontal="right"/>
    </xf>
    <xf numFmtId="6" fontId="71" fillId="0" borderId="0" xfId="36" applyNumberFormat="1" applyFont="1"/>
    <xf numFmtId="0" fontId="72" fillId="0" borderId="0" xfId="36" applyFont="1" applyAlignment="1">
      <alignment horizontal="right"/>
    </xf>
    <xf numFmtId="0" fontId="56" fillId="0" borderId="0" xfId="36" applyAlignment="1">
      <alignment horizontal="center"/>
    </xf>
    <xf numFmtId="173" fontId="56" fillId="0" borderId="0" xfId="36" applyNumberFormat="1" applyAlignment="1">
      <alignment horizontal="right"/>
    </xf>
    <xf numFmtId="0" fontId="58" fillId="0" borderId="0" xfId="36" applyFont="1" applyAlignment="1">
      <alignment vertical="center"/>
    </xf>
    <xf numFmtId="6" fontId="56" fillId="0" borderId="0" xfId="36" applyNumberFormat="1" applyAlignment="1">
      <alignment horizontal="center"/>
    </xf>
    <xf numFmtId="0" fontId="56" fillId="0" borderId="0" xfId="36" applyAlignment="1">
      <alignment wrapText="1"/>
    </xf>
    <xf numFmtId="0" fontId="12" fillId="3" borderId="0" xfId="0" applyFont="1" applyFill="1" applyAlignment="1">
      <alignment horizontal="center"/>
    </xf>
    <xf numFmtId="174" fontId="12" fillId="3" borderId="0" xfId="0" applyNumberFormat="1" applyFont="1" applyFill="1" applyAlignment="1">
      <alignment horizontal="center"/>
    </xf>
    <xf numFmtId="174" fontId="12" fillId="3" borderId="0" xfId="0" applyNumberFormat="1" applyFont="1" applyFill="1"/>
    <xf numFmtId="14" fontId="12" fillId="3" borderId="0" xfId="0" applyNumberFormat="1" applyFont="1" applyFill="1"/>
    <xf numFmtId="0" fontId="12" fillId="2" borderId="0" xfId="3" applyFont="1" applyFill="1" applyAlignment="1">
      <alignment horizontal="right"/>
    </xf>
    <xf numFmtId="9" fontId="12" fillId="2" borderId="0" xfId="3" applyNumberFormat="1" applyFont="1" applyFill="1" applyAlignment="1">
      <alignment horizontal="right"/>
    </xf>
    <xf numFmtId="2" fontId="12" fillId="2" borderId="0" xfId="3" applyNumberFormat="1" applyFont="1" applyFill="1"/>
    <xf numFmtId="2" fontId="12" fillId="2" borderId="0" xfId="4" applyNumberFormat="1" applyFont="1" applyFill="1"/>
    <xf numFmtId="164" fontId="12" fillId="2" borderId="0" xfId="4" applyNumberFormat="1" applyFont="1" applyFill="1"/>
    <xf numFmtId="1" fontId="12" fillId="2" borderId="0" xfId="3" applyNumberFormat="1" applyFont="1" applyFill="1"/>
    <xf numFmtId="44" fontId="12" fillId="2" borderId="0" xfId="1" applyFont="1" applyFill="1"/>
    <xf numFmtId="165" fontId="12" fillId="2" borderId="0" xfId="1" applyNumberFormat="1" applyFont="1" applyFill="1"/>
    <xf numFmtId="2" fontId="74" fillId="2" borderId="0" xfId="3" applyNumberFormat="1" applyFont="1" applyFill="1"/>
    <xf numFmtId="164" fontId="12" fillId="2" borderId="0" xfId="2" applyNumberFormat="1" applyFont="1" applyFill="1"/>
    <xf numFmtId="164" fontId="74" fillId="2" borderId="0" xfId="2" applyNumberFormat="1" applyFont="1" applyFill="1"/>
    <xf numFmtId="10" fontId="12" fillId="2" borderId="0" xfId="2" applyNumberFormat="1" applyFont="1" applyFill="1"/>
    <xf numFmtId="0" fontId="1" fillId="4" borderId="0" xfId="6" applyFont="1" applyFill="1"/>
    <xf numFmtId="9" fontId="51" fillId="2" borderId="0" xfId="0" applyNumberFormat="1" applyFont="1" applyFill="1" applyAlignment="1">
      <alignment vertical="center"/>
    </xf>
    <xf numFmtId="0" fontId="49" fillId="2" borderId="0" xfId="0" applyFont="1" applyFill="1" applyAlignment="1">
      <alignment horizontal="center"/>
    </xf>
    <xf numFmtId="0" fontId="0" fillId="2" borderId="0" xfId="0" applyFill="1" applyAlignment="1">
      <alignment horizontal="center"/>
    </xf>
    <xf numFmtId="0" fontId="23" fillId="0" borderId="8" xfId="0" applyFont="1" applyBorder="1" applyAlignment="1">
      <alignment horizontal="center"/>
    </xf>
    <xf numFmtId="0" fontId="23" fillId="0" borderId="6" xfId="0" applyFont="1" applyBorder="1" applyAlignment="1">
      <alignment horizontal="center"/>
    </xf>
    <xf numFmtId="0" fontId="23" fillId="0" borderId="3" xfId="0" applyFont="1" applyBorder="1" applyAlignment="1">
      <alignment horizontal="center"/>
    </xf>
    <xf numFmtId="0" fontId="0" fillId="0" borderId="2" xfId="0" applyBorder="1" applyAlignment="1">
      <alignment horizontal="center"/>
    </xf>
    <xf numFmtId="0" fontId="0" fillId="0" borderId="7" xfId="0" applyBorder="1" applyAlignment="1">
      <alignment horizontal="center"/>
    </xf>
    <xf numFmtId="15" fontId="23" fillId="0" borderId="8" xfId="0" applyNumberFormat="1" applyFont="1" applyBorder="1" applyAlignment="1">
      <alignment horizontal="center"/>
    </xf>
    <xf numFmtId="0" fontId="0" fillId="0" borderId="6" xfId="0" applyBorder="1" applyAlignment="1">
      <alignment horizontal="center"/>
    </xf>
    <xf numFmtId="0" fontId="23" fillId="0" borderId="8" xfId="0" applyFont="1" applyBorder="1" applyAlignment="1">
      <alignment horizontal="center" vertical="center"/>
    </xf>
    <xf numFmtId="0" fontId="23" fillId="0" borderId="7" xfId="0" applyFont="1" applyBorder="1" applyAlignment="1">
      <alignment horizontal="center" vertical="center"/>
    </xf>
    <xf numFmtId="0" fontId="23" fillId="0" borderId="6" xfId="0" applyFont="1" applyBorder="1" applyAlignment="1">
      <alignment horizontal="center" vertical="center"/>
    </xf>
    <xf numFmtId="0" fontId="23" fillId="0" borderId="7" xfId="0" applyFont="1" applyBorder="1" applyAlignment="1">
      <alignment horizontal="center"/>
    </xf>
    <xf numFmtId="0" fontId="59" fillId="0" borderId="0" xfId="36" applyFont="1" applyAlignment="1">
      <alignment vertical="center" wrapText="1"/>
    </xf>
    <xf numFmtId="0" fontId="63" fillId="0" borderId="0" xfId="36" applyFont="1" applyAlignment="1">
      <alignment horizontal="center" vertical="center"/>
    </xf>
    <xf numFmtId="0" fontId="64" fillId="0" borderId="0" xfId="36" applyFont="1" applyAlignment="1">
      <alignment horizontal="center" vertical="center"/>
    </xf>
    <xf numFmtId="0" fontId="63" fillId="0" borderId="0" xfId="36" applyFont="1" applyAlignment="1">
      <alignment horizontal="center"/>
    </xf>
    <xf numFmtId="0" fontId="65" fillId="0" borderId="0" xfId="36" applyFont="1" applyAlignment="1">
      <alignment vertical="center" wrapText="1"/>
    </xf>
    <xf numFmtId="0" fontId="57" fillId="0" borderId="0" xfId="36" applyFont="1" applyAlignment="1">
      <alignment vertical="center" wrapText="1"/>
    </xf>
    <xf numFmtId="0" fontId="56" fillId="0" borderId="0" xfId="36" applyAlignment="1">
      <alignment horizontal="center" vertical="center"/>
    </xf>
    <xf numFmtId="0" fontId="69" fillId="0" borderId="0" xfId="36" applyFont="1" applyAlignment="1">
      <alignment vertical="center" wrapText="1"/>
    </xf>
    <xf numFmtId="0" fontId="73" fillId="0" borderId="0" xfId="36" applyFont="1" applyAlignment="1">
      <alignment horizontal="center" vertical="center"/>
    </xf>
    <xf numFmtId="37" fontId="51" fillId="2" borderId="0" xfId="0" applyNumberFormat="1" applyFont="1" applyFill="1"/>
  </cellXfs>
  <cellStyles count="39">
    <cellStyle name="Comma 2" xfId="37" xr:uid="{DEEB5E12-70E3-F442-BCE6-C909D0D1BC32}"/>
    <cellStyle name="Currency" xfId="1" builtinId="4"/>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cellStyle name="Normal" xfId="0" builtinId="0"/>
    <cellStyle name="Normal 2" xfId="5" xr:uid="{00000000-0005-0000-0000-00001B000000}"/>
    <cellStyle name="Normal 2 2" xfId="7" xr:uid="{00000000-0005-0000-0000-00001C000000}"/>
    <cellStyle name="Normal 3" xfId="3" xr:uid="{00000000-0005-0000-0000-00001D000000}"/>
    <cellStyle name="Normal 4" xfId="6" xr:uid="{00000000-0005-0000-0000-00001E000000}"/>
    <cellStyle name="Normal 5" xfId="33" xr:uid="{09ECF949-E64D-F140-B8C4-8D1CF0AFDE1B}"/>
    <cellStyle name="Normal 5 2" xfId="35" xr:uid="{B8C5A881-7A6C-1E49-9CB7-CF11655A2AE3}"/>
    <cellStyle name="Normal 6" xfId="34" xr:uid="{9A3DCDF7-2810-5A49-A436-7992BAD78596}"/>
    <cellStyle name="Normal 7" xfId="36" xr:uid="{31D2E953-1000-CF49-927C-B7DF388742D6}"/>
    <cellStyle name="Percent" xfId="2" builtinId="5"/>
    <cellStyle name="Percent 2" xfId="4" xr:uid="{00000000-0005-0000-0000-000020000000}"/>
    <cellStyle name="Percent 3" xfId="38" xr:uid="{626D99A3-D5D6-BF4F-9190-ED182DDAB0F3}"/>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externalLink" Target="externalLinks/externalLink5.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3.xml"/><Relationship Id="rId37" Type="http://schemas.openxmlformats.org/officeDocument/2006/relationships/externalLink" Target="externalLinks/externalLink8.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externalLink" Target="externalLinks/externalLink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4.xml"/><Relationship Id="rId38" Type="http://schemas.openxmlformats.org/officeDocument/2006/relationships/externalLink" Target="externalLinks/externalLink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Funding</a:t>
            </a:r>
            <a:r>
              <a:rPr lang="en-US" baseline="0"/>
              <a:t> by Maturity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64E-7845-910F-0B3BE41B6A5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64E-7845-910F-0B3BE41B6A5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64E-7845-910F-0B3BE41B6A5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64E-7845-910F-0B3BE41B6A5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64E-7845-910F-0B3BE41B6A5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64E-7845-910F-0B3BE41B6A56}"/>
              </c:ext>
            </c:extLst>
          </c:dPt>
          <c:cat>
            <c:strRef>
              <c:f>Q1_Calc!$AB$3:$AG$3</c:f>
              <c:strCache>
                <c:ptCount val="6"/>
                <c:pt idx="0">
                  <c:v>30 days</c:v>
                </c:pt>
                <c:pt idx="1">
                  <c:v>90 days</c:v>
                </c:pt>
                <c:pt idx="2">
                  <c:v>1 year</c:v>
                </c:pt>
                <c:pt idx="3">
                  <c:v>2 years</c:v>
                </c:pt>
                <c:pt idx="4">
                  <c:v>5 years</c:v>
                </c:pt>
                <c:pt idx="5">
                  <c:v>&gt;5 years</c:v>
                </c:pt>
              </c:strCache>
            </c:strRef>
          </c:cat>
          <c:val>
            <c:numRef>
              <c:f>Q1_Calc!$AB$25:$AG$25</c:f>
              <c:numCache>
                <c:formatCode>#,##0_);\(#,##0\)</c:formatCode>
                <c:ptCount val="6"/>
                <c:pt idx="0">
                  <c:v>228</c:v>
                </c:pt>
                <c:pt idx="1">
                  <c:v>76</c:v>
                </c:pt>
                <c:pt idx="2">
                  <c:v>102</c:v>
                </c:pt>
                <c:pt idx="3">
                  <c:v>26</c:v>
                </c:pt>
                <c:pt idx="4">
                  <c:v>78</c:v>
                </c:pt>
                <c:pt idx="5">
                  <c:v>130</c:v>
                </c:pt>
              </c:numCache>
            </c:numRef>
          </c:val>
          <c:extLst>
            <c:ext xmlns:c16="http://schemas.microsoft.com/office/drawing/2014/chart" uri="{C3380CC4-5D6E-409C-BE32-E72D297353CC}">
              <c16:uniqueId val="{0000000C-464E-7845-910F-0B3BE41B6A56}"/>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Funding by Source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Q1_Calc!$AK$3</c:f>
              <c:strCache>
                <c:ptCount val="1"/>
                <c:pt idx="0">
                  <c:v>30 days</c:v>
                </c:pt>
              </c:strCache>
            </c:strRef>
          </c:tx>
          <c:spPr>
            <a:solidFill>
              <a:schemeClr val="accent1"/>
            </a:solidFill>
            <a:ln>
              <a:noFill/>
            </a:ln>
            <a:effectLst/>
          </c:spPr>
          <c:invertIfNegative val="0"/>
          <c:cat>
            <c:strRef>
              <c:f>Q1_Calc!$AJ$3:$AJ$19</c:f>
              <c:strCache>
                <c:ptCount val="17"/>
                <c:pt idx="1">
                  <c:v>Commercial Paper</c:v>
                </c:pt>
                <c:pt idx="2">
                  <c:v>Supplier Credit</c:v>
                </c:pt>
                <c:pt idx="3">
                  <c:v>Bond Issue</c:v>
                </c:pt>
                <c:pt idx="4">
                  <c:v>Syndicated Bank Loan</c:v>
                </c:pt>
                <c:pt idx="5">
                  <c:v>USA Bank 1</c:v>
                </c:pt>
                <c:pt idx="6">
                  <c:v>USA Bank 2</c:v>
                </c:pt>
                <c:pt idx="7">
                  <c:v>USA Bank 3</c:v>
                </c:pt>
                <c:pt idx="8">
                  <c:v>Canada Bank 1</c:v>
                </c:pt>
                <c:pt idx="9">
                  <c:v>Canada Bank 2</c:v>
                </c:pt>
                <c:pt idx="10">
                  <c:v>Canada Bank 3</c:v>
                </c:pt>
                <c:pt idx="11">
                  <c:v>EU Bank 1</c:v>
                </c:pt>
                <c:pt idx="12">
                  <c:v>EU Bank 2</c:v>
                </c:pt>
                <c:pt idx="13">
                  <c:v>EU Bank 3</c:v>
                </c:pt>
                <c:pt idx="14">
                  <c:v>China Bank 1</c:v>
                </c:pt>
                <c:pt idx="15">
                  <c:v>China Bank 2</c:v>
                </c:pt>
                <c:pt idx="16">
                  <c:v>China Bank 3</c:v>
                </c:pt>
              </c:strCache>
            </c:strRef>
          </c:cat>
          <c:val>
            <c:numRef>
              <c:f>Q1_Calc!$AK$4:$AK$19</c:f>
              <c:numCache>
                <c:formatCode>#,##0_);\(#,##0\)</c:formatCode>
                <c:ptCount val="16"/>
              </c:numCache>
            </c:numRef>
          </c:val>
          <c:extLst>
            <c:ext xmlns:c16="http://schemas.microsoft.com/office/drawing/2014/chart" uri="{C3380CC4-5D6E-409C-BE32-E72D297353CC}">
              <c16:uniqueId val="{00000000-62E1-F749-9F4D-2AFC71033777}"/>
            </c:ext>
          </c:extLst>
        </c:ser>
        <c:ser>
          <c:idx val="1"/>
          <c:order val="1"/>
          <c:tx>
            <c:strRef>
              <c:f>Q1_Calc!$AL$3</c:f>
              <c:strCache>
                <c:ptCount val="1"/>
                <c:pt idx="0">
                  <c:v>90 days</c:v>
                </c:pt>
              </c:strCache>
            </c:strRef>
          </c:tx>
          <c:spPr>
            <a:solidFill>
              <a:schemeClr val="accent2"/>
            </a:solidFill>
            <a:ln>
              <a:noFill/>
            </a:ln>
            <a:effectLst/>
          </c:spPr>
          <c:invertIfNegative val="0"/>
          <c:cat>
            <c:strRef>
              <c:f>Q1_Calc!$AJ$3:$AJ$19</c:f>
              <c:strCache>
                <c:ptCount val="17"/>
                <c:pt idx="1">
                  <c:v>Commercial Paper</c:v>
                </c:pt>
                <c:pt idx="2">
                  <c:v>Supplier Credit</c:v>
                </c:pt>
                <c:pt idx="3">
                  <c:v>Bond Issue</c:v>
                </c:pt>
                <c:pt idx="4">
                  <c:v>Syndicated Bank Loan</c:v>
                </c:pt>
                <c:pt idx="5">
                  <c:v>USA Bank 1</c:v>
                </c:pt>
                <c:pt idx="6">
                  <c:v>USA Bank 2</c:v>
                </c:pt>
                <c:pt idx="7">
                  <c:v>USA Bank 3</c:v>
                </c:pt>
                <c:pt idx="8">
                  <c:v>Canada Bank 1</c:v>
                </c:pt>
                <c:pt idx="9">
                  <c:v>Canada Bank 2</c:v>
                </c:pt>
                <c:pt idx="10">
                  <c:v>Canada Bank 3</c:v>
                </c:pt>
                <c:pt idx="11">
                  <c:v>EU Bank 1</c:v>
                </c:pt>
                <c:pt idx="12">
                  <c:v>EU Bank 2</c:v>
                </c:pt>
                <c:pt idx="13">
                  <c:v>EU Bank 3</c:v>
                </c:pt>
                <c:pt idx="14">
                  <c:v>China Bank 1</c:v>
                </c:pt>
                <c:pt idx="15">
                  <c:v>China Bank 2</c:v>
                </c:pt>
                <c:pt idx="16">
                  <c:v>China Bank 3</c:v>
                </c:pt>
              </c:strCache>
            </c:strRef>
          </c:cat>
          <c:val>
            <c:numRef>
              <c:f>Q1_Calc!$AL$4:$AL$19</c:f>
              <c:numCache>
                <c:formatCode>#,##0_);\(#,##0\)</c:formatCode>
                <c:ptCount val="16"/>
              </c:numCache>
            </c:numRef>
          </c:val>
          <c:extLst>
            <c:ext xmlns:c16="http://schemas.microsoft.com/office/drawing/2014/chart" uri="{C3380CC4-5D6E-409C-BE32-E72D297353CC}">
              <c16:uniqueId val="{00000001-62E1-F749-9F4D-2AFC71033777}"/>
            </c:ext>
          </c:extLst>
        </c:ser>
        <c:ser>
          <c:idx val="2"/>
          <c:order val="2"/>
          <c:tx>
            <c:strRef>
              <c:f>Q1_Calc!$AM$3</c:f>
              <c:strCache>
                <c:ptCount val="1"/>
                <c:pt idx="0">
                  <c:v>1 year</c:v>
                </c:pt>
              </c:strCache>
            </c:strRef>
          </c:tx>
          <c:spPr>
            <a:solidFill>
              <a:schemeClr val="accent3"/>
            </a:solidFill>
            <a:ln>
              <a:noFill/>
            </a:ln>
            <a:effectLst/>
          </c:spPr>
          <c:invertIfNegative val="0"/>
          <c:cat>
            <c:strRef>
              <c:f>Q1_Calc!$AJ$3:$AJ$19</c:f>
              <c:strCache>
                <c:ptCount val="17"/>
                <c:pt idx="1">
                  <c:v>Commercial Paper</c:v>
                </c:pt>
                <c:pt idx="2">
                  <c:v>Supplier Credit</c:v>
                </c:pt>
                <c:pt idx="3">
                  <c:v>Bond Issue</c:v>
                </c:pt>
                <c:pt idx="4">
                  <c:v>Syndicated Bank Loan</c:v>
                </c:pt>
                <c:pt idx="5">
                  <c:v>USA Bank 1</c:v>
                </c:pt>
                <c:pt idx="6">
                  <c:v>USA Bank 2</c:v>
                </c:pt>
                <c:pt idx="7">
                  <c:v>USA Bank 3</c:v>
                </c:pt>
                <c:pt idx="8">
                  <c:v>Canada Bank 1</c:v>
                </c:pt>
                <c:pt idx="9">
                  <c:v>Canada Bank 2</c:v>
                </c:pt>
                <c:pt idx="10">
                  <c:v>Canada Bank 3</c:v>
                </c:pt>
                <c:pt idx="11">
                  <c:v>EU Bank 1</c:v>
                </c:pt>
                <c:pt idx="12">
                  <c:v>EU Bank 2</c:v>
                </c:pt>
                <c:pt idx="13">
                  <c:v>EU Bank 3</c:v>
                </c:pt>
                <c:pt idx="14">
                  <c:v>China Bank 1</c:v>
                </c:pt>
                <c:pt idx="15">
                  <c:v>China Bank 2</c:v>
                </c:pt>
                <c:pt idx="16">
                  <c:v>China Bank 3</c:v>
                </c:pt>
              </c:strCache>
            </c:strRef>
          </c:cat>
          <c:val>
            <c:numRef>
              <c:f>Q1_Calc!$AM$4:$AM$19</c:f>
              <c:numCache>
                <c:formatCode>#,##0_);\(#,##0\)</c:formatCode>
                <c:ptCount val="16"/>
              </c:numCache>
            </c:numRef>
          </c:val>
          <c:extLst>
            <c:ext xmlns:c16="http://schemas.microsoft.com/office/drawing/2014/chart" uri="{C3380CC4-5D6E-409C-BE32-E72D297353CC}">
              <c16:uniqueId val="{00000002-62E1-F749-9F4D-2AFC71033777}"/>
            </c:ext>
          </c:extLst>
        </c:ser>
        <c:ser>
          <c:idx val="3"/>
          <c:order val="3"/>
          <c:tx>
            <c:strRef>
              <c:f>Q1_Calc!$AN$3</c:f>
              <c:strCache>
                <c:ptCount val="1"/>
                <c:pt idx="0">
                  <c:v>2 years</c:v>
                </c:pt>
              </c:strCache>
            </c:strRef>
          </c:tx>
          <c:spPr>
            <a:solidFill>
              <a:schemeClr val="accent4"/>
            </a:solidFill>
            <a:ln>
              <a:noFill/>
            </a:ln>
            <a:effectLst/>
          </c:spPr>
          <c:invertIfNegative val="0"/>
          <c:cat>
            <c:strRef>
              <c:f>Q1_Calc!$AJ$3:$AJ$19</c:f>
              <c:strCache>
                <c:ptCount val="17"/>
                <c:pt idx="1">
                  <c:v>Commercial Paper</c:v>
                </c:pt>
                <c:pt idx="2">
                  <c:v>Supplier Credit</c:v>
                </c:pt>
                <c:pt idx="3">
                  <c:v>Bond Issue</c:v>
                </c:pt>
                <c:pt idx="4">
                  <c:v>Syndicated Bank Loan</c:v>
                </c:pt>
                <c:pt idx="5">
                  <c:v>USA Bank 1</c:v>
                </c:pt>
                <c:pt idx="6">
                  <c:v>USA Bank 2</c:v>
                </c:pt>
                <c:pt idx="7">
                  <c:v>USA Bank 3</c:v>
                </c:pt>
                <c:pt idx="8">
                  <c:v>Canada Bank 1</c:v>
                </c:pt>
                <c:pt idx="9">
                  <c:v>Canada Bank 2</c:v>
                </c:pt>
                <c:pt idx="10">
                  <c:v>Canada Bank 3</c:v>
                </c:pt>
                <c:pt idx="11">
                  <c:v>EU Bank 1</c:v>
                </c:pt>
                <c:pt idx="12">
                  <c:v>EU Bank 2</c:v>
                </c:pt>
                <c:pt idx="13">
                  <c:v>EU Bank 3</c:v>
                </c:pt>
                <c:pt idx="14">
                  <c:v>China Bank 1</c:v>
                </c:pt>
                <c:pt idx="15">
                  <c:v>China Bank 2</c:v>
                </c:pt>
                <c:pt idx="16">
                  <c:v>China Bank 3</c:v>
                </c:pt>
              </c:strCache>
            </c:strRef>
          </c:cat>
          <c:val>
            <c:numRef>
              <c:f>Q1_Calc!$AN$4:$AN$19</c:f>
              <c:numCache>
                <c:formatCode>#,##0_);\(#,##0\)</c:formatCode>
                <c:ptCount val="16"/>
              </c:numCache>
            </c:numRef>
          </c:val>
          <c:extLst>
            <c:ext xmlns:c16="http://schemas.microsoft.com/office/drawing/2014/chart" uri="{C3380CC4-5D6E-409C-BE32-E72D297353CC}">
              <c16:uniqueId val="{00000003-62E1-F749-9F4D-2AFC71033777}"/>
            </c:ext>
          </c:extLst>
        </c:ser>
        <c:ser>
          <c:idx val="4"/>
          <c:order val="4"/>
          <c:tx>
            <c:strRef>
              <c:f>Q1_Calc!$AO$3</c:f>
              <c:strCache>
                <c:ptCount val="1"/>
                <c:pt idx="0">
                  <c:v>5 years</c:v>
                </c:pt>
              </c:strCache>
            </c:strRef>
          </c:tx>
          <c:spPr>
            <a:solidFill>
              <a:schemeClr val="accent5"/>
            </a:solidFill>
            <a:ln>
              <a:noFill/>
            </a:ln>
            <a:effectLst/>
          </c:spPr>
          <c:invertIfNegative val="0"/>
          <c:cat>
            <c:strRef>
              <c:f>Q1_Calc!$AJ$3:$AJ$19</c:f>
              <c:strCache>
                <c:ptCount val="17"/>
                <c:pt idx="1">
                  <c:v>Commercial Paper</c:v>
                </c:pt>
                <c:pt idx="2">
                  <c:v>Supplier Credit</c:v>
                </c:pt>
                <c:pt idx="3">
                  <c:v>Bond Issue</c:v>
                </c:pt>
                <c:pt idx="4">
                  <c:v>Syndicated Bank Loan</c:v>
                </c:pt>
                <c:pt idx="5">
                  <c:v>USA Bank 1</c:v>
                </c:pt>
                <c:pt idx="6">
                  <c:v>USA Bank 2</c:v>
                </c:pt>
                <c:pt idx="7">
                  <c:v>USA Bank 3</c:v>
                </c:pt>
                <c:pt idx="8">
                  <c:v>Canada Bank 1</c:v>
                </c:pt>
                <c:pt idx="9">
                  <c:v>Canada Bank 2</c:v>
                </c:pt>
                <c:pt idx="10">
                  <c:v>Canada Bank 3</c:v>
                </c:pt>
                <c:pt idx="11">
                  <c:v>EU Bank 1</c:v>
                </c:pt>
                <c:pt idx="12">
                  <c:v>EU Bank 2</c:v>
                </c:pt>
                <c:pt idx="13">
                  <c:v>EU Bank 3</c:v>
                </c:pt>
                <c:pt idx="14">
                  <c:v>China Bank 1</c:v>
                </c:pt>
                <c:pt idx="15">
                  <c:v>China Bank 2</c:v>
                </c:pt>
                <c:pt idx="16">
                  <c:v>China Bank 3</c:v>
                </c:pt>
              </c:strCache>
            </c:strRef>
          </c:cat>
          <c:val>
            <c:numRef>
              <c:f>Q1_Calc!$AO$4:$AO$19</c:f>
              <c:numCache>
                <c:formatCode>#,##0_);\(#,##0\)</c:formatCode>
                <c:ptCount val="16"/>
              </c:numCache>
            </c:numRef>
          </c:val>
          <c:extLst>
            <c:ext xmlns:c16="http://schemas.microsoft.com/office/drawing/2014/chart" uri="{C3380CC4-5D6E-409C-BE32-E72D297353CC}">
              <c16:uniqueId val="{00000004-62E1-F749-9F4D-2AFC71033777}"/>
            </c:ext>
          </c:extLst>
        </c:ser>
        <c:ser>
          <c:idx val="5"/>
          <c:order val="5"/>
          <c:tx>
            <c:strRef>
              <c:f>Q1_Calc!$AP$3</c:f>
              <c:strCache>
                <c:ptCount val="1"/>
                <c:pt idx="0">
                  <c:v>&gt;5 years</c:v>
                </c:pt>
              </c:strCache>
            </c:strRef>
          </c:tx>
          <c:spPr>
            <a:solidFill>
              <a:schemeClr val="accent6"/>
            </a:solidFill>
            <a:ln>
              <a:noFill/>
            </a:ln>
            <a:effectLst/>
          </c:spPr>
          <c:invertIfNegative val="0"/>
          <c:cat>
            <c:strRef>
              <c:f>Q1_Calc!$AJ$3:$AJ$19</c:f>
              <c:strCache>
                <c:ptCount val="17"/>
                <c:pt idx="1">
                  <c:v>Commercial Paper</c:v>
                </c:pt>
                <c:pt idx="2">
                  <c:v>Supplier Credit</c:v>
                </c:pt>
                <c:pt idx="3">
                  <c:v>Bond Issue</c:v>
                </c:pt>
                <c:pt idx="4">
                  <c:v>Syndicated Bank Loan</c:v>
                </c:pt>
                <c:pt idx="5">
                  <c:v>USA Bank 1</c:v>
                </c:pt>
                <c:pt idx="6">
                  <c:v>USA Bank 2</c:v>
                </c:pt>
                <c:pt idx="7">
                  <c:v>USA Bank 3</c:v>
                </c:pt>
                <c:pt idx="8">
                  <c:v>Canada Bank 1</c:v>
                </c:pt>
                <c:pt idx="9">
                  <c:v>Canada Bank 2</c:v>
                </c:pt>
                <c:pt idx="10">
                  <c:v>Canada Bank 3</c:v>
                </c:pt>
                <c:pt idx="11">
                  <c:v>EU Bank 1</c:v>
                </c:pt>
                <c:pt idx="12">
                  <c:v>EU Bank 2</c:v>
                </c:pt>
                <c:pt idx="13">
                  <c:v>EU Bank 3</c:v>
                </c:pt>
                <c:pt idx="14">
                  <c:v>China Bank 1</c:v>
                </c:pt>
                <c:pt idx="15">
                  <c:v>China Bank 2</c:v>
                </c:pt>
                <c:pt idx="16">
                  <c:v>China Bank 3</c:v>
                </c:pt>
              </c:strCache>
            </c:strRef>
          </c:cat>
          <c:val>
            <c:numRef>
              <c:f>Q1_Calc!$AP$4:$AP$19</c:f>
              <c:numCache>
                <c:formatCode>#,##0_);\(#,##0\)</c:formatCode>
                <c:ptCount val="16"/>
              </c:numCache>
            </c:numRef>
          </c:val>
          <c:extLst>
            <c:ext xmlns:c16="http://schemas.microsoft.com/office/drawing/2014/chart" uri="{C3380CC4-5D6E-409C-BE32-E72D297353CC}">
              <c16:uniqueId val="{00000005-62E1-F749-9F4D-2AFC71033777}"/>
            </c:ext>
          </c:extLst>
        </c:ser>
        <c:dLbls>
          <c:showLegendKey val="0"/>
          <c:showVal val="0"/>
          <c:showCatName val="0"/>
          <c:showSerName val="0"/>
          <c:showPercent val="0"/>
          <c:showBubbleSize val="0"/>
        </c:dLbls>
        <c:gapWidth val="150"/>
        <c:overlap val="100"/>
        <c:axId val="1338938528"/>
        <c:axId val="1338940176"/>
      </c:barChart>
      <c:catAx>
        <c:axId val="1338938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8940176"/>
        <c:crosses val="autoZero"/>
        <c:auto val="1"/>
        <c:lblAlgn val="ctr"/>
        <c:lblOffset val="100"/>
        <c:noMultiLvlLbl val="0"/>
      </c:catAx>
      <c:valAx>
        <c:axId val="1338940176"/>
        <c:scaling>
          <c:orientation val="minMax"/>
        </c:scaling>
        <c:delete val="0"/>
        <c:axPos val="l"/>
        <c:majorGridlines>
          <c:spPr>
            <a:ln w="9525" cap="flat" cmpd="sng" algn="ctr">
              <a:solidFill>
                <a:schemeClr val="tx1">
                  <a:lumMod val="15000"/>
                  <a:lumOff val="85000"/>
                </a:schemeClr>
              </a:solidFill>
              <a:round/>
            </a:ln>
            <a:effectLst/>
          </c:spPr>
        </c:majorGridlines>
        <c:numFmt formatCode="#,##0_);\(#,##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8938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stacked"/>
        <c:varyColors val="0"/>
        <c:ser>
          <c:idx val="0"/>
          <c:order val="0"/>
          <c:tx>
            <c:v>J. C. Penney Cash and Short-Term Investments</c:v>
          </c:tx>
          <c:spPr>
            <a:solidFill>
              <a:schemeClr val="accent1">
                <a:lumMod val="75000"/>
              </a:schemeClr>
            </a:solidFill>
            <a:ln>
              <a:noFill/>
            </a:ln>
          </c:spPr>
          <c:invertIfNegative val="0"/>
          <c:dLbls>
            <c:dLbl>
              <c:idx val="0"/>
              <c:layout>
                <c:manualLayout>
                  <c:x val="0"/>
                  <c:y val="-0.3704590352574805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07C-794C-9A79-E7E11B1D3B27}"/>
                </c:ext>
              </c:extLst>
            </c:dLbl>
            <c:dLbl>
              <c:idx val="1"/>
              <c:layout>
                <c:manualLayout>
                  <c:x val="1.4964459408903579E-3"/>
                  <c:y val="-0.3161676249180223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07C-794C-9A79-E7E11B1D3B27}"/>
                </c:ext>
              </c:extLst>
            </c:dLbl>
            <c:dLbl>
              <c:idx val="2"/>
              <c:layout>
                <c:manualLayout>
                  <c:x val="1.4964459408903579E-3"/>
                  <c:y val="-0.2746506640702011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07C-794C-9A79-E7E11B1D3B27}"/>
                </c:ext>
              </c:extLst>
            </c:dLbl>
            <c:dLbl>
              <c:idx val="3"/>
              <c:layout>
                <c:manualLayout>
                  <c:x val="1.4964459408903579E-3"/>
                  <c:y val="-0.408782383732392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07C-794C-9A79-E7E11B1D3B27}"/>
                </c:ext>
              </c:extLst>
            </c:dLbl>
            <c:dLbl>
              <c:idx val="4"/>
              <c:layout>
                <c:manualLayout>
                  <c:x val="0"/>
                  <c:y val="-0.2874251135618384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07C-794C-9A79-E7E11B1D3B27}"/>
                </c:ext>
              </c:extLst>
            </c:dLbl>
            <c:dLbl>
              <c:idx val="5"/>
              <c:layout>
                <c:manualLayout>
                  <c:x val="2.9928918817807705E-3"/>
                  <c:y val="-0.2650698269514731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07C-794C-9A79-E7E11B1D3B27}"/>
                </c:ext>
              </c:extLst>
            </c:dLbl>
            <c:dLbl>
              <c:idx val="6"/>
              <c:layout>
                <c:manualLayout>
                  <c:x val="1.4964459408903852E-3"/>
                  <c:y val="-0.1916167423745589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07C-794C-9A79-E7E11B1D3B27}"/>
                </c:ext>
              </c:extLst>
            </c:dLbl>
            <c:dLbl>
              <c:idx val="7"/>
              <c:layout>
                <c:manualLayout>
                  <c:x val="0"/>
                  <c:y val="-0.2459081527140172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07C-794C-9A79-E7E11B1D3B27}"/>
                </c:ext>
              </c:extLst>
            </c:dLbl>
            <c:dLbl>
              <c:idx val="8"/>
              <c:layout>
                <c:manualLayout>
                  <c:x val="0"/>
                  <c:y val="-0.1532933938996471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07C-794C-9A79-E7E11B1D3B27}"/>
                </c:ext>
              </c:extLst>
            </c:dLbl>
            <c:dLbl>
              <c:idx val="9"/>
              <c:layout>
                <c:manualLayout>
                  <c:x val="0"/>
                  <c:y val="-0.1660678433912844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807C-794C-9A79-E7E11B1D3B27}"/>
                </c:ext>
              </c:extLst>
            </c:dLbl>
            <c:dLbl>
              <c:idx val="10"/>
              <c:layout>
                <c:manualLayout>
                  <c:x val="0"/>
                  <c:y val="-0.1085828206789167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807C-794C-9A79-E7E11B1D3B27}"/>
                </c:ext>
              </c:extLst>
            </c:dLbl>
            <c:dLbl>
              <c:idx val="11"/>
              <c:layout>
                <c:manualLayout>
                  <c:x val="0"/>
                  <c:y val="-0.1692614557641937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807C-794C-9A79-E7E11B1D3B27}"/>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2"/>
              <c:pt idx="0">
                <c:v>1Q 2010</c:v>
              </c:pt>
              <c:pt idx="1">
                <c:v>2Q 2010</c:v>
              </c:pt>
              <c:pt idx="2">
                <c:v>3Q 2010</c:v>
              </c:pt>
              <c:pt idx="3">
                <c:v>4Q 2010</c:v>
              </c:pt>
              <c:pt idx="4">
                <c:v>1Q 2011</c:v>
              </c:pt>
              <c:pt idx="5">
                <c:v>2Q 2011</c:v>
              </c:pt>
              <c:pt idx="6">
                <c:v>3Q 2011</c:v>
              </c:pt>
              <c:pt idx="7">
                <c:v>4Q 2011</c:v>
              </c:pt>
              <c:pt idx="8">
                <c:v>1Q 2012</c:v>
              </c:pt>
              <c:pt idx="9">
                <c:v>2Q 2012</c:v>
              </c:pt>
              <c:pt idx="10">
                <c:v>3Q 2012</c:v>
              </c:pt>
              <c:pt idx="11">
                <c:v>4Q 2012</c:v>
              </c:pt>
            </c:strLit>
          </c:cat>
          <c:val>
            <c:numLit>
              <c:formatCode>General</c:formatCode>
              <c:ptCount val="12"/>
              <c:pt idx="0">
                <c:v>2378</c:v>
              </c:pt>
              <c:pt idx="1">
                <c:v>2003</c:v>
              </c:pt>
              <c:pt idx="2">
                <c:v>1666</c:v>
              </c:pt>
              <c:pt idx="3">
                <c:v>2622</c:v>
              </c:pt>
              <c:pt idx="4">
                <c:v>1767</c:v>
              </c:pt>
              <c:pt idx="5">
                <c:v>1551</c:v>
              </c:pt>
              <c:pt idx="6">
                <c:v>1085</c:v>
              </c:pt>
              <c:pt idx="7">
                <c:v>1507</c:v>
              </c:pt>
              <c:pt idx="8">
                <c:v>839</c:v>
              </c:pt>
              <c:pt idx="9">
                <c:v>888</c:v>
              </c:pt>
              <c:pt idx="10">
                <c:v>525</c:v>
              </c:pt>
              <c:pt idx="11">
                <c:v>930</c:v>
              </c:pt>
            </c:numLit>
          </c:val>
          <c:extLst>
            <c:ext xmlns:c16="http://schemas.microsoft.com/office/drawing/2014/chart" uri="{C3380CC4-5D6E-409C-BE32-E72D297353CC}">
              <c16:uniqueId val="{0000000C-807C-794C-9A79-E7E11B1D3B27}"/>
            </c:ext>
          </c:extLst>
        </c:ser>
        <c:dLbls>
          <c:showLegendKey val="0"/>
          <c:showVal val="0"/>
          <c:showCatName val="0"/>
          <c:showSerName val="0"/>
          <c:showPercent val="0"/>
          <c:showBubbleSize val="0"/>
        </c:dLbls>
        <c:gapWidth val="150"/>
        <c:overlap val="100"/>
        <c:axId val="355542752"/>
        <c:axId val="355543536"/>
      </c:barChart>
      <c:catAx>
        <c:axId val="355542752"/>
        <c:scaling>
          <c:orientation val="minMax"/>
        </c:scaling>
        <c:delete val="0"/>
        <c:axPos val="b"/>
        <c:numFmt formatCode="General" sourceLinked="0"/>
        <c:majorTickMark val="out"/>
        <c:minorTickMark val="none"/>
        <c:tickLblPos val="nextTo"/>
        <c:txPr>
          <a:bodyPr rot="2820000"/>
          <a:lstStyle/>
          <a:p>
            <a:pPr>
              <a:defRPr sz="1050"/>
            </a:pPr>
            <a:endParaRPr lang="en-US"/>
          </a:p>
        </c:txPr>
        <c:crossAx val="355543536"/>
        <c:crosses val="autoZero"/>
        <c:auto val="0"/>
        <c:lblAlgn val="ctr"/>
        <c:lblOffset val="100"/>
        <c:noMultiLvlLbl val="0"/>
      </c:catAx>
      <c:valAx>
        <c:axId val="355543536"/>
        <c:scaling>
          <c:orientation val="minMax"/>
        </c:scaling>
        <c:delete val="0"/>
        <c:axPos val="l"/>
        <c:numFmt formatCode="General" sourceLinked="1"/>
        <c:majorTickMark val="out"/>
        <c:minorTickMark val="none"/>
        <c:tickLblPos val="nextTo"/>
        <c:crossAx val="355542752"/>
        <c:crosses val="autoZero"/>
        <c:crossBetween val="between"/>
      </c:valAx>
      <c:spPr>
        <a:noFill/>
        <a:ln w="25400">
          <a:noFill/>
        </a:ln>
      </c:spPr>
    </c:plotArea>
    <c:plotVisOnly val="1"/>
    <c:dispBlanksAs val="gap"/>
    <c:showDLblsOverMax val="0"/>
  </c:chart>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7.jpeg"/><Relationship Id="rId3" Type="http://schemas.openxmlformats.org/officeDocument/2006/relationships/hyperlink" Target="https://youtu.be/F3goSYkVPNE?t=342" TargetMode="External"/><Relationship Id="rId7" Type="http://schemas.openxmlformats.org/officeDocument/2006/relationships/hyperlink" Target="https://www.youtube.com/watch?v=4zakyg3thfY" TargetMode="External"/><Relationship Id="rId2" Type="http://schemas.openxmlformats.org/officeDocument/2006/relationships/image" Target="../media/image4.jpeg"/><Relationship Id="rId1" Type="http://schemas.openxmlformats.org/officeDocument/2006/relationships/hyperlink" Target="https://www.youtube.com/watch?v=-KdanZUZ88g" TargetMode="External"/><Relationship Id="rId6" Type="http://schemas.openxmlformats.org/officeDocument/2006/relationships/image" Target="../media/image6.jpeg"/><Relationship Id="rId5" Type="http://schemas.openxmlformats.org/officeDocument/2006/relationships/hyperlink" Target="https://www.youtube.com/watch?v=6D7KVozqRvk" TargetMode="External"/><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10.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4</xdr:row>
      <xdr:rowOff>63500</xdr:rowOff>
    </xdr:from>
    <xdr:to>
      <xdr:col>6</xdr:col>
      <xdr:colOff>89107</xdr:colOff>
      <xdr:row>18</xdr:row>
      <xdr:rowOff>70029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755650" y="723900"/>
          <a:ext cx="4026107" cy="3473629"/>
        </a:xfrm>
        <a:prstGeom prst="rect">
          <a:avLst/>
        </a:prstGeom>
      </xdr:spPr>
    </xdr:pic>
    <xdr:clientData/>
  </xdr:twoCellAnchor>
  <xdr:twoCellAnchor editAs="oneCell">
    <xdr:from>
      <xdr:col>3</xdr:col>
      <xdr:colOff>260273</xdr:colOff>
      <xdr:row>35</xdr:row>
      <xdr:rowOff>139700</xdr:rowOff>
    </xdr:from>
    <xdr:to>
      <xdr:col>4</xdr:col>
      <xdr:colOff>65795</xdr:colOff>
      <xdr:row>37</xdr:row>
      <xdr:rowOff>215900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2571673" y="8477250"/>
          <a:ext cx="561172" cy="571500"/>
        </a:xfrm>
        <a:prstGeom prst="rect">
          <a:avLst/>
        </a:prstGeom>
      </xdr:spPr>
    </xdr:pic>
    <xdr:clientData/>
  </xdr:twoCellAnchor>
  <xdr:twoCellAnchor editAs="oneCell">
    <xdr:from>
      <xdr:col>3</xdr:col>
      <xdr:colOff>228600</xdr:colOff>
      <xdr:row>49</xdr:row>
      <xdr:rowOff>98132</xdr:rowOff>
    </xdr:from>
    <xdr:to>
      <xdr:col>6</xdr:col>
      <xdr:colOff>381237</xdr:colOff>
      <xdr:row>53</xdr:row>
      <xdr:rowOff>82641</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2540000" y="10169232"/>
          <a:ext cx="2533887" cy="9751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4</xdr:col>
      <xdr:colOff>673101</xdr:colOff>
      <xdr:row>16</xdr:row>
      <xdr:rowOff>276224</xdr:rowOff>
    </xdr:from>
    <xdr:ext cx="3439292" cy="4090091"/>
    <xdr:pic>
      <xdr:nvPicPr>
        <xdr:cNvPr id="2" name="Picture 1" descr="Image result for nick leeson movie rogue trader">
          <a:hlinkClick xmlns:r="http://schemas.openxmlformats.org/officeDocument/2006/relationships" r:id="rId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53501" y="5889624"/>
          <a:ext cx="3439292" cy="4090091"/>
        </a:xfrm>
        <a:prstGeom prst="rect">
          <a:avLst/>
        </a:prstGeom>
        <a:noFill/>
        <a:extLst>
          <a:ext uri="{909E8E84-426E-40dd-AFC4-6F175D3DCCD1}">
            <a14:hiddenFill xmlns:a14="http://schemas.microsoft.com/office/drawing/2010/main" xmlns="">
              <a:solidFill>
                <a:srgbClr val="FFFFFF"/>
              </a:solidFill>
            </a14:hiddenFill>
          </a:ext>
        </a:extLst>
      </xdr:spPr>
    </xdr:pic>
    <xdr:clientData/>
  </xdr:oneCellAnchor>
  <xdr:twoCellAnchor>
    <xdr:from>
      <xdr:col>5</xdr:col>
      <xdr:colOff>485775</xdr:colOff>
      <xdr:row>10</xdr:row>
      <xdr:rowOff>95250</xdr:rowOff>
    </xdr:from>
    <xdr:to>
      <xdr:col>5</xdr:col>
      <xdr:colOff>495301</xdr:colOff>
      <xdr:row>16</xdr:row>
      <xdr:rowOff>123825</xdr:rowOff>
    </xdr:to>
    <xdr:cxnSp macro="">
      <xdr:nvCxnSpPr>
        <xdr:cNvPr id="3" name="Straight Arrow Connector 2">
          <a:extLst>
            <a:ext uri="{FF2B5EF4-FFF2-40B4-BE49-F238E27FC236}">
              <a16:creationId xmlns:a16="http://schemas.microsoft.com/office/drawing/2014/main" id="{00000000-0008-0000-0600-000003000000}"/>
            </a:ext>
          </a:extLst>
        </xdr:cNvPr>
        <xdr:cNvCxnSpPr/>
      </xdr:nvCxnSpPr>
      <xdr:spPr>
        <a:xfrm flipH="1">
          <a:off x="3851275" y="2000250"/>
          <a:ext cx="9526" cy="13620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xdr:col>
      <xdr:colOff>660400</xdr:colOff>
      <xdr:row>16</xdr:row>
      <xdr:rowOff>279401</xdr:rowOff>
    </xdr:from>
    <xdr:ext cx="2805674" cy="4057650"/>
    <xdr:pic>
      <xdr:nvPicPr>
        <xdr:cNvPr id="4" name="Picture 3" descr="Image result for the big short">
          <a:hlinkClick xmlns:r="http://schemas.openxmlformats.org/officeDocument/2006/relationships" r:id="rId3"/>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000500" y="5892801"/>
          <a:ext cx="2805674" cy="4057650"/>
        </a:xfrm>
        <a:prstGeom prst="rect">
          <a:avLst/>
        </a:prstGeom>
        <a:noFill/>
        <a:extLst>
          <a:ext uri="{909E8E84-426E-40dd-AFC4-6F175D3DCCD1}">
            <a14:hiddenFill xmlns:a14="http://schemas.microsoft.com/office/drawing/2010/main" xmlns="">
              <a:solidFill>
                <a:srgbClr val="FFFFFF"/>
              </a:solidFill>
            </a14:hiddenFill>
          </a:ext>
        </a:extLst>
      </xdr:spPr>
    </xdr:pic>
    <xdr:clientData/>
  </xdr:oneCellAnchor>
  <xdr:twoCellAnchor>
    <xdr:from>
      <xdr:col>3</xdr:col>
      <xdr:colOff>76200</xdr:colOff>
      <xdr:row>6</xdr:row>
      <xdr:rowOff>104775</xdr:rowOff>
    </xdr:from>
    <xdr:to>
      <xdr:col>4</xdr:col>
      <xdr:colOff>447676</xdr:colOff>
      <xdr:row>17</xdr:row>
      <xdr:rowOff>9525</xdr:rowOff>
    </xdr:to>
    <xdr:cxnSp macro="">
      <xdr:nvCxnSpPr>
        <xdr:cNvPr id="5" name="Straight Arrow Connector 4">
          <a:extLst>
            <a:ext uri="{FF2B5EF4-FFF2-40B4-BE49-F238E27FC236}">
              <a16:creationId xmlns:a16="http://schemas.microsoft.com/office/drawing/2014/main" id="{00000000-0008-0000-0600-000005000000}"/>
            </a:ext>
          </a:extLst>
        </xdr:cNvPr>
        <xdr:cNvCxnSpPr/>
      </xdr:nvCxnSpPr>
      <xdr:spPr>
        <a:xfrm flipH="1">
          <a:off x="2095500" y="1247775"/>
          <a:ext cx="1044576" cy="219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12700</xdr:colOff>
      <xdr:row>16</xdr:row>
      <xdr:rowOff>304800</xdr:rowOff>
    </xdr:from>
    <xdr:to>
      <xdr:col>2</xdr:col>
      <xdr:colOff>38100</xdr:colOff>
      <xdr:row>29</xdr:row>
      <xdr:rowOff>941</xdr:rowOff>
    </xdr:to>
    <xdr:pic>
      <xdr:nvPicPr>
        <xdr:cNvPr id="6" name="Picture 5" descr="Analysis of the Margin Call movie - SimTrade blogSimTrade blog">
          <a:hlinkClick xmlns:r="http://schemas.openxmlformats.org/officeDocument/2006/relationships" r:id="rId5"/>
          <a:extLst>
            <a:ext uri="{FF2B5EF4-FFF2-40B4-BE49-F238E27FC236}">
              <a16:creationId xmlns:a16="http://schemas.microsoft.com/office/drawing/2014/main" id="{B701B7BC-F057-B843-A0D2-F2A9891A6E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85800" y="5918200"/>
          <a:ext cx="2692400" cy="39887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977900</xdr:colOff>
      <xdr:row>6</xdr:row>
      <xdr:rowOff>215900</xdr:rowOff>
    </xdr:from>
    <xdr:to>
      <xdr:col>2</xdr:col>
      <xdr:colOff>1181100</xdr:colOff>
      <xdr:row>16</xdr:row>
      <xdr:rowOff>238125</xdr:rowOff>
    </xdr:to>
    <xdr:cxnSp macro="">
      <xdr:nvCxnSpPr>
        <xdr:cNvPr id="7" name="Straight Arrow Connector 6">
          <a:extLst>
            <a:ext uri="{FF2B5EF4-FFF2-40B4-BE49-F238E27FC236}">
              <a16:creationId xmlns:a16="http://schemas.microsoft.com/office/drawing/2014/main" id="{E647B6EE-8AA6-8044-86CB-C524110DD751}"/>
            </a:ext>
          </a:extLst>
        </xdr:cNvPr>
        <xdr:cNvCxnSpPr/>
      </xdr:nvCxnSpPr>
      <xdr:spPr>
        <a:xfrm flipH="1">
          <a:off x="1651000" y="2197100"/>
          <a:ext cx="2870200" cy="36544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17</xdr:row>
      <xdr:rowOff>0</xdr:rowOff>
    </xdr:from>
    <xdr:to>
      <xdr:col>10</xdr:col>
      <xdr:colOff>662661</xdr:colOff>
      <xdr:row>29</xdr:row>
      <xdr:rowOff>88900</xdr:rowOff>
    </xdr:to>
    <xdr:pic>
      <xdr:nvPicPr>
        <xdr:cNvPr id="8" name="Picture 7" descr="Boiler Room Poster | Boiler Room Movie Memorabilia">
          <a:hlinkClick xmlns:r="http://schemas.openxmlformats.org/officeDocument/2006/relationships" r:id="rId7"/>
          <a:extLst>
            <a:ext uri="{FF2B5EF4-FFF2-40B4-BE49-F238E27FC236}">
              <a16:creationId xmlns:a16="http://schemas.microsoft.com/office/drawing/2014/main" id="{C176CCCF-E8B9-8647-A7D9-D6293B7A003A}"/>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3423900" y="5613400"/>
          <a:ext cx="2681961" cy="4051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1536700</xdr:colOff>
      <xdr:row>7</xdr:row>
      <xdr:rowOff>241300</xdr:rowOff>
    </xdr:from>
    <xdr:to>
      <xdr:col>8</xdr:col>
      <xdr:colOff>622300</xdr:colOff>
      <xdr:row>16</xdr:row>
      <xdr:rowOff>282575</xdr:rowOff>
    </xdr:to>
    <xdr:cxnSp macro="">
      <xdr:nvCxnSpPr>
        <xdr:cNvPr id="9" name="Straight Arrow Connector 8">
          <a:extLst>
            <a:ext uri="{FF2B5EF4-FFF2-40B4-BE49-F238E27FC236}">
              <a16:creationId xmlns:a16="http://schemas.microsoft.com/office/drawing/2014/main" id="{E8A86FDF-773E-9644-9602-DABAFABAE254}"/>
            </a:ext>
          </a:extLst>
        </xdr:cNvPr>
        <xdr:cNvCxnSpPr/>
      </xdr:nvCxnSpPr>
      <xdr:spPr>
        <a:xfrm>
          <a:off x="4876800" y="2552700"/>
          <a:ext cx="9842500" cy="30130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oneCellAnchor>
    <xdr:from>
      <xdr:col>12</xdr:col>
      <xdr:colOff>17518</xdr:colOff>
      <xdr:row>1</xdr:row>
      <xdr:rowOff>131381</xdr:rowOff>
    </xdr:from>
    <xdr:ext cx="9524243" cy="4195378"/>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07449" y="332829"/>
          <a:ext cx="9524243" cy="4195378"/>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4</xdr:col>
      <xdr:colOff>533400</xdr:colOff>
      <xdr:row>4</xdr:row>
      <xdr:rowOff>63499</xdr:rowOff>
    </xdr:from>
    <xdr:to>
      <xdr:col>7</xdr:col>
      <xdr:colOff>316893</xdr:colOff>
      <xdr:row>23</xdr:row>
      <xdr:rowOff>127000</xdr:rowOff>
    </xdr:to>
    <xdr:pic>
      <xdr:nvPicPr>
        <xdr:cNvPr id="6" name="Picture 5">
          <a:extLst>
            <a:ext uri="{FF2B5EF4-FFF2-40B4-BE49-F238E27FC236}">
              <a16:creationId xmlns:a16="http://schemas.microsoft.com/office/drawing/2014/main" id="{7955C6EB-9A55-7E49-8535-F9E3550090FA}"/>
            </a:ext>
          </a:extLst>
        </xdr:cNvPr>
        <xdr:cNvPicPr>
          <a:picLocks noChangeAspect="1"/>
        </xdr:cNvPicPr>
      </xdr:nvPicPr>
      <xdr:blipFill>
        <a:blip xmlns:r="http://schemas.openxmlformats.org/officeDocument/2006/relationships" r:embed="rId1"/>
        <a:stretch>
          <a:fillRect/>
        </a:stretch>
      </xdr:blipFill>
      <xdr:spPr>
        <a:xfrm>
          <a:off x="3835400" y="1384299"/>
          <a:ext cx="2259993" cy="633730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26</xdr:col>
      <xdr:colOff>723900</xdr:colOff>
      <xdr:row>26</xdr:row>
      <xdr:rowOff>0</xdr:rowOff>
    </xdr:from>
    <xdr:to>
      <xdr:col>33</xdr:col>
      <xdr:colOff>69850</xdr:colOff>
      <xdr:row>40</xdr:row>
      <xdr:rowOff>76200</xdr:rowOff>
    </xdr:to>
    <xdr:graphicFrame macro="">
      <xdr:nvGraphicFramePr>
        <xdr:cNvPr id="2" name="Chart 1">
          <a:extLst>
            <a:ext uri="{FF2B5EF4-FFF2-40B4-BE49-F238E27FC236}">
              <a16:creationId xmlns:a16="http://schemas.microsoft.com/office/drawing/2014/main" id="{F94D0B22-BD83-604C-A921-353A0501B5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12700</xdr:colOff>
      <xdr:row>26</xdr:row>
      <xdr:rowOff>0</xdr:rowOff>
    </xdr:from>
    <xdr:to>
      <xdr:col>42</xdr:col>
      <xdr:colOff>25400</xdr:colOff>
      <xdr:row>40</xdr:row>
      <xdr:rowOff>76200</xdr:rowOff>
    </xdr:to>
    <xdr:graphicFrame macro="">
      <xdr:nvGraphicFramePr>
        <xdr:cNvPr id="3" name="Chart 2">
          <a:extLst>
            <a:ext uri="{FF2B5EF4-FFF2-40B4-BE49-F238E27FC236}">
              <a16:creationId xmlns:a16="http://schemas.microsoft.com/office/drawing/2014/main" id="{707EA261-503B-E644-A5CF-4EC99A7C3E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177800</xdr:colOff>
      <xdr:row>33</xdr:row>
      <xdr:rowOff>152400</xdr:rowOff>
    </xdr:from>
    <xdr:to>
      <xdr:col>15</xdr:col>
      <xdr:colOff>800100</xdr:colOff>
      <xdr:row>40</xdr:row>
      <xdr:rowOff>76200</xdr:rowOff>
    </xdr:to>
    <xdr:sp macro="" textlink="">
      <xdr:nvSpPr>
        <xdr:cNvPr id="4" name="TextBox 3">
          <a:extLst>
            <a:ext uri="{FF2B5EF4-FFF2-40B4-BE49-F238E27FC236}">
              <a16:creationId xmlns:a16="http://schemas.microsoft.com/office/drawing/2014/main" id="{9C0B95B7-3862-D94C-B1A7-55E3C0AADC8E}"/>
            </a:ext>
          </a:extLst>
        </xdr:cNvPr>
        <xdr:cNvSpPr txBox="1"/>
      </xdr:nvSpPr>
      <xdr:spPr>
        <a:xfrm>
          <a:off x="2882900" y="6438900"/>
          <a:ext cx="10464800" cy="1257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7200"/>
            <a:t>Scroll</a:t>
          </a:r>
          <a:r>
            <a:rPr lang="en-US" sz="7200" baseline="0"/>
            <a:t> to the right -&gt;</a:t>
          </a:r>
          <a:endParaRPr lang="en-US" sz="72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xdr:row>
      <xdr:rowOff>333374</xdr:rowOff>
    </xdr:from>
    <xdr:to>
      <xdr:col>17</xdr:col>
      <xdr:colOff>698500</xdr:colOff>
      <xdr:row>26</xdr:row>
      <xdr:rowOff>195566</xdr:rowOff>
    </xdr:to>
    <xdr:pic>
      <xdr:nvPicPr>
        <xdr:cNvPr id="2" name="Picture 1">
          <a:extLst>
            <a:ext uri="{FF2B5EF4-FFF2-40B4-BE49-F238E27FC236}">
              <a16:creationId xmlns:a16="http://schemas.microsoft.com/office/drawing/2014/main" id="{05CFFE39-EFA1-2F4B-B076-5352CE4C12F1}"/>
            </a:ext>
          </a:extLst>
        </xdr:cNvPr>
        <xdr:cNvPicPr>
          <a:picLocks noChangeAspect="1"/>
        </xdr:cNvPicPr>
      </xdr:nvPicPr>
      <xdr:blipFill>
        <a:blip xmlns:r="http://schemas.openxmlformats.org/officeDocument/2006/relationships" r:embed="rId1"/>
        <a:stretch>
          <a:fillRect/>
        </a:stretch>
      </xdr:blipFill>
      <xdr:spPr>
        <a:xfrm>
          <a:off x="825500" y="333374"/>
          <a:ext cx="13906500" cy="8196567"/>
        </a:xfrm>
        <a:prstGeom prst="rect">
          <a:avLst/>
        </a:prstGeom>
      </xdr:spPr>
    </xdr:pic>
    <xdr:clientData/>
  </xdr:twoCellAnchor>
  <xdr:twoCellAnchor>
    <xdr:from>
      <xdr:col>7</xdr:col>
      <xdr:colOff>95250</xdr:colOff>
      <xdr:row>2</xdr:row>
      <xdr:rowOff>79374</xdr:rowOff>
    </xdr:from>
    <xdr:to>
      <xdr:col>8</xdr:col>
      <xdr:colOff>698500</xdr:colOff>
      <xdr:row>24</xdr:row>
      <xdr:rowOff>317499</xdr:rowOff>
    </xdr:to>
    <xdr:sp macro="" textlink="">
      <xdr:nvSpPr>
        <xdr:cNvPr id="3" name="Rectangle 2">
          <a:extLst>
            <a:ext uri="{FF2B5EF4-FFF2-40B4-BE49-F238E27FC236}">
              <a16:creationId xmlns:a16="http://schemas.microsoft.com/office/drawing/2014/main" id="{F758D4D3-1BF7-3941-B877-1A3D12834D5C}"/>
            </a:ext>
          </a:extLst>
        </xdr:cNvPr>
        <xdr:cNvSpPr/>
      </xdr:nvSpPr>
      <xdr:spPr>
        <a:xfrm>
          <a:off x="5873750" y="746124"/>
          <a:ext cx="1428750" cy="7572375"/>
        </a:xfrm>
        <a:prstGeom prst="rect">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7</xdr:row>
      <xdr:rowOff>0</xdr:rowOff>
    </xdr:from>
    <xdr:to>
      <xdr:col>12</xdr:col>
      <xdr:colOff>495300</xdr:colOff>
      <xdr:row>26</xdr:row>
      <xdr:rowOff>176213</xdr:rowOff>
    </xdr:to>
    <xdr:graphicFrame macro="">
      <xdr:nvGraphicFramePr>
        <xdr:cNvPr id="2" name="Chart 1">
          <a:extLst>
            <a:ext uri="{FF2B5EF4-FFF2-40B4-BE49-F238E27FC236}">
              <a16:creationId xmlns:a16="http://schemas.microsoft.com/office/drawing/2014/main" id="{F923EA9C-14BF-4E4D-ADA5-921F01AA25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c:userShapes xmlns:c="http://schemas.openxmlformats.org/drawingml/2006/chart">
  <cdr:absSizeAnchor xmlns:cdr="http://schemas.openxmlformats.org/drawingml/2006/chartDrawing">
    <cdr:from>
      <cdr:x>0.14141</cdr:x>
      <cdr:y>0.11425</cdr:y>
    </cdr:from>
    <cdr:ext cx="6753225" cy="1743074"/>
    <cdr:cxnSp macro="">
      <cdr:nvCxnSpPr>
        <cdr:cNvPr id="3" name="Straight Arrow Connector 2">
          <a:extLst xmlns:a="http://schemas.openxmlformats.org/drawingml/2006/main">
            <a:ext uri="{FF2B5EF4-FFF2-40B4-BE49-F238E27FC236}">
              <a16:creationId xmlns:a16="http://schemas.microsoft.com/office/drawing/2014/main" id="{BC21F9F1-D97D-BC40-8525-7F552FABDF3B}"/>
            </a:ext>
          </a:extLst>
        </cdr:cNvPr>
        <cdr:cNvCxnSpPr/>
      </cdr:nvCxnSpPr>
      <cdr:spPr>
        <a:xfrm xmlns:a="http://schemas.openxmlformats.org/drawingml/2006/main">
          <a:off x="1200151" y="500064"/>
          <a:ext cx="6753225" cy="1743074"/>
        </a:xfrm>
        <a:prstGeom xmlns:a="http://schemas.openxmlformats.org/drawingml/2006/main" prst="straightConnector1">
          <a:avLst/>
        </a:prstGeom>
        <a:ln xmlns:a="http://schemas.openxmlformats.org/drawingml/2006/main" w="63500">
          <a:solidFill>
            <a:schemeClr val="tx1"/>
          </a:solidFill>
          <a:prstDash val="dash"/>
          <a:tailEnd type="triangle"/>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jr2132/Downloads/Class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avidromoff/Google%20Drive/FRM/ClassSet/Class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davidromoff/Google%20Drive/FRM/ClassSet/HW_Temp.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davidromoff/Google%20Drive/FRM/Fall17/FRMClass4.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davidromoff/Google%20Drive/FRM/Fall17/FRMClass3.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davidromoff/Google%20Drive/FRM/ClassSet/FixedIncome.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davidromoff/Google%20Drive/FRM/Fall17/FRMClass6.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dromoff/Desktop/FRM_Class3/FRM_1_VaR.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RMClass9%2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7"/>
      <sheetName val="Summary"/>
      <sheetName val="Loans"/>
      <sheetName val="DelinquencyTransition"/>
      <sheetName val="ExporeInf"/>
      <sheetName val="Spread2PD"/>
      <sheetName val="CDS"/>
      <sheetName val="CreditRiskMitigation"/>
      <sheetName val="Liquidity1"/>
      <sheetName val="Discussion1"/>
      <sheetName val="Discussion2"/>
      <sheetName val="Discussion3"/>
    </sheetNames>
    <sheetDataSet>
      <sheetData sheetId="0"/>
      <sheetData sheetId="1"/>
      <sheetData sheetId="2"/>
      <sheetData sheetId="3"/>
      <sheetData sheetId="4">
        <row r="3">
          <cell r="C3">
            <v>1</v>
          </cell>
          <cell r="D3">
            <v>0</v>
          </cell>
          <cell r="E3">
            <v>0</v>
          </cell>
          <cell r="F3">
            <v>0</v>
          </cell>
          <cell r="G3">
            <v>0</v>
          </cell>
          <cell r="H3">
            <v>0</v>
          </cell>
        </row>
        <row r="4">
          <cell r="C4">
            <v>0.2</v>
          </cell>
          <cell r="D4">
            <v>0.7</v>
          </cell>
          <cell r="E4">
            <v>0.05</v>
          </cell>
          <cell r="F4">
            <v>0.05</v>
          </cell>
          <cell r="G4">
            <v>0</v>
          </cell>
          <cell r="H4">
            <v>0</v>
          </cell>
        </row>
        <row r="5">
          <cell r="C5">
            <v>0.1</v>
          </cell>
          <cell r="D5">
            <v>0.2</v>
          </cell>
          <cell r="E5">
            <v>0.6</v>
          </cell>
          <cell r="F5">
            <v>0.05</v>
          </cell>
          <cell r="G5">
            <v>0.05</v>
          </cell>
          <cell r="H5">
            <v>0</v>
          </cell>
        </row>
        <row r="6">
          <cell r="C6">
            <v>0.1</v>
          </cell>
          <cell r="D6">
            <v>0</v>
          </cell>
          <cell r="E6">
            <v>0</v>
          </cell>
          <cell r="F6">
            <v>0.6</v>
          </cell>
          <cell r="G6">
            <v>0.3</v>
          </cell>
          <cell r="H6">
            <v>0</v>
          </cell>
        </row>
        <row r="7">
          <cell r="C7">
            <v>0.05</v>
          </cell>
          <cell r="D7">
            <v>0</v>
          </cell>
          <cell r="E7">
            <v>0</v>
          </cell>
          <cell r="F7">
            <v>0</v>
          </cell>
          <cell r="G7">
            <v>0.55000000000000004</v>
          </cell>
          <cell r="H7">
            <v>0.4</v>
          </cell>
        </row>
        <row r="8">
          <cell r="C8">
            <v>0</v>
          </cell>
          <cell r="D8">
            <v>0</v>
          </cell>
          <cell r="E8">
            <v>0</v>
          </cell>
          <cell r="F8">
            <v>0</v>
          </cell>
          <cell r="G8">
            <v>0</v>
          </cell>
          <cell r="H8">
            <v>1</v>
          </cell>
        </row>
        <row r="12">
          <cell r="C12">
            <v>1</v>
          </cell>
          <cell r="D12">
            <v>0</v>
          </cell>
          <cell r="E12">
            <v>0</v>
          </cell>
          <cell r="F12">
            <v>0</v>
          </cell>
          <cell r="G12">
            <v>0</v>
          </cell>
          <cell r="H12">
            <v>0</v>
          </cell>
        </row>
        <row r="13">
          <cell r="C13">
            <v>0.67101876562500007</v>
          </cell>
          <cell r="D13">
            <v>0.14815299999999992</v>
          </cell>
          <cell r="E13">
            <v>3.8272000000000007E-2</v>
          </cell>
          <cell r="F13">
            <v>4.4510249999999994E-2</v>
          </cell>
          <cell r="G13">
            <v>4.3085859375E-2</v>
          </cell>
          <cell r="H13">
            <v>5.4960124999999999E-2</v>
          </cell>
        </row>
        <row r="14">
          <cell r="C14">
            <v>0.52224385937499984</v>
          </cell>
          <cell r="D14">
            <v>0.15308799999999997</v>
          </cell>
          <cell r="E14">
            <v>7.1609000000000006E-2</v>
          </cell>
          <cell r="F14">
            <v>5.0748500000000009E-2</v>
          </cell>
          <cell r="G14">
            <v>6.2223765624999997E-2</v>
          </cell>
          <cell r="H14">
            <v>0.140086875</v>
          </cell>
        </row>
        <row r="15">
          <cell r="C15">
            <v>0.30513109374999997</v>
          </cell>
          <cell r="D15">
            <v>0</v>
          </cell>
          <cell r="E15">
            <v>0</v>
          </cell>
          <cell r="F15">
            <v>4.6655999999999996E-2</v>
          </cell>
          <cell r="G15">
            <v>0.11385215625</v>
          </cell>
          <cell r="H15">
            <v>0.53436074999999994</v>
          </cell>
        </row>
        <row r="16">
          <cell r="C16">
            <v>0.10803548437500002</v>
          </cell>
          <cell r="D16">
            <v>0</v>
          </cell>
          <cell r="E16">
            <v>0</v>
          </cell>
          <cell r="F16">
            <v>0</v>
          </cell>
          <cell r="G16">
            <v>2.7680640625000016E-2</v>
          </cell>
          <cell r="H16">
            <v>0.86428387500000015</v>
          </cell>
        </row>
        <row r="17">
          <cell r="C17">
            <v>0</v>
          </cell>
          <cell r="D17">
            <v>0</v>
          </cell>
          <cell r="E17">
            <v>0</v>
          </cell>
          <cell r="F17">
            <v>0</v>
          </cell>
          <cell r="G17">
            <v>0</v>
          </cell>
          <cell r="H17">
            <v>1</v>
          </cell>
        </row>
        <row r="21">
          <cell r="C21">
            <v>1</v>
          </cell>
          <cell r="D21">
            <v>0</v>
          </cell>
          <cell r="E21">
            <v>0</v>
          </cell>
          <cell r="F21">
            <v>0</v>
          </cell>
          <cell r="G21">
            <v>0</v>
          </cell>
          <cell r="H21">
            <v>0</v>
          </cell>
        </row>
        <row r="22">
          <cell r="C22">
            <v>0.84342114600735374</v>
          </cell>
          <cell r="D22">
            <v>1.0352896953204995E-5</v>
          </cell>
          <cell r="E22">
            <v>3.1992182250593712E-6</v>
          </cell>
          <cell r="F22">
            <v>4.1876328384128526E-6</v>
          </cell>
          <cell r="G22">
            <v>6.6857073184685395E-6</v>
          </cell>
          <cell r="H22">
            <v>0.156554428537311</v>
          </cell>
        </row>
        <row r="23">
          <cell r="C23">
            <v>0.72725641449500444</v>
          </cell>
          <cell r="D23">
            <v>1.2796872900237485E-5</v>
          </cell>
          <cell r="E23">
            <v>3.9544605030862563E-6</v>
          </cell>
          <cell r="F23">
            <v>5.1760474517663339E-6</v>
          </cell>
          <cell r="G23">
            <v>8.2632168401722577E-6</v>
          </cell>
          <cell r="H23">
            <v>0.27271339490730012</v>
          </cell>
        </row>
        <row r="24">
          <cell r="C24">
            <v>0.33333333254637681</v>
          </cell>
          <cell r="D24">
            <v>0</v>
          </cell>
          <cell r="E24">
            <v>0</v>
          </cell>
          <cell r="F24">
            <v>8.0204967233062296E-10</v>
          </cell>
          <cell r="G24">
            <v>4.6764599586037787E-9</v>
          </cell>
          <cell r="H24">
            <v>0.66666666197511359</v>
          </cell>
        </row>
        <row r="25">
          <cell r="C25">
            <v>0.11111111110859562</v>
          </cell>
          <cell r="D25">
            <v>0</v>
          </cell>
          <cell r="E25">
            <v>0</v>
          </cell>
          <cell r="F25">
            <v>0</v>
          </cell>
          <cell r="G25">
            <v>2.2639679229993673E-11</v>
          </cell>
          <cell r="H25">
            <v>0.88888888886876494</v>
          </cell>
        </row>
        <row r="26">
          <cell r="C26">
            <v>0</v>
          </cell>
          <cell r="D26">
            <v>0</v>
          </cell>
          <cell r="E26">
            <v>0</v>
          </cell>
          <cell r="F26">
            <v>0</v>
          </cell>
          <cell r="G26">
            <v>0</v>
          </cell>
          <cell r="H26">
            <v>1</v>
          </cell>
        </row>
        <row r="29">
          <cell r="C29">
            <v>10000</v>
          </cell>
          <cell r="D29">
            <v>10000</v>
          </cell>
          <cell r="E29">
            <v>10000</v>
          </cell>
          <cell r="F29">
            <v>10000</v>
          </cell>
          <cell r="G29">
            <v>0</v>
          </cell>
          <cell r="H29">
            <v>0</v>
          </cell>
        </row>
      </sheetData>
      <sheetData sheetId="5">
        <row r="16">
          <cell r="C16">
            <v>8.7526935082926656</v>
          </cell>
        </row>
        <row r="20">
          <cell r="F20">
            <v>0.97530991202833262</v>
          </cell>
        </row>
        <row r="21">
          <cell r="F21">
            <v>0.95122942450071402</v>
          </cell>
        </row>
        <row r="22">
          <cell r="F22">
            <v>0.92774348632855286</v>
          </cell>
        </row>
        <row r="23">
          <cell r="F23">
            <v>0.90483741803595952</v>
          </cell>
        </row>
        <row r="24">
          <cell r="F24">
            <v>0.88249690258459546</v>
          </cell>
        </row>
        <row r="25">
          <cell r="F25">
            <v>0.86070797642505781</v>
          </cell>
        </row>
        <row r="26">
          <cell r="F26">
            <v>0.83945702076920736</v>
          </cell>
        </row>
        <row r="27">
          <cell r="F27">
            <v>0.81873075307798182</v>
          </cell>
        </row>
        <row r="28">
          <cell r="F28">
            <v>0.79851621875937706</v>
          </cell>
        </row>
        <row r="29">
          <cell r="F29">
            <v>0.77880078307140488</v>
          </cell>
        </row>
        <row r="40">
          <cell r="B40">
            <v>0.5</v>
          </cell>
          <cell r="C40">
            <v>106.72870921346704</v>
          </cell>
          <cell r="D40">
            <v>40</v>
          </cell>
          <cell r="E40">
            <v>66.728709213467042</v>
          </cell>
          <cell r="F40">
            <v>0.97530991202833262</v>
          </cell>
        </row>
        <row r="41">
          <cell r="B41">
            <v>1.5</v>
          </cell>
          <cell r="C41">
            <v>105.97104849893799</v>
          </cell>
          <cell r="D41">
            <v>40</v>
          </cell>
          <cell r="E41">
            <v>65.971048498937989</v>
          </cell>
          <cell r="F41">
            <v>0.92774348632855286</v>
          </cell>
        </row>
        <row r="42">
          <cell r="B42">
            <v>2.5</v>
          </cell>
          <cell r="C42">
            <v>105.17454168889401</v>
          </cell>
          <cell r="D42">
            <v>40</v>
          </cell>
          <cell r="E42">
            <v>65.17454168889401</v>
          </cell>
          <cell r="F42">
            <v>0.88249690258459546</v>
          </cell>
        </row>
        <row r="43">
          <cell r="B43">
            <v>3.5</v>
          </cell>
          <cell r="C43">
            <v>104.33719710142807</v>
          </cell>
          <cell r="D43">
            <v>40</v>
          </cell>
          <cell r="E43">
            <v>64.337197101428075</v>
          </cell>
          <cell r="F43">
            <v>0.83945702076920736</v>
          </cell>
        </row>
        <row r="44">
          <cell r="B44">
            <v>4.5</v>
          </cell>
          <cell r="C44">
            <v>103.45692093891826</v>
          </cell>
          <cell r="D44">
            <v>40</v>
          </cell>
          <cell r="E44">
            <v>63.456920938918259</v>
          </cell>
          <cell r="F44">
            <v>0.79851621875937706</v>
          </cell>
        </row>
        <row r="45">
          <cell r="G45">
            <v>288.4814055773889</v>
          </cell>
        </row>
      </sheetData>
      <sheetData sheetId="6">
        <row r="7">
          <cell r="B7">
            <v>0.02</v>
          </cell>
          <cell r="C7">
            <v>0.05</v>
          </cell>
        </row>
        <row r="11">
          <cell r="B11">
            <v>1</v>
          </cell>
          <cell r="C11">
            <v>0.98019867330675525</v>
          </cell>
          <cell r="E11">
            <v>0.95122942450071402</v>
          </cell>
        </row>
        <row r="12">
          <cell r="B12">
            <v>2</v>
          </cell>
          <cell r="C12">
            <v>0.96078943915232318</v>
          </cell>
          <cell r="E12">
            <v>0.90483741803595952</v>
          </cell>
        </row>
        <row r="13">
          <cell r="B13">
            <v>3</v>
          </cell>
          <cell r="C13">
            <v>0.94176453358424872</v>
          </cell>
          <cell r="E13">
            <v>0.86070797642505781</v>
          </cell>
        </row>
        <row r="14">
          <cell r="B14">
            <v>4</v>
          </cell>
          <cell r="C14">
            <v>0.92311634638663576</v>
          </cell>
          <cell r="E14">
            <v>0.81873075307798182</v>
          </cell>
        </row>
        <row r="15">
          <cell r="B15">
            <v>5</v>
          </cell>
          <cell r="C15">
            <v>0.90483741803595952</v>
          </cell>
          <cell r="E15">
            <v>0.77880078307140488</v>
          </cell>
        </row>
        <row r="21">
          <cell r="B21">
            <v>0.5</v>
          </cell>
          <cell r="C21">
            <v>1.9801326693244747E-2</v>
          </cell>
          <cell r="D21">
            <v>0.4</v>
          </cell>
          <cell r="E21">
            <v>1.1880796015946849E-2</v>
          </cell>
          <cell r="F21">
            <v>0.97530991202833262</v>
          </cell>
          <cell r="I21">
            <v>9.9006633466223737E-3</v>
          </cell>
          <cell r="J21">
            <v>9.6562150976164038E-3</v>
          </cell>
        </row>
        <row r="22">
          <cell r="B22">
            <v>1.5</v>
          </cell>
          <cell r="C22">
            <v>1.9409234154432076E-2</v>
          </cell>
          <cell r="D22">
            <v>0.4</v>
          </cell>
          <cell r="E22">
            <v>1.1645540492659244E-2</v>
          </cell>
          <cell r="F22">
            <v>0.92774348632855286</v>
          </cell>
          <cell r="I22">
            <v>9.7046170772160378E-3</v>
          </cell>
          <cell r="J22">
            <v>9.0033952807000179E-3</v>
          </cell>
        </row>
        <row r="23">
          <cell r="B23">
            <v>2.5</v>
          </cell>
          <cell r="C23">
            <v>1.9024905568074457E-2</v>
          </cell>
          <cell r="D23">
            <v>0.4</v>
          </cell>
          <cell r="E23">
            <v>1.1414943340844674E-2</v>
          </cell>
          <cell r="F23">
            <v>0.88249690258459546</v>
          </cell>
          <cell r="I23">
            <v>9.5124527840372286E-3</v>
          </cell>
          <cell r="J23">
            <v>8.3947101178950666E-3</v>
          </cell>
        </row>
        <row r="24">
          <cell r="B24">
            <v>3.5</v>
          </cell>
          <cell r="C24">
            <v>1.8648187197612964E-2</v>
          </cell>
          <cell r="D24">
            <v>0.4</v>
          </cell>
          <cell r="E24">
            <v>1.1188912318567779E-2</v>
          </cell>
          <cell r="F24">
            <v>0.83945702076920736</v>
          </cell>
          <cell r="I24">
            <v>9.3240935988064821E-3</v>
          </cell>
          <cell r="J24">
            <v>7.8271758338273271E-3</v>
          </cell>
        </row>
        <row r="25">
          <cell r="B25">
            <v>4.5</v>
          </cell>
          <cell r="C25">
            <v>1.8278928350676238E-2</v>
          </cell>
          <cell r="D25">
            <v>0.4</v>
          </cell>
          <cell r="E25">
            <v>1.0967357010405743E-2</v>
          </cell>
          <cell r="F25">
            <v>0.79851621875937706</v>
          </cell>
          <cell r="I25">
            <v>9.1394641753381189E-3</v>
          </cell>
          <cell r="J25">
            <v>7.2980103747777832E-3</v>
          </cell>
        </row>
      </sheetData>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Intro1"/>
      <sheetName val="Day1"/>
      <sheetName val="Day2"/>
      <sheetName val="Themes"/>
      <sheetName val="Excel"/>
      <sheetName val="C0"/>
      <sheetName val="C1"/>
      <sheetName val="VaR0"/>
      <sheetName val="VaR1"/>
      <sheetName val="Class6"/>
    </sheetNames>
    <sheetDataSet>
      <sheetData sheetId="0" refreshError="1"/>
      <sheetData sheetId="1" refreshError="1"/>
      <sheetData sheetId="2" refreshError="1"/>
      <sheetData sheetId="3" refreshError="1"/>
      <sheetData sheetId="4" refreshError="1"/>
      <sheetData sheetId="5">
        <row r="10">
          <cell r="C10">
            <v>0.30509841009160843</v>
          </cell>
        </row>
      </sheetData>
      <sheetData sheetId="6" refreshError="1"/>
      <sheetData sheetId="7" refreshError="1"/>
      <sheetData sheetId="8"/>
      <sheetData sheetId="9">
        <row r="17">
          <cell r="H17">
            <v>-0.1166666666666667</v>
          </cell>
        </row>
      </sheetData>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tionsHW"/>
      <sheetName val="fxHW"/>
      <sheetName val="VaR_HW_Q1"/>
      <sheetName val="VaR_HW_Q2"/>
      <sheetName val="VaR_HW_2.4"/>
      <sheetName val="VaR_HW_1"/>
      <sheetName val="VaR_HW_2"/>
      <sheetName val="HW6"/>
      <sheetName val="Date0"/>
      <sheetName val="Date1"/>
      <sheetName val="Date2"/>
      <sheetName val="Date0Check1"/>
      <sheetName val="Date0Check2"/>
      <sheetName val="4.2"/>
      <sheetName val="4.3"/>
      <sheetName val="4.4"/>
      <sheetName val="Excel"/>
      <sheetName val="VaR0"/>
    </sheetNames>
    <sheetDataSet>
      <sheetData sheetId="0">
        <row r="2">
          <cell r="C2">
            <v>67</v>
          </cell>
        </row>
        <row r="3">
          <cell r="C3">
            <v>72</v>
          </cell>
        </row>
        <row r="12">
          <cell r="C12">
            <v>0.38595880367242197</v>
          </cell>
          <cell r="D12">
            <v>0.58659004994372632</v>
          </cell>
          <cell r="E12">
            <v>0.37550388277557334</v>
          </cell>
        </row>
        <row r="13">
          <cell r="C13">
            <v>0.3121138317415072</v>
          </cell>
          <cell r="D13">
            <v>0.5111143422154043</v>
          </cell>
          <cell r="E13">
            <v>0.18107379394568301</v>
          </cell>
        </row>
        <row r="14">
          <cell r="C14">
            <v>0.61404119632757803</v>
          </cell>
          <cell r="D14">
            <v>0.41340995005627368</v>
          </cell>
          <cell r="E14">
            <v>0.62449611722442666</v>
          </cell>
        </row>
        <row r="15">
          <cell r="C15">
            <v>0.6878861682584928</v>
          </cell>
          <cell r="D15">
            <v>0.48888565778459575</v>
          </cell>
          <cell r="E15">
            <v>0.81892620605431699</v>
          </cell>
        </row>
        <row r="17">
          <cell r="C17">
            <v>65.837699789559906</v>
          </cell>
          <cell r="D17">
            <v>775</v>
          </cell>
          <cell r="E17">
            <v>237</v>
          </cell>
        </row>
        <row r="18">
          <cell r="C18">
            <v>71.176742801849741</v>
          </cell>
          <cell r="D18">
            <v>756.96607190143357</v>
          </cell>
          <cell r="E18">
            <v>341.35846920991639</v>
          </cell>
        </row>
        <row r="20">
          <cell r="C20">
            <v>3.1953939205575459</v>
          </cell>
          <cell r="D20">
            <v>67.711072787108264</v>
          </cell>
          <cell r="E20">
            <v>27.183347102480703</v>
          </cell>
        </row>
        <row r="25">
          <cell r="C25">
            <v>3000000</v>
          </cell>
          <cell r="D25">
            <v>1000000</v>
          </cell>
          <cell r="E25">
            <v>5000000</v>
          </cell>
        </row>
        <row r="26">
          <cell r="C26">
            <v>44776.119402985074</v>
          </cell>
          <cell r="D26">
            <v>1290.3225806451612</v>
          </cell>
          <cell r="E26">
            <v>21097.04641350211</v>
          </cell>
        </row>
      </sheetData>
      <sheetData sheetId="1">
        <row r="3">
          <cell r="F3">
            <v>1.385</v>
          </cell>
          <cell r="G3">
            <v>121.9</v>
          </cell>
          <cell r="H3">
            <v>18.899999999999999</v>
          </cell>
        </row>
        <row r="4">
          <cell r="F4">
            <v>1.15E-2</v>
          </cell>
          <cell r="G4">
            <v>-7.0000000000000001E-3</v>
          </cell>
          <cell r="H4">
            <v>-1.2999999999999999E-3</v>
          </cell>
        </row>
        <row r="5">
          <cell r="F5">
            <v>5.0000000000000001E-3</v>
          </cell>
          <cell r="G5">
            <v>1.1000000000000001E-3</v>
          </cell>
          <cell r="H5">
            <v>3.85E-2</v>
          </cell>
        </row>
      </sheetData>
      <sheetData sheetId="2"/>
      <sheetData sheetId="3"/>
      <sheetData sheetId="4"/>
      <sheetData sheetId="5">
        <row r="6">
          <cell r="C6">
            <v>1.0699999999999999E-2</v>
          </cell>
        </row>
      </sheetData>
      <sheetData sheetId="6"/>
      <sheetData sheetId="7"/>
      <sheetData sheetId="8"/>
      <sheetData sheetId="9"/>
      <sheetData sheetId="10"/>
      <sheetData sheetId="11">
        <row r="4">
          <cell r="H4">
            <v>24</v>
          </cell>
        </row>
      </sheetData>
      <sheetData sheetId="12">
        <row r="4">
          <cell r="E4">
            <v>5.0000000000000001E-3</v>
          </cell>
        </row>
      </sheetData>
      <sheetData sheetId="13"/>
      <sheetData sheetId="14"/>
      <sheetData sheetId="15"/>
      <sheetData sheetId="16" refreshError="1"/>
      <sheetData sheetId="1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4"/>
      <sheetName val="Options0"/>
      <sheetName val="Options1"/>
      <sheetName val="Options2"/>
      <sheetName val="Futures"/>
      <sheetName val="Swaps"/>
      <sheetName val="OptimalHedging"/>
      <sheetName val="QuizBank4"/>
      <sheetName val="O_Material"/>
      <sheetName val="O_Discussion"/>
    </sheetNames>
    <sheetDataSet>
      <sheetData sheetId="0"/>
      <sheetData sheetId="1"/>
      <sheetData sheetId="2"/>
      <sheetData sheetId="3">
        <row r="6">
          <cell r="C6">
            <v>2.1837080457267475</v>
          </cell>
        </row>
        <row r="7">
          <cell r="C7">
            <v>-0.18370804572674748</v>
          </cell>
        </row>
      </sheetData>
      <sheetData sheetId="4"/>
      <sheetData sheetId="5"/>
      <sheetData sheetId="6"/>
      <sheetData sheetId="7"/>
      <sheetData sheetId="8"/>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3"/>
      <sheetName val="Objectives3"/>
      <sheetName val="FX_Intro"/>
      <sheetName val="CoveredInterestParity"/>
      <sheetName val="FXQuotation"/>
      <sheetName val="QuizBank"/>
      <sheetName val="Homework"/>
      <sheetName val="O_Material"/>
      <sheetName val="O_Discussion"/>
    </sheetNames>
    <sheetDataSet>
      <sheetData sheetId="0"/>
      <sheetData sheetId="1"/>
      <sheetData sheetId="2">
        <row r="65">
          <cell r="C65">
            <v>2</v>
          </cell>
        </row>
        <row r="66">
          <cell r="C66">
            <v>0.08</v>
          </cell>
        </row>
        <row r="67">
          <cell r="C67">
            <v>0.04</v>
          </cell>
        </row>
        <row r="68">
          <cell r="C68">
            <v>2.0769230769230771</v>
          </cell>
        </row>
      </sheetData>
      <sheetData sheetId="3"/>
      <sheetData sheetId="4"/>
      <sheetData sheetId="5"/>
      <sheetData sheetId="6"/>
      <sheetData sheetId="7"/>
      <sheetData sheetId="8"/>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p"/>
      <sheetName val="Bond"/>
      <sheetName val="InstallmentLoan"/>
      <sheetName val="Duration"/>
      <sheetName val="Dur2"/>
      <sheetName val="Dur3"/>
      <sheetName val="Curve0"/>
      <sheetName val="Remember"/>
      <sheetName val="Bond2"/>
      <sheetName val="Bond3"/>
      <sheetName val="FX_Intro"/>
    </sheetNames>
    <sheetDataSet>
      <sheetData sheetId="0"/>
      <sheetData sheetId="1">
        <row r="4">
          <cell r="C4">
            <v>2000000</v>
          </cell>
        </row>
        <row r="6">
          <cell r="C6">
            <v>2</v>
          </cell>
          <cell r="F6">
            <v>14</v>
          </cell>
        </row>
        <row r="7">
          <cell r="C7">
            <v>7</v>
          </cell>
        </row>
        <row r="8">
          <cell r="C8">
            <v>2.5000000000000001E-2</v>
          </cell>
        </row>
        <row r="12">
          <cell r="E12">
            <v>35000</v>
          </cell>
        </row>
        <row r="13">
          <cell r="E13">
            <v>35000</v>
          </cell>
        </row>
        <row r="14">
          <cell r="E14">
            <v>35000</v>
          </cell>
        </row>
        <row r="15">
          <cell r="E15">
            <v>35000</v>
          </cell>
        </row>
        <row r="16">
          <cell r="E16">
            <v>35000</v>
          </cell>
        </row>
        <row r="17">
          <cell r="E17">
            <v>35000</v>
          </cell>
        </row>
        <row r="18">
          <cell r="E18">
            <v>35000</v>
          </cell>
        </row>
        <row r="19">
          <cell r="E19">
            <v>35000</v>
          </cell>
        </row>
        <row r="20">
          <cell r="E20">
            <v>35000</v>
          </cell>
        </row>
        <row r="21">
          <cell r="E21">
            <v>35000</v>
          </cell>
        </row>
        <row r="22">
          <cell r="E22">
            <v>35000</v>
          </cell>
        </row>
        <row r="23">
          <cell r="E23">
            <v>35000</v>
          </cell>
        </row>
        <row r="24">
          <cell r="E24">
            <v>35000</v>
          </cell>
        </row>
        <row r="25">
          <cell r="E25">
            <v>2035000</v>
          </cell>
        </row>
      </sheetData>
      <sheetData sheetId="2">
        <row r="3">
          <cell r="F3">
            <v>10.837769560171987</v>
          </cell>
        </row>
      </sheetData>
      <sheetData sheetId="3"/>
      <sheetData sheetId="4">
        <row r="12">
          <cell r="G12">
            <v>0.98760555034319286</v>
          </cell>
          <cell r="I12">
            <v>2126382.9183726022</v>
          </cell>
        </row>
        <row r="13">
          <cell r="G13">
            <v>0.97536472306868083</v>
          </cell>
        </row>
        <row r="14">
          <cell r="G14">
            <v>0.96327561411158036</v>
          </cell>
        </row>
        <row r="15">
          <cell r="G15">
            <v>0.95133634300684455</v>
          </cell>
        </row>
        <row r="16">
          <cell r="G16">
            <v>0.93954505259675514</v>
          </cell>
        </row>
        <row r="17">
          <cell r="G17">
            <v>0.92789990874204242</v>
          </cell>
        </row>
        <row r="18">
          <cell r="G18">
            <v>0.9163991000365832</v>
          </cell>
        </row>
        <row r="19">
          <cell r="G19">
            <v>0.90504083752563647</v>
          </cell>
        </row>
        <row r="20">
          <cell r="G20">
            <v>0.89382335442757033</v>
          </cell>
        </row>
        <row r="21">
          <cell r="G21">
            <v>0.88274490585903931</v>
          </cell>
        </row>
        <row r="22">
          <cell r="G22">
            <v>0.87180376856356656</v>
          </cell>
        </row>
        <row r="23">
          <cell r="G23">
            <v>0.86099824064349073</v>
          </cell>
        </row>
        <row r="24">
          <cell r="G24">
            <v>0.85032664129523539</v>
          </cell>
        </row>
        <row r="25">
          <cell r="G25">
            <v>0.83978731054785982</v>
          </cell>
        </row>
      </sheetData>
      <sheetData sheetId="5"/>
      <sheetData sheetId="6">
        <row r="26">
          <cell r="E26">
            <v>1200.2040073638184</v>
          </cell>
        </row>
      </sheetData>
      <sheetData sheetId="7"/>
      <sheetData sheetId="8"/>
      <sheetData sheetId="9"/>
      <sheetData sheetId="1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N"/>
      <sheetName val="CreditMatrix"/>
      <sheetName val="CreditMatrix_Weighted"/>
      <sheetName val="CreditMatrix_Loss"/>
      <sheetName val="MertonModel"/>
      <sheetName val="Homework"/>
      <sheetName val="QuizBank"/>
      <sheetName val="O_Material"/>
      <sheetName val="O_Discussion"/>
    </sheetNames>
    <sheetDataSet>
      <sheetData sheetId="0"/>
      <sheetData sheetId="1">
        <row r="2">
          <cell r="B2">
            <v>0</v>
          </cell>
          <cell r="C2" t="str">
            <v>A</v>
          </cell>
        </row>
        <row r="3">
          <cell r="B3">
            <v>0.2</v>
          </cell>
          <cell r="C3" t="str">
            <v>B</v>
          </cell>
        </row>
        <row r="4">
          <cell r="B4">
            <v>0.4</v>
          </cell>
          <cell r="C4" t="str">
            <v>C</v>
          </cell>
        </row>
        <row r="5">
          <cell r="B5">
            <v>0.6</v>
          </cell>
          <cell r="C5" t="str">
            <v>D</v>
          </cell>
        </row>
        <row r="6">
          <cell r="B6">
            <v>0.8</v>
          </cell>
          <cell r="C6" t="str">
            <v>E</v>
          </cell>
        </row>
        <row r="7">
          <cell r="B7">
            <v>1</v>
          </cell>
          <cell r="C7" t="str">
            <v>F</v>
          </cell>
        </row>
        <row r="10">
          <cell r="D10" t="str">
            <v>C</v>
          </cell>
          <cell r="E10" t="str">
            <v>C</v>
          </cell>
        </row>
        <row r="11">
          <cell r="D11" t="str">
            <v>B</v>
          </cell>
          <cell r="E11" t="str">
            <v>C</v>
          </cell>
        </row>
        <row r="12">
          <cell r="D12" t="str">
            <v>A</v>
          </cell>
          <cell r="E12" t="str">
            <v>C</v>
          </cell>
        </row>
        <row r="13">
          <cell r="D13" t="str">
            <v>D</v>
          </cell>
          <cell r="E13" t="str">
            <v>E</v>
          </cell>
        </row>
        <row r="14">
          <cell r="D14" t="str">
            <v>A</v>
          </cell>
          <cell r="E14" t="str">
            <v>A</v>
          </cell>
        </row>
        <row r="15">
          <cell r="D15" t="str">
            <v>B</v>
          </cell>
          <cell r="E15" t="str">
            <v>B</v>
          </cell>
        </row>
        <row r="16">
          <cell r="D16" t="str">
            <v>B</v>
          </cell>
          <cell r="E16" t="str">
            <v>D</v>
          </cell>
        </row>
        <row r="17">
          <cell r="D17" t="str">
            <v>A</v>
          </cell>
          <cell r="E17" t="str">
            <v>A</v>
          </cell>
        </row>
        <row r="18">
          <cell r="D18" t="str">
            <v>C</v>
          </cell>
          <cell r="E18" t="str">
            <v>E</v>
          </cell>
        </row>
        <row r="19">
          <cell r="D19" t="str">
            <v>D</v>
          </cell>
          <cell r="E19" t="str">
            <v>E</v>
          </cell>
        </row>
        <row r="20">
          <cell r="D20" t="str">
            <v>B</v>
          </cell>
          <cell r="E20" t="str">
            <v>A</v>
          </cell>
        </row>
        <row r="21">
          <cell r="D21" t="str">
            <v>B</v>
          </cell>
          <cell r="E21" t="str">
            <v>B</v>
          </cell>
        </row>
        <row r="22">
          <cell r="D22" t="str">
            <v>D</v>
          </cell>
          <cell r="E22" t="str">
            <v>E</v>
          </cell>
        </row>
        <row r="23">
          <cell r="D23" t="str">
            <v>C</v>
          </cell>
          <cell r="E23" t="str">
            <v>D</v>
          </cell>
        </row>
        <row r="24">
          <cell r="D24" t="str">
            <v>D</v>
          </cell>
          <cell r="E24" t="str">
            <v>D</v>
          </cell>
        </row>
        <row r="25">
          <cell r="D25" t="str">
            <v>A</v>
          </cell>
          <cell r="E25" t="str">
            <v>B</v>
          </cell>
        </row>
        <row r="26">
          <cell r="D26" t="str">
            <v>B</v>
          </cell>
          <cell r="E26" t="str">
            <v>A</v>
          </cell>
        </row>
        <row r="27">
          <cell r="D27" t="str">
            <v>E</v>
          </cell>
          <cell r="E27" t="str">
            <v>F</v>
          </cell>
        </row>
        <row r="28">
          <cell r="D28" t="str">
            <v>A</v>
          </cell>
          <cell r="E28" t="str">
            <v>A</v>
          </cell>
        </row>
        <row r="29">
          <cell r="D29" t="str">
            <v>A</v>
          </cell>
          <cell r="E29" t="str">
            <v>A</v>
          </cell>
        </row>
        <row r="30">
          <cell r="D30" t="str">
            <v>E</v>
          </cell>
          <cell r="E30" t="str">
            <v>F</v>
          </cell>
        </row>
        <row r="31">
          <cell r="D31" t="str">
            <v>B</v>
          </cell>
          <cell r="E31" t="str">
            <v>C</v>
          </cell>
        </row>
        <row r="32">
          <cell r="D32" t="str">
            <v>B</v>
          </cell>
          <cell r="E32" t="str">
            <v>D</v>
          </cell>
        </row>
        <row r="33">
          <cell r="D33" t="str">
            <v>C</v>
          </cell>
          <cell r="E33" t="str">
            <v>C</v>
          </cell>
        </row>
        <row r="34">
          <cell r="D34" t="str">
            <v>A</v>
          </cell>
          <cell r="E34" t="str">
            <v>A</v>
          </cell>
        </row>
        <row r="35">
          <cell r="D35" t="str">
            <v>E</v>
          </cell>
          <cell r="E35" t="str">
            <v>D</v>
          </cell>
        </row>
        <row r="36">
          <cell r="D36" t="str">
            <v>C</v>
          </cell>
          <cell r="E36" t="str">
            <v>E</v>
          </cell>
        </row>
        <row r="37">
          <cell r="D37" t="str">
            <v>C</v>
          </cell>
          <cell r="E37" t="str">
            <v>C</v>
          </cell>
        </row>
        <row r="38">
          <cell r="D38" t="str">
            <v>E</v>
          </cell>
          <cell r="E38" t="str">
            <v>E</v>
          </cell>
        </row>
        <row r="39">
          <cell r="D39" t="str">
            <v>A</v>
          </cell>
          <cell r="E39" t="str">
            <v>C</v>
          </cell>
        </row>
        <row r="40">
          <cell r="D40" t="str">
            <v>B</v>
          </cell>
          <cell r="E40" t="str">
            <v>B</v>
          </cell>
        </row>
        <row r="41">
          <cell r="D41" t="str">
            <v>B</v>
          </cell>
          <cell r="E41" t="str">
            <v>C</v>
          </cell>
        </row>
        <row r="42">
          <cell r="D42" t="str">
            <v>D</v>
          </cell>
          <cell r="E42" t="str">
            <v>E</v>
          </cell>
        </row>
        <row r="43">
          <cell r="D43" t="str">
            <v>C</v>
          </cell>
          <cell r="E43" t="str">
            <v>D</v>
          </cell>
        </row>
        <row r="44">
          <cell r="D44" t="str">
            <v>C</v>
          </cell>
          <cell r="E44" t="str">
            <v>B</v>
          </cell>
        </row>
        <row r="45">
          <cell r="D45" t="str">
            <v>A</v>
          </cell>
          <cell r="E45" t="str">
            <v>A</v>
          </cell>
        </row>
        <row r="46">
          <cell r="D46" t="str">
            <v>D</v>
          </cell>
          <cell r="E46" t="str">
            <v>F</v>
          </cell>
        </row>
        <row r="47">
          <cell r="D47" t="str">
            <v>D</v>
          </cell>
          <cell r="E47" t="str">
            <v>E</v>
          </cell>
        </row>
        <row r="48">
          <cell r="D48" t="str">
            <v>D</v>
          </cell>
          <cell r="E48" t="str">
            <v>F</v>
          </cell>
        </row>
        <row r="49">
          <cell r="D49" t="str">
            <v>B</v>
          </cell>
          <cell r="E49" t="str">
            <v>C</v>
          </cell>
        </row>
        <row r="50">
          <cell r="D50" t="str">
            <v>E</v>
          </cell>
          <cell r="E50" t="str">
            <v>F</v>
          </cell>
        </row>
        <row r="51">
          <cell r="D51" t="str">
            <v>E</v>
          </cell>
          <cell r="E51" t="str">
            <v>E</v>
          </cell>
        </row>
        <row r="52">
          <cell r="D52" t="str">
            <v>D</v>
          </cell>
          <cell r="E52" t="str">
            <v>C</v>
          </cell>
        </row>
        <row r="53">
          <cell r="D53" t="str">
            <v>B</v>
          </cell>
          <cell r="E53" t="str">
            <v>A</v>
          </cell>
        </row>
        <row r="54">
          <cell r="D54" t="str">
            <v>B</v>
          </cell>
          <cell r="E54" t="str">
            <v>C</v>
          </cell>
        </row>
        <row r="55">
          <cell r="D55" t="str">
            <v>D</v>
          </cell>
          <cell r="E55" t="str">
            <v>F</v>
          </cell>
        </row>
        <row r="56">
          <cell r="D56" t="str">
            <v>C</v>
          </cell>
          <cell r="E56" t="str">
            <v>D</v>
          </cell>
        </row>
        <row r="57">
          <cell r="D57" t="str">
            <v>B</v>
          </cell>
          <cell r="E57" t="str">
            <v>C</v>
          </cell>
        </row>
        <row r="58">
          <cell r="D58" t="str">
            <v>E</v>
          </cell>
          <cell r="E58" t="str">
            <v>D</v>
          </cell>
        </row>
        <row r="59">
          <cell r="D59" t="str">
            <v>A</v>
          </cell>
          <cell r="E59" t="str">
            <v>B</v>
          </cell>
        </row>
        <row r="60">
          <cell r="D60" t="str">
            <v>D</v>
          </cell>
          <cell r="E60" t="str">
            <v>D</v>
          </cell>
        </row>
        <row r="61">
          <cell r="D61" t="str">
            <v>D</v>
          </cell>
          <cell r="E61" t="str">
            <v>D</v>
          </cell>
        </row>
        <row r="62">
          <cell r="D62" t="str">
            <v>E</v>
          </cell>
          <cell r="E62" t="str">
            <v>F</v>
          </cell>
        </row>
        <row r="63">
          <cell r="D63" t="str">
            <v>A</v>
          </cell>
          <cell r="E63" t="str">
            <v>A</v>
          </cell>
        </row>
        <row r="64">
          <cell r="D64" t="str">
            <v>B</v>
          </cell>
          <cell r="E64" t="str">
            <v>B</v>
          </cell>
        </row>
        <row r="65">
          <cell r="D65" t="str">
            <v>B</v>
          </cell>
          <cell r="E65" t="str">
            <v>B</v>
          </cell>
        </row>
        <row r="66">
          <cell r="D66" t="str">
            <v>B</v>
          </cell>
          <cell r="E66" t="str">
            <v>D</v>
          </cell>
        </row>
        <row r="67">
          <cell r="D67" t="str">
            <v>B</v>
          </cell>
          <cell r="E67" t="str">
            <v>D</v>
          </cell>
        </row>
        <row r="68">
          <cell r="D68" t="str">
            <v>E</v>
          </cell>
          <cell r="E68" t="str">
            <v>F</v>
          </cell>
        </row>
        <row r="69">
          <cell r="D69" t="str">
            <v>E</v>
          </cell>
          <cell r="E69" t="str">
            <v>F</v>
          </cell>
        </row>
        <row r="70">
          <cell r="D70" t="str">
            <v>C</v>
          </cell>
          <cell r="E70" t="str">
            <v>D</v>
          </cell>
        </row>
        <row r="71">
          <cell r="D71" t="str">
            <v>D</v>
          </cell>
          <cell r="E71" t="str">
            <v>C</v>
          </cell>
        </row>
        <row r="72">
          <cell r="D72" t="str">
            <v>E</v>
          </cell>
          <cell r="E72" t="str">
            <v>F</v>
          </cell>
        </row>
        <row r="73">
          <cell r="D73" t="str">
            <v>B</v>
          </cell>
          <cell r="E73" t="str">
            <v>D</v>
          </cell>
        </row>
        <row r="74">
          <cell r="D74" t="str">
            <v>B</v>
          </cell>
          <cell r="E74" t="str">
            <v>C</v>
          </cell>
        </row>
        <row r="75">
          <cell r="D75" t="str">
            <v>B</v>
          </cell>
          <cell r="E75" t="str">
            <v>B</v>
          </cell>
        </row>
        <row r="76">
          <cell r="D76" t="str">
            <v>C</v>
          </cell>
          <cell r="E76" t="str">
            <v>E</v>
          </cell>
        </row>
        <row r="77">
          <cell r="D77" t="str">
            <v>A</v>
          </cell>
          <cell r="E77" t="str">
            <v>C</v>
          </cell>
        </row>
        <row r="78">
          <cell r="D78" t="str">
            <v>C</v>
          </cell>
          <cell r="E78" t="str">
            <v>E</v>
          </cell>
        </row>
        <row r="79">
          <cell r="D79" t="str">
            <v>D</v>
          </cell>
          <cell r="E79" t="str">
            <v>D</v>
          </cell>
        </row>
        <row r="80">
          <cell r="D80" t="str">
            <v>A</v>
          </cell>
          <cell r="E80" t="str">
            <v>B</v>
          </cell>
        </row>
        <row r="81">
          <cell r="D81" t="str">
            <v>B</v>
          </cell>
          <cell r="E81" t="str">
            <v>C</v>
          </cell>
        </row>
        <row r="82">
          <cell r="D82" t="str">
            <v>B</v>
          </cell>
          <cell r="E82" t="str">
            <v>B</v>
          </cell>
        </row>
        <row r="83">
          <cell r="D83" t="str">
            <v>D</v>
          </cell>
          <cell r="E83" t="str">
            <v>E</v>
          </cell>
        </row>
        <row r="84">
          <cell r="D84" t="str">
            <v>E</v>
          </cell>
          <cell r="E84" t="str">
            <v>F</v>
          </cell>
        </row>
        <row r="85">
          <cell r="D85" t="str">
            <v>C</v>
          </cell>
          <cell r="E85" t="str">
            <v>C</v>
          </cell>
        </row>
        <row r="86">
          <cell r="D86" t="str">
            <v>C</v>
          </cell>
          <cell r="E86" t="str">
            <v>D</v>
          </cell>
        </row>
        <row r="87">
          <cell r="D87" t="str">
            <v>D</v>
          </cell>
          <cell r="E87" t="str">
            <v>E</v>
          </cell>
        </row>
        <row r="88">
          <cell r="D88" t="str">
            <v>A</v>
          </cell>
          <cell r="E88" t="str">
            <v>C</v>
          </cell>
        </row>
        <row r="89">
          <cell r="D89" t="str">
            <v>A</v>
          </cell>
          <cell r="E89" t="str">
            <v>A</v>
          </cell>
        </row>
        <row r="90">
          <cell r="D90" t="str">
            <v>A</v>
          </cell>
          <cell r="E90" t="str">
            <v>B</v>
          </cell>
        </row>
        <row r="91">
          <cell r="D91" t="str">
            <v>B</v>
          </cell>
          <cell r="E91" t="str">
            <v>C</v>
          </cell>
        </row>
        <row r="92">
          <cell r="D92" t="str">
            <v>E</v>
          </cell>
          <cell r="E92" t="str">
            <v>F</v>
          </cell>
        </row>
        <row r="93">
          <cell r="D93" t="str">
            <v>A</v>
          </cell>
          <cell r="E93" t="str">
            <v>B</v>
          </cell>
        </row>
        <row r="94">
          <cell r="D94" t="str">
            <v>C</v>
          </cell>
          <cell r="E94" t="str">
            <v>C</v>
          </cell>
        </row>
        <row r="95">
          <cell r="D95" t="str">
            <v>B</v>
          </cell>
          <cell r="E95" t="str">
            <v>C</v>
          </cell>
        </row>
        <row r="96">
          <cell r="D96" t="str">
            <v>A</v>
          </cell>
          <cell r="E96" t="str">
            <v>B</v>
          </cell>
        </row>
        <row r="97">
          <cell r="D97" t="str">
            <v>D</v>
          </cell>
          <cell r="E97" t="str">
            <v>F</v>
          </cell>
        </row>
        <row r="98">
          <cell r="D98" t="str">
            <v>A</v>
          </cell>
          <cell r="E98" t="str">
            <v>B</v>
          </cell>
        </row>
        <row r="99">
          <cell r="D99" t="str">
            <v>A</v>
          </cell>
          <cell r="E99" t="str">
            <v>C</v>
          </cell>
        </row>
        <row r="100">
          <cell r="D100" t="str">
            <v>D</v>
          </cell>
          <cell r="E100" t="str">
            <v>E</v>
          </cell>
        </row>
        <row r="101">
          <cell r="D101" t="str">
            <v>C</v>
          </cell>
          <cell r="E101" t="str">
            <v>D</v>
          </cell>
        </row>
        <row r="102">
          <cell r="D102" t="str">
            <v>E</v>
          </cell>
          <cell r="E102" t="str">
            <v>E</v>
          </cell>
        </row>
        <row r="103">
          <cell r="D103" t="str">
            <v>A</v>
          </cell>
          <cell r="E103" t="str">
            <v>A</v>
          </cell>
        </row>
        <row r="104">
          <cell r="D104" t="str">
            <v>C</v>
          </cell>
          <cell r="E104" t="str">
            <v>B</v>
          </cell>
        </row>
        <row r="105">
          <cell r="D105" t="str">
            <v>B</v>
          </cell>
          <cell r="E105" t="str">
            <v>C</v>
          </cell>
        </row>
        <row r="106">
          <cell r="D106" t="str">
            <v>E</v>
          </cell>
          <cell r="E106" t="str">
            <v>F</v>
          </cell>
        </row>
        <row r="107">
          <cell r="D107" t="str">
            <v>C</v>
          </cell>
          <cell r="E107" t="str">
            <v>D</v>
          </cell>
        </row>
        <row r="108">
          <cell r="D108" t="str">
            <v>B</v>
          </cell>
          <cell r="E108" t="str">
            <v>A</v>
          </cell>
        </row>
        <row r="109">
          <cell r="D109" t="str">
            <v>A</v>
          </cell>
          <cell r="E109" t="str">
            <v>A</v>
          </cell>
        </row>
      </sheetData>
      <sheetData sheetId="2">
        <row r="10">
          <cell r="F10">
            <v>33</v>
          </cell>
        </row>
        <row r="11">
          <cell r="F11">
            <v>72</v>
          </cell>
        </row>
        <row r="12">
          <cell r="F12">
            <v>80</v>
          </cell>
        </row>
        <row r="13">
          <cell r="F13">
            <v>100</v>
          </cell>
        </row>
        <row r="14">
          <cell r="F14">
            <v>85</v>
          </cell>
        </row>
        <row r="15">
          <cell r="F15">
            <v>74</v>
          </cell>
        </row>
        <row r="16">
          <cell r="F16">
            <v>20</v>
          </cell>
        </row>
        <row r="17">
          <cell r="F17">
            <v>66</v>
          </cell>
        </row>
        <row r="18">
          <cell r="F18">
            <v>45</v>
          </cell>
        </row>
        <row r="19">
          <cell r="F19">
            <v>99</v>
          </cell>
        </row>
        <row r="20">
          <cell r="F20">
            <v>54</v>
          </cell>
        </row>
        <row r="21">
          <cell r="F21">
            <v>37</v>
          </cell>
        </row>
        <row r="22">
          <cell r="F22">
            <v>29</v>
          </cell>
        </row>
        <row r="23">
          <cell r="F23">
            <v>71</v>
          </cell>
        </row>
        <row r="24">
          <cell r="F24">
            <v>30</v>
          </cell>
        </row>
        <row r="25">
          <cell r="F25">
            <v>39</v>
          </cell>
        </row>
        <row r="26">
          <cell r="F26">
            <v>44</v>
          </cell>
        </row>
        <row r="27">
          <cell r="F27">
            <v>31</v>
          </cell>
        </row>
        <row r="28">
          <cell r="F28">
            <v>61</v>
          </cell>
        </row>
        <row r="29">
          <cell r="F29">
            <v>44</v>
          </cell>
        </row>
        <row r="30">
          <cell r="F30">
            <v>25</v>
          </cell>
        </row>
        <row r="31">
          <cell r="F31">
            <v>33</v>
          </cell>
        </row>
        <row r="32">
          <cell r="F32">
            <v>87</v>
          </cell>
        </row>
        <row r="33">
          <cell r="F33">
            <v>68</v>
          </cell>
        </row>
        <row r="34">
          <cell r="F34">
            <v>81</v>
          </cell>
        </row>
        <row r="35">
          <cell r="F35">
            <v>69</v>
          </cell>
        </row>
        <row r="36">
          <cell r="F36">
            <v>22</v>
          </cell>
        </row>
        <row r="37">
          <cell r="F37">
            <v>54</v>
          </cell>
        </row>
        <row r="38">
          <cell r="F38">
            <v>71</v>
          </cell>
        </row>
        <row r="39">
          <cell r="F39">
            <v>61</v>
          </cell>
        </row>
        <row r="40">
          <cell r="F40">
            <v>46</v>
          </cell>
        </row>
        <row r="41">
          <cell r="F41">
            <v>98</v>
          </cell>
        </row>
        <row r="42">
          <cell r="F42">
            <v>62</v>
          </cell>
        </row>
        <row r="43">
          <cell r="F43">
            <v>47</v>
          </cell>
        </row>
        <row r="44">
          <cell r="F44">
            <v>49</v>
          </cell>
        </row>
        <row r="45">
          <cell r="F45">
            <v>91</v>
          </cell>
        </row>
        <row r="46">
          <cell r="F46">
            <v>88</v>
          </cell>
        </row>
        <row r="47">
          <cell r="F47">
            <v>23</v>
          </cell>
        </row>
        <row r="48">
          <cell r="F48">
            <v>92</v>
          </cell>
        </row>
        <row r="49">
          <cell r="F49">
            <v>48</v>
          </cell>
        </row>
        <row r="50">
          <cell r="F50">
            <v>47</v>
          </cell>
        </row>
        <row r="51">
          <cell r="F51">
            <v>64</v>
          </cell>
        </row>
        <row r="52">
          <cell r="F52">
            <v>22</v>
          </cell>
        </row>
        <row r="53">
          <cell r="F53">
            <v>81</v>
          </cell>
        </row>
        <row r="54">
          <cell r="F54">
            <v>28</v>
          </cell>
        </row>
        <row r="55">
          <cell r="F55">
            <v>70</v>
          </cell>
        </row>
        <row r="56">
          <cell r="F56">
            <v>58</v>
          </cell>
        </row>
        <row r="57">
          <cell r="F57">
            <v>32</v>
          </cell>
        </row>
        <row r="58">
          <cell r="F58">
            <v>92</v>
          </cell>
        </row>
        <row r="59">
          <cell r="F59">
            <v>67</v>
          </cell>
        </row>
        <row r="60">
          <cell r="F60">
            <v>52</v>
          </cell>
        </row>
        <row r="61">
          <cell r="F61">
            <v>67</v>
          </cell>
        </row>
        <row r="62">
          <cell r="F62">
            <v>98</v>
          </cell>
        </row>
        <row r="63">
          <cell r="F63">
            <v>23</v>
          </cell>
        </row>
        <row r="64">
          <cell r="F64">
            <v>81</v>
          </cell>
        </row>
        <row r="65">
          <cell r="F65">
            <v>58</v>
          </cell>
        </row>
        <row r="66">
          <cell r="F66">
            <v>97</v>
          </cell>
        </row>
        <row r="67">
          <cell r="F67">
            <v>96</v>
          </cell>
        </row>
        <row r="68">
          <cell r="F68">
            <v>30</v>
          </cell>
        </row>
        <row r="69">
          <cell r="F69">
            <v>72</v>
          </cell>
        </row>
        <row r="70">
          <cell r="F70">
            <v>76</v>
          </cell>
        </row>
        <row r="71">
          <cell r="F71">
            <v>27</v>
          </cell>
        </row>
        <row r="72">
          <cell r="F72">
            <v>66</v>
          </cell>
        </row>
        <row r="73">
          <cell r="F73">
            <v>63</v>
          </cell>
        </row>
        <row r="74">
          <cell r="F74">
            <v>95</v>
          </cell>
        </row>
        <row r="75">
          <cell r="F75">
            <v>71</v>
          </cell>
        </row>
        <row r="76">
          <cell r="F76">
            <v>49</v>
          </cell>
        </row>
        <row r="77">
          <cell r="F77">
            <v>54</v>
          </cell>
        </row>
        <row r="78">
          <cell r="F78">
            <v>35</v>
          </cell>
        </row>
        <row r="79">
          <cell r="F79">
            <v>79</v>
          </cell>
        </row>
        <row r="80">
          <cell r="F80">
            <v>29</v>
          </cell>
        </row>
        <row r="81">
          <cell r="F81">
            <v>47</v>
          </cell>
        </row>
        <row r="82">
          <cell r="F82">
            <v>71</v>
          </cell>
        </row>
        <row r="83">
          <cell r="F83">
            <v>44</v>
          </cell>
        </row>
        <row r="84">
          <cell r="F84">
            <v>68</v>
          </cell>
        </row>
        <row r="85">
          <cell r="F85">
            <v>99</v>
          </cell>
        </row>
        <row r="86">
          <cell r="F86">
            <v>85</v>
          </cell>
        </row>
        <row r="87">
          <cell r="F87">
            <v>89</v>
          </cell>
        </row>
        <row r="88">
          <cell r="F88">
            <v>95</v>
          </cell>
        </row>
        <row r="89">
          <cell r="F89">
            <v>93</v>
          </cell>
        </row>
        <row r="90">
          <cell r="F90">
            <v>63</v>
          </cell>
        </row>
        <row r="91">
          <cell r="F91">
            <v>53</v>
          </cell>
        </row>
        <row r="92">
          <cell r="F92">
            <v>50</v>
          </cell>
        </row>
        <row r="93">
          <cell r="F93">
            <v>32</v>
          </cell>
        </row>
        <row r="94">
          <cell r="F94">
            <v>66</v>
          </cell>
        </row>
        <row r="95">
          <cell r="F95">
            <v>68</v>
          </cell>
        </row>
        <row r="96">
          <cell r="F96">
            <v>35</v>
          </cell>
        </row>
        <row r="97">
          <cell r="F97">
            <v>31</v>
          </cell>
        </row>
        <row r="98">
          <cell r="F98">
            <v>64</v>
          </cell>
        </row>
        <row r="99">
          <cell r="F99">
            <v>43</v>
          </cell>
        </row>
        <row r="100">
          <cell r="F100">
            <v>39</v>
          </cell>
        </row>
        <row r="101">
          <cell r="F101">
            <v>44</v>
          </cell>
        </row>
        <row r="102">
          <cell r="F102">
            <v>33</v>
          </cell>
        </row>
        <row r="103">
          <cell r="F103">
            <v>93</v>
          </cell>
        </row>
        <row r="104">
          <cell r="F104">
            <v>62</v>
          </cell>
        </row>
        <row r="105">
          <cell r="F105">
            <v>43</v>
          </cell>
        </row>
        <row r="106">
          <cell r="F106">
            <v>37</v>
          </cell>
        </row>
        <row r="107">
          <cell r="F107">
            <v>47</v>
          </cell>
        </row>
        <row r="108">
          <cell r="F108">
            <v>28</v>
          </cell>
        </row>
        <row r="109">
          <cell r="F109">
            <v>75</v>
          </cell>
        </row>
      </sheetData>
      <sheetData sheetId="3"/>
      <sheetData sheetId="4"/>
      <sheetData sheetId="5"/>
      <sheetData sheetId="6"/>
      <sheetData sheetId="7"/>
      <sheetData sheetId="8"/>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R1"/>
    </sheetNames>
    <sheetDataSet>
      <sheetData sheetId="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9"/>
      <sheetName val="LiquidiyRiskManagement"/>
      <sheetName val="Definition"/>
      <sheetName val="Basel III"/>
      <sheetName val="Basel III LCR"/>
      <sheetName val="Basel III NSFR"/>
      <sheetName val="Basel III NSFR Example"/>
      <sheetName val="Laddering"/>
      <sheetName val="Matz_Ch4"/>
      <sheetName val="Matz_Ch4_TextExample"/>
      <sheetName val="Q1_FundingMix"/>
      <sheetName val="Q1_FundingMixCalcs"/>
      <sheetName val="Q2_FundingMix4Bank"/>
      <sheetName val="Q2_FundingMix4BankCalcs"/>
      <sheetName val="LCR"/>
      <sheetName val="LCR_Calc"/>
      <sheetName val="NSFR"/>
      <sheetName val="ASF"/>
      <sheetName val="RS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ow r="31">
          <cell r="C31">
            <v>1</v>
          </cell>
          <cell r="D31" t="str">
            <v>Amount</v>
          </cell>
        </row>
        <row r="32">
          <cell r="C32">
            <v>2</v>
          </cell>
          <cell r="D32" t="str">
            <v>of</v>
          </cell>
        </row>
        <row r="33">
          <cell r="C33">
            <v>3</v>
          </cell>
          <cell r="D33" t="str">
            <v>Stable</v>
          </cell>
        </row>
        <row r="34">
          <cell r="C34">
            <v>4</v>
          </cell>
          <cell r="D34" t="str">
            <v>Funding</v>
          </cell>
        </row>
      </sheetData>
      <sheetData sheetId="1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s://en.wikipedia.org/wiki/Laddering"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D18"/>
  <sheetViews>
    <sheetView tabSelected="1" workbookViewId="0"/>
  </sheetViews>
  <sheetFormatPr baseColWidth="10" defaultColWidth="10.83203125" defaultRowHeight="29"/>
  <cols>
    <col min="1" max="16384" width="10.83203125" style="32"/>
  </cols>
  <sheetData>
    <row r="1" spans="2:4" s="10" customFormat="1" ht="26"/>
    <row r="2" spans="2:4" s="10" customFormat="1" ht="26">
      <c r="B2" s="10" t="s">
        <v>69</v>
      </c>
    </row>
    <row r="3" spans="2:4">
      <c r="C3" s="32" t="s">
        <v>311</v>
      </c>
    </row>
    <row r="4" spans="2:4">
      <c r="C4" s="32" t="s">
        <v>312</v>
      </c>
    </row>
    <row r="6" spans="2:4">
      <c r="B6" s="32" t="s">
        <v>321</v>
      </c>
    </row>
    <row r="7" spans="2:4">
      <c r="C7" s="32" t="s">
        <v>70</v>
      </c>
    </row>
    <row r="8" spans="2:4">
      <c r="C8" s="32" t="s">
        <v>71</v>
      </c>
    </row>
    <row r="9" spans="2:4">
      <c r="C9" s="32" t="s">
        <v>79</v>
      </c>
    </row>
    <row r="10" spans="2:4">
      <c r="C10" s="32" t="s">
        <v>72</v>
      </c>
    </row>
    <row r="11" spans="2:4">
      <c r="C11" s="32" t="s">
        <v>322</v>
      </c>
    </row>
    <row r="12" spans="2:4">
      <c r="D12" s="32" t="s">
        <v>74</v>
      </c>
    </row>
    <row r="14" spans="2:4">
      <c r="B14" s="32" t="s">
        <v>540</v>
      </c>
    </row>
    <row r="16" spans="2:4">
      <c r="B16" s="32" t="s">
        <v>84</v>
      </c>
    </row>
    <row r="18" spans="2:2">
      <c r="B18" s="32" t="s">
        <v>73</v>
      </c>
    </row>
  </sheetData>
  <pageMargins left="0.7" right="0.7" top="0.75" bottom="0.75" header="0.3" footer="0.3"/>
  <pageSetup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3:K30"/>
  <sheetViews>
    <sheetView workbookViewId="0"/>
  </sheetViews>
  <sheetFormatPr baseColWidth="10" defaultColWidth="10.83203125" defaultRowHeight="26"/>
  <cols>
    <col min="1" max="1" width="10.83203125" style="33"/>
    <col min="2" max="2" width="11.5" style="33" bestFit="1" customWidth="1"/>
    <col min="3" max="5" width="10.83203125" style="33"/>
    <col min="6" max="6" width="12.5" style="33" bestFit="1" customWidth="1"/>
    <col min="7" max="7" width="10.83203125" style="33"/>
    <col min="8" max="8" width="19" style="33" bestFit="1" customWidth="1"/>
    <col min="9" max="9" width="13.6640625" style="33" bestFit="1" customWidth="1"/>
    <col min="10" max="10" width="13.6640625" style="33" customWidth="1"/>
    <col min="11" max="16384" width="10.83203125" style="33"/>
  </cols>
  <sheetData>
    <row r="3" spans="2:11">
      <c r="B3" s="27" t="s">
        <v>228</v>
      </c>
    </row>
    <row r="4" spans="2:11">
      <c r="B4" s="27" t="s">
        <v>229</v>
      </c>
    </row>
    <row r="5" spans="2:11">
      <c r="B5" s="27"/>
    </row>
    <row r="6" spans="2:11">
      <c r="B6" s="33" t="s">
        <v>230</v>
      </c>
    </row>
    <row r="7" spans="2:11" s="302" customFormat="1">
      <c r="B7" s="33" t="s">
        <v>231</v>
      </c>
      <c r="H7" s="303"/>
      <c r="I7" s="303"/>
      <c r="J7" s="303"/>
      <c r="K7" s="303"/>
    </row>
    <row r="8" spans="2:11">
      <c r="B8" s="33" t="s">
        <v>232</v>
      </c>
      <c r="C8" s="304"/>
      <c r="D8" s="304"/>
      <c r="E8" s="304"/>
      <c r="F8" s="305"/>
      <c r="G8" s="306"/>
      <c r="H8" s="304"/>
      <c r="I8" s="307"/>
      <c r="J8" s="308"/>
    </row>
    <row r="9" spans="2:11">
      <c r="B9" s="33" t="s">
        <v>233</v>
      </c>
      <c r="C9" s="304"/>
      <c r="D9" s="304"/>
      <c r="E9" s="304"/>
      <c r="F9" s="305"/>
      <c r="G9" s="306"/>
      <c r="H9" s="304"/>
      <c r="I9" s="307"/>
      <c r="J9" s="308"/>
    </row>
    <row r="10" spans="2:11">
      <c r="B10" s="309"/>
      <c r="C10" s="304"/>
      <c r="D10" s="304"/>
      <c r="E10" s="304"/>
      <c r="F10" s="305"/>
      <c r="G10" s="306"/>
      <c r="H10" s="304"/>
      <c r="I10" s="307"/>
      <c r="J10" s="308"/>
    </row>
    <row r="11" spans="2:11">
      <c r="B11" s="309"/>
      <c r="C11" s="304"/>
      <c r="D11" s="304"/>
      <c r="E11" s="304"/>
      <c r="F11" s="305"/>
      <c r="G11" s="306"/>
      <c r="H11" s="304"/>
      <c r="I11" s="307"/>
      <c r="J11" s="308"/>
    </row>
    <row r="12" spans="2:11">
      <c r="B12" s="309"/>
      <c r="C12" s="304"/>
      <c r="D12" s="304"/>
      <c r="E12" s="304"/>
      <c r="F12" s="305"/>
      <c r="G12" s="306"/>
      <c r="H12" s="304"/>
      <c r="I12" s="307"/>
      <c r="J12" s="308"/>
    </row>
    <row r="13" spans="2:11">
      <c r="B13" s="309"/>
      <c r="C13" s="304"/>
      <c r="D13" s="304"/>
      <c r="E13" s="304"/>
      <c r="F13" s="305"/>
      <c r="G13" s="306"/>
      <c r="H13" s="304"/>
      <c r="I13" s="307"/>
      <c r="J13" s="308"/>
    </row>
    <row r="14" spans="2:11">
      <c r="B14" s="309"/>
      <c r="C14" s="304"/>
      <c r="D14" s="304"/>
      <c r="E14" s="304"/>
      <c r="F14" s="305"/>
      <c r="G14" s="306"/>
      <c r="H14" s="304"/>
      <c r="I14" s="307"/>
      <c r="J14" s="308"/>
    </row>
    <row r="15" spans="2:11">
      <c r="B15" s="309"/>
      <c r="C15" s="304"/>
      <c r="D15" s="304"/>
      <c r="E15" s="304"/>
      <c r="F15" s="305"/>
      <c r="G15" s="306"/>
      <c r="H15" s="304"/>
      <c r="I15" s="307"/>
      <c r="J15" s="308"/>
    </row>
    <row r="16" spans="2:11">
      <c r="B16" s="309"/>
      <c r="C16" s="304"/>
      <c r="D16" s="304"/>
      <c r="E16" s="304"/>
      <c r="F16" s="305"/>
      <c r="G16" s="306"/>
      <c r="H16" s="304"/>
      <c r="I16" s="307"/>
      <c r="J16" s="308"/>
    </row>
    <row r="17" spans="2:10">
      <c r="B17" s="309"/>
      <c r="C17" s="304"/>
      <c r="D17" s="304"/>
      <c r="E17" s="304"/>
      <c r="F17" s="305"/>
      <c r="G17" s="306"/>
      <c r="H17" s="304"/>
      <c r="I17" s="307"/>
      <c r="J17" s="308"/>
    </row>
    <row r="18" spans="2:10">
      <c r="B18" s="309"/>
      <c r="C18" s="304"/>
      <c r="D18" s="304"/>
      <c r="E18" s="304"/>
      <c r="F18" s="305"/>
      <c r="G18" s="306"/>
      <c r="H18" s="304"/>
      <c r="I18" s="307"/>
      <c r="J18" s="308"/>
    </row>
    <row r="19" spans="2:10">
      <c r="B19" s="309"/>
      <c r="C19" s="304"/>
      <c r="D19" s="304"/>
      <c r="E19" s="304"/>
      <c r="F19" s="305"/>
      <c r="G19" s="306"/>
      <c r="H19" s="304"/>
      <c r="I19" s="307"/>
      <c r="J19" s="308"/>
    </row>
    <row r="20" spans="2:10">
      <c r="B20" s="309"/>
      <c r="C20" s="304"/>
      <c r="D20" s="304"/>
      <c r="E20" s="304"/>
      <c r="F20" s="305"/>
      <c r="G20" s="306"/>
      <c r="H20" s="304"/>
      <c r="I20" s="307"/>
      <c r="J20" s="308"/>
    </row>
    <row r="21" spans="2:10">
      <c r="B21" s="309"/>
      <c r="C21" s="304"/>
      <c r="D21" s="304"/>
      <c r="E21" s="304"/>
      <c r="F21" s="305"/>
      <c r="G21" s="306"/>
      <c r="H21" s="304"/>
      <c r="I21" s="307"/>
      <c r="J21" s="308"/>
    </row>
    <row r="22" spans="2:10">
      <c r="B22" s="309"/>
      <c r="C22" s="304"/>
      <c r="D22" s="304"/>
      <c r="E22" s="304"/>
      <c r="F22" s="305"/>
      <c r="G22" s="306"/>
      <c r="H22" s="304"/>
      <c r="I22" s="307"/>
      <c r="J22" s="308"/>
    </row>
    <row r="23" spans="2:10">
      <c r="B23" s="309"/>
      <c r="C23" s="304"/>
      <c r="D23" s="304"/>
      <c r="E23" s="304"/>
      <c r="F23" s="305"/>
      <c r="G23" s="306"/>
      <c r="H23" s="304"/>
      <c r="I23" s="307"/>
      <c r="J23" s="308"/>
    </row>
    <row r="24" spans="2:10">
      <c r="B24" s="309"/>
      <c r="C24" s="310"/>
      <c r="D24" s="304"/>
      <c r="E24" s="304"/>
      <c r="F24" s="305"/>
      <c r="G24" s="306"/>
      <c r="H24" s="304"/>
      <c r="I24" s="307"/>
      <c r="J24" s="308"/>
    </row>
    <row r="25" spans="2:10">
      <c r="J25" s="308"/>
    </row>
    <row r="26" spans="2:10">
      <c r="G26" s="311"/>
      <c r="J26" s="308"/>
    </row>
    <row r="27" spans="2:10">
      <c r="G27" s="311"/>
    </row>
    <row r="30" spans="2:10">
      <c r="G30" s="312"/>
      <c r="H30" s="313"/>
    </row>
  </sheetData>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B1:K58"/>
  <sheetViews>
    <sheetView workbookViewId="0"/>
  </sheetViews>
  <sheetFormatPr baseColWidth="10" defaultColWidth="10.83203125" defaultRowHeight="20"/>
  <cols>
    <col min="1" max="1" width="10.83203125" style="146"/>
    <col min="2" max="2" width="11.5" style="142" bestFit="1" customWidth="1"/>
    <col min="3" max="5" width="10.83203125" style="146"/>
    <col min="6" max="6" width="12.5" style="146" bestFit="1" customWidth="1"/>
    <col min="7" max="7" width="10.83203125" style="146"/>
    <col min="8" max="8" width="19" style="146" bestFit="1" customWidth="1"/>
    <col min="9" max="9" width="13.6640625" style="146" bestFit="1" customWidth="1"/>
    <col min="10" max="10" width="13.6640625" style="146" customWidth="1"/>
    <col min="11" max="16384" width="10.83203125" style="146"/>
  </cols>
  <sheetData>
    <row r="1" spans="2:11" s="143" customFormat="1" ht="26">
      <c r="B1" s="142"/>
    </row>
    <row r="2" spans="2:11" s="143" customFormat="1" ht="26">
      <c r="B2" s="142" t="s">
        <v>10</v>
      </c>
    </row>
    <row r="3" spans="2:11" s="143" customFormat="1" ht="26">
      <c r="B3" s="142" t="s">
        <v>323</v>
      </c>
    </row>
    <row r="4" spans="2:11" s="143" customFormat="1" ht="26">
      <c r="B4" s="142"/>
    </row>
    <row r="5" spans="2:11">
      <c r="B5" s="145"/>
    </row>
    <row r="6" spans="2:11">
      <c r="B6" s="145"/>
    </row>
    <row r="7" spans="2:11">
      <c r="B7" s="145"/>
    </row>
    <row r="9" spans="2:11" s="147" customFormat="1">
      <c r="B9" s="142"/>
      <c r="H9" s="148"/>
      <c r="I9" s="148"/>
      <c r="J9" s="148"/>
      <c r="K9" s="148"/>
    </row>
    <row r="10" spans="2:11">
      <c r="C10" s="149"/>
      <c r="D10" s="149"/>
      <c r="E10" s="149"/>
      <c r="F10" s="150"/>
      <c r="G10" s="151"/>
      <c r="H10" s="149"/>
      <c r="I10" s="152"/>
      <c r="J10" s="153"/>
    </row>
    <row r="11" spans="2:11">
      <c r="C11" s="149"/>
      <c r="D11" s="149"/>
      <c r="E11" s="149"/>
      <c r="F11" s="150"/>
      <c r="G11" s="151"/>
      <c r="H11" s="149"/>
      <c r="I11" s="152"/>
      <c r="J11" s="153"/>
    </row>
    <row r="12" spans="2:11">
      <c r="B12" s="154"/>
      <c r="C12" s="149"/>
      <c r="D12" s="149"/>
      <c r="E12" s="149"/>
      <c r="F12" s="150"/>
      <c r="G12" s="151"/>
      <c r="H12" s="149"/>
      <c r="I12" s="152"/>
      <c r="J12" s="153"/>
    </row>
    <row r="13" spans="2:11">
      <c r="B13" s="154"/>
      <c r="C13" s="149"/>
      <c r="D13" s="149"/>
      <c r="E13" s="149"/>
      <c r="F13" s="150"/>
      <c r="G13" s="151"/>
      <c r="H13" s="149"/>
      <c r="I13" s="152"/>
      <c r="J13" s="153"/>
    </row>
    <row r="14" spans="2:11">
      <c r="B14" s="154"/>
      <c r="C14" s="149"/>
      <c r="D14" s="149"/>
      <c r="E14" s="149"/>
      <c r="F14" s="150"/>
      <c r="G14" s="151"/>
      <c r="H14" s="149"/>
      <c r="I14" s="152"/>
      <c r="J14" s="153"/>
    </row>
    <row r="15" spans="2:11">
      <c r="B15" s="154"/>
      <c r="C15" s="149"/>
      <c r="D15" s="149"/>
      <c r="E15" s="149"/>
      <c r="F15" s="150"/>
      <c r="G15" s="151"/>
      <c r="H15" s="149"/>
      <c r="I15" s="152"/>
      <c r="J15" s="153"/>
    </row>
    <row r="16" spans="2:11">
      <c r="B16" s="154"/>
      <c r="C16" s="149"/>
      <c r="D16" s="149"/>
      <c r="E16" s="149"/>
      <c r="F16" s="150"/>
      <c r="G16" s="151"/>
      <c r="H16" s="149"/>
      <c r="I16" s="152"/>
      <c r="J16" s="153"/>
    </row>
    <row r="17" spans="2:10">
      <c r="B17" s="154"/>
      <c r="C17" s="149"/>
      <c r="D17" s="149"/>
      <c r="E17" s="149"/>
      <c r="F17" s="150"/>
      <c r="G17" s="151"/>
      <c r="H17" s="149"/>
      <c r="I17" s="152"/>
      <c r="J17" s="153"/>
    </row>
    <row r="18" spans="2:10">
      <c r="B18" s="154"/>
      <c r="C18" s="149"/>
      <c r="D18" s="149"/>
      <c r="E18" s="149"/>
      <c r="F18" s="150"/>
      <c r="G18" s="151"/>
      <c r="H18" s="149"/>
      <c r="I18" s="152"/>
      <c r="J18" s="153"/>
    </row>
    <row r="19" spans="2:10">
      <c r="B19" s="154"/>
      <c r="C19" s="149"/>
      <c r="D19" s="149"/>
      <c r="E19" s="149"/>
      <c r="F19" s="150"/>
      <c r="G19" s="151"/>
      <c r="H19" s="149"/>
      <c r="I19" s="152"/>
      <c r="J19" s="153"/>
    </row>
    <row r="20" spans="2:10">
      <c r="B20" s="154" t="s">
        <v>275</v>
      </c>
      <c r="C20" s="149"/>
      <c r="D20" s="149"/>
      <c r="E20" s="149"/>
      <c r="G20" s="151"/>
      <c r="H20" s="149"/>
      <c r="I20" s="152"/>
      <c r="J20" s="153"/>
    </row>
    <row r="21" spans="2:10">
      <c r="C21" s="154" t="s">
        <v>276</v>
      </c>
      <c r="D21" s="149"/>
      <c r="E21" s="149"/>
      <c r="F21" s="150"/>
      <c r="G21" s="151"/>
      <c r="H21" s="149"/>
      <c r="I21" s="152"/>
      <c r="J21" s="153"/>
    </row>
    <row r="22" spans="2:10">
      <c r="C22" s="149"/>
      <c r="D22" s="149"/>
      <c r="E22" s="149"/>
      <c r="F22" s="150"/>
      <c r="G22" s="151"/>
      <c r="H22" s="149"/>
      <c r="I22" s="152"/>
      <c r="J22" s="153"/>
    </row>
    <row r="23" spans="2:10">
      <c r="B23" s="154" t="s">
        <v>277</v>
      </c>
      <c r="C23" s="149"/>
      <c r="D23" s="149"/>
      <c r="E23" s="149"/>
      <c r="F23" s="150"/>
      <c r="G23" s="151"/>
      <c r="H23" s="149"/>
      <c r="I23" s="152"/>
      <c r="J23" s="153"/>
    </row>
    <row r="24" spans="2:10">
      <c r="C24" s="154" t="s">
        <v>278</v>
      </c>
      <c r="D24" s="149"/>
      <c r="E24" s="149"/>
      <c r="F24" s="150"/>
      <c r="G24" s="151"/>
      <c r="H24" s="154" t="s">
        <v>279</v>
      </c>
      <c r="I24" s="152"/>
      <c r="J24" s="153"/>
    </row>
    <row r="25" spans="2:10">
      <c r="C25" s="149"/>
      <c r="D25" s="149"/>
      <c r="E25" s="149"/>
      <c r="F25" s="150"/>
      <c r="G25" s="151"/>
      <c r="H25" s="149"/>
      <c r="I25" s="152"/>
      <c r="J25" s="153"/>
    </row>
    <row r="26" spans="2:10">
      <c r="B26" s="144" t="s">
        <v>281</v>
      </c>
      <c r="C26" s="149"/>
      <c r="D26" s="149"/>
      <c r="E26" s="149"/>
      <c r="F26" s="150"/>
      <c r="G26" s="151"/>
      <c r="H26" s="149"/>
      <c r="I26" s="152"/>
      <c r="J26" s="153"/>
    </row>
    <row r="27" spans="2:10">
      <c r="B27" s="142" t="s">
        <v>280</v>
      </c>
      <c r="C27" s="155"/>
      <c r="D27" s="149"/>
      <c r="E27" s="149"/>
      <c r="F27" s="150"/>
      <c r="G27" s="151"/>
      <c r="H27" s="149"/>
      <c r="I27" s="152"/>
      <c r="J27" s="153"/>
    </row>
    <row r="28" spans="2:10">
      <c r="C28" s="142" t="s">
        <v>282</v>
      </c>
      <c r="E28" s="142" t="s">
        <v>283</v>
      </c>
      <c r="J28" s="153"/>
    </row>
    <row r="29" spans="2:10">
      <c r="G29" s="156"/>
      <c r="J29" s="153"/>
    </row>
    <row r="30" spans="2:10">
      <c r="B30" s="142" t="s">
        <v>313</v>
      </c>
      <c r="G30" s="156"/>
    </row>
    <row r="32" spans="2:10">
      <c r="B32" s="144" t="s">
        <v>285</v>
      </c>
    </row>
    <row r="33" spans="2:8">
      <c r="B33" s="142" t="s">
        <v>284</v>
      </c>
      <c r="G33" s="157"/>
      <c r="H33" s="158"/>
    </row>
    <row r="34" spans="2:8" ht="24">
      <c r="B34" s="142" t="s">
        <v>314</v>
      </c>
    </row>
    <row r="35" spans="2:8" ht="24">
      <c r="B35" s="142" t="s">
        <v>315</v>
      </c>
    </row>
    <row r="37" spans="2:8">
      <c r="B37" s="142" t="s">
        <v>286</v>
      </c>
      <c r="F37" s="146" t="s">
        <v>289</v>
      </c>
    </row>
    <row r="38" spans="2:8">
      <c r="F38" s="146" t="s">
        <v>290</v>
      </c>
    </row>
    <row r="39" spans="2:8">
      <c r="F39" s="146" t="s">
        <v>316</v>
      </c>
    </row>
    <row r="40" spans="2:8">
      <c r="F40" s="146" t="s">
        <v>317</v>
      </c>
    </row>
    <row r="41" spans="2:8">
      <c r="F41" s="146" t="s">
        <v>292</v>
      </c>
    </row>
    <row r="42" spans="2:8">
      <c r="F42" s="146" t="s">
        <v>293</v>
      </c>
    </row>
    <row r="44" spans="2:8">
      <c r="F44" s="146" t="s">
        <v>291</v>
      </c>
    </row>
    <row r="45" spans="2:8">
      <c r="F45" s="146" t="s">
        <v>319</v>
      </c>
    </row>
    <row r="47" spans="2:8">
      <c r="B47" s="144" t="s">
        <v>287</v>
      </c>
    </row>
    <row r="48" spans="2:8" ht="24">
      <c r="B48" s="142" t="s">
        <v>318</v>
      </c>
    </row>
    <row r="49" spans="2:6">
      <c r="B49" s="142" t="s">
        <v>288</v>
      </c>
    </row>
    <row r="51" spans="2:6">
      <c r="B51" s="142" t="s">
        <v>286</v>
      </c>
      <c r="F51" s="146" t="s">
        <v>294</v>
      </c>
    </row>
    <row r="52" spans="2:6">
      <c r="F52" s="146" t="s">
        <v>295</v>
      </c>
    </row>
    <row r="53" spans="2:6">
      <c r="F53" s="146" t="s">
        <v>296</v>
      </c>
    </row>
    <row r="54" spans="2:6">
      <c r="F54" s="146" t="s">
        <v>297</v>
      </c>
    </row>
    <row r="55" spans="2:6">
      <c r="F55" s="146" t="s">
        <v>298</v>
      </c>
    </row>
    <row r="56" spans="2:6">
      <c r="F56" s="146" t="s">
        <v>299</v>
      </c>
    </row>
    <row r="58" spans="2:6">
      <c r="F58" s="146" t="s">
        <v>300</v>
      </c>
    </row>
  </sheetData>
  <pageMargins left="0.7" right="0.7" top="0.75" bottom="0.75" header="0.3" footer="0.3"/>
  <pageSetup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A1:J25"/>
  <sheetViews>
    <sheetView workbookViewId="0"/>
  </sheetViews>
  <sheetFormatPr baseColWidth="10" defaultColWidth="10.83203125" defaultRowHeight="20"/>
  <cols>
    <col min="1" max="1" width="10.83203125" style="1"/>
    <col min="2" max="2" width="6.6640625" style="107" customWidth="1"/>
    <col min="3" max="3" width="7" style="1" customWidth="1"/>
    <col min="4" max="5" width="10.83203125" style="1"/>
    <col min="6" max="6" width="12.5" style="1" bestFit="1" customWidth="1"/>
    <col min="7" max="7" width="10.83203125" style="1"/>
    <col min="8" max="8" width="13.5" style="1" customWidth="1"/>
    <col min="9" max="9" width="13.6640625" style="1" bestFit="1" customWidth="1"/>
    <col min="10" max="10" width="13.6640625" style="1" customWidth="1"/>
    <col min="11" max="16384" width="10.83203125" style="1"/>
  </cols>
  <sheetData>
    <row r="1" spans="1:10" s="33" customFormat="1" ht="26">
      <c r="B1" s="107"/>
    </row>
    <row r="2" spans="1:10" s="33" customFormat="1" ht="26">
      <c r="B2" s="111" t="s">
        <v>244</v>
      </c>
      <c r="H2" s="110"/>
    </row>
    <row r="3" spans="1:10" ht="19">
      <c r="B3" s="112" t="s">
        <v>247</v>
      </c>
      <c r="H3" s="112" t="s">
        <v>258</v>
      </c>
    </row>
    <row r="4" spans="1:10">
      <c r="B4" s="108"/>
      <c r="C4" s="1" t="s">
        <v>248</v>
      </c>
      <c r="H4" s="108"/>
      <c r="I4" s="1" t="s">
        <v>259</v>
      </c>
    </row>
    <row r="5" spans="1:10">
      <c r="C5" s="1" t="s">
        <v>249</v>
      </c>
      <c r="H5" s="107"/>
      <c r="I5" s="1" t="s">
        <v>260</v>
      </c>
    </row>
    <row r="6" spans="1:10">
      <c r="C6" s="1" t="s">
        <v>251</v>
      </c>
      <c r="H6" s="107"/>
      <c r="I6" s="1" t="s">
        <v>261</v>
      </c>
    </row>
    <row r="7" spans="1:10" s="8" customFormat="1">
      <c r="A7" s="5"/>
      <c r="B7" s="107"/>
      <c r="C7" s="5" t="s">
        <v>250</v>
      </c>
      <c r="H7" s="107"/>
      <c r="I7" s="5"/>
    </row>
    <row r="8" spans="1:10" s="8" customFormat="1">
      <c r="A8" s="5"/>
      <c r="B8" s="107"/>
      <c r="C8" s="5"/>
      <c r="H8" s="107"/>
      <c r="I8" s="5"/>
    </row>
    <row r="9" spans="1:10">
      <c r="B9" s="111" t="s">
        <v>245</v>
      </c>
      <c r="D9" s="5"/>
      <c r="E9" s="5"/>
      <c r="F9" s="7"/>
      <c r="G9" s="6"/>
      <c r="H9" s="111"/>
      <c r="I9" s="4"/>
      <c r="J9" s="3"/>
    </row>
    <row r="10" spans="1:10" ht="19">
      <c r="B10" s="112" t="s">
        <v>252</v>
      </c>
      <c r="D10" s="5"/>
      <c r="E10" s="5"/>
      <c r="F10" s="7"/>
      <c r="G10" s="6"/>
      <c r="H10" s="113" t="s">
        <v>262</v>
      </c>
      <c r="I10" s="4"/>
      <c r="J10" s="3"/>
    </row>
    <row r="11" spans="1:10">
      <c r="C11" s="108" t="s">
        <v>253</v>
      </c>
      <c r="D11" s="5"/>
      <c r="E11" s="5"/>
      <c r="F11" s="7"/>
      <c r="G11" s="6"/>
      <c r="I11" s="5" t="s">
        <v>263</v>
      </c>
      <c r="J11" s="3"/>
    </row>
    <row r="12" spans="1:10">
      <c r="D12" s="107" t="s">
        <v>248</v>
      </c>
      <c r="E12" s="5"/>
      <c r="F12" s="7"/>
      <c r="G12" s="6"/>
      <c r="I12" s="5" t="s">
        <v>264</v>
      </c>
      <c r="J12" s="3"/>
    </row>
    <row r="13" spans="1:10">
      <c r="D13" s="107" t="s">
        <v>254</v>
      </c>
      <c r="E13" s="5"/>
      <c r="F13" s="7"/>
      <c r="G13" s="6"/>
      <c r="I13" s="5" t="s">
        <v>265</v>
      </c>
      <c r="J13" s="3"/>
    </row>
    <row r="14" spans="1:10">
      <c r="C14" s="5"/>
      <c r="D14" s="107" t="s">
        <v>255</v>
      </c>
      <c r="E14" s="5"/>
      <c r="F14" s="7"/>
      <c r="G14" s="6"/>
      <c r="I14" s="1" t="s">
        <v>266</v>
      </c>
      <c r="J14" s="3"/>
    </row>
    <row r="15" spans="1:10">
      <c r="C15" s="1" t="s">
        <v>256</v>
      </c>
      <c r="D15" s="5"/>
      <c r="E15" s="5"/>
      <c r="F15" s="7"/>
      <c r="G15" s="6"/>
      <c r="I15" s="4"/>
      <c r="J15" s="3"/>
    </row>
    <row r="16" spans="1:10">
      <c r="D16" s="108" t="s">
        <v>257</v>
      </c>
      <c r="E16" s="5"/>
      <c r="F16" s="7"/>
      <c r="G16" s="6"/>
    </row>
    <row r="17" spans="2:10">
      <c r="E17" s="5"/>
      <c r="F17" s="7"/>
      <c r="G17" s="6"/>
      <c r="H17" s="5"/>
      <c r="I17" s="4"/>
      <c r="J17" s="3"/>
    </row>
    <row r="18" spans="2:10">
      <c r="B18" s="111" t="s">
        <v>246</v>
      </c>
      <c r="C18" s="5"/>
      <c r="D18" s="5"/>
      <c r="E18" s="5"/>
      <c r="F18" s="7"/>
      <c r="G18" s="6"/>
      <c r="H18" s="5"/>
      <c r="I18" s="4"/>
      <c r="J18" s="3"/>
    </row>
    <row r="19" spans="2:10" s="112" customFormat="1">
      <c r="B19" s="169" t="s">
        <v>272</v>
      </c>
      <c r="C19" s="113"/>
      <c r="D19" s="113"/>
      <c r="E19" s="113"/>
      <c r="F19" s="114"/>
      <c r="G19" s="115"/>
      <c r="H19" s="113" t="s">
        <v>267</v>
      </c>
      <c r="I19" s="116"/>
      <c r="J19" s="117"/>
    </row>
    <row r="20" spans="2:10">
      <c r="C20" s="109" t="s">
        <v>273</v>
      </c>
      <c r="D20" s="5"/>
      <c r="I20" s="5" t="s">
        <v>268</v>
      </c>
      <c r="J20" s="3"/>
    </row>
    <row r="21" spans="2:10">
      <c r="C21" s="109" t="s">
        <v>274</v>
      </c>
      <c r="D21" s="5"/>
      <c r="G21" s="2"/>
      <c r="I21" s="5" t="s">
        <v>269</v>
      </c>
      <c r="J21" s="3"/>
    </row>
    <row r="22" spans="2:10">
      <c r="C22" s="109"/>
      <c r="D22" s="5"/>
      <c r="G22" s="2"/>
      <c r="I22" s="5" t="s">
        <v>270</v>
      </c>
    </row>
    <row r="23" spans="2:10">
      <c r="I23" s="5" t="s">
        <v>271</v>
      </c>
    </row>
    <row r="25" spans="2:10">
      <c r="G25" s="31"/>
      <c r="H25" s="23"/>
    </row>
  </sheetData>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B2:K32"/>
  <sheetViews>
    <sheetView zoomScale="90" zoomScaleNormal="90" workbookViewId="0"/>
  </sheetViews>
  <sheetFormatPr baseColWidth="10" defaultColWidth="10.83203125" defaultRowHeight="20"/>
  <cols>
    <col min="1" max="1" width="10.83203125" style="1"/>
    <col min="2" max="2" width="5.6640625" style="107" customWidth="1"/>
    <col min="3" max="3" width="6" style="1" customWidth="1"/>
    <col min="4" max="5" width="10.83203125" style="1"/>
    <col min="6" max="6" width="12.5" style="1" bestFit="1" customWidth="1"/>
    <col min="7" max="7" width="10.83203125" style="1"/>
    <col min="8" max="8" width="19" style="1" bestFit="1" customWidth="1"/>
    <col min="9" max="9" width="13.6640625" style="1" bestFit="1" customWidth="1"/>
    <col min="10" max="10" width="13.6640625" style="1" customWidth="1"/>
    <col min="11" max="16384" width="10.83203125" style="1"/>
  </cols>
  <sheetData>
    <row r="2" spans="2:11" s="33" customFormat="1" ht="26">
      <c r="B2" s="107" t="s">
        <v>241</v>
      </c>
    </row>
    <row r="3" spans="2:11" s="33" customFormat="1" ht="26">
      <c r="B3" s="107"/>
      <c r="C3" s="107" t="s">
        <v>334</v>
      </c>
    </row>
    <row r="4" spans="2:11" s="33" customFormat="1" ht="15.5" customHeight="1">
      <c r="B4" s="107"/>
      <c r="C4" s="107"/>
    </row>
    <row r="5" spans="2:11">
      <c r="C5" s="107" t="s">
        <v>239</v>
      </c>
    </row>
    <row r="6" spans="2:11">
      <c r="D6" s="109" t="s">
        <v>240</v>
      </c>
    </row>
    <row r="7" spans="2:11">
      <c r="D7" s="109" t="s">
        <v>236</v>
      </c>
    </row>
    <row r="8" spans="2:11">
      <c r="D8" s="109" t="s">
        <v>237</v>
      </c>
    </row>
    <row r="9" spans="2:11" s="8" customFormat="1">
      <c r="D9" s="109" t="s">
        <v>238</v>
      </c>
      <c r="H9" s="9"/>
      <c r="I9" s="9"/>
      <c r="J9" s="9"/>
      <c r="K9" s="9"/>
    </row>
    <row r="10" spans="2:11">
      <c r="C10" s="5"/>
      <c r="D10" s="5"/>
      <c r="E10" s="5"/>
      <c r="F10" s="7"/>
      <c r="G10" s="6"/>
      <c r="H10" s="5"/>
      <c r="I10" s="4"/>
      <c r="J10" s="3"/>
    </row>
    <row r="11" spans="2:11">
      <c r="C11" s="108" t="s">
        <v>234</v>
      </c>
      <c r="E11" s="5"/>
      <c r="F11" s="7"/>
      <c r="G11" s="6"/>
      <c r="H11" s="5"/>
      <c r="I11" s="4"/>
      <c r="J11" s="3"/>
    </row>
    <row r="12" spans="2:11">
      <c r="D12" s="108" t="s">
        <v>235</v>
      </c>
      <c r="E12" s="5"/>
      <c r="F12" s="7"/>
      <c r="G12" s="6"/>
      <c r="H12" s="5"/>
      <c r="I12" s="4"/>
      <c r="J12" s="3"/>
    </row>
    <row r="13" spans="2:11">
      <c r="D13" s="108" t="s">
        <v>236</v>
      </c>
      <c r="E13" s="5"/>
      <c r="F13" s="7"/>
      <c r="G13" s="6"/>
      <c r="H13" s="5"/>
      <c r="I13" s="4"/>
      <c r="J13" s="3"/>
    </row>
    <row r="14" spans="2:11">
      <c r="D14" s="107" t="s">
        <v>237</v>
      </c>
      <c r="E14" s="5"/>
      <c r="F14" s="7"/>
      <c r="G14" s="6"/>
      <c r="H14" s="5"/>
      <c r="I14" s="4"/>
      <c r="J14" s="3"/>
    </row>
    <row r="15" spans="2:11">
      <c r="C15" s="8"/>
      <c r="D15" s="107" t="s">
        <v>238</v>
      </c>
      <c r="E15" s="5"/>
      <c r="F15" s="7"/>
      <c r="G15" s="6"/>
      <c r="H15" s="5"/>
      <c r="I15" s="4"/>
      <c r="J15" s="3"/>
    </row>
    <row r="16" spans="2:11">
      <c r="E16" s="5"/>
      <c r="F16" s="7"/>
      <c r="G16" s="6"/>
      <c r="H16" s="5"/>
      <c r="I16" s="4"/>
      <c r="J16" s="3"/>
    </row>
    <row r="17" spans="2:10">
      <c r="C17" s="1" t="s">
        <v>242</v>
      </c>
      <c r="E17" s="5"/>
      <c r="F17" s="7"/>
      <c r="G17" s="6"/>
      <c r="H17" s="5"/>
      <c r="I17" s="4"/>
      <c r="J17" s="3"/>
    </row>
    <row r="18" spans="2:10">
      <c r="C18" s="1" t="s">
        <v>243</v>
      </c>
      <c r="E18" s="5"/>
      <c r="F18" s="7"/>
      <c r="G18" s="6"/>
      <c r="H18" s="5"/>
      <c r="I18" s="4"/>
      <c r="J18" s="3"/>
    </row>
    <row r="19" spans="2:10">
      <c r="E19" s="5"/>
      <c r="F19" s="7"/>
      <c r="G19" s="6"/>
      <c r="H19" s="5"/>
      <c r="I19" s="4"/>
      <c r="J19" s="3"/>
    </row>
    <row r="20" spans="2:10" ht="19">
      <c r="B20" s="8"/>
      <c r="E20" s="5"/>
      <c r="F20" s="7"/>
      <c r="G20" s="6"/>
      <c r="H20" s="5"/>
      <c r="I20" s="4"/>
      <c r="J20" s="3"/>
    </row>
    <row r="21" spans="2:10">
      <c r="B21" s="109"/>
      <c r="C21" s="5"/>
      <c r="D21" s="5"/>
      <c r="E21" s="5"/>
      <c r="F21" s="7"/>
      <c r="G21" s="6"/>
      <c r="H21" s="5"/>
      <c r="I21" s="4"/>
      <c r="J21" s="3"/>
    </row>
    <row r="22" spans="2:10">
      <c r="B22" s="109"/>
      <c r="C22" s="5"/>
      <c r="D22" s="5"/>
      <c r="E22" s="5"/>
      <c r="F22" s="7"/>
      <c r="G22" s="6"/>
      <c r="H22" s="5"/>
      <c r="I22" s="4"/>
      <c r="J22" s="3"/>
    </row>
    <row r="23" spans="2:10">
      <c r="B23" s="109"/>
      <c r="C23" s="5"/>
      <c r="D23" s="5"/>
      <c r="E23" s="5"/>
      <c r="F23" s="7"/>
      <c r="G23" s="6"/>
      <c r="H23" s="5"/>
      <c r="I23" s="4"/>
      <c r="J23" s="3"/>
    </row>
    <row r="24" spans="2:10">
      <c r="B24" s="109"/>
      <c r="C24" s="5"/>
      <c r="D24" s="5"/>
      <c r="E24" s="5"/>
      <c r="F24" s="7"/>
      <c r="G24" s="6"/>
      <c r="H24" s="5"/>
      <c r="I24" s="4"/>
      <c r="J24" s="3"/>
    </row>
    <row r="25" spans="2:10">
      <c r="B25" s="109"/>
      <c r="C25" s="5"/>
      <c r="D25" s="5"/>
      <c r="E25" s="5"/>
      <c r="F25" s="7"/>
      <c r="G25" s="6"/>
      <c r="H25" s="5"/>
      <c r="I25" s="4"/>
      <c r="J25" s="3"/>
    </row>
    <row r="26" spans="2:10">
      <c r="B26" s="109"/>
      <c r="C26" s="30"/>
      <c r="D26" s="5"/>
      <c r="E26" s="5"/>
      <c r="F26" s="7"/>
      <c r="G26" s="6"/>
      <c r="H26" s="5"/>
      <c r="I26" s="4"/>
      <c r="J26" s="3"/>
    </row>
    <row r="27" spans="2:10">
      <c r="J27" s="3"/>
    </row>
    <row r="28" spans="2:10">
      <c r="G28" s="2"/>
      <c r="J28" s="3"/>
    </row>
    <row r="29" spans="2:10">
      <c r="G29" s="2"/>
    </row>
    <row r="32" spans="2:10">
      <c r="G32" s="31"/>
      <c r="H32" s="23"/>
    </row>
  </sheetData>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B1:K29"/>
  <sheetViews>
    <sheetView workbookViewId="0"/>
  </sheetViews>
  <sheetFormatPr baseColWidth="10" defaultColWidth="10.83203125" defaultRowHeight="19"/>
  <cols>
    <col min="1" max="1" width="10.83203125" style="125"/>
    <col min="2" max="2" width="11.5" style="125" bestFit="1" customWidth="1"/>
    <col min="3" max="5" width="10.83203125" style="125"/>
    <col min="6" max="6" width="12.5" style="125" bestFit="1" customWidth="1"/>
    <col min="7" max="7" width="10.83203125" style="125"/>
    <col min="8" max="8" width="19" style="125" bestFit="1" customWidth="1"/>
    <col min="9" max="9" width="13.6640625" style="125" bestFit="1" customWidth="1"/>
    <col min="10" max="10" width="13.6640625" style="125" customWidth="1"/>
    <col min="11" max="16384" width="10.83203125" style="125"/>
  </cols>
  <sheetData>
    <row r="1" spans="2:11" s="123" customFormat="1" ht="26"/>
    <row r="2" spans="2:11" ht="20">
      <c r="B2" s="107" t="s">
        <v>10</v>
      </c>
    </row>
    <row r="3" spans="2:11" ht="20">
      <c r="B3" s="107" t="s">
        <v>324</v>
      </c>
    </row>
    <row r="4" spans="2:11">
      <c r="B4" s="124"/>
    </row>
    <row r="6" spans="2:11" s="127" customFormat="1">
      <c r="B6" s="126" t="s">
        <v>9</v>
      </c>
      <c r="C6" s="127" t="s">
        <v>8</v>
      </c>
      <c r="D6" s="127" t="s">
        <v>7</v>
      </c>
      <c r="E6" s="127" t="s">
        <v>6</v>
      </c>
      <c r="F6" s="127" t="s">
        <v>5</v>
      </c>
      <c r="G6" s="127" t="s">
        <v>4</v>
      </c>
      <c r="H6" s="128" t="s">
        <v>336</v>
      </c>
      <c r="I6" s="128"/>
      <c r="K6" s="128"/>
    </row>
    <row r="7" spans="2:11">
      <c r="B7" s="129">
        <v>7496</v>
      </c>
      <c r="C7" s="130">
        <v>118.370121981415</v>
      </c>
      <c r="D7" s="130">
        <v>119.53509682578719</v>
      </c>
      <c r="E7" s="130">
        <f t="shared" ref="E7:E22" si="0">(bid+offer)/2</f>
        <v>118.95260940360109</v>
      </c>
      <c r="F7" s="131">
        <f t="shared" ref="F7:F23" si="1">offer-bid</f>
        <v>1.1649748443721961</v>
      </c>
      <c r="G7" s="132">
        <f>spread/midprice</f>
        <v>9.7936047827205421E-3</v>
      </c>
      <c r="H7" s="130">
        <f t="shared" ref="H7:H23" si="2">simS*a/2</f>
        <v>240.80532849415357</v>
      </c>
      <c r="I7" s="133"/>
    </row>
    <row r="8" spans="2:11">
      <c r="B8" s="129">
        <v>2862</v>
      </c>
      <c r="C8" s="130">
        <v>82.687195324977267</v>
      </c>
      <c r="D8" s="130">
        <v>83.56007510257713</v>
      </c>
      <c r="E8" s="130">
        <f t="shared" si="0"/>
        <v>83.123635213777192</v>
      </c>
      <c r="F8" s="131">
        <f t="shared" si="1"/>
        <v>0.8728797775998629</v>
      </c>
      <c r="G8" s="132">
        <f t="shared" ref="G8:G23" si="3">spread/midprice</f>
        <v>1.0500981764753099E-2</v>
      </c>
      <c r="H8" s="130">
        <f t="shared" si="2"/>
        <v>91.940348205745394</v>
      </c>
      <c r="I8" s="133"/>
    </row>
    <row r="9" spans="2:11">
      <c r="B9" s="129">
        <v>9729</v>
      </c>
      <c r="C9" s="130">
        <v>10.823358572373195</v>
      </c>
      <c r="D9" s="130">
        <v>11.413546347445717</v>
      </c>
      <c r="E9" s="130">
        <f t="shared" si="0"/>
        <v>11.118452459909456</v>
      </c>
      <c r="F9" s="131">
        <f t="shared" si="1"/>
        <v>0.59018777507252196</v>
      </c>
      <c r="G9" s="132">
        <f t="shared" si="3"/>
        <v>5.3081827457607193E-2</v>
      </c>
      <c r="H9" s="130">
        <f t="shared" si="2"/>
        <v>312.53935978116596</v>
      </c>
      <c r="I9" s="133"/>
    </row>
    <row r="10" spans="2:11">
      <c r="B10" s="129">
        <v>3642</v>
      </c>
      <c r="C10" s="130">
        <v>142.60862846891442</v>
      </c>
      <c r="D10" s="130">
        <v>143.2524387151652</v>
      </c>
      <c r="E10" s="130">
        <f t="shared" si="0"/>
        <v>142.93053359203981</v>
      </c>
      <c r="F10" s="131">
        <f t="shared" si="1"/>
        <v>0.64381024625077998</v>
      </c>
      <c r="G10" s="132">
        <f t="shared" si="3"/>
        <v>4.5043576769144278E-3</v>
      </c>
      <c r="H10" s="130">
        <f t="shared" si="2"/>
        <v>116.99746616538251</v>
      </c>
      <c r="I10" s="133"/>
    </row>
    <row r="11" spans="2:11">
      <c r="B11" s="129">
        <v>7568</v>
      </c>
      <c r="C11" s="130">
        <v>43.354846801191897</v>
      </c>
      <c r="D11" s="130">
        <v>43.981546257516065</v>
      </c>
      <c r="E11" s="130">
        <f t="shared" si="0"/>
        <v>43.668196529353978</v>
      </c>
      <c r="F11" s="131">
        <f t="shared" si="1"/>
        <v>0.62669945632416812</v>
      </c>
      <c r="G11" s="132">
        <f t="shared" si="3"/>
        <v>1.4351393144960719E-2</v>
      </c>
      <c r="H11" s="130">
        <f t="shared" si="2"/>
        <v>243.11829322888929</v>
      </c>
      <c r="I11" s="133"/>
    </row>
    <row r="12" spans="2:11">
      <c r="B12" s="129">
        <v>7108</v>
      </c>
      <c r="C12" s="130">
        <v>133.11724994797456</v>
      </c>
      <c r="D12" s="130">
        <v>134.16325867580534</v>
      </c>
      <c r="E12" s="130">
        <f t="shared" si="0"/>
        <v>133.64025431188995</v>
      </c>
      <c r="F12" s="131">
        <f t="shared" si="1"/>
        <v>1.046008727830781</v>
      </c>
      <c r="G12" s="132">
        <f t="shared" si="3"/>
        <v>7.8270483187618256E-3</v>
      </c>
      <c r="H12" s="130">
        <f t="shared" si="2"/>
        <v>228.34101853474434</v>
      </c>
      <c r="I12" s="133"/>
    </row>
    <row r="13" spans="2:11">
      <c r="B13" s="129">
        <v>4684</v>
      </c>
      <c r="C13" s="130">
        <v>45.810122708731427</v>
      </c>
      <c r="D13" s="130">
        <v>46.333360301400774</v>
      </c>
      <c r="E13" s="130">
        <f t="shared" si="0"/>
        <v>46.0717415050661</v>
      </c>
      <c r="F13" s="131">
        <f t="shared" si="1"/>
        <v>0.52323759266934644</v>
      </c>
      <c r="G13" s="132">
        <f t="shared" si="3"/>
        <v>1.135701789375187E-2</v>
      </c>
      <c r="H13" s="130">
        <f t="shared" si="2"/>
        <v>150.47120579864131</v>
      </c>
      <c r="I13" s="133"/>
    </row>
    <row r="14" spans="2:11">
      <c r="B14" s="129">
        <v>9024</v>
      </c>
      <c r="C14" s="130">
        <v>107.99561305590164</v>
      </c>
      <c r="D14" s="130">
        <v>109.27873410666952</v>
      </c>
      <c r="E14" s="130">
        <f t="shared" si="0"/>
        <v>108.63717358128558</v>
      </c>
      <c r="F14" s="131">
        <f t="shared" si="1"/>
        <v>1.2831210507678747</v>
      </c>
      <c r="G14" s="132">
        <f t="shared" si="3"/>
        <v>1.1811068057728925E-2</v>
      </c>
      <c r="H14" s="130">
        <f t="shared" si="2"/>
        <v>289.89158008687855</v>
      </c>
      <c r="I14" s="133"/>
    </row>
    <row r="15" spans="2:11">
      <c r="B15" s="129">
        <v>4927</v>
      </c>
      <c r="C15" s="130">
        <v>175.53990115064636</v>
      </c>
      <c r="D15" s="130">
        <v>177.31374338418087</v>
      </c>
      <c r="E15" s="130">
        <f t="shared" si="0"/>
        <v>176.42682226741363</v>
      </c>
      <c r="F15" s="131">
        <f t="shared" si="1"/>
        <v>1.7738422335345092</v>
      </c>
      <c r="G15" s="132">
        <f t="shared" si="3"/>
        <v>1.0054266186611134E-2</v>
      </c>
      <c r="H15" s="130">
        <f t="shared" si="2"/>
        <v>158.2774617783744</v>
      </c>
      <c r="I15" s="133"/>
    </row>
    <row r="16" spans="2:11">
      <c r="B16" s="129">
        <v>9366</v>
      </c>
      <c r="C16" s="130">
        <v>78.572439609149754</v>
      </c>
      <c r="D16" s="130">
        <v>79.507633024223878</v>
      </c>
      <c r="E16" s="130">
        <f t="shared" si="0"/>
        <v>79.040036316686809</v>
      </c>
      <c r="F16" s="131">
        <f t="shared" si="1"/>
        <v>0.93519341507412435</v>
      </c>
      <c r="G16" s="132">
        <f t="shared" si="3"/>
        <v>1.1831895057931391E-2</v>
      </c>
      <c r="H16" s="130">
        <f t="shared" si="2"/>
        <v>300.87816257687331</v>
      </c>
      <c r="I16" s="133"/>
    </row>
    <row r="17" spans="2:9">
      <c r="B17" s="129">
        <v>4594</v>
      </c>
      <c r="C17" s="130">
        <v>165.53688402594722</v>
      </c>
      <c r="D17" s="130">
        <v>167.28425534126472</v>
      </c>
      <c r="E17" s="130">
        <f t="shared" si="0"/>
        <v>166.41056968360596</v>
      </c>
      <c r="F17" s="131">
        <f t="shared" si="1"/>
        <v>1.7473713153175083</v>
      </c>
      <c r="G17" s="132">
        <f t="shared" si="3"/>
        <v>1.0500362558939378E-2</v>
      </c>
      <c r="H17" s="130">
        <f t="shared" si="2"/>
        <v>147.57999988022164</v>
      </c>
      <c r="I17" s="133"/>
    </row>
    <row r="18" spans="2:9">
      <c r="B18" s="129">
        <v>9764</v>
      </c>
      <c r="C18" s="130">
        <v>49.31396649686608</v>
      </c>
      <c r="D18" s="130">
        <v>50.079636133786565</v>
      </c>
      <c r="E18" s="130">
        <f t="shared" si="0"/>
        <v>49.696801315326326</v>
      </c>
      <c r="F18" s="131">
        <f t="shared" si="1"/>
        <v>0.76566963692048517</v>
      </c>
      <c r="G18" s="132">
        <f t="shared" si="3"/>
        <v>1.5406819285255594E-2</v>
      </c>
      <c r="H18" s="130">
        <f t="shared" si="2"/>
        <v>313.66371763832916</v>
      </c>
      <c r="I18" s="133"/>
    </row>
    <row r="19" spans="2:9">
      <c r="B19" s="129">
        <v>4960</v>
      </c>
      <c r="C19" s="130">
        <v>13.996170418677014</v>
      </c>
      <c r="D19" s="130">
        <v>14.575730877700273</v>
      </c>
      <c r="E19" s="130">
        <f t="shared" si="0"/>
        <v>14.285950648188644</v>
      </c>
      <c r="F19" s="131">
        <f t="shared" si="1"/>
        <v>0.57956045902325926</v>
      </c>
      <c r="G19" s="132">
        <f t="shared" si="3"/>
        <v>4.0568560909647507E-2</v>
      </c>
      <c r="H19" s="130">
        <f t="shared" si="2"/>
        <v>159.3375706151283</v>
      </c>
      <c r="I19" s="133"/>
    </row>
    <row r="20" spans="2:9">
      <c r="B20" s="129">
        <v>6616</v>
      </c>
      <c r="C20" s="130">
        <v>144.73063673268339</v>
      </c>
      <c r="D20" s="130">
        <v>146.41362561012136</v>
      </c>
      <c r="E20" s="130">
        <f t="shared" si="0"/>
        <v>145.57213117140236</v>
      </c>
      <c r="F20" s="131">
        <f t="shared" si="1"/>
        <v>1.682988877437964</v>
      </c>
      <c r="G20" s="132">
        <f t="shared" si="3"/>
        <v>1.1561202435487783E-2</v>
      </c>
      <c r="H20" s="130">
        <f t="shared" si="2"/>
        <v>212.53575951405017</v>
      </c>
      <c r="I20" s="133"/>
    </row>
    <row r="21" spans="2:9">
      <c r="B21" s="129">
        <v>4300</v>
      </c>
      <c r="C21" s="130">
        <v>57.802855691261044</v>
      </c>
      <c r="D21" s="130">
        <v>58.572162251312029</v>
      </c>
      <c r="E21" s="130">
        <f t="shared" si="0"/>
        <v>58.187508971286533</v>
      </c>
      <c r="F21" s="131">
        <f t="shared" si="1"/>
        <v>0.76930656005098541</v>
      </c>
      <c r="G21" s="132">
        <f t="shared" si="3"/>
        <v>1.322116333302068E-2</v>
      </c>
      <c r="H21" s="130">
        <f t="shared" si="2"/>
        <v>138.13539388005074</v>
      </c>
      <c r="I21" s="133"/>
    </row>
    <row r="22" spans="2:9">
      <c r="B22" s="129">
        <v>6589</v>
      </c>
      <c r="C22" s="130">
        <v>149.43529033885986</v>
      </c>
      <c r="D22" s="130">
        <v>150.91378760732434</v>
      </c>
      <c r="E22" s="130">
        <f t="shared" si="0"/>
        <v>150.1745389730921</v>
      </c>
      <c r="F22" s="131">
        <f t="shared" si="1"/>
        <v>1.4784972684644799</v>
      </c>
      <c r="G22" s="132">
        <f t="shared" si="3"/>
        <v>9.8451926576541282E-3</v>
      </c>
      <c r="H22" s="130">
        <f t="shared" si="2"/>
        <v>211.66839773852425</v>
      </c>
      <c r="I22" s="133"/>
    </row>
    <row r="23" spans="2:9">
      <c r="B23" s="129">
        <v>2821</v>
      </c>
      <c r="C23" s="130">
        <v>6.8</v>
      </c>
      <c r="D23" s="130">
        <v>7.3676254373529284</v>
      </c>
      <c r="E23" s="130">
        <f>(bid+offer)/2</f>
        <v>7.0838127186764641</v>
      </c>
      <c r="F23" s="131">
        <f t="shared" si="1"/>
        <v>0.56762543735292859</v>
      </c>
      <c r="G23" s="132">
        <f t="shared" si="3"/>
        <v>8.0129932833541001E-2</v>
      </c>
      <c r="H23" s="130">
        <f t="shared" si="2"/>
        <v>90.623243287354214</v>
      </c>
      <c r="I23" s="133"/>
    </row>
    <row r="24" spans="2:9">
      <c r="H24" s="134"/>
    </row>
    <row r="25" spans="2:9">
      <c r="F25" s="125" t="s">
        <v>3</v>
      </c>
      <c r="G25" s="136">
        <f>AVERAGE(s)</f>
        <v>1.9196864373840421E-2</v>
      </c>
      <c r="H25" s="130">
        <f>SUM(simSpread)</f>
        <v>3406.8043072045075</v>
      </c>
      <c r="I25" s="125" t="s">
        <v>325</v>
      </c>
    </row>
    <row r="26" spans="2:9">
      <c r="F26" s="125" t="s">
        <v>2</v>
      </c>
      <c r="G26" s="136">
        <f>_xlfn.STDEV.P(s)</f>
        <v>1.9366044321320872E-2</v>
      </c>
    </row>
    <row r="28" spans="2:9">
      <c r="F28" s="125" t="s">
        <v>1</v>
      </c>
      <c r="G28" s="125">
        <v>0.01</v>
      </c>
    </row>
    <row r="29" spans="2:9">
      <c r="F29" s="125" t="s">
        <v>0</v>
      </c>
      <c r="G29" s="135">
        <f>(mu+sigma*NORMSINV(1-alpha))</f>
        <v>6.4249020409325924E-2</v>
      </c>
      <c r="H29" s="136"/>
    </row>
  </sheetData>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F0000"/>
  </sheetPr>
  <dimension ref="B2:H18"/>
  <sheetViews>
    <sheetView zoomScale="90" zoomScaleNormal="90" workbookViewId="0"/>
  </sheetViews>
  <sheetFormatPr baseColWidth="10" defaultColWidth="8.83203125" defaultRowHeight="26"/>
  <cols>
    <col min="1" max="1" width="8.83203125" style="10"/>
    <col min="2" max="2" width="35" style="10" bestFit="1" customWidth="1"/>
    <col min="3" max="3" width="33.1640625" style="10" bestFit="1" customWidth="1"/>
    <col min="4" max="4" width="31.6640625" style="10" bestFit="1" customWidth="1"/>
    <col min="5" max="5" width="29" style="10" bestFit="1" customWidth="1"/>
    <col min="6" max="6" width="29.6640625" style="10" customWidth="1"/>
    <col min="7" max="16384" width="8.83203125" style="10"/>
  </cols>
  <sheetData>
    <row r="2" spans="2:7" s="28" customFormat="1">
      <c r="C2" s="28" t="s">
        <v>335</v>
      </c>
      <c r="D2" s="28" t="s">
        <v>40</v>
      </c>
      <c r="E2" s="28" t="s">
        <v>301</v>
      </c>
      <c r="F2" s="28" t="s">
        <v>39</v>
      </c>
    </row>
    <row r="3" spans="2:7">
      <c r="B3" s="10" t="s">
        <v>38</v>
      </c>
    </row>
    <row r="4" spans="2:7">
      <c r="B4" s="10" t="s">
        <v>37</v>
      </c>
      <c r="C4" s="18" t="s">
        <v>17</v>
      </c>
      <c r="D4" s="17" t="s">
        <v>17</v>
      </c>
      <c r="E4" s="17" t="s">
        <v>17</v>
      </c>
      <c r="F4" s="16" t="s">
        <v>36</v>
      </c>
    </row>
    <row r="5" spans="2:7">
      <c r="B5" s="10" t="s">
        <v>35</v>
      </c>
      <c r="C5" s="15" t="s">
        <v>17</v>
      </c>
      <c r="D5" s="10" t="s">
        <v>17</v>
      </c>
      <c r="E5" s="10" t="s">
        <v>17</v>
      </c>
      <c r="F5" s="14" t="s">
        <v>22</v>
      </c>
    </row>
    <row r="6" spans="2:7">
      <c r="B6" s="10" t="s">
        <v>34</v>
      </c>
      <c r="C6" s="15" t="s">
        <v>13</v>
      </c>
      <c r="D6" s="10" t="s">
        <v>12</v>
      </c>
      <c r="E6" s="10" t="s">
        <v>17</v>
      </c>
      <c r="F6" s="14" t="s">
        <v>19</v>
      </c>
    </row>
    <row r="7" spans="2:7">
      <c r="B7" s="10" t="s">
        <v>33</v>
      </c>
      <c r="C7" s="15" t="s">
        <v>32</v>
      </c>
      <c r="D7" s="10" t="s">
        <v>31</v>
      </c>
      <c r="E7" s="10" t="s">
        <v>31</v>
      </c>
      <c r="F7" s="14" t="s">
        <v>19</v>
      </c>
    </row>
    <row r="8" spans="2:7">
      <c r="B8" s="10" t="s">
        <v>30</v>
      </c>
      <c r="C8" s="15" t="s">
        <v>29</v>
      </c>
      <c r="D8" s="10" t="s">
        <v>29</v>
      </c>
      <c r="E8" s="10" t="s">
        <v>17</v>
      </c>
      <c r="F8" s="14" t="s">
        <v>17</v>
      </c>
    </row>
    <row r="9" spans="2:7">
      <c r="B9" s="10" t="s">
        <v>28</v>
      </c>
      <c r="C9" s="15" t="s">
        <v>27</v>
      </c>
      <c r="D9" s="10" t="s">
        <v>12</v>
      </c>
      <c r="E9" s="10" t="s">
        <v>17</v>
      </c>
      <c r="F9" s="14" t="s">
        <v>17</v>
      </c>
    </row>
    <row r="10" spans="2:7">
      <c r="B10" s="10" t="s">
        <v>26</v>
      </c>
      <c r="C10" s="15" t="s">
        <v>11</v>
      </c>
      <c r="D10" s="10" t="s">
        <v>12</v>
      </c>
      <c r="E10" s="10" t="s">
        <v>17</v>
      </c>
      <c r="F10" s="14" t="s">
        <v>17</v>
      </c>
    </row>
    <row r="11" spans="2:7">
      <c r="B11" s="10" t="s">
        <v>25</v>
      </c>
      <c r="C11" s="15" t="s">
        <v>24</v>
      </c>
      <c r="D11" s="10" t="s">
        <v>12</v>
      </c>
      <c r="E11" s="10" t="s">
        <v>23</v>
      </c>
      <c r="F11" s="14" t="s">
        <v>95</v>
      </c>
    </row>
    <row r="12" spans="2:7">
      <c r="B12" s="10" t="s">
        <v>21</v>
      </c>
      <c r="C12" s="15" t="s">
        <v>13</v>
      </c>
      <c r="D12" s="10" t="s">
        <v>12</v>
      </c>
      <c r="E12" s="10" t="s">
        <v>20</v>
      </c>
      <c r="F12" s="14" t="s">
        <v>19</v>
      </c>
    </row>
    <row r="13" spans="2:7">
      <c r="B13" s="10" t="s">
        <v>18</v>
      </c>
      <c r="C13" s="15" t="s">
        <v>12</v>
      </c>
      <c r="D13" s="10" t="s">
        <v>12</v>
      </c>
      <c r="E13" s="10" t="s">
        <v>17</v>
      </c>
      <c r="F13" s="14" t="s">
        <v>16</v>
      </c>
      <c r="G13" s="15"/>
    </row>
    <row r="14" spans="2:7">
      <c r="B14" s="10" t="s">
        <v>15</v>
      </c>
      <c r="C14" s="15" t="s">
        <v>12</v>
      </c>
      <c r="D14" s="10" t="s">
        <v>12</v>
      </c>
      <c r="E14" s="10" t="s">
        <v>11</v>
      </c>
      <c r="F14" s="14" t="s">
        <v>11</v>
      </c>
    </row>
    <row r="15" spans="2:7">
      <c r="B15" s="10" t="s">
        <v>14</v>
      </c>
      <c r="C15" s="13" t="s">
        <v>13</v>
      </c>
      <c r="D15" s="12" t="s">
        <v>12</v>
      </c>
      <c r="E15" s="12" t="s">
        <v>11</v>
      </c>
      <c r="F15" s="11" t="s">
        <v>11</v>
      </c>
    </row>
    <row r="18" spans="8:8">
      <c r="H18"/>
    </row>
  </sheetData>
  <pageMargins left="0.7" right="0.7" top="0.75" bottom="0.75" header="0.3" footer="0.3"/>
  <pageSetup orientation="portrait" horizontalDpi="4294967292" verticalDpi="4294967292"/>
  <drawing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FF0000"/>
  </sheetPr>
  <dimension ref="A2:C21"/>
  <sheetViews>
    <sheetView zoomScale="145" zoomScaleNormal="145" zoomScalePageLayoutView="145" workbookViewId="0"/>
  </sheetViews>
  <sheetFormatPr baseColWidth="10" defaultColWidth="11" defaultRowHeight="16"/>
  <cols>
    <col min="1" max="16384" width="11" style="19"/>
  </cols>
  <sheetData>
    <row r="2" spans="1:3">
      <c r="B2" s="29"/>
    </row>
    <row r="3" spans="1:3">
      <c r="B3" s="119" t="s">
        <v>542</v>
      </c>
    </row>
    <row r="4" spans="1:3">
      <c r="B4" s="29" t="s">
        <v>48</v>
      </c>
    </row>
    <row r="5" spans="1:3">
      <c r="C5" s="314" t="s">
        <v>541</v>
      </c>
    </row>
    <row r="6" spans="1:3">
      <c r="B6" s="29" t="s">
        <v>47</v>
      </c>
    </row>
    <row r="7" spans="1:3">
      <c r="C7" s="19" t="s">
        <v>46</v>
      </c>
    </row>
    <row r="8" spans="1:3">
      <c r="C8" s="19" t="s">
        <v>45</v>
      </c>
    </row>
    <row r="9" spans="1:3">
      <c r="A9" s="35"/>
      <c r="B9" s="29" t="s">
        <v>44</v>
      </c>
    </row>
    <row r="10" spans="1:3">
      <c r="C10" s="118" t="s">
        <v>302</v>
      </c>
    </row>
    <row r="11" spans="1:3">
      <c r="C11" s="36" t="s">
        <v>88</v>
      </c>
    </row>
    <row r="12" spans="1:3">
      <c r="C12" s="36" t="s">
        <v>90</v>
      </c>
    </row>
    <row r="13" spans="1:3">
      <c r="C13" s="36" t="s">
        <v>89</v>
      </c>
    </row>
    <row r="14" spans="1:3">
      <c r="B14" s="29" t="s">
        <v>43</v>
      </c>
    </row>
    <row r="15" spans="1:3">
      <c r="C15" s="19" t="s">
        <v>42</v>
      </c>
    </row>
    <row r="16" spans="1:3">
      <c r="C16" s="36" t="s">
        <v>91</v>
      </c>
    </row>
    <row r="17" spans="2:3">
      <c r="B17" s="29" t="s">
        <v>41</v>
      </c>
    </row>
    <row r="18" spans="2:3">
      <c r="C18" s="118" t="s">
        <v>303</v>
      </c>
    </row>
    <row r="19" spans="2:3">
      <c r="B19" s="29" t="s">
        <v>304</v>
      </c>
    </row>
    <row r="20" spans="2:3">
      <c r="C20" s="34" t="s">
        <v>81</v>
      </c>
    </row>
    <row r="21" spans="2:3">
      <c r="C21" s="34" t="s">
        <v>82</v>
      </c>
    </row>
  </sheetData>
  <pageMargins left="0.7" right="0.7" top="0.75" bottom="0.75" header="0.3" footer="0.3"/>
  <pageSetup orientation="portrait" horizontalDpi="4294967292" verticalDpi="429496729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C784E-7E0E-5B4D-8F7D-4BDC1031DC9F}">
  <sheetPr>
    <tabColor rgb="FFFF0000"/>
  </sheetPr>
  <dimension ref="B2:B3"/>
  <sheetViews>
    <sheetView workbookViewId="0"/>
  </sheetViews>
  <sheetFormatPr baseColWidth="10" defaultRowHeight="26"/>
  <cols>
    <col min="1" max="16384" width="10.83203125" style="167"/>
  </cols>
  <sheetData>
    <row r="2" spans="2:2">
      <c r="B2" s="167" t="s">
        <v>333</v>
      </c>
    </row>
    <row r="3" spans="2:2">
      <c r="B3" s="168" t="s">
        <v>320</v>
      </c>
    </row>
  </sheetData>
  <hyperlinks>
    <hyperlink ref="B3" r:id="rId1" xr:uid="{E1F4859D-726F-684F-AF4C-E4DF7205D640}"/>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50"/>
  </sheetPr>
  <dimension ref="B2:D9"/>
  <sheetViews>
    <sheetView workbookViewId="0"/>
  </sheetViews>
  <sheetFormatPr baseColWidth="10" defaultColWidth="10.83203125" defaultRowHeight="29"/>
  <cols>
    <col min="1" max="2" width="10.83203125" style="21"/>
    <col min="3" max="3" width="76.5" style="21" bestFit="1" customWidth="1"/>
    <col min="4" max="4" width="13.6640625" style="21" bestFit="1" customWidth="1"/>
    <col min="5" max="16384" width="10.83203125" style="21"/>
  </cols>
  <sheetData>
    <row r="2" spans="2:4">
      <c r="B2" s="21" t="s">
        <v>310</v>
      </c>
    </row>
    <row r="3" spans="2:4">
      <c r="B3" s="21" t="s">
        <v>306</v>
      </c>
      <c r="D3" s="22"/>
    </row>
    <row r="4" spans="2:4">
      <c r="D4" s="22"/>
    </row>
    <row r="9" spans="2:4">
      <c r="C9" s="3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00B050"/>
  </sheetPr>
  <dimension ref="B2:C8"/>
  <sheetViews>
    <sheetView workbookViewId="0"/>
  </sheetViews>
  <sheetFormatPr baseColWidth="10" defaultColWidth="10.83203125" defaultRowHeight="29"/>
  <cols>
    <col min="1" max="16384" width="10.83203125" style="20"/>
  </cols>
  <sheetData>
    <row r="2" spans="2:3">
      <c r="B2" s="20" t="s">
        <v>50</v>
      </c>
    </row>
    <row r="3" spans="2:3">
      <c r="C3" s="20" t="s">
        <v>305</v>
      </c>
    </row>
    <row r="6" spans="2:3">
      <c r="B6" s="20" t="s">
        <v>49</v>
      </c>
    </row>
    <row r="7" spans="2:3">
      <c r="C7" s="20" t="s">
        <v>51</v>
      </c>
    </row>
    <row r="8" spans="2:3">
      <c r="C8" s="20" t="s">
        <v>52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E1B489-3C31-6242-990D-1B8F1EBF64BE}">
  <sheetPr>
    <tabColor rgb="FFFFFF00"/>
  </sheetPr>
  <dimension ref="B1:C4"/>
  <sheetViews>
    <sheetView workbookViewId="0"/>
  </sheetViews>
  <sheetFormatPr baseColWidth="10" defaultColWidth="10.83203125" defaultRowHeight="26"/>
  <cols>
    <col min="1" max="1" width="10.83203125" style="27"/>
    <col min="2" max="2" width="23.5" style="27" customWidth="1"/>
    <col min="3" max="3" width="194.33203125" style="27" customWidth="1"/>
    <col min="4" max="4" width="13.6640625" style="27" bestFit="1" customWidth="1"/>
    <col min="5" max="16384" width="10.83203125" style="27"/>
  </cols>
  <sheetData>
    <row r="1" spans="2:3" ht="27" thickBot="1"/>
    <row r="2" spans="2:3" ht="28" thickBot="1">
      <c r="B2" s="120" t="s">
        <v>96</v>
      </c>
      <c r="C2" s="172" t="s">
        <v>337</v>
      </c>
    </row>
    <row r="3" spans="2:3" ht="136" thickBot="1">
      <c r="B3" s="170" t="s">
        <v>97</v>
      </c>
      <c r="C3" s="122" t="s">
        <v>338</v>
      </c>
    </row>
    <row r="4" spans="2:3" ht="312" customHeight="1" thickBot="1">
      <c r="B4" s="120" t="s">
        <v>98</v>
      </c>
      <c r="C4" s="121" t="s">
        <v>339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F4B1C-9184-F24B-9935-74F5F0910486}">
  <sheetPr>
    <tabColor rgb="FFFFFF00"/>
  </sheetPr>
  <dimension ref="B1:AP32"/>
  <sheetViews>
    <sheetView workbookViewId="0">
      <selection activeCell="AH28" sqref="AH28"/>
    </sheetView>
  </sheetViews>
  <sheetFormatPr baseColWidth="10" defaultColWidth="8.83203125" defaultRowHeight="15"/>
  <cols>
    <col min="1" max="1" width="2.83203125" style="173" customWidth="1"/>
    <col min="2" max="2" width="5" style="173" customWidth="1"/>
    <col min="3" max="3" width="27.6640625" style="173" customWidth="1"/>
    <col min="4" max="4" width="9.6640625" style="175" bestFit="1" customWidth="1"/>
    <col min="5" max="5" width="4.6640625" style="173" customWidth="1"/>
    <col min="6" max="6" width="4.5" style="173" customWidth="1"/>
    <col min="7" max="7" width="29.5" style="173" customWidth="1"/>
    <col min="8" max="13" width="8.83203125" style="173"/>
    <col min="14" max="14" width="6.33203125" style="173" customWidth="1"/>
    <col min="15" max="15" width="21.5" style="173" customWidth="1"/>
    <col min="16" max="16" width="10.83203125" style="175" customWidth="1"/>
    <col min="17" max="17" width="9.6640625" style="173" bestFit="1" customWidth="1"/>
    <col min="18" max="18" width="9.83203125" style="173" bestFit="1" customWidth="1"/>
    <col min="19" max="21" width="9.6640625" style="173" bestFit="1" customWidth="1"/>
    <col min="22" max="22" width="8.83203125" style="173"/>
    <col min="23" max="23" width="2.83203125" style="177" customWidth="1"/>
    <col min="24" max="24" width="8.83203125" style="173"/>
    <col min="25" max="25" width="6.33203125" style="173" customWidth="1"/>
    <col min="26" max="26" width="21.5" style="173" customWidth="1"/>
    <col min="27" max="27" width="9.83203125" style="173" bestFit="1" customWidth="1"/>
    <col min="28" max="35" width="8.83203125" style="173"/>
    <col min="36" max="36" width="17.6640625" style="173" bestFit="1" customWidth="1"/>
    <col min="37" max="16384" width="8.83203125" style="173"/>
  </cols>
  <sheetData>
    <row r="1" spans="2:42">
      <c r="B1" s="174" t="s">
        <v>135</v>
      </c>
      <c r="F1" s="174" t="s">
        <v>340</v>
      </c>
      <c r="N1" s="174" t="s">
        <v>136</v>
      </c>
      <c r="Q1" s="176"/>
      <c r="R1" s="176"/>
      <c r="S1" s="176"/>
      <c r="T1" s="176"/>
      <c r="U1" s="176"/>
      <c r="Y1" s="174" t="s">
        <v>341</v>
      </c>
    </row>
    <row r="2" spans="2:42">
      <c r="D2" s="175" t="s">
        <v>100</v>
      </c>
      <c r="H2" s="316">
        <v>2022</v>
      </c>
      <c r="I2" s="316"/>
      <c r="J2" s="316"/>
      <c r="K2" s="316"/>
      <c r="L2" s="178">
        <v>2023</v>
      </c>
      <c r="Q2" s="178" t="s">
        <v>104</v>
      </c>
      <c r="R2" s="178" t="s">
        <v>105</v>
      </c>
      <c r="S2" s="178" t="s">
        <v>106</v>
      </c>
      <c r="T2" s="178" t="s">
        <v>107</v>
      </c>
      <c r="U2" s="178" t="s">
        <v>104</v>
      </c>
      <c r="AB2" s="317" t="s">
        <v>137</v>
      </c>
      <c r="AC2" s="317"/>
      <c r="AD2" s="317"/>
      <c r="AE2" s="317"/>
      <c r="AF2" s="317"/>
    </row>
    <row r="3" spans="2:42">
      <c r="C3" s="174" t="s">
        <v>103</v>
      </c>
      <c r="D3" s="179">
        <v>44561</v>
      </c>
      <c r="F3" s="173" t="s">
        <v>100</v>
      </c>
      <c r="H3" s="178" t="s">
        <v>104</v>
      </c>
      <c r="I3" s="178" t="s">
        <v>105</v>
      </c>
      <c r="J3" s="178" t="s">
        <v>106</v>
      </c>
      <c r="K3" s="178" t="s">
        <v>107</v>
      </c>
      <c r="L3" s="178" t="s">
        <v>104</v>
      </c>
      <c r="P3" s="175" t="s">
        <v>138</v>
      </c>
      <c r="Q3" s="173" t="s">
        <v>342</v>
      </c>
      <c r="R3" s="173" t="s">
        <v>108</v>
      </c>
      <c r="S3" s="173" t="s">
        <v>108</v>
      </c>
      <c r="T3" s="173" t="s">
        <v>108</v>
      </c>
      <c r="U3" s="173" t="s">
        <v>108</v>
      </c>
      <c r="AA3" s="173" t="s">
        <v>343</v>
      </c>
      <c r="AB3" s="171" t="s">
        <v>139</v>
      </c>
      <c r="AC3" s="171" t="s">
        <v>140</v>
      </c>
      <c r="AD3" s="171" t="s">
        <v>141</v>
      </c>
      <c r="AE3" s="171" t="s">
        <v>142</v>
      </c>
      <c r="AF3" s="171" t="s">
        <v>143</v>
      </c>
      <c r="AG3" s="171" t="s">
        <v>344</v>
      </c>
      <c r="AK3" s="171" t="s">
        <v>139</v>
      </c>
      <c r="AL3" s="171" t="s">
        <v>140</v>
      </c>
      <c r="AM3" s="171" t="s">
        <v>141</v>
      </c>
      <c r="AN3" s="171" t="s">
        <v>142</v>
      </c>
      <c r="AO3" s="171" t="s">
        <v>143</v>
      </c>
      <c r="AP3" s="171" t="s">
        <v>344</v>
      </c>
    </row>
    <row r="4" spans="2:42">
      <c r="B4" s="173" t="s">
        <v>109</v>
      </c>
      <c r="D4" s="175">
        <f>SUM(D5:D8)</f>
        <v>470</v>
      </c>
      <c r="F4" s="174" t="s">
        <v>110</v>
      </c>
      <c r="H4" s="180">
        <f>SUM(H5:H10)</f>
        <v>499.5</v>
      </c>
      <c r="I4" s="180">
        <f>SUM(I5:I10)</f>
        <v>691</v>
      </c>
      <c r="J4" s="180">
        <f>SUM(J5:J10)</f>
        <v>832.5</v>
      </c>
      <c r="K4" s="180">
        <f>SUM(K5:K10)</f>
        <v>830</v>
      </c>
      <c r="L4" s="180">
        <f>SUM(L5:L10)</f>
        <v>515</v>
      </c>
      <c r="N4" s="181" t="s">
        <v>345</v>
      </c>
      <c r="P4" s="182"/>
      <c r="Q4" s="183">
        <f>-D6-D7+D16+H6+H7+H8+H16+H17+H18</f>
        <v>-460.125</v>
      </c>
      <c r="R4" s="183">
        <f>Q4+I6+I7+I8+I16+I17+I18</f>
        <v>-653.625</v>
      </c>
      <c r="S4" s="183">
        <f>R4+J6+J7+J8+J16+J17+J18</f>
        <v>-799.875</v>
      </c>
      <c r="T4" s="183">
        <f>S4+K6+K7+K8+K16+K17+K18</f>
        <v>-639.875</v>
      </c>
      <c r="U4" s="183">
        <f>T4+L6+L7+L8+L16+L17+L18</f>
        <v>-544.875</v>
      </c>
      <c r="Y4" s="181" t="s">
        <v>346</v>
      </c>
      <c r="AA4" s="183">
        <f>D16+H8+H18</f>
        <v>134.5</v>
      </c>
      <c r="AB4" s="183">
        <f>AA4*40%</f>
        <v>53.800000000000004</v>
      </c>
      <c r="AC4" s="183">
        <f>AA4*40%</f>
        <v>53.800000000000004</v>
      </c>
      <c r="AD4" s="183">
        <f>AA4*0.2</f>
        <v>26.900000000000002</v>
      </c>
      <c r="AE4" s="183"/>
      <c r="AF4" s="183"/>
      <c r="AG4" s="183"/>
      <c r="AJ4" s="173" t="s">
        <v>347</v>
      </c>
      <c r="AK4" s="184"/>
      <c r="AL4" s="184"/>
      <c r="AM4" s="184"/>
      <c r="AN4" s="184"/>
      <c r="AO4" s="184"/>
      <c r="AP4" s="184"/>
    </row>
    <row r="5" spans="2:42">
      <c r="C5" s="185" t="s">
        <v>111</v>
      </c>
      <c r="D5" s="186">
        <v>50</v>
      </c>
      <c r="G5" s="185" t="s">
        <v>112</v>
      </c>
      <c r="H5" s="187">
        <v>450</v>
      </c>
      <c r="I5" s="187">
        <v>600</v>
      </c>
      <c r="J5" s="187">
        <v>750</v>
      </c>
      <c r="K5" s="187">
        <v>650</v>
      </c>
      <c r="L5" s="187">
        <v>400</v>
      </c>
      <c r="N5" s="315"/>
      <c r="O5" s="185" t="s">
        <v>144</v>
      </c>
      <c r="P5" s="188" t="s">
        <v>113</v>
      </c>
      <c r="Q5" s="189">
        <f>Q4*60%</f>
        <v>-276.07499999999999</v>
      </c>
      <c r="R5" s="189">
        <f>R4*60%</f>
        <v>-392.17500000000001</v>
      </c>
      <c r="S5" s="189">
        <f>S4*60%</f>
        <v>-479.92499999999995</v>
      </c>
      <c r="T5" s="189">
        <f>T4*60%</f>
        <v>-383.92500000000001</v>
      </c>
      <c r="U5" s="189">
        <f>U4*60%</f>
        <v>-326.92500000000001</v>
      </c>
      <c r="Y5" s="315"/>
      <c r="Z5" s="185" t="s">
        <v>160</v>
      </c>
      <c r="AA5" s="190">
        <f>AA4*0.6</f>
        <v>80.7</v>
      </c>
      <c r="AB5" s="189">
        <f>AB4*60%</f>
        <v>32.28</v>
      </c>
      <c r="AC5" s="189">
        <f>AC4*60%</f>
        <v>32.28</v>
      </c>
      <c r="AD5" s="189">
        <f>AD4*60%</f>
        <v>16.14</v>
      </c>
      <c r="AE5" s="189"/>
      <c r="AF5" s="189"/>
      <c r="AG5" s="189"/>
      <c r="AJ5" s="173" t="s">
        <v>348</v>
      </c>
      <c r="AK5" s="191"/>
      <c r="AL5" s="191"/>
      <c r="AM5" s="191"/>
      <c r="AN5" s="191"/>
      <c r="AO5" s="191"/>
      <c r="AP5" s="191"/>
    </row>
    <row r="6" spans="2:42">
      <c r="C6" s="185" t="s">
        <v>145</v>
      </c>
      <c r="D6" s="186">
        <v>300</v>
      </c>
      <c r="G6" s="185" t="s">
        <v>114</v>
      </c>
      <c r="H6" s="187">
        <v>0</v>
      </c>
      <c r="I6" s="187">
        <v>0</v>
      </c>
      <c r="J6" s="187">
        <v>0</v>
      </c>
      <c r="K6" s="187">
        <v>150</v>
      </c>
      <c r="L6" s="187">
        <v>100</v>
      </c>
      <c r="N6" s="315"/>
      <c r="O6" s="185" t="s">
        <v>146</v>
      </c>
      <c r="P6" s="188" t="s">
        <v>113</v>
      </c>
      <c r="Q6" s="189">
        <f>Q4*10%</f>
        <v>-46.012500000000003</v>
      </c>
      <c r="R6" s="189">
        <f>R4*10%</f>
        <v>-65.362499999999997</v>
      </c>
      <c r="S6" s="189">
        <f>S4*10%</f>
        <v>-79.987500000000011</v>
      </c>
      <c r="T6" s="189">
        <f>T4*10%</f>
        <v>-63.987500000000004</v>
      </c>
      <c r="U6" s="189">
        <f>U4*10%</f>
        <v>-54.487500000000004</v>
      </c>
      <c r="Y6" s="315"/>
      <c r="Z6" s="185" t="s">
        <v>161</v>
      </c>
      <c r="AA6" s="190">
        <f>AA4*0.1</f>
        <v>13.450000000000001</v>
      </c>
      <c r="AB6" s="189">
        <f>AB4*10%</f>
        <v>5.3800000000000008</v>
      </c>
      <c r="AC6" s="189">
        <f>AC4*10%</f>
        <v>5.3800000000000008</v>
      </c>
      <c r="AD6" s="189">
        <f>AD4*10%</f>
        <v>2.6900000000000004</v>
      </c>
      <c r="AE6" s="189"/>
      <c r="AF6" s="189"/>
      <c r="AG6" s="189"/>
      <c r="AJ6" s="173" t="s">
        <v>349</v>
      </c>
      <c r="AK6" s="191"/>
      <c r="AL6" s="191"/>
      <c r="AM6" s="191"/>
      <c r="AN6" s="191"/>
      <c r="AO6" s="191"/>
      <c r="AP6" s="191"/>
    </row>
    <row r="7" spans="2:42">
      <c r="C7" s="185" t="s">
        <v>114</v>
      </c>
      <c r="D7" s="186">
        <v>100</v>
      </c>
      <c r="G7" s="185" t="s">
        <v>145</v>
      </c>
      <c r="H7" s="187">
        <v>0</v>
      </c>
      <c r="I7" s="187">
        <v>0</v>
      </c>
      <c r="J7" s="187">
        <v>0</v>
      </c>
      <c r="K7" s="187">
        <v>25</v>
      </c>
      <c r="L7" s="187">
        <v>15</v>
      </c>
      <c r="N7" s="315"/>
      <c r="O7" s="185" t="s">
        <v>147</v>
      </c>
      <c r="P7" s="188" t="s">
        <v>113</v>
      </c>
      <c r="Q7" s="189">
        <f>Q4*15%</f>
        <v>-69.018749999999997</v>
      </c>
      <c r="R7" s="189">
        <f>R4*15%</f>
        <v>-98.043750000000003</v>
      </c>
      <c r="S7" s="189">
        <f>S4*15%</f>
        <v>-119.98124999999999</v>
      </c>
      <c r="T7" s="189">
        <f>T4*15%</f>
        <v>-95.981250000000003</v>
      </c>
      <c r="U7" s="189">
        <f>U4*15%</f>
        <v>-81.731250000000003</v>
      </c>
      <c r="Y7" s="315"/>
      <c r="Z7" s="185" t="s">
        <v>162</v>
      </c>
      <c r="AA7" s="190">
        <f>AA4*0.15</f>
        <v>20.175000000000001</v>
      </c>
      <c r="AB7" s="189">
        <f>AB4*15%</f>
        <v>8.07</v>
      </c>
      <c r="AC7" s="189">
        <f>AC4*15%</f>
        <v>8.07</v>
      </c>
      <c r="AD7" s="189">
        <f>AD4*15%</f>
        <v>4.0350000000000001</v>
      </c>
      <c r="AE7" s="189"/>
      <c r="AF7" s="189"/>
      <c r="AG7" s="189"/>
      <c r="AJ7" s="173" t="s">
        <v>350</v>
      </c>
      <c r="AK7" s="191"/>
      <c r="AL7" s="191"/>
      <c r="AM7" s="191"/>
      <c r="AN7" s="191"/>
      <c r="AO7" s="191"/>
      <c r="AP7" s="191"/>
    </row>
    <row r="8" spans="2:42">
      <c r="C8" s="185" t="s">
        <v>148</v>
      </c>
      <c r="D8" s="186">
        <v>20</v>
      </c>
      <c r="G8" s="185" t="s">
        <v>126</v>
      </c>
      <c r="H8" s="187">
        <f>-H12*20%</f>
        <v>49.500000000000007</v>
      </c>
      <c r="I8" s="187">
        <f>-I12*20%</f>
        <v>66</v>
      </c>
      <c r="J8" s="187">
        <f>-J12*20%</f>
        <v>82.500000000000014</v>
      </c>
      <c r="K8" s="187">
        <v>0</v>
      </c>
      <c r="L8" s="187">
        <v>0</v>
      </c>
      <c r="N8" s="315"/>
      <c r="O8" s="185" t="s">
        <v>149</v>
      </c>
      <c r="P8" s="188" t="s">
        <v>113</v>
      </c>
      <c r="Q8" s="189">
        <f>Q4*15%</f>
        <v>-69.018749999999997</v>
      </c>
      <c r="R8" s="189">
        <f>R4*15%</f>
        <v>-98.043750000000003</v>
      </c>
      <c r="S8" s="189">
        <f>S4*15%</f>
        <v>-119.98124999999999</v>
      </c>
      <c r="T8" s="189">
        <f>T4*15%</f>
        <v>-95.981250000000003</v>
      </c>
      <c r="U8" s="189">
        <f>U4*15%</f>
        <v>-81.731250000000003</v>
      </c>
      <c r="Y8" s="315"/>
      <c r="Z8" s="185" t="s">
        <v>155</v>
      </c>
      <c r="AA8" s="190">
        <f>AA4*0.15</f>
        <v>20.175000000000001</v>
      </c>
      <c r="AB8" s="189">
        <f>AB4*15%</f>
        <v>8.07</v>
      </c>
      <c r="AC8" s="189">
        <f>AC4*15%</f>
        <v>8.07</v>
      </c>
      <c r="AD8" s="189">
        <f>AD4*15%</f>
        <v>4.0350000000000001</v>
      </c>
      <c r="AE8" s="189"/>
      <c r="AF8" s="189"/>
      <c r="AG8" s="189"/>
      <c r="AJ8" s="173" t="s">
        <v>351</v>
      </c>
      <c r="AK8" s="191"/>
      <c r="AL8" s="191"/>
      <c r="AM8" s="191"/>
      <c r="AN8" s="191"/>
      <c r="AO8" s="191"/>
      <c r="AP8" s="191"/>
    </row>
    <row r="9" spans="2:42">
      <c r="B9" s="173" t="s">
        <v>116</v>
      </c>
      <c r="D9" s="175">
        <f>SUM(D10:D11)</f>
        <v>750</v>
      </c>
      <c r="G9" s="185" t="s">
        <v>150</v>
      </c>
      <c r="H9" s="187">
        <v>0</v>
      </c>
      <c r="I9" s="187">
        <v>25</v>
      </c>
      <c r="J9" s="187">
        <v>0</v>
      </c>
      <c r="K9" s="187">
        <v>5</v>
      </c>
      <c r="L9" s="187">
        <v>0</v>
      </c>
      <c r="N9" s="174" t="s">
        <v>352</v>
      </c>
      <c r="P9" s="192"/>
      <c r="Q9" s="193">
        <f>H28</f>
        <v>380</v>
      </c>
      <c r="R9" s="193">
        <f>I28</f>
        <v>420</v>
      </c>
      <c r="S9" s="193">
        <f>J28</f>
        <v>420</v>
      </c>
      <c r="T9" s="193">
        <f>K28</f>
        <v>245</v>
      </c>
      <c r="U9" s="193">
        <f>L28</f>
        <v>215</v>
      </c>
      <c r="Y9" s="174" t="s">
        <v>352</v>
      </c>
      <c r="AA9" s="193">
        <f t="shared" ref="AA9:AA23" si="0">Q9</f>
        <v>380</v>
      </c>
      <c r="AB9" s="193">
        <f>AA9*60%</f>
        <v>228</v>
      </c>
      <c r="AC9" s="193">
        <f>AA9*20%</f>
        <v>76</v>
      </c>
      <c r="AD9" s="193">
        <f>AA9*20%</f>
        <v>76</v>
      </c>
      <c r="AE9" s="193"/>
      <c r="AF9" s="193"/>
      <c r="AG9" s="193"/>
      <c r="AJ9" s="173" t="s">
        <v>353</v>
      </c>
      <c r="AK9" s="194"/>
      <c r="AL9" s="194"/>
      <c r="AM9" s="194"/>
      <c r="AN9" s="194"/>
      <c r="AO9" s="194"/>
      <c r="AP9" s="194"/>
    </row>
    <row r="10" spans="2:42">
      <c r="C10" s="185" t="s">
        <v>117</v>
      </c>
      <c r="D10" s="186">
        <v>750</v>
      </c>
      <c r="G10" s="185" t="s">
        <v>115</v>
      </c>
      <c r="H10" s="187">
        <v>0</v>
      </c>
      <c r="I10" s="187">
        <v>0</v>
      </c>
      <c r="J10" s="187">
        <v>0</v>
      </c>
      <c r="K10" s="187">
        <v>0</v>
      </c>
      <c r="L10" s="187">
        <v>0</v>
      </c>
      <c r="N10" s="315"/>
      <c r="O10" s="185" t="s">
        <v>160</v>
      </c>
      <c r="P10" s="195">
        <v>2.5000000000000001E-2</v>
      </c>
      <c r="Q10" s="196">
        <f>Q9*0.6</f>
        <v>228</v>
      </c>
      <c r="R10" s="196">
        <f>R9*0.6</f>
        <v>252</v>
      </c>
      <c r="S10" s="196">
        <f>S9*0.6</f>
        <v>252</v>
      </c>
      <c r="T10" s="196">
        <f>T9*0.6</f>
        <v>147</v>
      </c>
      <c r="U10" s="196">
        <f>U9*0.6</f>
        <v>129</v>
      </c>
      <c r="Y10" s="315"/>
      <c r="Z10" s="185" t="s">
        <v>160</v>
      </c>
      <c r="AA10" s="193">
        <f t="shared" si="0"/>
        <v>228</v>
      </c>
      <c r="AB10" s="190">
        <f>AB9*60%+10</f>
        <v>146.79999999999998</v>
      </c>
      <c r="AC10" s="190">
        <f>AC9*60%+10</f>
        <v>55.6</v>
      </c>
      <c r="AD10" s="190">
        <f>AD9*60%+10</f>
        <v>55.6</v>
      </c>
      <c r="AE10" s="190"/>
      <c r="AF10" s="190"/>
      <c r="AG10" s="190"/>
      <c r="AJ10" s="173" t="s">
        <v>354</v>
      </c>
      <c r="AK10" s="197"/>
      <c r="AL10" s="197"/>
      <c r="AM10" s="197"/>
      <c r="AN10" s="197"/>
      <c r="AO10" s="197"/>
      <c r="AP10" s="197"/>
    </row>
    <row r="11" spans="2:42">
      <c r="C11" s="185" t="s">
        <v>118</v>
      </c>
      <c r="D11" s="186">
        <v>0</v>
      </c>
      <c r="F11" s="174" t="s">
        <v>119</v>
      </c>
      <c r="H11" s="180">
        <f>SUM(H12:H20)</f>
        <v>-696.89166666666665</v>
      </c>
      <c r="I11" s="180">
        <f>SUM(I12:I20)</f>
        <v>-864.21354166666674</v>
      </c>
      <c r="J11" s="180">
        <f>SUM(J12:J20)</f>
        <v>-899.28770008250842</v>
      </c>
      <c r="K11" s="180">
        <f>SUM(K12:K20)</f>
        <v>-650.66790364583346</v>
      </c>
      <c r="L11" s="180">
        <f>SUM(L12:L20)</f>
        <v>-487.88352864583339</v>
      </c>
      <c r="N11" s="315"/>
      <c r="O11" s="185" t="s">
        <v>161</v>
      </c>
      <c r="P11" s="195">
        <v>0.03</v>
      </c>
      <c r="Q11" s="196">
        <f>Q9*0.1</f>
        <v>38</v>
      </c>
      <c r="R11" s="196">
        <f>R9*0.1</f>
        <v>42</v>
      </c>
      <c r="S11" s="196">
        <f>S9*0.1</f>
        <v>42</v>
      </c>
      <c r="T11" s="196">
        <f>T9*0.1</f>
        <v>24.5</v>
      </c>
      <c r="U11" s="196">
        <f>U9*0.1</f>
        <v>21.5</v>
      </c>
      <c r="Y11" s="315"/>
      <c r="Z11" s="185" t="s">
        <v>161</v>
      </c>
      <c r="AA11" s="193">
        <f t="shared" si="0"/>
        <v>38</v>
      </c>
      <c r="AB11" s="190">
        <f>AB9*10%</f>
        <v>22.8</v>
      </c>
      <c r="AC11" s="190">
        <f>AC9*10%</f>
        <v>7.6000000000000005</v>
      </c>
      <c r="AD11" s="190">
        <f>AD9*10%</f>
        <v>7.6000000000000005</v>
      </c>
      <c r="AE11" s="190"/>
      <c r="AF11" s="190"/>
      <c r="AG11" s="190"/>
      <c r="AJ11" s="173" t="s">
        <v>355</v>
      </c>
      <c r="AK11" s="197"/>
      <c r="AL11" s="197"/>
      <c r="AM11" s="197"/>
      <c r="AN11" s="197"/>
      <c r="AO11" s="197"/>
      <c r="AP11" s="197"/>
    </row>
    <row r="12" spans="2:42">
      <c r="C12" s="174" t="s">
        <v>122</v>
      </c>
      <c r="D12" s="198">
        <f>SUM(D4,D9)</f>
        <v>1220</v>
      </c>
      <c r="G12" s="185" t="s">
        <v>151</v>
      </c>
      <c r="H12" s="187">
        <f>-H5*55%</f>
        <v>-247.50000000000003</v>
      </c>
      <c r="I12" s="187">
        <f>-I5*55%</f>
        <v>-330</v>
      </c>
      <c r="J12" s="187">
        <f>-J5*55%</f>
        <v>-412.50000000000006</v>
      </c>
      <c r="K12" s="187">
        <f>-K5*55%</f>
        <v>-357.50000000000006</v>
      </c>
      <c r="L12" s="187">
        <f>-L5*55%</f>
        <v>-220.00000000000003</v>
      </c>
      <c r="N12" s="315"/>
      <c r="O12" s="185" t="s">
        <v>162</v>
      </c>
      <c r="P12" s="195">
        <v>0.02</v>
      </c>
      <c r="Q12" s="196">
        <f>Q9*0.15</f>
        <v>57</v>
      </c>
      <c r="R12" s="196">
        <f>R9*0.15</f>
        <v>63</v>
      </c>
      <c r="S12" s="196">
        <f>S9*0.15</f>
        <v>63</v>
      </c>
      <c r="T12" s="196">
        <f>T9*0.15</f>
        <v>36.75</v>
      </c>
      <c r="U12" s="196">
        <f>U9*0.15</f>
        <v>32.25</v>
      </c>
      <c r="Y12" s="315"/>
      <c r="Z12" s="185" t="s">
        <v>162</v>
      </c>
      <c r="AA12" s="193">
        <f t="shared" si="0"/>
        <v>57</v>
      </c>
      <c r="AB12" s="190">
        <f>AB9*15%</f>
        <v>34.199999999999996</v>
      </c>
      <c r="AC12" s="190">
        <f>AC9*15%</f>
        <v>11.4</v>
      </c>
      <c r="AD12" s="193">
        <f>AD9*15%</f>
        <v>11.4</v>
      </c>
      <c r="AE12" s="193"/>
      <c r="AF12" s="193"/>
      <c r="AG12" s="193"/>
      <c r="AJ12" s="173" t="s">
        <v>356</v>
      </c>
      <c r="AK12" s="197"/>
      <c r="AL12" s="197"/>
      <c r="AM12" s="194"/>
      <c r="AN12" s="194"/>
      <c r="AO12" s="194"/>
      <c r="AP12" s="194"/>
    </row>
    <row r="13" spans="2:42">
      <c r="C13" s="174"/>
      <c r="D13" s="198"/>
      <c r="G13" s="185" t="s">
        <v>120</v>
      </c>
      <c r="H13" s="187">
        <v>-160</v>
      </c>
      <c r="I13" s="187">
        <f>-160*1.02</f>
        <v>-163.19999999999999</v>
      </c>
      <c r="J13" s="187">
        <f>I13/1.01</f>
        <v>-161.58415841584159</v>
      </c>
      <c r="K13" s="187">
        <f>H13*0.98</f>
        <v>-156.80000000000001</v>
      </c>
      <c r="L13" s="187">
        <f>H13*1.02</f>
        <v>-163.19999999999999</v>
      </c>
      <c r="N13" s="315"/>
      <c r="O13" s="185" t="s">
        <v>155</v>
      </c>
      <c r="P13" s="195">
        <v>7.0000000000000007E-2</v>
      </c>
      <c r="Q13" s="196">
        <f>Q9*0.15</f>
        <v>57</v>
      </c>
      <c r="R13" s="196">
        <f>R9*0.15</f>
        <v>63</v>
      </c>
      <c r="S13" s="196">
        <f>S9*0.15</f>
        <v>63</v>
      </c>
      <c r="T13" s="196">
        <f>T9*0.15</f>
        <v>36.75</v>
      </c>
      <c r="U13" s="196">
        <f>U9*0.15</f>
        <v>32.25</v>
      </c>
      <c r="Y13" s="315"/>
      <c r="Z13" s="185" t="s">
        <v>155</v>
      </c>
      <c r="AA13" s="193">
        <f t="shared" si="0"/>
        <v>57</v>
      </c>
      <c r="AB13" s="190">
        <f>AB9*15%-10</f>
        <v>24.199999999999996</v>
      </c>
      <c r="AC13" s="190">
        <f>AC9*15%-10</f>
        <v>1.4000000000000004</v>
      </c>
      <c r="AD13" s="193">
        <f>AD9*15%-10</f>
        <v>1.4000000000000004</v>
      </c>
      <c r="AE13" s="193"/>
      <c r="AF13" s="193"/>
      <c r="AG13" s="193"/>
      <c r="AJ13" s="173" t="s">
        <v>357</v>
      </c>
      <c r="AK13" s="197"/>
      <c r="AL13" s="197"/>
      <c r="AM13" s="194"/>
      <c r="AN13" s="194"/>
      <c r="AO13" s="194"/>
      <c r="AP13" s="194"/>
    </row>
    <row r="14" spans="2:42">
      <c r="C14" s="174" t="s">
        <v>124</v>
      </c>
      <c r="G14" s="185" t="s">
        <v>152</v>
      </c>
      <c r="H14" s="187">
        <v>-60</v>
      </c>
      <c r="I14" s="187">
        <f>H14*0.98</f>
        <v>-58.8</v>
      </c>
      <c r="J14" s="187">
        <f>H14*1.02</f>
        <v>-61.2</v>
      </c>
      <c r="K14" s="187">
        <f>J14</f>
        <v>-61.2</v>
      </c>
      <c r="L14" s="187">
        <f>H14*1.02</f>
        <v>-61.2</v>
      </c>
      <c r="N14" s="174" t="s">
        <v>358</v>
      </c>
      <c r="P14" s="192"/>
      <c r="Q14" s="193">
        <f>H29</f>
        <v>260</v>
      </c>
      <c r="R14" s="193">
        <f>I29</f>
        <v>343.75</v>
      </c>
      <c r="S14" s="193">
        <f>J29</f>
        <v>409.75</v>
      </c>
      <c r="T14" s="193">
        <f>K29</f>
        <v>384.140625</v>
      </c>
      <c r="U14" s="193">
        <f>L29</f>
        <v>384.140625</v>
      </c>
      <c r="Y14" s="174" t="s">
        <v>358</v>
      </c>
      <c r="AA14" s="193">
        <f t="shared" si="0"/>
        <v>260</v>
      </c>
      <c r="AB14" s="193"/>
      <c r="AC14" s="193"/>
      <c r="AD14" s="193">
        <f>AA14*10%</f>
        <v>26</v>
      </c>
      <c r="AE14" s="193">
        <f>AA14*10%</f>
        <v>26</v>
      </c>
      <c r="AF14" s="193">
        <f>AA14*30%</f>
        <v>78</v>
      </c>
      <c r="AG14" s="193">
        <f>AA14-AD14-AE14-AF14</f>
        <v>130</v>
      </c>
      <c r="AJ14" s="173" t="s">
        <v>359</v>
      </c>
      <c r="AK14" s="194"/>
      <c r="AL14" s="194"/>
      <c r="AM14" s="194"/>
      <c r="AN14" s="194"/>
      <c r="AO14" s="194"/>
      <c r="AP14" s="194"/>
    </row>
    <row r="15" spans="2:42">
      <c r="B15" s="173" t="s">
        <v>125</v>
      </c>
      <c r="D15" s="175">
        <f>SUM(D16:D18)</f>
        <v>270</v>
      </c>
      <c r="G15" s="185" t="s">
        <v>153</v>
      </c>
      <c r="H15" s="187">
        <f>-SUM(H28:H29)*AVERAGE($P$15:$P$17)/2</f>
        <v>-12.266666666666667</v>
      </c>
      <c r="I15" s="187">
        <f>-SUM(I28:I29)*AVERAGE($P$15:$P$17)/2</f>
        <v>-14.638541666666669</v>
      </c>
      <c r="J15" s="187">
        <f>-SUM(J28:J29)*AVERAGE($P$15:$P$17)/2</f>
        <v>-15.903541666666669</v>
      </c>
      <c r="K15" s="187">
        <f>-SUM(K28:K29)*AVERAGE($P$15:$P$17)/2</f>
        <v>-12.058528645833334</v>
      </c>
      <c r="L15" s="187">
        <f>-SUM(L28:L29)*AVERAGE($P$15:$P$17)/2</f>
        <v>-11.483528645833335</v>
      </c>
      <c r="N15" s="315"/>
      <c r="O15" s="185" t="s">
        <v>160</v>
      </c>
      <c r="P15" s="195">
        <v>3.5000000000000003E-2</v>
      </c>
      <c r="Q15" s="196">
        <f>Q14*(0.6+0.05)</f>
        <v>169</v>
      </c>
      <c r="R15" s="196">
        <f>R14*(0.6+0.05)</f>
        <v>223.4375</v>
      </c>
      <c r="S15" s="196">
        <f>S14*(0.6+0.05)</f>
        <v>266.33750000000003</v>
      </c>
      <c r="T15" s="196">
        <f>T14*(0.6+0.05)</f>
        <v>249.69140625</v>
      </c>
      <c r="U15" s="196">
        <f>U14*(0.6+0.05)</f>
        <v>249.69140625</v>
      </c>
      <c r="Y15" s="315"/>
      <c r="Z15" s="185" t="s">
        <v>160</v>
      </c>
      <c r="AA15" s="193">
        <f t="shared" si="0"/>
        <v>169</v>
      </c>
      <c r="AB15" s="190"/>
      <c r="AC15" s="190"/>
      <c r="AD15" s="193">
        <f>AD14*75%</f>
        <v>19.5</v>
      </c>
      <c r="AE15" s="193">
        <f>AE14*75%</f>
        <v>19.5</v>
      </c>
      <c r="AF15" s="193">
        <f>AF14*75%</f>
        <v>58.5</v>
      </c>
      <c r="AG15" s="193">
        <f>AG14*75%</f>
        <v>97.5</v>
      </c>
      <c r="AJ15" s="173" t="s">
        <v>360</v>
      </c>
      <c r="AK15" s="197"/>
      <c r="AL15" s="197"/>
      <c r="AM15" s="194"/>
      <c r="AN15" s="194"/>
      <c r="AO15" s="194"/>
      <c r="AP15" s="194"/>
    </row>
    <row r="16" spans="2:42">
      <c r="C16" s="185" t="s">
        <v>126</v>
      </c>
      <c r="D16" s="186">
        <v>85</v>
      </c>
      <c r="G16" s="185" t="s">
        <v>114</v>
      </c>
      <c r="H16" s="187">
        <f>-H5*35%</f>
        <v>-157.5</v>
      </c>
      <c r="I16" s="187">
        <f>-I5*35%</f>
        <v>-210</v>
      </c>
      <c r="J16" s="187">
        <f>-J5*25%</f>
        <v>-187.5</v>
      </c>
      <c r="K16" s="187">
        <v>0</v>
      </c>
      <c r="L16" s="187">
        <v>0</v>
      </c>
      <c r="N16" s="315"/>
      <c r="O16" s="185" t="s">
        <v>161</v>
      </c>
      <c r="P16" s="195">
        <v>0.04</v>
      </c>
      <c r="Q16" s="196">
        <f>Q14*(0.1+0.05)</f>
        <v>39.000000000000007</v>
      </c>
      <c r="R16" s="196">
        <f>R14*(0.1+0.05)</f>
        <v>51.562500000000007</v>
      </c>
      <c r="S16" s="196">
        <f>S14*(0.1+0.05)</f>
        <v>61.462500000000006</v>
      </c>
      <c r="T16" s="196">
        <f>T14*(0.1+0.05)</f>
        <v>57.621093750000007</v>
      </c>
      <c r="U16" s="196">
        <f>U14*(0.1+0.05)</f>
        <v>57.621093750000007</v>
      </c>
      <c r="Y16" s="315"/>
      <c r="Z16" s="185" t="s">
        <v>161</v>
      </c>
      <c r="AA16" s="193">
        <f t="shared" si="0"/>
        <v>39.000000000000007</v>
      </c>
      <c r="AB16" s="190"/>
      <c r="AC16" s="190"/>
      <c r="AD16" s="193">
        <f>AD14*10%</f>
        <v>2.6</v>
      </c>
      <c r="AE16" s="193">
        <f>AE14*10%</f>
        <v>2.6</v>
      </c>
      <c r="AF16" s="193">
        <f>AF14*10%</f>
        <v>7.8000000000000007</v>
      </c>
      <c r="AG16" s="193">
        <f>AG14*10%</f>
        <v>13</v>
      </c>
      <c r="AJ16" s="173" t="s">
        <v>361</v>
      </c>
      <c r="AK16" s="194"/>
      <c r="AL16" s="194"/>
      <c r="AM16" s="194"/>
      <c r="AN16" s="194"/>
      <c r="AO16" s="194"/>
      <c r="AP16" s="194"/>
    </row>
    <row r="17" spans="2:42">
      <c r="C17" s="185" t="s">
        <v>128</v>
      </c>
      <c r="D17" s="186">
        <v>180</v>
      </c>
      <c r="G17" s="185" t="s">
        <v>145</v>
      </c>
      <c r="H17" s="187">
        <f>H12*15%</f>
        <v>-37.125</v>
      </c>
      <c r="I17" s="187">
        <f>I12*15%</f>
        <v>-49.5</v>
      </c>
      <c r="J17" s="187">
        <f>J12*10%</f>
        <v>-41.250000000000007</v>
      </c>
      <c r="K17" s="187">
        <v>0</v>
      </c>
      <c r="L17" s="187">
        <v>0</v>
      </c>
      <c r="N17" s="315"/>
      <c r="O17" s="185" t="s">
        <v>162</v>
      </c>
      <c r="P17" s="195">
        <v>0.04</v>
      </c>
      <c r="Q17" s="196">
        <f>Q14*(0.15+0.05)</f>
        <v>52</v>
      </c>
      <c r="R17" s="196">
        <f>R14*(0.15+0.05)</f>
        <v>68.75</v>
      </c>
      <c r="S17" s="196">
        <f>S14*(0.15+0.05)</f>
        <v>81.95</v>
      </c>
      <c r="T17" s="196">
        <f>T14*(0.15+0.05)</f>
        <v>76.828125</v>
      </c>
      <c r="U17" s="196">
        <f>U14*(0.15+0.05)</f>
        <v>76.828125</v>
      </c>
      <c r="Y17" s="315"/>
      <c r="Z17" s="185" t="s">
        <v>162</v>
      </c>
      <c r="AA17" s="193">
        <f t="shared" si="0"/>
        <v>52</v>
      </c>
      <c r="AB17" s="190"/>
      <c r="AC17" s="190"/>
      <c r="AD17" s="193">
        <f>AD14*15%</f>
        <v>3.9</v>
      </c>
      <c r="AE17" s="193">
        <f>AE14*15%</f>
        <v>3.9</v>
      </c>
      <c r="AF17" s="193">
        <f>AF14*15%</f>
        <v>11.7</v>
      </c>
      <c r="AG17" s="193">
        <f>AG14*15%</f>
        <v>19.5</v>
      </c>
      <c r="AJ17" s="173" t="s">
        <v>362</v>
      </c>
      <c r="AK17" s="194"/>
      <c r="AL17" s="194"/>
      <c r="AM17" s="194"/>
      <c r="AN17" s="194"/>
      <c r="AO17" s="194"/>
      <c r="AP17" s="194"/>
    </row>
    <row r="18" spans="2:42">
      <c r="C18" s="185" t="s">
        <v>154</v>
      </c>
      <c r="D18" s="186">
        <v>5</v>
      </c>
      <c r="G18" s="185" t="s">
        <v>126</v>
      </c>
      <c r="H18" s="187">
        <v>0</v>
      </c>
      <c r="I18" s="187">
        <v>0</v>
      </c>
      <c r="J18" s="187">
        <v>0</v>
      </c>
      <c r="K18" s="187">
        <v>-15</v>
      </c>
      <c r="L18" s="187">
        <v>-20</v>
      </c>
      <c r="N18" s="315"/>
      <c r="O18" s="185" t="s">
        <v>155</v>
      </c>
      <c r="P18" s="199" t="s">
        <v>156</v>
      </c>
      <c r="Q18" s="193"/>
      <c r="R18" s="193"/>
      <c r="S18" s="190"/>
      <c r="T18" s="190"/>
      <c r="U18" s="190"/>
      <c r="Y18" s="315"/>
      <c r="Z18" s="185" t="s">
        <v>155</v>
      </c>
      <c r="AA18" s="193">
        <f t="shared" si="0"/>
        <v>0</v>
      </c>
      <c r="AB18" s="193"/>
      <c r="AC18" s="193"/>
      <c r="AD18" s="193"/>
      <c r="AE18" s="193"/>
      <c r="AF18" s="193"/>
      <c r="AG18" s="193"/>
      <c r="AJ18" s="173" t="s">
        <v>363</v>
      </c>
      <c r="AK18" s="200"/>
      <c r="AL18" s="194"/>
      <c r="AM18" s="194"/>
      <c r="AN18" s="194"/>
      <c r="AO18" s="194"/>
      <c r="AP18" s="194"/>
    </row>
    <row r="19" spans="2:42">
      <c r="C19" s="173" t="s">
        <v>130</v>
      </c>
      <c r="D19" s="201">
        <v>260</v>
      </c>
      <c r="G19" s="185" t="s">
        <v>157</v>
      </c>
      <c r="H19" s="187">
        <v>0</v>
      </c>
      <c r="I19" s="187">
        <f>-H29/16</f>
        <v>-16.25</v>
      </c>
      <c r="J19" s="187">
        <v>0</v>
      </c>
      <c r="K19" s="187">
        <f>-J29/16</f>
        <v>-25.609375</v>
      </c>
      <c r="L19" s="187">
        <v>0</v>
      </c>
      <c r="N19" s="174" t="s">
        <v>158</v>
      </c>
      <c r="O19" s="185"/>
      <c r="P19" s="188"/>
      <c r="Q19" s="193">
        <f>Q24-Q14-Q9-SUM(Q20:Q23)</f>
        <v>360</v>
      </c>
      <c r="R19" s="193">
        <f>R24-R14-R9-SUM(R20:R23)</f>
        <v>236.25</v>
      </c>
      <c r="S19" s="193">
        <f>S24-S14-S9-SUM(S20:S23)</f>
        <v>170.25</v>
      </c>
      <c r="T19" s="193">
        <f>T24-T14-T9-SUM(T20:T23)</f>
        <v>370.859375</v>
      </c>
      <c r="U19" s="193">
        <f>U24-U14-U9-SUM(U20:U23)</f>
        <v>400.859375</v>
      </c>
      <c r="Y19" s="174" t="s">
        <v>158</v>
      </c>
      <c r="Z19" s="185"/>
      <c r="AA19" s="193">
        <f t="shared" si="0"/>
        <v>360</v>
      </c>
      <c r="AB19" s="193"/>
      <c r="AC19" s="193"/>
      <c r="AD19" s="193"/>
      <c r="AE19" s="193"/>
      <c r="AF19" s="193"/>
      <c r="AG19" s="193"/>
      <c r="AJ19" s="173" t="s">
        <v>364</v>
      </c>
      <c r="AK19" s="202"/>
      <c r="AL19" s="203"/>
      <c r="AM19" s="203"/>
      <c r="AN19" s="203"/>
      <c r="AO19" s="203"/>
      <c r="AP19" s="203"/>
    </row>
    <row r="20" spans="2:42">
      <c r="C20" s="173" t="s">
        <v>159</v>
      </c>
      <c r="D20" s="201">
        <v>15</v>
      </c>
      <c r="G20" s="185" t="s">
        <v>123</v>
      </c>
      <c r="H20" s="187">
        <f>-D10*3%</f>
        <v>-22.5</v>
      </c>
      <c r="I20" s="187">
        <f>H20*0.97</f>
        <v>-21.824999999999999</v>
      </c>
      <c r="J20" s="187">
        <f>H20*86%</f>
        <v>-19.350000000000001</v>
      </c>
      <c r="K20" s="187">
        <f>H20</f>
        <v>-22.5</v>
      </c>
      <c r="L20" s="187">
        <v>-12</v>
      </c>
      <c r="N20" s="315"/>
      <c r="O20" s="185" t="s">
        <v>160</v>
      </c>
      <c r="P20" s="195">
        <v>0.01</v>
      </c>
      <c r="Q20" s="204"/>
      <c r="R20" s="204"/>
      <c r="S20" s="204"/>
      <c r="T20" s="204"/>
      <c r="U20" s="204"/>
      <c r="Y20" s="315"/>
      <c r="Z20" s="185" t="s">
        <v>160</v>
      </c>
      <c r="AA20" s="193">
        <f t="shared" si="0"/>
        <v>0</v>
      </c>
      <c r="AB20" s="193"/>
      <c r="AC20" s="193"/>
      <c r="AD20" s="193"/>
      <c r="AE20" s="193"/>
      <c r="AF20" s="193"/>
      <c r="AG20" s="193"/>
    </row>
    <row r="21" spans="2:42">
      <c r="B21" s="173" t="s">
        <v>132</v>
      </c>
      <c r="D21" s="175">
        <v>675</v>
      </c>
      <c r="G21" s="185" t="s">
        <v>115</v>
      </c>
      <c r="H21" s="187">
        <v>0</v>
      </c>
      <c r="I21" s="187">
        <v>0</v>
      </c>
      <c r="J21" s="187">
        <v>0</v>
      </c>
      <c r="K21" s="187">
        <v>0</v>
      </c>
      <c r="L21" s="187">
        <v>0</v>
      </c>
      <c r="N21" s="315"/>
      <c r="O21" s="185" t="s">
        <v>161</v>
      </c>
      <c r="P21" s="195">
        <v>1.4999999999999999E-2</v>
      </c>
      <c r="Q21" s="204"/>
      <c r="R21" s="204"/>
      <c r="S21" s="204"/>
      <c r="T21" s="204"/>
      <c r="U21" s="204"/>
      <c r="Y21" s="315"/>
      <c r="Z21" s="185" t="s">
        <v>161</v>
      </c>
      <c r="AA21" s="193">
        <f t="shared" si="0"/>
        <v>0</v>
      </c>
      <c r="AB21" s="193"/>
      <c r="AC21" s="193"/>
      <c r="AD21" s="193"/>
      <c r="AE21" s="193"/>
      <c r="AF21" s="193"/>
      <c r="AG21" s="193"/>
    </row>
    <row r="22" spans="2:42">
      <c r="C22" s="174" t="s">
        <v>133</v>
      </c>
      <c r="D22" s="198">
        <f>SUM(D15,D19,D20,D21)</f>
        <v>1220</v>
      </c>
      <c r="F22" s="174" t="s">
        <v>129</v>
      </c>
      <c r="H22" s="180">
        <f>SUM(H4,H11)</f>
        <v>-197.39166666666665</v>
      </c>
      <c r="I22" s="180">
        <f>SUM(I4,I11)</f>
        <v>-173.21354166666674</v>
      </c>
      <c r="J22" s="180">
        <f>SUM(J4,J11)</f>
        <v>-66.787700082508422</v>
      </c>
      <c r="K22" s="180">
        <f>SUM(K4,K11)</f>
        <v>179.33209635416654</v>
      </c>
      <c r="L22" s="180">
        <f>SUM(L4,L11)</f>
        <v>27.116471354166606</v>
      </c>
      <c r="N22" s="315"/>
      <c r="O22" s="185" t="s">
        <v>162</v>
      </c>
      <c r="P22" s="195">
        <v>1.4999999999999999E-2</v>
      </c>
      <c r="Q22" s="205"/>
      <c r="R22" s="204"/>
      <c r="S22" s="204"/>
      <c r="T22" s="204"/>
      <c r="U22" s="204"/>
      <c r="Y22" s="315"/>
      <c r="Z22" s="185" t="s">
        <v>162</v>
      </c>
      <c r="AA22" s="193">
        <f t="shared" si="0"/>
        <v>0</v>
      </c>
      <c r="AB22" s="192"/>
      <c r="AC22" s="193"/>
      <c r="AD22" s="193"/>
      <c r="AE22" s="193"/>
      <c r="AF22" s="193"/>
      <c r="AG22" s="193"/>
    </row>
    <row r="23" spans="2:42">
      <c r="G23" s="185" t="s">
        <v>131</v>
      </c>
      <c r="H23" s="206">
        <f>D5</f>
        <v>50</v>
      </c>
      <c r="I23" s="206">
        <f>H27</f>
        <v>52.598333333333358</v>
      </c>
      <c r="J23" s="206">
        <f>I27</f>
        <v>19.384791666666615</v>
      </c>
      <c r="K23" s="206">
        <f>J27</f>
        <v>18.597091584158193</v>
      </c>
      <c r="L23" s="206">
        <f>K27</f>
        <v>22.929187938324731</v>
      </c>
      <c r="N23" s="315"/>
      <c r="O23" s="185" t="s">
        <v>155</v>
      </c>
      <c r="P23" s="207" t="s">
        <v>156</v>
      </c>
      <c r="Q23" s="208"/>
      <c r="R23" s="209"/>
      <c r="S23" s="209"/>
      <c r="T23" s="209"/>
      <c r="U23" s="209"/>
      <c r="Y23" s="315"/>
      <c r="Z23" s="185" t="s">
        <v>155</v>
      </c>
      <c r="AA23" s="210">
        <f t="shared" si="0"/>
        <v>0</v>
      </c>
      <c r="AB23" s="208"/>
      <c r="AC23" s="209"/>
      <c r="AD23" s="209"/>
      <c r="AE23" s="209"/>
      <c r="AF23" s="209"/>
      <c r="AG23" s="209"/>
    </row>
    <row r="24" spans="2:42">
      <c r="G24" s="185" t="s">
        <v>163</v>
      </c>
      <c r="H24" s="206">
        <v>0</v>
      </c>
      <c r="I24" s="206">
        <v>100</v>
      </c>
      <c r="J24" s="206">
        <v>66</v>
      </c>
      <c r="K24" s="206"/>
      <c r="L24" s="206"/>
      <c r="N24" s="174" t="s">
        <v>365</v>
      </c>
      <c r="O24" s="185"/>
      <c r="Q24" s="180">
        <v>1000</v>
      </c>
      <c r="R24" s="180">
        <v>1000</v>
      </c>
      <c r="S24" s="180">
        <v>1000</v>
      </c>
      <c r="T24" s="180">
        <v>1000</v>
      </c>
      <c r="U24" s="180">
        <v>1000</v>
      </c>
      <c r="Y24" s="174"/>
      <c r="Z24" s="185"/>
      <c r="AA24" s="185"/>
    </row>
    <row r="25" spans="2:42">
      <c r="G25" s="185" t="s">
        <v>164</v>
      </c>
      <c r="H25" s="206">
        <v>200</v>
      </c>
      <c r="I25" s="206">
        <v>40</v>
      </c>
      <c r="J25" s="206"/>
      <c r="K25" s="206"/>
      <c r="L25" s="206"/>
      <c r="P25" s="211"/>
      <c r="U25" s="212"/>
      <c r="Z25" s="173" t="s">
        <v>134</v>
      </c>
      <c r="AA25" s="338">
        <f>AA9+AA14+AA19</f>
        <v>1000</v>
      </c>
      <c r="AB25" s="338">
        <f t="shared" ref="AB25:AG25" si="1">AB9+AB14+AB19</f>
        <v>228</v>
      </c>
      <c r="AC25" s="338">
        <f t="shared" si="1"/>
        <v>76</v>
      </c>
      <c r="AD25" s="338">
        <f t="shared" si="1"/>
        <v>102</v>
      </c>
      <c r="AE25" s="338">
        <f t="shared" si="1"/>
        <v>26</v>
      </c>
      <c r="AF25" s="338">
        <f t="shared" si="1"/>
        <v>78</v>
      </c>
      <c r="AG25" s="338">
        <f t="shared" si="1"/>
        <v>130</v>
      </c>
    </row>
    <row r="26" spans="2:42">
      <c r="G26" s="185" t="s">
        <v>165</v>
      </c>
      <c r="H26" s="206">
        <v>-0.01</v>
      </c>
      <c r="I26" s="206"/>
      <c r="J26" s="206"/>
      <c r="K26" s="206">
        <v>-175</v>
      </c>
      <c r="L26" s="206">
        <v>-30</v>
      </c>
      <c r="N26" s="185"/>
      <c r="O26" s="185"/>
      <c r="P26" s="213" t="s">
        <v>366</v>
      </c>
      <c r="Q26" s="214">
        <f>Q19/(Q24-Q19)</f>
        <v>0.5625</v>
      </c>
      <c r="R26" s="214">
        <f>R19/(R24-R19)</f>
        <v>0.30932896890343697</v>
      </c>
      <c r="S26" s="214">
        <f>S19/(S24-S19)</f>
        <v>0.20518228382042783</v>
      </c>
      <c r="T26" s="214">
        <f>T19/(T24-T19)</f>
        <v>0.58946976282130881</v>
      </c>
      <c r="U26" s="214">
        <f>U19/(U24-U19)</f>
        <v>0.66905724344764639</v>
      </c>
      <c r="Y26" s="185"/>
      <c r="Z26" s="185"/>
      <c r="AA26" s="185"/>
    </row>
    <row r="27" spans="2:42">
      <c r="F27" s="174" t="s">
        <v>166</v>
      </c>
      <c r="H27" s="180">
        <f>H23+H24+H25+H26+H22</f>
        <v>52.598333333333358</v>
      </c>
      <c r="I27" s="180">
        <f>I23+I24+I25+I26+I22</f>
        <v>19.384791666666615</v>
      </c>
      <c r="J27" s="180">
        <f>J23+J24+J25+J26+J22</f>
        <v>18.597091584158193</v>
      </c>
      <c r="K27" s="180">
        <f>K23+K24+K25+K26+K22</f>
        <v>22.929187938324731</v>
      </c>
      <c r="L27" s="180">
        <f>L23+L24+L25+L26+L22</f>
        <v>20.045659292491337</v>
      </c>
      <c r="N27" s="185"/>
      <c r="O27" s="185"/>
      <c r="P27" s="213" t="s">
        <v>367</v>
      </c>
      <c r="Q27" s="214">
        <f>Q9/(Q9+Q14)</f>
        <v>0.59375</v>
      </c>
      <c r="R27" s="214">
        <f>R9/(R9+R14)</f>
        <v>0.54991816693944351</v>
      </c>
      <c r="S27" s="214">
        <f>S9/(S9+S14)</f>
        <v>0.50617655920457971</v>
      </c>
      <c r="T27" s="214">
        <f>T9/(T9+T14)</f>
        <v>0.38942009189122068</v>
      </c>
      <c r="U27" s="214">
        <f>U9/(U9+U14)</f>
        <v>0.35884730734124398</v>
      </c>
      <c r="Y27" s="185"/>
      <c r="Z27" s="185"/>
      <c r="AA27" s="185"/>
    </row>
    <row r="28" spans="2:42">
      <c r="G28" s="185" t="s">
        <v>167</v>
      </c>
      <c r="H28" s="187">
        <f>D17+H25</f>
        <v>380</v>
      </c>
      <c r="I28" s="187">
        <f>H28+I25+I26</f>
        <v>420</v>
      </c>
      <c r="J28" s="187">
        <f>I28+J25+J26</f>
        <v>420</v>
      </c>
      <c r="K28" s="187">
        <f>J28+K25+K26</f>
        <v>245</v>
      </c>
      <c r="L28" s="187">
        <f>K28+L26</f>
        <v>215</v>
      </c>
      <c r="N28" s="175"/>
      <c r="O28" s="185"/>
      <c r="P28" s="213" t="s">
        <v>368</v>
      </c>
      <c r="Q28" s="214">
        <f>SUMPRODUCT($P$10:$P$17,Q10:Q17)/SUM(Q10:Q13,Q15:Q17)</f>
        <v>3.3632812499999998E-2</v>
      </c>
      <c r="R28" s="214">
        <f>SUMPRODUCT($P$10:$P$17,R10:R17)/SUM(R10:R13,R15:R17)</f>
        <v>3.3862929623567919E-2</v>
      </c>
      <c r="S28" s="214">
        <f>SUMPRODUCT($P$10:$P$17,S10:S17)/SUM(S10:S13,S15:S17)</f>
        <v>3.4092573064175957E-2</v>
      </c>
      <c r="T28" s="214">
        <f>SUMPRODUCT($P$10:$P$17,T10:T17)/SUM(T10:T13,T15:T17)</f>
        <v>3.4705544517571095E-2</v>
      </c>
      <c r="U28" s="214">
        <f>SUMPRODUCT($P$10:$P$17,U10:U17)/SUM(U10:U13,U15:U17)</f>
        <v>3.4866051636458478E-2</v>
      </c>
      <c r="Y28" s="175"/>
      <c r="Z28" s="185"/>
      <c r="AA28" s="185"/>
    </row>
    <row r="29" spans="2:42">
      <c r="G29" s="185" t="s">
        <v>168</v>
      </c>
      <c r="H29" s="187">
        <f>D19+H19</f>
        <v>260</v>
      </c>
      <c r="I29" s="187">
        <f>H29+I24+I19</f>
        <v>343.75</v>
      </c>
      <c r="J29" s="187">
        <f>I29+J24+J19</f>
        <v>409.75</v>
      </c>
      <c r="K29" s="187">
        <f>J29+K24+K19</f>
        <v>384.140625</v>
      </c>
      <c r="L29" s="187">
        <f>K29+L24+L19</f>
        <v>384.140625</v>
      </c>
      <c r="N29" s="175"/>
      <c r="O29" s="185"/>
      <c r="Y29" s="175"/>
      <c r="Z29" s="185"/>
      <c r="AA29" s="185"/>
    </row>
    <row r="30" spans="2:42">
      <c r="N30" s="175"/>
      <c r="O30" s="185"/>
      <c r="Y30" s="175"/>
      <c r="Z30" s="185"/>
      <c r="AA30" s="185"/>
    </row>
    <row r="31" spans="2:42">
      <c r="N31" s="175"/>
      <c r="O31" s="185"/>
      <c r="P31" s="215"/>
      <c r="U31" s="216"/>
      <c r="Y31" s="175"/>
      <c r="Z31" s="185"/>
      <c r="AA31" s="185"/>
    </row>
    <row r="32" spans="2:42">
      <c r="N32" s="175"/>
      <c r="O32" s="185"/>
      <c r="P32" s="215"/>
      <c r="Y32" s="175"/>
      <c r="Z32" s="185"/>
      <c r="AA32" s="185"/>
    </row>
  </sheetData>
  <mergeCells count="10">
    <mergeCell ref="AB2:AF2"/>
    <mergeCell ref="N5:N8"/>
    <mergeCell ref="Y5:Y8"/>
    <mergeCell ref="N10:N13"/>
    <mergeCell ref="Y10:Y13"/>
    <mergeCell ref="N15:N18"/>
    <mergeCell ref="Y15:Y18"/>
    <mergeCell ref="N20:N23"/>
    <mergeCell ref="Y20:Y23"/>
    <mergeCell ref="H2:K2"/>
  </mergeCells>
  <pageMargins left="0.7" right="0.7" top="0.75" bottom="0.75" header="0.3" footer="0.3"/>
  <pageSetup orientation="portrait" horizontalDpi="4294967294"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E56F2-EC80-9E49-9C5E-5EEAF90BB828}">
  <sheetPr>
    <tabColor rgb="FFFFFF00"/>
  </sheetPr>
  <dimension ref="B2:C14"/>
  <sheetViews>
    <sheetView workbookViewId="0"/>
  </sheetViews>
  <sheetFormatPr baseColWidth="10" defaultRowHeight="26"/>
  <cols>
    <col min="1" max="1" width="10.83203125" style="10"/>
    <col min="2" max="2" width="22.5" style="10" bestFit="1" customWidth="1"/>
    <col min="3" max="3" width="10.33203125" style="10" bestFit="1" customWidth="1"/>
    <col min="4" max="16384" width="10.83203125" style="10"/>
  </cols>
  <sheetData>
    <row r="2" spans="2:3">
      <c r="B2" s="217" t="s">
        <v>369</v>
      </c>
      <c r="C2" s="217" t="s">
        <v>370</v>
      </c>
    </row>
    <row r="3" spans="2:3">
      <c r="B3" s="10" t="s">
        <v>351</v>
      </c>
      <c r="C3" s="10" t="s">
        <v>371</v>
      </c>
    </row>
    <row r="4" spans="2:3">
      <c r="B4" s="10" t="s">
        <v>353</v>
      </c>
      <c r="C4" s="10" t="s">
        <v>372</v>
      </c>
    </row>
    <row r="5" spans="2:3">
      <c r="B5" s="10" t="s">
        <v>354</v>
      </c>
      <c r="C5" s="10" t="s">
        <v>373</v>
      </c>
    </row>
    <row r="6" spans="2:3">
      <c r="B6" s="10" t="s">
        <v>355</v>
      </c>
      <c r="C6" s="10" t="s">
        <v>371</v>
      </c>
    </row>
    <row r="7" spans="2:3">
      <c r="B7" s="10" t="s">
        <v>356</v>
      </c>
      <c r="C7" s="10" t="s">
        <v>371</v>
      </c>
    </row>
    <row r="8" spans="2:3">
      <c r="B8" s="10" t="s">
        <v>357</v>
      </c>
      <c r="C8" s="10" t="s">
        <v>371</v>
      </c>
    </row>
    <row r="9" spans="2:3">
      <c r="B9" s="10" t="s">
        <v>359</v>
      </c>
      <c r="C9" s="10" t="s">
        <v>371</v>
      </c>
    </row>
    <row r="10" spans="2:3">
      <c r="B10" s="10" t="s">
        <v>360</v>
      </c>
      <c r="C10" s="10" t="s">
        <v>372</v>
      </c>
    </row>
    <row r="11" spans="2:3">
      <c r="B11" s="10" t="s">
        <v>361</v>
      </c>
      <c r="C11" s="10" t="s">
        <v>373</v>
      </c>
    </row>
    <row r="12" spans="2:3">
      <c r="B12" s="10" t="s">
        <v>362</v>
      </c>
      <c r="C12" s="10" t="s">
        <v>371</v>
      </c>
    </row>
    <row r="13" spans="2:3">
      <c r="B13" s="10" t="s">
        <v>363</v>
      </c>
      <c r="C13" s="10" t="s">
        <v>371</v>
      </c>
    </row>
    <row r="14" spans="2:3">
      <c r="B14" s="10" t="s">
        <v>364</v>
      </c>
      <c r="C14" s="10" t="s">
        <v>372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174D8-9AF3-A445-8F2B-E25C598ABDA2}">
  <sheetPr>
    <tabColor rgb="FFFFFF00"/>
  </sheetPr>
  <dimension ref="A2:B6"/>
  <sheetViews>
    <sheetView workbookViewId="0"/>
  </sheetViews>
  <sheetFormatPr baseColWidth="10" defaultRowHeight="26"/>
  <cols>
    <col min="1" max="1" width="10.83203125" style="221"/>
    <col min="2" max="2" width="149.6640625" style="10" customWidth="1"/>
    <col min="3" max="16384" width="10.83203125" style="10"/>
  </cols>
  <sheetData>
    <row r="2" spans="1:2" ht="81">
      <c r="A2" s="221">
        <v>1</v>
      </c>
      <c r="B2" s="219" t="s">
        <v>375</v>
      </c>
    </row>
    <row r="3" spans="1:2">
      <c r="B3" s="220"/>
    </row>
    <row r="5" spans="1:2" ht="108">
      <c r="A5" s="221">
        <v>2</v>
      </c>
      <c r="B5" s="219" t="s">
        <v>376</v>
      </c>
    </row>
    <row r="6" spans="1:2">
      <c r="B6" s="220"/>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DAF464-760A-D648-BCD6-07E6B53A04A4}">
  <sheetPr>
    <tabColor rgb="FFFFFF00"/>
  </sheetPr>
  <dimension ref="B2:C4"/>
  <sheetViews>
    <sheetView workbookViewId="0"/>
  </sheetViews>
  <sheetFormatPr baseColWidth="10" defaultRowHeight="24"/>
  <cols>
    <col min="1" max="1" width="10.83203125" style="218"/>
    <col min="2" max="2" width="19.83203125" style="218" customWidth="1"/>
    <col min="3" max="3" width="195.1640625" style="218" customWidth="1"/>
    <col min="4" max="16384" width="10.83203125" style="218"/>
  </cols>
  <sheetData>
    <row r="2" spans="2:3" ht="25">
      <c r="B2" s="162" t="s">
        <v>96</v>
      </c>
      <c r="C2" s="164" t="s">
        <v>307</v>
      </c>
    </row>
    <row r="3" spans="2:3" ht="275">
      <c r="B3" s="162" t="s">
        <v>97</v>
      </c>
      <c r="C3" s="163" t="s">
        <v>374</v>
      </c>
    </row>
    <row r="4" spans="2:3" ht="175">
      <c r="B4" s="165" t="s">
        <v>98</v>
      </c>
      <c r="C4" s="166" t="s">
        <v>332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FFFF00"/>
    <pageSetUpPr fitToPage="1"/>
  </sheetPr>
  <dimension ref="A1:T48"/>
  <sheetViews>
    <sheetView zoomScale="98" zoomScaleNormal="98" workbookViewId="0">
      <pane ySplit="5" topLeftCell="A6" activePane="bottomLeft" state="frozen"/>
      <selection pane="bottomLeft"/>
    </sheetView>
  </sheetViews>
  <sheetFormatPr baseColWidth="10" defaultColWidth="8.83203125" defaultRowHeight="15"/>
  <cols>
    <col min="1" max="1" width="5.5" customWidth="1"/>
    <col min="2" max="2" width="47.5" bestFit="1" customWidth="1"/>
    <col min="3" max="3" width="10.5" customWidth="1"/>
    <col min="4" max="4" width="11.5" customWidth="1"/>
    <col min="5" max="5" width="9" customWidth="1"/>
    <col min="6" max="6" width="12.5" customWidth="1"/>
    <col min="7" max="7" width="6.33203125" customWidth="1"/>
    <col min="8" max="9" width="6.1640625" customWidth="1"/>
    <col min="10" max="10" width="7.33203125" customWidth="1"/>
    <col min="11" max="11" width="7.5" customWidth="1"/>
    <col min="12" max="12" width="7.1640625" customWidth="1"/>
    <col min="13" max="13" width="7.33203125" customWidth="1"/>
    <col min="14" max="14" width="8" customWidth="1"/>
    <col min="15" max="15" width="9.1640625" hidden="1" customWidth="1"/>
    <col min="16" max="16" width="9.83203125" hidden="1" customWidth="1"/>
    <col min="17" max="18" width="9.1640625" hidden="1" customWidth="1"/>
    <col min="19" max="19" width="9.83203125" hidden="1" customWidth="1"/>
    <col min="20" max="20" width="18.33203125" customWidth="1"/>
  </cols>
  <sheetData>
    <row r="1" spans="1:20">
      <c r="A1" s="38" t="s">
        <v>169</v>
      </c>
    </row>
    <row r="2" spans="1:20">
      <c r="A2" s="43" t="s">
        <v>170</v>
      </c>
    </row>
    <row r="4" spans="1:20">
      <c r="A4" s="318" t="s">
        <v>171</v>
      </c>
      <c r="B4" s="322"/>
      <c r="C4" s="322"/>
      <c r="D4" s="323"/>
      <c r="E4" s="322"/>
      <c r="F4" s="324"/>
      <c r="G4" s="325" t="s">
        <v>172</v>
      </c>
      <c r="H4" s="326"/>
      <c r="I4" s="326"/>
      <c r="J4" s="326"/>
      <c r="K4" s="326"/>
      <c r="L4" s="326"/>
      <c r="M4" s="326"/>
      <c r="N4" s="327"/>
      <c r="O4" s="318" t="s">
        <v>99</v>
      </c>
      <c r="P4" s="328"/>
      <c r="Q4" s="319"/>
      <c r="R4" s="318" t="s">
        <v>173</v>
      </c>
      <c r="S4" s="319"/>
      <c r="T4" s="44"/>
    </row>
    <row r="5" spans="1:20">
      <c r="A5" s="320" t="s">
        <v>97</v>
      </c>
      <c r="B5" s="321"/>
      <c r="C5" s="45" t="s">
        <v>174</v>
      </c>
      <c r="D5" s="46" t="s">
        <v>175</v>
      </c>
      <c r="E5" s="45" t="s">
        <v>176</v>
      </c>
      <c r="F5" s="47" t="s">
        <v>177</v>
      </c>
      <c r="G5" s="45">
        <v>1</v>
      </c>
      <c r="H5" s="45">
        <v>2</v>
      </c>
      <c r="I5" s="45">
        <v>5</v>
      </c>
      <c r="J5" s="45">
        <v>10</v>
      </c>
      <c r="K5" s="45">
        <v>30</v>
      </c>
      <c r="L5" s="45">
        <v>60</v>
      </c>
      <c r="M5" s="45">
        <v>180</v>
      </c>
      <c r="N5" s="45">
        <v>360</v>
      </c>
      <c r="O5" s="46" t="s">
        <v>101</v>
      </c>
      <c r="P5" s="45" t="s">
        <v>178</v>
      </c>
      <c r="Q5" s="47" t="s">
        <v>102</v>
      </c>
      <c r="R5" s="46" t="s">
        <v>179</v>
      </c>
      <c r="S5" s="47" t="s">
        <v>180</v>
      </c>
      <c r="T5" s="48" t="s">
        <v>181</v>
      </c>
    </row>
    <row r="6" spans="1:20">
      <c r="A6" s="49"/>
      <c r="B6" s="50"/>
      <c r="C6" s="39"/>
      <c r="D6" s="51"/>
      <c r="E6" s="51"/>
      <c r="F6" s="52"/>
      <c r="G6" s="53"/>
      <c r="H6" s="53"/>
      <c r="I6" s="53"/>
      <c r="J6" s="53"/>
      <c r="K6" s="53"/>
      <c r="L6" s="53"/>
      <c r="M6" s="53"/>
      <c r="N6" s="54"/>
      <c r="O6" s="55"/>
      <c r="P6" s="40"/>
      <c r="Q6" s="56"/>
      <c r="R6" s="55"/>
      <c r="S6" s="39"/>
      <c r="T6" s="57"/>
    </row>
    <row r="7" spans="1:20">
      <c r="A7" s="58" t="s">
        <v>182</v>
      </c>
      <c r="C7" s="59">
        <v>735072</v>
      </c>
      <c r="D7" s="51">
        <v>1</v>
      </c>
      <c r="E7" s="51">
        <v>1</v>
      </c>
      <c r="F7" s="52">
        <f>C7</f>
        <v>735072</v>
      </c>
      <c r="G7" s="139"/>
      <c r="H7" s="139"/>
      <c r="I7" s="139"/>
      <c r="J7" s="139"/>
      <c r="K7" s="139"/>
      <c r="L7" s="139"/>
      <c r="M7" s="139"/>
      <c r="N7" s="140"/>
      <c r="O7" s="55"/>
      <c r="P7" s="40"/>
      <c r="Q7" s="56"/>
      <c r="R7" s="55"/>
      <c r="S7" s="40"/>
      <c r="T7" s="57"/>
    </row>
    <row r="8" spans="1:20">
      <c r="A8" s="41"/>
      <c r="C8" s="40"/>
      <c r="D8" s="51"/>
      <c r="E8" s="51"/>
      <c r="F8" s="52"/>
      <c r="G8" s="53"/>
      <c r="H8" s="53"/>
      <c r="I8" s="53"/>
      <c r="J8" s="53"/>
      <c r="K8" s="53"/>
      <c r="L8" s="53"/>
      <c r="M8" s="53"/>
      <c r="N8" s="60"/>
      <c r="O8" s="55"/>
      <c r="P8" s="40"/>
      <c r="Q8" s="56"/>
      <c r="R8" s="55"/>
      <c r="S8" s="40"/>
      <c r="T8" s="57"/>
    </row>
    <row r="9" spans="1:20">
      <c r="A9" s="58" t="s">
        <v>183</v>
      </c>
      <c r="C9" s="40"/>
      <c r="D9" s="51"/>
      <c r="E9" s="51"/>
      <c r="F9" s="52"/>
      <c r="G9" s="53"/>
      <c r="H9" s="53"/>
      <c r="I9" s="53"/>
      <c r="J9" s="53"/>
      <c r="K9" s="53"/>
      <c r="L9" s="53"/>
      <c r="M9" s="53"/>
      <c r="N9" s="60"/>
      <c r="O9" s="55"/>
      <c r="P9" s="40"/>
      <c r="Q9" s="56"/>
      <c r="R9" s="55"/>
      <c r="S9" s="40"/>
      <c r="T9" s="57"/>
    </row>
    <row r="10" spans="1:20" ht="30">
      <c r="A10" s="41"/>
      <c r="B10" s="61" t="s">
        <v>184</v>
      </c>
      <c r="C10" s="62">
        <v>12</v>
      </c>
      <c r="D10" s="63">
        <v>102.336</v>
      </c>
      <c r="E10" s="63">
        <v>1.0906</v>
      </c>
      <c r="F10" s="64">
        <f>10000*D10*E10*C10</f>
        <v>13392916.991999999</v>
      </c>
      <c r="G10" s="137"/>
      <c r="H10" s="137"/>
      <c r="I10" s="137"/>
      <c r="J10" s="137"/>
      <c r="K10" s="137"/>
      <c r="L10" s="137"/>
      <c r="M10" s="137"/>
      <c r="N10" s="138"/>
      <c r="O10" s="67">
        <v>1.2500000000000001E-2</v>
      </c>
      <c r="P10" s="68">
        <v>7.4999999999999997E-3</v>
      </c>
      <c r="Q10" s="69">
        <v>1</v>
      </c>
      <c r="R10" s="67">
        <v>3.0000000000000001E-3</v>
      </c>
      <c r="S10" s="70">
        <v>0.03</v>
      </c>
      <c r="T10" s="71" t="s">
        <v>185</v>
      </c>
    </row>
    <row r="11" spans="1:20" ht="42" customHeight="1">
      <c r="A11" s="41"/>
      <c r="B11" s="61" t="s">
        <v>186</v>
      </c>
      <c r="C11" s="62">
        <v>8</v>
      </c>
      <c r="D11" s="63">
        <v>101.19199999999999</v>
      </c>
      <c r="E11" s="63">
        <v>1</v>
      </c>
      <c r="F11" s="64">
        <f>20000*D11*E11*C11</f>
        <v>16190719.999999998</v>
      </c>
      <c r="G11" s="137"/>
      <c r="H11" s="137"/>
      <c r="I11" s="137"/>
      <c r="J11" s="137"/>
      <c r="K11" s="137"/>
      <c r="L11" s="137"/>
      <c r="M11" s="137"/>
      <c r="N11" s="138"/>
      <c r="O11" s="67">
        <v>1.7500000000000002E-2</v>
      </c>
      <c r="P11" s="68">
        <v>3.5000000000000001E-3</v>
      </c>
      <c r="Q11" s="69">
        <v>2</v>
      </c>
      <c r="R11" s="67">
        <v>2.5000000000000001E-3</v>
      </c>
      <c r="S11" s="70">
        <v>0.05</v>
      </c>
      <c r="T11" s="71" t="s">
        <v>187</v>
      </c>
    </row>
    <row r="12" spans="1:20" ht="41.25" hidden="1" customHeight="1">
      <c r="A12" s="41"/>
      <c r="B12" s="61" t="s">
        <v>188</v>
      </c>
      <c r="C12" s="62">
        <v>0</v>
      </c>
      <c r="D12" s="63">
        <v>99.8</v>
      </c>
      <c r="E12" s="63">
        <v>1</v>
      </c>
      <c r="F12" s="64">
        <f>5000000*D12*E12*C12/100</f>
        <v>0</v>
      </c>
      <c r="G12" s="137"/>
      <c r="H12" s="137"/>
      <c r="I12" s="137"/>
      <c r="J12" s="137"/>
      <c r="K12" s="137"/>
      <c r="L12" s="137"/>
      <c r="M12" s="137"/>
      <c r="N12" s="138"/>
      <c r="O12" s="67"/>
      <c r="P12" s="68"/>
      <c r="Q12" s="69"/>
      <c r="R12" s="67"/>
      <c r="S12" s="70"/>
      <c r="T12" s="71" t="s">
        <v>189</v>
      </c>
    </row>
    <row r="13" spans="1:20" ht="33" customHeight="1">
      <c r="A13" s="41"/>
      <c r="B13" s="61" t="s">
        <v>326</v>
      </c>
      <c r="C13" s="62">
        <v>10</v>
      </c>
      <c r="D13" s="63">
        <v>0.93</v>
      </c>
      <c r="E13" s="63">
        <v>1.39</v>
      </c>
      <c r="F13" s="64">
        <f>1500000*D13/E13*C13</f>
        <v>10035971.223021584</v>
      </c>
      <c r="G13" s="137"/>
      <c r="H13" s="137"/>
      <c r="I13" s="137"/>
      <c r="J13" s="137"/>
      <c r="K13" s="137"/>
      <c r="L13" s="137"/>
      <c r="M13" s="137"/>
      <c r="N13" s="138"/>
      <c r="O13" s="67">
        <v>3.5000000000000003E-2</v>
      </c>
      <c r="P13" s="68">
        <v>2.6499999999999999E-2</v>
      </c>
      <c r="Q13" s="69">
        <v>5</v>
      </c>
      <c r="R13" s="72">
        <v>6.4999999999999997E-3</v>
      </c>
      <c r="S13" s="73">
        <v>-0.1</v>
      </c>
      <c r="T13" s="71" t="s">
        <v>190</v>
      </c>
    </row>
    <row r="14" spans="1:20" ht="29.25" customHeight="1">
      <c r="A14" s="41"/>
      <c r="B14" s="61" t="s">
        <v>191</v>
      </c>
      <c r="C14" s="62">
        <v>4</v>
      </c>
      <c r="D14" s="63">
        <v>0.59267999999999998</v>
      </c>
      <c r="E14" s="63">
        <v>1</v>
      </c>
      <c r="F14" s="64">
        <f>1000000*D14*C14</f>
        <v>2370720</v>
      </c>
      <c r="G14" s="137"/>
      <c r="H14" s="137"/>
      <c r="I14" s="137"/>
      <c r="J14" s="137"/>
      <c r="K14" s="137"/>
      <c r="L14" s="137"/>
      <c r="M14" s="137"/>
      <c r="N14" s="138"/>
      <c r="O14" s="67">
        <v>2.6499999999999999E-2</v>
      </c>
      <c r="P14" s="68">
        <v>5.4999999999999997E-3</v>
      </c>
      <c r="Q14" s="69">
        <v>1</v>
      </c>
      <c r="R14" s="67">
        <v>1.5E-3</v>
      </c>
      <c r="S14" s="74">
        <v>2.5000000000000001E-2</v>
      </c>
      <c r="T14" s="71" t="s">
        <v>192</v>
      </c>
    </row>
    <row r="15" spans="1:20">
      <c r="A15" s="41"/>
      <c r="B15" s="75"/>
      <c r="C15" s="62"/>
      <c r="D15" s="63"/>
      <c r="E15" s="63"/>
      <c r="F15" s="64"/>
      <c r="G15" s="65"/>
      <c r="H15" s="65"/>
      <c r="I15" s="65"/>
      <c r="J15" s="65"/>
      <c r="K15" s="65"/>
      <c r="L15" s="65"/>
      <c r="M15" s="65"/>
      <c r="N15" s="66"/>
      <c r="O15" s="76"/>
      <c r="P15" s="62"/>
      <c r="Q15" s="69"/>
      <c r="R15" s="76"/>
      <c r="S15" s="62"/>
      <c r="T15" s="71"/>
    </row>
    <row r="16" spans="1:20">
      <c r="A16" s="58" t="s">
        <v>121</v>
      </c>
      <c r="B16" s="75"/>
      <c r="C16" s="62"/>
      <c r="D16" s="63"/>
      <c r="E16" s="63"/>
      <c r="F16" s="64"/>
      <c r="G16" s="65"/>
      <c r="H16" s="65"/>
      <c r="I16" s="65"/>
      <c r="J16" s="65"/>
      <c r="K16" s="65"/>
      <c r="L16" s="65"/>
      <c r="M16" s="65"/>
      <c r="N16" s="66"/>
      <c r="O16" s="76"/>
      <c r="P16" s="62"/>
      <c r="Q16" s="69"/>
      <c r="R16" s="76"/>
      <c r="S16" s="62"/>
      <c r="T16" s="71"/>
    </row>
    <row r="17" spans="1:20" ht="45">
      <c r="A17" s="41"/>
      <c r="B17" s="75" t="s">
        <v>193</v>
      </c>
      <c r="C17" s="77">
        <v>500000</v>
      </c>
      <c r="D17" s="63">
        <v>26.3</v>
      </c>
      <c r="E17" s="63">
        <v>1</v>
      </c>
      <c r="F17" s="64">
        <f>C17*D17/E17</f>
        <v>13150000</v>
      </c>
      <c r="G17" s="137"/>
      <c r="H17" s="137"/>
      <c r="I17" s="137"/>
      <c r="J17" s="137"/>
      <c r="K17" s="137"/>
      <c r="L17" s="137"/>
      <c r="M17" s="137"/>
      <c r="N17" s="138"/>
      <c r="O17" s="67">
        <v>0</v>
      </c>
      <c r="P17" s="70">
        <v>0.22</v>
      </c>
      <c r="Q17" s="69">
        <v>1</v>
      </c>
      <c r="R17" s="67">
        <v>4.2500000000000003E-2</v>
      </c>
      <c r="S17" s="70">
        <v>-0.15</v>
      </c>
      <c r="T17" s="71" t="s">
        <v>194</v>
      </c>
    </row>
    <row r="18" spans="1:20" ht="45">
      <c r="A18" s="41"/>
      <c r="B18" s="75" t="s">
        <v>195</v>
      </c>
      <c r="C18" s="77">
        <v>300000</v>
      </c>
      <c r="D18" s="63">
        <v>39.42</v>
      </c>
      <c r="E18" s="63">
        <v>1</v>
      </c>
      <c r="F18" s="64">
        <f>C18*D18/E18</f>
        <v>11826000</v>
      </c>
      <c r="G18" s="137"/>
      <c r="H18" s="137"/>
      <c r="I18" s="137"/>
      <c r="J18" s="137"/>
      <c r="K18" s="137"/>
      <c r="L18" s="137"/>
      <c r="M18" s="137"/>
      <c r="N18" s="138"/>
      <c r="O18" s="67"/>
      <c r="P18" s="70"/>
      <c r="Q18" s="69"/>
      <c r="R18" s="67"/>
      <c r="S18" s="70"/>
      <c r="T18" s="71" t="s">
        <v>196</v>
      </c>
    </row>
    <row r="19" spans="1:20" ht="45" hidden="1">
      <c r="A19" s="41"/>
      <c r="B19" s="75" t="s">
        <v>197</v>
      </c>
      <c r="C19" s="77">
        <v>0</v>
      </c>
      <c r="D19" s="63">
        <v>46.3</v>
      </c>
      <c r="E19" s="63">
        <v>1.0906</v>
      </c>
      <c r="F19" s="64">
        <f>C19*D19*E19</f>
        <v>0</v>
      </c>
      <c r="G19" s="65"/>
      <c r="H19" s="65"/>
      <c r="I19" s="65"/>
      <c r="J19" s="65"/>
      <c r="K19" s="65"/>
      <c r="L19" s="65"/>
      <c r="M19" s="65"/>
      <c r="N19" s="66"/>
      <c r="O19" s="67">
        <v>2.5000000000000001E-3</v>
      </c>
      <c r="P19" s="70">
        <v>0.15</v>
      </c>
      <c r="Q19" s="69">
        <v>2</v>
      </c>
      <c r="R19" s="67">
        <v>3.5000000000000003E-2</v>
      </c>
      <c r="S19" s="74">
        <v>-7.4999999999999997E-2</v>
      </c>
      <c r="T19" s="71" t="s">
        <v>198</v>
      </c>
    </row>
    <row r="20" spans="1:20" ht="29.25" hidden="1" customHeight="1">
      <c r="A20" s="41"/>
      <c r="B20" s="75" t="s">
        <v>199</v>
      </c>
      <c r="C20" s="77">
        <v>0</v>
      </c>
      <c r="D20" s="77">
        <v>6233</v>
      </c>
      <c r="E20" s="63">
        <v>120.36</v>
      </c>
      <c r="F20" s="64">
        <f>C20*D20/E20</f>
        <v>0</v>
      </c>
      <c r="G20" s="65"/>
      <c r="H20" s="65"/>
      <c r="I20" s="65"/>
      <c r="J20" s="65"/>
      <c r="K20" s="65"/>
      <c r="L20" s="65"/>
      <c r="M20" s="65"/>
      <c r="N20" s="66"/>
      <c r="O20" s="67">
        <v>2.5000000000000001E-2</v>
      </c>
      <c r="P20" s="70">
        <v>0.34</v>
      </c>
      <c r="Q20" s="69">
        <v>4</v>
      </c>
      <c r="R20" s="72">
        <v>6.7500000000000004E-2</v>
      </c>
      <c r="S20" s="73">
        <v>-0.15</v>
      </c>
      <c r="T20" s="71" t="s">
        <v>200</v>
      </c>
    </row>
    <row r="21" spans="1:20" ht="41.25" hidden="1" customHeight="1">
      <c r="A21" s="41"/>
      <c r="B21" s="75" t="s">
        <v>201</v>
      </c>
      <c r="C21" s="77">
        <v>0</v>
      </c>
      <c r="D21" s="63">
        <v>24.94</v>
      </c>
      <c r="E21" s="63">
        <v>1.39</v>
      </c>
      <c r="F21" s="64">
        <f>C21*D21/E21</f>
        <v>0</v>
      </c>
      <c r="G21" s="65"/>
      <c r="H21" s="65"/>
      <c r="I21" s="65"/>
      <c r="J21" s="65"/>
      <c r="K21" s="65"/>
      <c r="L21" s="65"/>
      <c r="M21" s="65"/>
      <c r="N21" s="66"/>
      <c r="O21" s="67">
        <v>1.4999999999999999E-2</v>
      </c>
      <c r="P21" s="70">
        <v>0.12</v>
      </c>
      <c r="Q21" s="69">
        <v>2</v>
      </c>
      <c r="R21" s="67">
        <v>2.5000000000000001E-2</v>
      </c>
      <c r="S21" s="74">
        <v>-7.4999999999999997E-2</v>
      </c>
      <c r="T21" s="71" t="s">
        <v>202</v>
      </c>
    </row>
    <row r="22" spans="1:20" hidden="1">
      <c r="A22" s="41"/>
      <c r="B22" s="75"/>
      <c r="C22" s="62"/>
      <c r="D22" s="63"/>
      <c r="E22" s="63"/>
      <c r="F22" s="64"/>
      <c r="G22" s="65"/>
      <c r="H22" s="65"/>
      <c r="I22" s="65"/>
      <c r="J22" s="65"/>
      <c r="K22" s="65"/>
      <c r="L22" s="65"/>
      <c r="M22" s="65"/>
      <c r="N22" s="66"/>
      <c r="O22" s="76"/>
      <c r="P22" s="62"/>
      <c r="Q22" s="69"/>
      <c r="R22" s="76"/>
      <c r="S22" s="62"/>
      <c r="T22" s="57"/>
    </row>
    <row r="23" spans="1:20">
      <c r="A23" s="58" t="s">
        <v>203</v>
      </c>
      <c r="B23" s="75"/>
      <c r="C23" s="62"/>
      <c r="D23" s="63"/>
      <c r="E23" s="63"/>
      <c r="F23" s="64"/>
      <c r="G23" s="65"/>
      <c r="H23" s="65"/>
      <c r="I23" s="65"/>
      <c r="J23" s="65"/>
      <c r="K23" s="65"/>
      <c r="L23" s="65"/>
      <c r="M23" s="65"/>
      <c r="N23" s="66"/>
      <c r="O23" s="76"/>
      <c r="P23" s="62"/>
      <c r="Q23" s="69"/>
      <c r="R23" s="78" t="s">
        <v>204</v>
      </c>
      <c r="S23" s="62"/>
      <c r="T23" s="57"/>
    </row>
    <row r="24" spans="1:20">
      <c r="A24" s="41"/>
      <c r="B24" s="75" t="s">
        <v>327</v>
      </c>
      <c r="C24" s="77">
        <v>13400000</v>
      </c>
      <c r="D24" s="63">
        <v>1.079</v>
      </c>
      <c r="E24" s="63">
        <v>1</v>
      </c>
      <c r="F24" s="64">
        <f>(D24-1.05)*C24</f>
        <v>388599.99999999884</v>
      </c>
      <c r="G24" s="137"/>
      <c r="H24" s="137"/>
      <c r="I24" s="137"/>
      <c r="J24" s="137"/>
      <c r="K24" s="137"/>
      <c r="L24" s="137"/>
      <c r="M24" s="137"/>
      <c r="N24" s="138"/>
      <c r="O24" s="67">
        <v>5.0000000000000001E-3</v>
      </c>
      <c r="P24" s="68">
        <v>2.75E-2</v>
      </c>
      <c r="Q24" s="69">
        <v>1</v>
      </c>
      <c r="R24" s="67">
        <v>1.2500000000000001E-2</v>
      </c>
      <c r="S24" s="70">
        <v>-0.05</v>
      </c>
      <c r="T24" s="71" t="s">
        <v>205</v>
      </c>
    </row>
    <row r="25" spans="1:20">
      <c r="A25" s="41"/>
      <c r="B25" s="75" t="s">
        <v>328</v>
      </c>
      <c r="C25" s="77">
        <v>10000000</v>
      </c>
      <c r="D25" s="63">
        <v>1.3759999999999999</v>
      </c>
      <c r="E25" s="63">
        <v>1</v>
      </c>
      <c r="F25" s="64">
        <f>(D25-1.35)*C25</f>
        <v>259999.99999999802</v>
      </c>
      <c r="G25" s="137"/>
      <c r="H25" s="137"/>
      <c r="I25" s="137"/>
      <c r="J25" s="137"/>
      <c r="K25" s="137"/>
      <c r="L25" s="137"/>
      <c r="M25" s="137"/>
      <c r="N25" s="138"/>
      <c r="O25" s="67">
        <v>2E-3</v>
      </c>
      <c r="P25" s="68">
        <v>1.7500000000000002E-2</v>
      </c>
      <c r="Q25" s="69">
        <v>1</v>
      </c>
      <c r="R25" s="67">
        <v>1.2999999999999999E-2</v>
      </c>
      <c r="S25" s="70">
        <v>-0.05</v>
      </c>
      <c r="T25" s="71" t="s">
        <v>205</v>
      </c>
    </row>
    <row r="26" spans="1:20" ht="13.5" customHeight="1">
      <c r="A26" s="41"/>
      <c r="B26" s="75"/>
      <c r="C26" s="62"/>
      <c r="D26" s="63"/>
      <c r="E26" s="63"/>
      <c r="F26" s="64"/>
      <c r="G26" s="65"/>
      <c r="H26" s="65"/>
      <c r="I26" s="65"/>
      <c r="J26" s="65"/>
      <c r="K26" s="65"/>
      <c r="L26" s="65"/>
      <c r="M26" s="65"/>
      <c r="N26" s="66"/>
      <c r="O26" s="76"/>
      <c r="P26" s="62"/>
      <c r="Q26" s="69"/>
      <c r="R26" s="76"/>
      <c r="S26" s="62"/>
      <c r="T26" s="57"/>
    </row>
    <row r="27" spans="1:20">
      <c r="A27" s="58" t="s">
        <v>127</v>
      </c>
      <c r="B27" s="75"/>
      <c r="C27" s="62"/>
      <c r="D27" s="63"/>
      <c r="E27" s="63"/>
      <c r="F27" s="64"/>
      <c r="G27" s="65"/>
      <c r="H27" s="65"/>
      <c r="I27" s="65"/>
      <c r="J27" s="65"/>
      <c r="K27" s="65"/>
      <c r="L27" s="65"/>
      <c r="M27" s="65"/>
      <c r="N27" s="66"/>
      <c r="O27" s="76"/>
      <c r="P27" s="62"/>
      <c r="Q27" s="69"/>
      <c r="R27" s="78" t="s">
        <v>204</v>
      </c>
      <c r="S27" s="62"/>
      <c r="T27" s="57"/>
    </row>
    <row r="28" spans="1:20" ht="15.75" customHeight="1">
      <c r="A28" s="41"/>
      <c r="B28" s="75" t="s">
        <v>329</v>
      </c>
      <c r="C28" s="62">
        <v>100</v>
      </c>
      <c r="D28" s="79">
        <v>2043.94</v>
      </c>
      <c r="E28" s="63">
        <v>1</v>
      </c>
      <c r="F28" s="64">
        <f>60*C28*100</f>
        <v>600000</v>
      </c>
      <c r="G28" s="137"/>
      <c r="H28" s="137"/>
      <c r="I28" s="137"/>
      <c r="J28" s="137"/>
      <c r="K28" s="137"/>
      <c r="L28" s="137"/>
      <c r="M28" s="137"/>
      <c r="N28" s="138"/>
      <c r="O28" s="76" t="s">
        <v>113</v>
      </c>
      <c r="P28" s="70">
        <v>0.66</v>
      </c>
      <c r="Q28" s="69">
        <v>1</v>
      </c>
      <c r="R28" s="67">
        <v>8.3000000000000004E-2</v>
      </c>
      <c r="S28" s="70">
        <v>0.3</v>
      </c>
      <c r="T28" s="71" t="s">
        <v>206</v>
      </c>
    </row>
    <row r="29" spans="1:20" ht="18" hidden="1" customHeight="1">
      <c r="A29" s="41"/>
      <c r="B29" s="75" t="s">
        <v>207</v>
      </c>
      <c r="C29" s="62">
        <v>0</v>
      </c>
      <c r="D29" s="63">
        <v>441.82</v>
      </c>
      <c r="E29" s="63">
        <v>1.0906</v>
      </c>
      <c r="F29" s="64">
        <f>27.5*C29*100*E29</f>
        <v>0</v>
      </c>
      <c r="G29" s="65"/>
      <c r="H29" s="65"/>
      <c r="I29" s="65"/>
      <c r="J29" s="65"/>
      <c r="K29" s="65"/>
      <c r="L29" s="65"/>
      <c r="M29" s="65"/>
      <c r="N29" s="66"/>
      <c r="O29" s="76" t="s">
        <v>113</v>
      </c>
      <c r="P29" s="70">
        <v>0.28000000000000003</v>
      </c>
      <c r="Q29" s="69">
        <v>1</v>
      </c>
      <c r="R29" s="67">
        <v>6.9500000000000006E-2</v>
      </c>
      <c r="S29" s="70">
        <v>0.25</v>
      </c>
      <c r="T29" s="71" t="s">
        <v>206</v>
      </c>
    </row>
    <row r="30" spans="1:20" ht="16.5" hidden="1" customHeight="1">
      <c r="A30" s="41"/>
      <c r="B30" s="75" t="s">
        <v>208</v>
      </c>
      <c r="C30" s="62">
        <v>0</v>
      </c>
      <c r="D30" s="63">
        <v>764.54</v>
      </c>
      <c r="E30" s="63">
        <v>1.39</v>
      </c>
      <c r="F30" s="64">
        <f>27*C30*100/E30</f>
        <v>0</v>
      </c>
      <c r="G30" s="65"/>
      <c r="H30" s="65"/>
      <c r="I30" s="65"/>
      <c r="J30" s="65"/>
      <c r="K30" s="65"/>
      <c r="L30" s="65"/>
      <c r="M30" s="65"/>
      <c r="N30" s="66"/>
      <c r="O30" s="76" t="s">
        <v>113</v>
      </c>
      <c r="P30" s="70">
        <v>0.32</v>
      </c>
      <c r="Q30" s="69">
        <v>1</v>
      </c>
      <c r="R30" s="67">
        <v>5.7500000000000002E-2</v>
      </c>
      <c r="S30" s="70">
        <v>0.25</v>
      </c>
      <c r="T30" s="71" t="s">
        <v>206</v>
      </c>
    </row>
    <row r="31" spans="1:20" ht="12" customHeight="1">
      <c r="B31" s="75"/>
      <c r="C31" s="62"/>
      <c r="D31" s="63"/>
      <c r="E31" s="63"/>
      <c r="F31" s="64"/>
      <c r="G31" s="65"/>
      <c r="H31" s="65"/>
      <c r="I31" s="65"/>
      <c r="J31" s="65"/>
      <c r="K31" s="65"/>
      <c r="L31" s="65"/>
      <c r="M31" s="65"/>
      <c r="N31" s="66"/>
      <c r="O31" s="76"/>
      <c r="P31" s="70"/>
      <c r="Q31" s="69"/>
      <c r="R31" s="67"/>
      <c r="S31" s="70"/>
      <c r="T31" s="57"/>
    </row>
    <row r="32" spans="1:20" ht="15.75" customHeight="1">
      <c r="A32" s="58" t="s">
        <v>18</v>
      </c>
      <c r="B32" s="75"/>
      <c r="C32" s="62"/>
      <c r="D32" s="63"/>
      <c r="E32" s="63"/>
      <c r="F32" s="64"/>
      <c r="G32" s="65"/>
      <c r="H32" s="65"/>
      <c r="I32" s="65"/>
      <c r="J32" s="65"/>
      <c r="K32" s="65"/>
      <c r="L32" s="65"/>
      <c r="M32" s="65"/>
      <c r="N32" s="66"/>
      <c r="O32" s="76"/>
      <c r="P32" s="70"/>
      <c r="Q32" s="69"/>
      <c r="R32" s="67"/>
      <c r="S32" s="70"/>
      <c r="T32" s="57"/>
    </row>
    <row r="33" spans="1:20" ht="45" customHeight="1">
      <c r="A33" s="80"/>
      <c r="B33" s="61" t="s">
        <v>210</v>
      </c>
      <c r="C33" s="62">
        <v>0.33</v>
      </c>
      <c r="D33" s="77">
        <v>35000000</v>
      </c>
      <c r="E33" s="63">
        <v>1</v>
      </c>
      <c r="F33" s="64">
        <f>D33*C33</f>
        <v>11550000</v>
      </c>
      <c r="G33" s="137"/>
      <c r="H33" s="137"/>
      <c r="I33" s="137"/>
      <c r="J33" s="137"/>
      <c r="K33" s="137"/>
      <c r="L33" s="137"/>
      <c r="M33" s="137"/>
      <c r="N33" s="138"/>
      <c r="O33" s="76"/>
      <c r="P33" s="70"/>
      <c r="Q33" s="69"/>
      <c r="R33" s="67"/>
      <c r="S33" s="70"/>
      <c r="T33" s="71" t="s">
        <v>211</v>
      </c>
    </row>
    <row r="34" spans="1:20" ht="33" hidden="1" customHeight="1">
      <c r="A34" s="80" t="s">
        <v>209</v>
      </c>
      <c r="B34" s="61" t="s">
        <v>212</v>
      </c>
      <c r="C34" s="62">
        <v>0</v>
      </c>
      <c r="D34" s="77">
        <v>45000000</v>
      </c>
      <c r="E34" s="63">
        <v>1</v>
      </c>
      <c r="F34" s="64">
        <f>D34*C34</f>
        <v>0</v>
      </c>
      <c r="G34" s="65"/>
      <c r="H34" s="65"/>
      <c r="I34" s="65"/>
      <c r="J34" s="65"/>
      <c r="K34" s="65"/>
      <c r="L34" s="65"/>
      <c r="M34" s="65"/>
      <c r="N34" s="66"/>
      <c r="O34" s="76"/>
      <c r="P34" s="70"/>
      <c r="Q34" s="69"/>
      <c r="R34" s="67"/>
      <c r="S34" s="70"/>
      <c r="T34" s="71" t="s">
        <v>213</v>
      </c>
    </row>
    <row r="35" spans="1:20" ht="33" hidden="1" customHeight="1">
      <c r="A35" s="80" t="s">
        <v>209</v>
      </c>
      <c r="B35" s="61" t="s">
        <v>214</v>
      </c>
      <c r="C35" s="62">
        <v>0</v>
      </c>
      <c r="D35" s="77">
        <v>75000000</v>
      </c>
      <c r="E35" s="63">
        <v>1</v>
      </c>
      <c r="F35" s="64">
        <f>D35*C35</f>
        <v>0</v>
      </c>
      <c r="G35" s="65"/>
      <c r="H35" s="65"/>
      <c r="I35" s="65"/>
      <c r="J35" s="65"/>
      <c r="K35" s="65"/>
      <c r="L35" s="65"/>
      <c r="M35" s="65"/>
      <c r="N35" s="66"/>
      <c r="O35" s="76"/>
      <c r="P35" s="70"/>
      <c r="Q35" s="69"/>
      <c r="R35" s="67"/>
      <c r="S35" s="70"/>
      <c r="T35" s="71" t="s">
        <v>211</v>
      </c>
    </row>
    <row r="36" spans="1:20" ht="14.25" customHeight="1">
      <c r="A36" s="41"/>
      <c r="B36" s="61"/>
      <c r="C36" s="62"/>
      <c r="D36" s="63"/>
      <c r="E36" s="63"/>
      <c r="F36" s="64"/>
      <c r="G36" s="65"/>
      <c r="H36" s="65"/>
      <c r="I36" s="65"/>
      <c r="J36" s="65"/>
      <c r="K36" s="65"/>
      <c r="L36" s="65"/>
      <c r="M36" s="65"/>
      <c r="N36" s="66"/>
      <c r="O36" s="76"/>
      <c r="P36" s="70"/>
      <c r="Q36" s="69"/>
      <c r="R36" s="67"/>
      <c r="S36" s="70"/>
      <c r="T36" s="57"/>
    </row>
    <row r="37" spans="1:20" ht="17.25" customHeight="1">
      <c r="A37" s="58" t="s">
        <v>14</v>
      </c>
      <c r="B37" s="61"/>
      <c r="C37" s="62"/>
      <c r="D37" s="63"/>
      <c r="E37" s="63"/>
      <c r="F37" s="64"/>
      <c r="G37" s="65"/>
      <c r="H37" s="65"/>
      <c r="I37" s="65"/>
      <c r="J37" s="65"/>
      <c r="K37" s="65"/>
      <c r="L37" s="65"/>
      <c r="M37" s="65"/>
      <c r="N37" s="66"/>
      <c r="O37" s="76"/>
      <c r="P37" s="70"/>
      <c r="Q37" s="69"/>
      <c r="R37" s="67"/>
      <c r="S37" s="70"/>
      <c r="T37" s="57"/>
    </row>
    <row r="38" spans="1:20" ht="31.5" customHeight="1">
      <c r="A38" s="41"/>
      <c r="B38" s="61" t="s">
        <v>215</v>
      </c>
      <c r="C38" s="77">
        <v>10000000</v>
      </c>
      <c r="D38" s="63">
        <v>0.95</v>
      </c>
      <c r="E38" s="63">
        <v>1</v>
      </c>
      <c r="F38" s="64">
        <f t="shared" ref="F38:F40" si="0">D38*C38</f>
        <v>9500000</v>
      </c>
      <c r="G38" s="137"/>
      <c r="H38" s="137"/>
      <c r="I38" s="137"/>
      <c r="J38" s="137"/>
      <c r="K38" s="137"/>
      <c r="L38" s="137"/>
      <c r="M38" s="137"/>
      <c r="N38" s="138"/>
      <c r="O38" s="76"/>
      <c r="P38" s="70"/>
      <c r="Q38" s="69"/>
      <c r="R38" s="67"/>
      <c r="S38" s="70"/>
      <c r="T38" s="71" t="s">
        <v>216</v>
      </c>
    </row>
    <row r="39" spans="1:20" ht="26.25" hidden="1" customHeight="1">
      <c r="A39" s="41"/>
      <c r="B39" s="61" t="s">
        <v>217</v>
      </c>
      <c r="C39" s="77">
        <v>0</v>
      </c>
      <c r="D39" s="63">
        <v>1.02</v>
      </c>
      <c r="E39" s="63">
        <v>1</v>
      </c>
      <c r="F39" s="64">
        <f t="shared" si="0"/>
        <v>0</v>
      </c>
      <c r="G39" s="65"/>
      <c r="H39" s="65"/>
      <c r="I39" s="65"/>
      <c r="J39" s="65"/>
      <c r="K39" s="65"/>
      <c r="L39" s="65"/>
      <c r="M39" s="65"/>
      <c r="N39" s="66"/>
      <c r="O39" s="76"/>
      <c r="P39" s="70"/>
      <c r="Q39" s="69"/>
      <c r="R39" s="67"/>
      <c r="S39" s="70"/>
      <c r="T39" s="71" t="s">
        <v>218</v>
      </c>
    </row>
    <row r="40" spans="1:20" ht="23.25" hidden="1" customHeight="1">
      <c r="A40" s="41"/>
      <c r="B40" s="61" t="s">
        <v>219</v>
      </c>
      <c r="C40" s="77">
        <v>0</v>
      </c>
      <c r="D40" s="63">
        <v>1</v>
      </c>
      <c r="E40" s="63">
        <v>1</v>
      </c>
      <c r="F40" s="64">
        <f t="shared" si="0"/>
        <v>0</v>
      </c>
      <c r="G40" s="65"/>
      <c r="H40" s="65"/>
      <c r="I40" s="65"/>
      <c r="J40" s="65"/>
      <c r="K40" s="65"/>
      <c r="L40" s="65"/>
      <c r="M40" s="65"/>
      <c r="N40" s="66"/>
      <c r="O40" s="76"/>
      <c r="P40" s="70"/>
      <c r="Q40" s="69"/>
      <c r="R40" s="67"/>
      <c r="S40" s="70"/>
      <c r="T40" s="71" t="s">
        <v>220</v>
      </c>
    </row>
    <row r="41" spans="1:20">
      <c r="A41" s="81"/>
      <c r="B41" s="82"/>
      <c r="C41" s="83"/>
      <c r="D41" s="84"/>
      <c r="E41" s="84"/>
      <c r="F41" s="85"/>
      <c r="G41" s="86"/>
      <c r="H41" s="86"/>
      <c r="I41" s="86"/>
      <c r="J41" s="86"/>
      <c r="K41" s="86"/>
      <c r="L41" s="86"/>
      <c r="M41" s="86"/>
      <c r="N41" s="87"/>
      <c r="O41" s="88"/>
      <c r="P41" s="83"/>
      <c r="Q41" s="89"/>
      <c r="R41" s="88"/>
      <c r="S41" s="83"/>
      <c r="T41" s="90"/>
    </row>
    <row r="43" spans="1:20">
      <c r="A43" s="91"/>
      <c r="B43" s="92"/>
      <c r="C43" s="93" t="s">
        <v>134</v>
      </c>
      <c r="D43" s="93"/>
      <c r="E43" s="93"/>
      <c r="F43" s="94">
        <f>SUM(F7:F41)</f>
        <v>90000000.21502158</v>
      </c>
      <c r="G43" s="95">
        <f t="shared" ref="G43:N43" si="1">SUM(G6:G41)</f>
        <v>0</v>
      </c>
      <c r="H43" s="95">
        <f t="shared" si="1"/>
        <v>0</v>
      </c>
      <c r="I43" s="95">
        <f t="shared" si="1"/>
        <v>0</v>
      </c>
      <c r="J43" s="95">
        <f t="shared" si="1"/>
        <v>0</v>
      </c>
      <c r="K43" s="95">
        <f t="shared" si="1"/>
        <v>0</v>
      </c>
      <c r="L43" s="95">
        <f t="shared" si="1"/>
        <v>0</v>
      </c>
      <c r="M43" s="95">
        <f t="shared" si="1"/>
        <v>0</v>
      </c>
      <c r="N43" s="95">
        <f t="shared" si="1"/>
        <v>0</v>
      </c>
      <c r="Q43" s="93" t="s">
        <v>134</v>
      </c>
      <c r="R43" s="96">
        <f>SUM(F10*R10,F11*R11,F14*R14,F17*R17,F19*R19,F21*R21,-C24*P24,-F28*R28,-F29*R29,-F30*R30)*85%</f>
        <v>191068.63632959998</v>
      </c>
      <c r="S43" s="96">
        <f>SUM(F10*S10,F11*S11,F14*S14,F17*S17,F19*S19,F21*S21,C24*S24,F28*S28,F29*S29,F30*S30)</f>
        <v>-1191908.4902400002</v>
      </c>
      <c r="T43" s="97">
        <f>SUM(G43:N43)</f>
        <v>0</v>
      </c>
    </row>
    <row r="44" spans="1:20">
      <c r="A44" s="91"/>
      <c r="P44" s="42"/>
      <c r="R44" s="98" t="s">
        <v>221</v>
      </c>
    </row>
    <row r="45" spans="1:20">
      <c r="B45" s="99"/>
      <c r="F45" s="100" t="s">
        <v>222</v>
      </c>
      <c r="G45" s="101">
        <f>G43/$F$43</f>
        <v>0</v>
      </c>
      <c r="H45" s="101">
        <f>H43/$F$43+G45</f>
        <v>0</v>
      </c>
      <c r="I45" s="101">
        <f t="shared" ref="I45:S45" si="2">I43/$F$43+H45</f>
        <v>0</v>
      </c>
      <c r="J45" s="101">
        <f t="shared" si="2"/>
        <v>0</v>
      </c>
      <c r="K45" s="101">
        <f t="shared" si="2"/>
        <v>0</v>
      </c>
      <c r="L45" s="101">
        <f t="shared" si="2"/>
        <v>0</v>
      </c>
      <c r="M45" s="101">
        <f t="shared" si="2"/>
        <v>0</v>
      </c>
      <c r="N45" s="101">
        <f t="shared" si="2"/>
        <v>0</v>
      </c>
      <c r="O45" s="101">
        <f t="shared" si="2"/>
        <v>0</v>
      </c>
      <c r="P45" s="101">
        <f t="shared" si="2"/>
        <v>0</v>
      </c>
      <c r="Q45" s="101" t="e">
        <f t="shared" si="2"/>
        <v>#VALUE!</v>
      </c>
      <c r="R45" s="101" t="e">
        <f t="shared" si="2"/>
        <v>#VALUE!</v>
      </c>
      <c r="S45" s="101" t="e">
        <f t="shared" si="2"/>
        <v>#VALUE!</v>
      </c>
    </row>
    <row r="46" spans="1:20">
      <c r="B46" s="99"/>
      <c r="E46" s="102"/>
      <c r="F46" s="100" t="s">
        <v>223</v>
      </c>
      <c r="G46" s="103">
        <v>0.2</v>
      </c>
      <c r="H46" s="103">
        <v>0.35</v>
      </c>
      <c r="I46" s="103">
        <v>0.45</v>
      </c>
      <c r="J46" s="103">
        <v>0.55000000000000004</v>
      </c>
      <c r="K46" s="103">
        <v>0.65</v>
      </c>
      <c r="L46" s="103">
        <v>0.75</v>
      </c>
      <c r="M46" s="103">
        <v>0.85</v>
      </c>
      <c r="N46" s="103">
        <v>0.95</v>
      </c>
    </row>
    <row r="47" spans="1:20">
      <c r="B47" s="99"/>
    </row>
    <row r="48" spans="1:20">
      <c r="B48" s="99"/>
      <c r="C48" s="104"/>
    </row>
  </sheetData>
  <mergeCells count="6">
    <mergeCell ref="R4:S4"/>
    <mergeCell ref="A5:B5"/>
    <mergeCell ref="A4:C4"/>
    <mergeCell ref="D4:F4"/>
    <mergeCell ref="G4:N4"/>
    <mergeCell ref="O4:Q4"/>
  </mergeCells>
  <pageMargins left="0.45" right="0.45" top="0.5" bottom="0.5" header="0.3" footer="0.3"/>
  <pageSetup scale="57" orientation="landscape" horizontalDpi="4294967294"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FF00"/>
    <pageSetUpPr fitToPage="1"/>
  </sheetPr>
  <dimension ref="A1:T47"/>
  <sheetViews>
    <sheetView zoomScale="98" zoomScaleNormal="98" workbookViewId="0">
      <pane ySplit="5" topLeftCell="A6" activePane="bottomLeft" state="frozen"/>
      <selection pane="bottomLeft"/>
    </sheetView>
  </sheetViews>
  <sheetFormatPr baseColWidth="10" defaultColWidth="8.83203125" defaultRowHeight="15"/>
  <cols>
    <col min="1" max="1" width="5.5" customWidth="1"/>
    <col min="2" max="2" width="51.33203125" customWidth="1"/>
    <col min="3" max="3" width="10.5" customWidth="1"/>
    <col min="4" max="4" width="11.5" customWidth="1"/>
    <col min="5" max="5" width="9" customWidth="1"/>
    <col min="6" max="6" width="12.5" customWidth="1"/>
    <col min="7" max="7" width="5.6640625" customWidth="1"/>
    <col min="8" max="9" width="6.1640625" customWidth="1"/>
    <col min="10" max="10" width="7.33203125" customWidth="1"/>
    <col min="11" max="11" width="7.5" customWidth="1"/>
    <col min="12" max="12" width="7.1640625" customWidth="1"/>
    <col min="13" max="13" width="7.33203125" customWidth="1"/>
    <col min="14" max="14" width="8" customWidth="1"/>
    <col min="15" max="15" width="9.1640625" hidden="1" customWidth="1"/>
    <col min="16" max="16" width="9.83203125" hidden="1" customWidth="1"/>
    <col min="17" max="18" width="9.1640625" hidden="1" customWidth="1"/>
    <col min="19" max="19" width="9.83203125" hidden="1" customWidth="1"/>
    <col min="20" max="20" width="18.6640625" customWidth="1"/>
  </cols>
  <sheetData>
    <row r="1" spans="1:20">
      <c r="A1" s="38" t="s">
        <v>224</v>
      </c>
    </row>
    <row r="2" spans="1:20">
      <c r="A2" s="43" t="s">
        <v>225</v>
      </c>
    </row>
    <row r="4" spans="1:20">
      <c r="A4" s="318" t="s">
        <v>171</v>
      </c>
      <c r="B4" s="322"/>
      <c r="C4" s="322"/>
      <c r="D4" s="323"/>
      <c r="E4" s="322"/>
      <c r="F4" s="324"/>
      <c r="G4" s="325" t="s">
        <v>172</v>
      </c>
      <c r="H4" s="326"/>
      <c r="I4" s="326"/>
      <c r="J4" s="326"/>
      <c r="K4" s="326"/>
      <c r="L4" s="326"/>
      <c r="M4" s="326"/>
      <c r="N4" s="327"/>
      <c r="O4" s="318" t="s">
        <v>99</v>
      </c>
      <c r="P4" s="328"/>
      <c r="Q4" s="319"/>
      <c r="R4" s="318" t="s">
        <v>173</v>
      </c>
      <c r="S4" s="319"/>
      <c r="T4" s="44"/>
    </row>
    <row r="5" spans="1:20">
      <c r="A5" s="320" t="s">
        <v>97</v>
      </c>
      <c r="B5" s="321"/>
      <c r="C5" s="45" t="s">
        <v>226</v>
      </c>
      <c r="D5" s="46" t="s">
        <v>175</v>
      </c>
      <c r="E5" s="45" t="s">
        <v>176</v>
      </c>
      <c r="F5" s="47" t="s">
        <v>177</v>
      </c>
      <c r="G5" s="45">
        <v>1</v>
      </c>
      <c r="H5" s="45">
        <v>2</v>
      </c>
      <c r="I5" s="45">
        <v>5</v>
      </c>
      <c r="J5" s="45">
        <v>10</v>
      </c>
      <c r="K5" s="45">
        <v>30</v>
      </c>
      <c r="L5" s="45">
        <v>60</v>
      </c>
      <c r="M5" s="45">
        <v>180</v>
      </c>
      <c r="N5" s="45">
        <v>360</v>
      </c>
      <c r="O5" s="46" t="s">
        <v>101</v>
      </c>
      <c r="P5" s="45" t="s">
        <v>178</v>
      </c>
      <c r="Q5" s="47" t="s">
        <v>102</v>
      </c>
      <c r="R5" s="46" t="s">
        <v>179</v>
      </c>
      <c r="S5" s="47" t="s">
        <v>180</v>
      </c>
      <c r="T5" s="48" t="s">
        <v>181</v>
      </c>
    </row>
    <row r="6" spans="1:20">
      <c r="A6" s="49"/>
      <c r="B6" s="50"/>
      <c r="C6" s="39"/>
      <c r="D6" s="51"/>
      <c r="E6" s="51"/>
      <c r="F6" s="52"/>
      <c r="G6" s="53"/>
      <c r="H6" s="53"/>
      <c r="I6" s="53"/>
      <c r="J6" s="53"/>
      <c r="K6" s="53"/>
      <c r="L6" s="53"/>
      <c r="M6" s="53"/>
      <c r="N6" s="54"/>
      <c r="O6" s="55"/>
      <c r="P6" s="40"/>
      <c r="Q6" s="56"/>
      <c r="R6" s="55"/>
      <c r="S6" s="39"/>
      <c r="T6" s="57"/>
    </row>
    <row r="7" spans="1:20">
      <c r="A7" s="58" t="s">
        <v>182</v>
      </c>
      <c r="C7" s="159">
        <v>735072</v>
      </c>
      <c r="D7" s="51">
        <v>1</v>
      </c>
      <c r="E7" s="51">
        <v>1</v>
      </c>
      <c r="F7" s="52">
        <f>C7</f>
        <v>735072</v>
      </c>
      <c r="G7" s="139"/>
      <c r="H7" s="139"/>
      <c r="I7" s="139"/>
      <c r="J7" s="139"/>
      <c r="K7" s="139"/>
      <c r="L7" s="139"/>
      <c r="M7" s="139"/>
      <c r="N7" s="140"/>
      <c r="O7" s="55"/>
      <c r="P7" s="40"/>
      <c r="Q7" s="56"/>
      <c r="R7" s="55"/>
      <c r="S7" s="40"/>
      <c r="T7" s="57"/>
    </row>
    <row r="8" spans="1:20">
      <c r="A8" s="41"/>
      <c r="C8" s="40"/>
      <c r="D8" s="51"/>
      <c r="E8" s="51"/>
      <c r="F8" s="52"/>
      <c r="G8" s="53"/>
      <c r="H8" s="53"/>
      <c r="I8" s="53"/>
      <c r="J8" s="53"/>
      <c r="K8" s="53"/>
      <c r="L8" s="53"/>
      <c r="M8" s="53"/>
      <c r="N8" s="60"/>
      <c r="O8" s="55"/>
      <c r="P8" s="40"/>
      <c r="Q8" s="56"/>
      <c r="R8" s="55"/>
      <c r="S8" s="40"/>
      <c r="T8" s="57"/>
    </row>
    <row r="9" spans="1:20">
      <c r="A9" s="58" t="s">
        <v>183</v>
      </c>
      <c r="C9" s="40"/>
      <c r="D9" s="51"/>
      <c r="E9" s="51"/>
      <c r="F9" s="52"/>
      <c r="G9" s="53"/>
      <c r="H9" s="53"/>
      <c r="I9" s="53"/>
      <c r="J9" s="53"/>
      <c r="K9" s="53"/>
      <c r="L9" s="53"/>
      <c r="M9" s="53"/>
      <c r="N9" s="60"/>
      <c r="O9" s="55"/>
      <c r="P9" s="40"/>
      <c r="Q9" s="56"/>
      <c r="R9" s="55"/>
      <c r="S9" s="40"/>
      <c r="T9" s="57"/>
    </row>
    <row r="10" spans="1:20" ht="30">
      <c r="A10" s="41"/>
      <c r="B10" s="61" t="s">
        <v>184</v>
      </c>
      <c r="C10" s="160">
        <v>12</v>
      </c>
      <c r="D10" s="63">
        <v>102.336</v>
      </c>
      <c r="E10" s="63">
        <v>1.0906</v>
      </c>
      <c r="F10" s="64">
        <f>10000*D10*E10*C10</f>
        <v>13392916.991999999</v>
      </c>
      <c r="G10" s="137"/>
      <c r="H10" s="137"/>
      <c r="I10" s="137"/>
      <c r="J10" s="137"/>
      <c r="K10" s="137"/>
      <c r="L10" s="137"/>
      <c r="M10" s="137"/>
      <c r="N10" s="138"/>
      <c r="O10" s="67">
        <v>1.2500000000000001E-2</v>
      </c>
      <c r="P10" s="68">
        <v>7.4999999999999997E-3</v>
      </c>
      <c r="Q10" s="69">
        <v>1</v>
      </c>
      <c r="R10" s="67">
        <v>3.0000000000000001E-3</v>
      </c>
      <c r="S10" s="70">
        <v>0.03</v>
      </c>
      <c r="T10" s="71" t="s">
        <v>185</v>
      </c>
    </row>
    <row r="11" spans="1:20" ht="45">
      <c r="A11" s="41"/>
      <c r="B11" s="61" t="s">
        <v>186</v>
      </c>
      <c r="C11" s="160">
        <v>8</v>
      </c>
      <c r="D11" s="63">
        <v>101.19199999999999</v>
      </c>
      <c r="E11" s="63">
        <v>1</v>
      </c>
      <c r="F11" s="64">
        <f>20000*D11*E11*C11</f>
        <v>16190719.999999998</v>
      </c>
      <c r="G11" s="137"/>
      <c r="H11" s="137"/>
      <c r="I11" s="137"/>
      <c r="J11" s="137"/>
      <c r="K11" s="137"/>
      <c r="L11" s="137"/>
      <c r="M11" s="137"/>
      <c r="N11" s="138"/>
      <c r="O11" s="67">
        <v>1.7500000000000002E-2</v>
      </c>
      <c r="P11" s="68">
        <v>3.5000000000000001E-3</v>
      </c>
      <c r="Q11" s="69">
        <v>2</v>
      </c>
      <c r="R11" s="67">
        <v>2.5000000000000001E-3</v>
      </c>
      <c r="S11" s="70">
        <v>0.05</v>
      </c>
      <c r="T11" s="71" t="s">
        <v>187</v>
      </c>
    </row>
    <row r="12" spans="1:20" ht="45">
      <c r="A12" s="41"/>
      <c r="B12" s="61" t="s">
        <v>188</v>
      </c>
      <c r="C12" s="160"/>
      <c r="D12" s="63">
        <v>99.8</v>
      </c>
      <c r="E12" s="63">
        <v>1</v>
      </c>
      <c r="F12" s="64">
        <f>5000000*D12*E12*C12/100</f>
        <v>0</v>
      </c>
      <c r="G12" s="137"/>
      <c r="H12" s="137"/>
      <c r="I12" s="137"/>
      <c r="J12" s="137"/>
      <c r="K12" s="137"/>
      <c r="L12" s="137"/>
      <c r="M12" s="137"/>
      <c r="N12" s="138"/>
      <c r="O12" s="67"/>
      <c r="P12" s="68"/>
      <c r="Q12" s="69"/>
      <c r="R12" s="67"/>
      <c r="S12" s="70"/>
      <c r="T12" s="71" t="s">
        <v>189</v>
      </c>
    </row>
    <row r="13" spans="1:20" ht="30">
      <c r="A13" s="41"/>
      <c r="B13" s="61" t="s">
        <v>326</v>
      </c>
      <c r="C13" s="160">
        <v>10</v>
      </c>
      <c r="D13" s="63">
        <v>0.93</v>
      </c>
      <c r="E13" s="63">
        <v>1.39</v>
      </c>
      <c r="F13" s="64">
        <f>1500000*D13/E13*C13</f>
        <v>10035971.223021584</v>
      </c>
      <c r="G13" s="137"/>
      <c r="H13" s="137"/>
      <c r="I13" s="137"/>
      <c r="J13" s="137"/>
      <c r="K13" s="137"/>
      <c r="L13" s="137"/>
      <c r="M13" s="137"/>
      <c r="N13" s="138"/>
      <c r="O13" s="67">
        <v>3.5000000000000003E-2</v>
      </c>
      <c r="P13" s="68">
        <v>2.6499999999999999E-2</v>
      </c>
      <c r="Q13" s="69">
        <v>5</v>
      </c>
      <c r="R13" s="72">
        <v>6.4999999999999997E-3</v>
      </c>
      <c r="S13" s="73">
        <v>-0.1</v>
      </c>
      <c r="T13" s="71" t="s">
        <v>190</v>
      </c>
    </row>
    <row r="14" spans="1:20" ht="30">
      <c r="A14" s="41"/>
      <c r="B14" s="61" t="s">
        <v>191</v>
      </c>
      <c r="C14" s="160">
        <v>4</v>
      </c>
      <c r="D14" s="63">
        <v>0.59267999999999998</v>
      </c>
      <c r="E14" s="63">
        <v>1</v>
      </c>
      <c r="F14" s="64">
        <f>1000000*D14*C14</f>
        <v>2370720</v>
      </c>
      <c r="G14" s="137"/>
      <c r="H14" s="137"/>
      <c r="I14" s="137"/>
      <c r="J14" s="137"/>
      <c r="K14" s="137"/>
      <c r="L14" s="137"/>
      <c r="M14" s="137"/>
      <c r="N14" s="138"/>
      <c r="O14" s="67">
        <v>2.6499999999999999E-2</v>
      </c>
      <c r="P14" s="68">
        <v>5.4999999999999997E-3</v>
      </c>
      <c r="Q14" s="69">
        <v>1</v>
      </c>
      <c r="R14" s="67">
        <v>1.5E-3</v>
      </c>
      <c r="S14" s="74">
        <v>2.5000000000000001E-2</v>
      </c>
      <c r="T14" s="71" t="s">
        <v>192</v>
      </c>
    </row>
    <row r="15" spans="1:20">
      <c r="A15" s="41"/>
      <c r="B15" s="75"/>
      <c r="C15" s="63"/>
      <c r="D15" s="63"/>
      <c r="E15" s="63"/>
      <c r="F15" s="64"/>
      <c r="G15" s="53"/>
      <c r="H15" s="53"/>
      <c r="I15" s="53"/>
      <c r="J15" s="53"/>
      <c r="K15" s="53"/>
      <c r="L15" s="53"/>
      <c r="M15" s="53"/>
      <c r="N15" s="60"/>
      <c r="O15" s="76"/>
      <c r="P15" s="62"/>
      <c r="Q15" s="69"/>
      <c r="R15" s="76"/>
      <c r="S15" s="62"/>
      <c r="T15" s="71"/>
    </row>
    <row r="16" spans="1:20">
      <c r="A16" s="58" t="s">
        <v>121</v>
      </c>
      <c r="B16" s="75"/>
      <c r="C16" s="63"/>
      <c r="D16" s="63"/>
      <c r="E16" s="63"/>
      <c r="F16" s="64"/>
      <c r="G16" s="53"/>
      <c r="H16" s="53"/>
      <c r="I16" s="53"/>
      <c r="J16" s="53"/>
      <c r="K16" s="53"/>
      <c r="L16" s="53"/>
      <c r="M16" s="53"/>
      <c r="N16" s="60"/>
      <c r="O16" s="76"/>
      <c r="P16" s="62"/>
      <c r="Q16" s="69"/>
      <c r="R16" s="76"/>
      <c r="S16" s="62"/>
      <c r="T16" s="71"/>
    </row>
    <row r="17" spans="1:20" ht="45">
      <c r="A17" s="41"/>
      <c r="B17" s="75" t="s">
        <v>193</v>
      </c>
      <c r="C17" s="161">
        <v>500000</v>
      </c>
      <c r="D17" s="63">
        <v>26.3</v>
      </c>
      <c r="E17" s="63">
        <v>1</v>
      </c>
      <c r="F17" s="64">
        <f>C17*D17/E17</f>
        <v>13150000</v>
      </c>
      <c r="G17" s="137"/>
      <c r="H17" s="137"/>
      <c r="I17" s="137"/>
      <c r="J17" s="137"/>
      <c r="K17" s="137"/>
      <c r="L17" s="137"/>
      <c r="M17" s="137"/>
      <c r="N17" s="138"/>
      <c r="O17" s="67">
        <v>0</v>
      </c>
      <c r="P17" s="70">
        <v>0.22</v>
      </c>
      <c r="Q17" s="69">
        <v>1</v>
      </c>
      <c r="R17" s="67">
        <v>4.2500000000000003E-2</v>
      </c>
      <c r="S17" s="70">
        <v>-0.15</v>
      </c>
      <c r="T17" s="71" t="s">
        <v>194</v>
      </c>
    </row>
    <row r="18" spans="1:20" ht="45">
      <c r="A18" s="41"/>
      <c r="B18" s="75" t="s">
        <v>195</v>
      </c>
      <c r="C18" s="161">
        <v>300000</v>
      </c>
      <c r="D18" s="63">
        <v>39.42</v>
      </c>
      <c r="E18" s="63">
        <v>1</v>
      </c>
      <c r="F18" s="64">
        <f>C18*D18/E18</f>
        <v>11826000</v>
      </c>
      <c r="G18" s="137"/>
      <c r="H18" s="137"/>
      <c r="I18" s="137"/>
      <c r="J18" s="137"/>
      <c r="K18" s="137"/>
      <c r="L18" s="137"/>
      <c r="M18" s="137"/>
      <c r="N18" s="138"/>
      <c r="O18" s="67"/>
      <c r="P18" s="70"/>
      <c r="Q18" s="69"/>
      <c r="R18" s="67"/>
      <c r="S18" s="70"/>
      <c r="T18" s="71" t="s">
        <v>196</v>
      </c>
    </row>
    <row r="19" spans="1:20" ht="45">
      <c r="A19" s="41"/>
      <c r="B19" s="75" t="s">
        <v>197</v>
      </c>
      <c r="C19" s="161">
        <v>0</v>
      </c>
      <c r="D19" s="63">
        <v>46.3</v>
      </c>
      <c r="E19" s="63">
        <v>1.0906</v>
      </c>
      <c r="F19" s="64">
        <f>C19*D19*E19</f>
        <v>0</v>
      </c>
      <c r="G19" s="137"/>
      <c r="H19" s="137"/>
      <c r="I19" s="137"/>
      <c r="J19" s="137"/>
      <c r="K19" s="137"/>
      <c r="L19" s="137"/>
      <c r="M19" s="137"/>
      <c r="N19" s="138"/>
      <c r="O19" s="67">
        <v>2.5000000000000001E-3</v>
      </c>
      <c r="P19" s="70">
        <v>0.15</v>
      </c>
      <c r="Q19" s="69">
        <v>2</v>
      </c>
      <c r="R19" s="67">
        <v>3.5000000000000003E-2</v>
      </c>
      <c r="S19" s="74">
        <v>-7.4999999999999997E-2</v>
      </c>
      <c r="T19" s="71" t="s">
        <v>198</v>
      </c>
    </row>
    <row r="20" spans="1:20" ht="30">
      <c r="A20" s="41"/>
      <c r="B20" s="75" t="s">
        <v>199</v>
      </c>
      <c r="C20" s="161">
        <v>0</v>
      </c>
      <c r="D20" s="77">
        <v>6233</v>
      </c>
      <c r="E20" s="63">
        <v>120.36</v>
      </c>
      <c r="F20" s="64">
        <f>C20*D20/E20</f>
        <v>0</v>
      </c>
      <c r="G20" s="137"/>
      <c r="H20" s="137"/>
      <c r="I20" s="137"/>
      <c r="J20" s="137"/>
      <c r="K20" s="137"/>
      <c r="L20" s="137"/>
      <c r="M20" s="137"/>
      <c r="N20" s="138"/>
      <c r="O20" s="67">
        <v>2.5000000000000001E-2</v>
      </c>
      <c r="P20" s="70">
        <v>0.34</v>
      </c>
      <c r="Q20" s="69">
        <v>4</v>
      </c>
      <c r="R20" s="72">
        <v>6.7500000000000004E-2</v>
      </c>
      <c r="S20" s="73">
        <v>-0.15</v>
      </c>
      <c r="T20" s="71" t="s">
        <v>200</v>
      </c>
    </row>
    <row r="21" spans="1:20" ht="45">
      <c r="A21" s="41"/>
      <c r="B21" s="75" t="s">
        <v>201</v>
      </c>
      <c r="C21" s="161">
        <v>0</v>
      </c>
      <c r="D21" s="63">
        <v>24.94</v>
      </c>
      <c r="E21" s="63">
        <v>1.39</v>
      </c>
      <c r="F21" s="64">
        <f>C21*D21/E21</f>
        <v>0</v>
      </c>
      <c r="G21" s="137"/>
      <c r="H21" s="137"/>
      <c r="I21" s="137"/>
      <c r="J21" s="137"/>
      <c r="K21" s="137"/>
      <c r="L21" s="137"/>
      <c r="M21" s="137"/>
      <c r="N21" s="138"/>
      <c r="O21" s="67">
        <v>1.4999999999999999E-2</v>
      </c>
      <c r="P21" s="70">
        <v>0.12</v>
      </c>
      <c r="Q21" s="69">
        <v>2</v>
      </c>
      <c r="R21" s="67">
        <v>2.5000000000000001E-2</v>
      </c>
      <c r="S21" s="74">
        <v>-7.4999999999999997E-2</v>
      </c>
      <c r="T21" s="71" t="s">
        <v>202</v>
      </c>
    </row>
    <row r="22" spans="1:20">
      <c r="A22" s="41"/>
      <c r="B22" s="75"/>
      <c r="C22" s="62"/>
      <c r="D22" s="63"/>
      <c r="E22" s="63"/>
      <c r="F22" s="64"/>
      <c r="G22" s="53"/>
      <c r="H22" s="53"/>
      <c r="I22" s="53"/>
      <c r="J22" s="53"/>
      <c r="K22" s="53"/>
      <c r="L22" s="53"/>
      <c r="M22" s="53"/>
      <c r="N22" s="60"/>
      <c r="O22" s="76"/>
      <c r="P22" s="62"/>
      <c r="Q22" s="69"/>
      <c r="R22" s="76"/>
      <c r="S22" s="62"/>
      <c r="T22" s="57"/>
    </row>
    <row r="23" spans="1:20">
      <c r="A23" s="58" t="s">
        <v>203</v>
      </c>
      <c r="B23" s="75"/>
      <c r="C23" s="62"/>
      <c r="D23" s="63"/>
      <c r="E23" s="63"/>
      <c r="F23" s="64"/>
      <c r="G23" s="53"/>
      <c r="H23" s="53"/>
      <c r="I23" s="53"/>
      <c r="J23" s="53"/>
      <c r="K23" s="53"/>
      <c r="L23" s="53"/>
      <c r="M23" s="53"/>
      <c r="N23" s="60"/>
      <c r="O23" s="76"/>
      <c r="P23" s="62"/>
      <c r="Q23" s="69"/>
      <c r="R23" s="78" t="s">
        <v>204</v>
      </c>
      <c r="S23" s="62"/>
      <c r="T23" s="57"/>
    </row>
    <row r="24" spans="1:20">
      <c r="A24" s="41"/>
      <c r="B24" s="75" t="s">
        <v>327</v>
      </c>
      <c r="C24" s="77">
        <v>13400000</v>
      </c>
      <c r="D24" s="63">
        <v>1.079</v>
      </c>
      <c r="E24" s="63">
        <v>1</v>
      </c>
      <c r="F24" s="64">
        <f>(D24-1.05)*C24</f>
        <v>388599.99999999884</v>
      </c>
      <c r="G24" s="137"/>
      <c r="H24" s="137"/>
      <c r="I24" s="137"/>
      <c r="J24" s="137"/>
      <c r="K24" s="137"/>
      <c r="L24" s="137"/>
      <c r="M24" s="137"/>
      <c r="N24" s="138"/>
      <c r="O24" s="67">
        <v>5.0000000000000001E-3</v>
      </c>
      <c r="P24" s="68">
        <v>2.75E-2</v>
      </c>
      <c r="Q24" s="69">
        <v>1</v>
      </c>
      <c r="R24" s="67">
        <v>1.2500000000000001E-2</v>
      </c>
      <c r="S24" s="70">
        <v>-0.05</v>
      </c>
      <c r="T24" s="71" t="s">
        <v>205</v>
      </c>
    </row>
    <row r="25" spans="1:20">
      <c r="A25" s="41"/>
      <c r="B25" s="75" t="s">
        <v>328</v>
      </c>
      <c r="C25" s="77">
        <v>10000000</v>
      </c>
      <c r="D25" s="63">
        <v>1.3759999999999999</v>
      </c>
      <c r="E25" s="63">
        <v>1</v>
      </c>
      <c r="F25" s="64">
        <f>(D25-1.35)*C25</f>
        <v>259999.99999999802</v>
      </c>
      <c r="G25" s="137"/>
      <c r="H25" s="137"/>
      <c r="I25" s="137"/>
      <c r="J25" s="137"/>
      <c r="K25" s="137"/>
      <c r="L25" s="137"/>
      <c r="M25" s="137"/>
      <c r="N25" s="138"/>
      <c r="O25" s="67">
        <v>2E-3</v>
      </c>
      <c r="P25" s="68">
        <v>1.7500000000000002E-2</v>
      </c>
      <c r="Q25" s="69">
        <v>1</v>
      </c>
      <c r="R25" s="67">
        <v>1.2999999999999999E-2</v>
      </c>
      <c r="S25" s="70">
        <v>-0.05</v>
      </c>
      <c r="T25" s="71" t="s">
        <v>205</v>
      </c>
    </row>
    <row r="26" spans="1:20">
      <c r="A26" s="41"/>
      <c r="B26" s="75"/>
      <c r="C26" s="62"/>
      <c r="D26" s="63"/>
      <c r="E26" s="63"/>
      <c r="F26" s="64"/>
      <c r="G26" s="53"/>
      <c r="H26" s="53"/>
      <c r="I26" s="53"/>
      <c r="J26" s="53"/>
      <c r="K26" s="53"/>
      <c r="L26" s="53"/>
      <c r="M26" s="53"/>
      <c r="N26" s="60"/>
      <c r="O26" s="76"/>
      <c r="P26" s="62"/>
      <c r="Q26" s="69"/>
      <c r="R26" s="76"/>
      <c r="S26" s="62"/>
      <c r="T26" s="57"/>
    </row>
    <row r="27" spans="1:20">
      <c r="A27" s="58" t="s">
        <v>127</v>
      </c>
      <c r="B27" s="75"/>
      <c r="C27" s="62"/>
      <c r="D27" s="63"/>
      <c r="E27" s="63"/>
      <c r="F27" s="64"/>
      <c r="G27" s="53"/>
      <c r="H27" s="53"/>
      <c r="I27" s="53"/>
      <c r="J27" s="53"/>
      <c r="K27" s="53"/>
      <c r="L27" s="53"/>
      <c r="M27" s="53"/>
      <c r="N27" s="60"/>
      <c r="O27" s="76"/>
      <c r="P27" s="62"/>
      <c r="Q27" s="69"/>
      <c r="R27" s="78" t="s">
        <v>204</v>
      </c>
      <c r="S27" s="62"/>
      <c r="T27" s="57"/>
    </row>
    <row r="28" spans="1:20">
      <c r="A28" s="41"/>
      <c r="B28" s="75" t="s">
        <v>329</v>
      </c>
      <c r="C28" s="62">
        <v>100</v>
      </c>
      <c r="D28" s="79">
        <v>2043.94</v>
      </c>
      <c r="E28" s="63">
        <v>1</v>
      </c>
      <c r="F28" s="64">
        <f>60*C28*100</f>
        <v>600000</v>
      </c>
      <c r="G28" s="137"/>
      <c r="H28" s="137"/>
      <c r="I28" s="137"/>
      <c r="J28" s="137"/>
      <c r="K28" s="137"/>
      <c r="L28" s="137"/>
      <c r="M28" s="137"/>
      <c r="N28" s="138"/>
      <c r="O28" s="76" t="s">
        <v>113</v>
      </c>
      <c r="P28" s="70">
        <v>0.66</v>
      </c>
      <c r="Q28" s="69">
        <v>1</v>
      </c>
      <c r="R28" s="67">
        <v>8.3000000000000004E-2</v>
      </c>
      <c r="S28" s="70">
        <v>0.3</v>
      </c>
      <c r="T28" s="71" t="s">
        <v>206</v>
      </c>
    </row>
    <row r="29" spans="1:20">
      <c r="A29" s="41"/>
      <c r="B29" s="75" t="s">
        <v>330</v>
      </c>
      <c r="C29" s="62">
        <v>0</v>
      </c>
      <c r="D29" s="63">
        <v>441.82</v>
      </c>
      <c r="E29" s="63">
        <v>1.0906</v>
      </c>
      <c r="F29" s="64">
        <f>27.5*C29*100*E29</f>
        <v>0</v>
      </c>
      <c r="G29" s="137"/>
      <c r="H29" s="137"/>
      <c r="I29" s="137"/>
      <c r="J29" s="137"/>
      <c r="K29" s="137"/>
      <c r="L29" s="137"/>
      <c r="M29" s="137"/>
      <c r="N29" s="138"/>
      <c r="O29" s="76" t="s">
        <v>113</v>
      </c>
      <c r="P29" s="70">
        <v>0.28000000000000003</v>
      </c>
      <c r="Q29" s="69">
        <v>1</v>
      </c>
      <c r="R29" s="67">
        <v>6.9500000000000006E-2</v>
      </c>
      <c r="S29" s="70">
        <v>0.25</v>
      </c>
      <c r="T29" s="71" t="s">
        <v>206</v>
      </c>
    </row>
    <row r="30" spans="1:20">
      <c r="A30" s="41"/>
      <c r="B30" s="75" t="s">
        <v>331</v>
      </c>
      <c r="C30" s="62">
        <v>0</v>
      </c>
      <c r="D30" s="63">
        <v>764.54</v>
      </c>
      <c r="E30" s="63">
        <v>1.39</v>
      </c>
      <c r="F30" s="64">
        <f>27*C30*100/E30</f>
        <v>0</v>
      </c>
      <c r="G30" s="137"/>
      <c r="H30" s="137"/>
      <c r="I30" s="137"/>
      <c r="J30" s="137"/>
      <c r="K30" s="137"/>
      <c r="L30" s="137"/>
      <c r="M30" s="137"/>
      <c r="N30" s="138"/>
      <c r="O30" s="76" t="s">
        <v>113</v>
      </c>
      <c r="P30" s="70">
        <v>0.32</v>
      </c>
      <c r="Q30" s="69">
        <v>1</v>
      </c>
      <c r="R30" s="67">
        <v>5.7500000000000002E-2</v>
      </c>
      <c r="S30" s="70">
        <v>0.25</v>
      </c>
      <c r="T30" s="71" t="s">
        <v>206</v>
      </c>
    </row>
    <row r="31" spans="1:20">
      <c r="B31" s="75"/>
      <c r="C31" s="62"/>
      <c r="D31" s="63"/>
      <c r="E31" s="63"/>
      <c r="F31" s="64"/>
      <c r="G31" s="53"/>
      <c r="H31" s="53"/>
      <c r="I31" s="53"/>
      <c r="J31" s="53"/>
      <c r="K31" s="53"/>
      <c r="L31" s="53"/>
      <c r="M31" s="53"/>
      <c r="N31" s="60"/>
      <c r="O31" s="76"/>
      <c r="P31" s="70"/>
      <c r="Q31" s="69"/>
      <c r="R31" s="67"/>
      <c r="S31" s="70"/>
      <c r="T31" s="57"/>
    </row>
    <row r="32" spans="1:20">
      <c r="A32" s="58" t="s">
        <v>18</v>
      </c>
      <c r="B32" s="75"/>
      <c r="C32" s="62"/>
      <c r="D32" s="63"/>
      <c r="E32" s="63"/>
      <c r="F32" s="64"/>
      <c r="G32" s="53"/>
      <c r="H32" s="53"/>
      <c r="I32" s="53"/>
      <c r="J32" s="53"/>
      <c r="K32" s="53"/>
      <c r="L32" s="53"/>
      <c r="M32" s="53"/>
      <c r="N32" s="60"/>
      <c r="O32" s="76"/>
      <c r="P32" s="70"/>
      <c r="Q32" s="69"/>
      <c r="R32" s="67"/>
      <c r="S32" s="70"/>
      <c r="T32" s="57"/>
    </row>
    <row r="33" spans="1:20" ht="45">
      <c r="A33" s="80"/>
      <c r="B33" s="61" t="s">
        <v>210</v>
      </c>
      <c r="C33" s="160">
        <v>0.33</v>
      </c>
      <c r="D33" s="77">
        <v>35000000</v>
      </c>
      <c r="E33" s="63">
        <v>1</v>
      </c>
      <c r="F33" s="64">
        <f>D33*C33</f>
        <v>11550000</v>
      </c>
      <c r="G33" s="137"/>
      <c r="H33" s="137"/>
      <c r="I33" s="137"/>
      <c r="J33" s="137"/>
      <c r="K33" s="137"/>
      <c r="L33" s="137"/>
      <c r="M33" s="137"/>
      <c r="N33" s="138"/>
      <c r="O33" s="76"/>
      <c r="P33" s="70"/>
      <c r="Q33" s="69"/>
      <c r="R33" s="67"/>
      <c r="S33" s="70"/>
      <c r="T33" s="71" t="s">
        <v>211</v>
      </c>
    </row>
    <row r="34" spans="1:20" ht="30">
      <c r="A34" s="80"/>
      <c r="B34" s="61" t="s">
        <v>212</v>
      </c>
      <c r="C34" s="160">
        <v>0</v>
      </c>
      <c r="D34" s="77">
        <v>45000000</v>
      </c>
      <c r="E34" s="63">
        <v>1</v>
      </c>
      <c r="F34" s="64">
        <f>D34*C34</f>
        <v>0</v>
      </c>
      <c r="G34" s="137"/>
      <c r="H34" s="137"/>
      <c r="I34" s="137"/>
      <c r="J34" s="137"/>
      <c r="K34" s="137"/>
      <c r="L34" s="137"/>
      <c r="M34" s="137"/>
      <c r="N34" s="138"/>
      <c r="O34" s="76"/>
      <c r="P34" s="70"/>
      <c r="Q34" s="69"/>
      <c r="R34" s="67"/>
      <c r="S34" s="70"/>
      <c r="T34" s="71" t="s">
        <v>213</v>
      </c>
    </row>
    <row r="35" spans="1:20" ht="45">
      <c r="A35" s="80"/>
      <c r="B35" s="61" t="s">
        <v>214</v>
      </c>
      <c r="C35" s="160">
        <v>0</v>
      </c>
      <c r="D35" s="77">
        <v>75000000</v>
      </c>
      <c r="E35" s="63">
        <v>1</v>
      </c>
      <c r="F35" s="64">
        <f>D35*C35</f>
        <v>0</v>
      </c>
      <c r="G35" s="137"/>
      <c r="H35" s="137"/>
      <c r="I35" s="137"/>
      <c r="J35" s="137"/>
      <c r="K35" s="137"/>
      <c r="L35" s="137"/>
      <c r="M35" s="137"/>
      <c r="N35" s="138"/>
      <c r="O35" s="76"/>
      <c r="P35" s="70"/>
      <c r="Q35" s="69"/>
      <c r="R35" s="67"/>
      <c r="S35" s="70"/>
      <c r="T35" s="71" t="s">
        <v>211</v>
      </c>
    </row>
    <row r="36" spans="1:20">
      <c r="A36" s="41"/>
      <c r="B36" s="61"/>
      <c r="C36" s="62"/>
      <c r="D36" s="63"/>
      <c r="E36" s="63"/>
      <c r="F36" s="64"/>
      <c r="G36" s="53"/>
      <c r="H36" s="53"/>
      <c r="I36" s="53"/>
      <c r="J36" s="53"/>
      <c r="K36" s="53"/>
      <c r="L36" s="53"/>
      <c r="M36" s="53"/>
      <c r="N36" s="60"/>
      <c r="O36" s="76"/>
      <c r="P36" s="70"/>
      <c r="Q36" s="69"/>
      <c r="R36" s="67"/>
      <c r="S36" s="70"/>
      <c r="T36" s="57"/>
    </row>
    <row r="37" spans="1:20">
      <c r="A37" s="58" t="s">
        <v>14</v>
      </c>
      <c r="B37" s="61"/>
      <c r="C37" s="62"/>
      <c r="D37" s="63"/>
      <c r="E37" s="63"/>
      <c r="F37" s="64"/>
      <c r="G37" s="53"/>
      <c r="H37" s="53"/>
      <c r="I37" s="53"/>
      <c r="J37" s="53"/>
      <c r="K37" s="53"/>
      <c r="L37" s="53"/>
      <c r="M37" s="53"/>
      <c r="N37" s="60"/>
      <c r="O37" s="76"/>
      <c r="P37" s="70"/>
      <c r="Q37" s="69"/>
      <c r="R37" s="67"/>
      <c r="S37" s="70"/>
      <c r="T37" s="57"/>
    </row>
    <row r="38" spans="1:20" ht="16">
      <c r="A38" s="41"/>
      <c r="B38" s="61" t="s">
        <v>215</v>
      </c>
      <c r="C38" s="161">
        <v>10000000</v>
      </c>
      <c r="D38" s="63">
        <v>0.95</v>
      </c>
      <c r="E38" s="63">
        <v>1</v>
      </c>
      <c r="F38" s="64">
        <f t="shared" ref="F38:F40" si="0">D38*C38</f>
        <v>9500000</v>
      </c>
      <c r="G38" s="137"/>
      <c r="H38" s="137"/>
      <c r="I38" s="137"/>
      <c r="J38" s="137"/>
      <c r="K38" s="137"/>
      <c r="L38" s="137"/>
      <c r="M38" s="137"/>
      <c r="N38" s="138"/>
      <c r="O38" s="76"/>
      <c r="P38" s="70"/>
      <c r="Q38" s="69"/>
      <c r="R38" s="67"/>
      <c r="S38" s="70"/>
      <c r="T38" s="71" t="s">
        <v>227</v>
      </c>
    </row>
    <row r="39" spans="1:20" ht="45">
      <c r="A39" s="41"/>
      <c r="B39" s="61" t="s">
        <v>217</v>
      </c>
      <c r="C39" s="161">
        <v>0</v>
      </c>
      <c r="D39" s="63">
        <v>1.02</v>
      </c>
      <c r="E39" s="63">
        <v>1</v>
      </c>
      <c r="F39" s="64">
        <f t="shared" si="0"/>
        <v>0</v>
      </c>
      <c r="G39" s="137"/>
      <c r="H39" s="137"/>
      <c r="I39" s="137"/>
      <c r="J39" s="137"/>
      <c r="K39" s="137"/>
      <c r="L39" s="137"/>
      <c r="M39" s="137"/>
      <c r="N39" s="138"/>
      <c r="O39" s="76"/>
      <c r="P39" s="70"/>
      <c r="Q39" s="69"/>
      <c r="R39" s="67"/>
      <c r="S39" s="70"/>
      <c r="T39" s="71" t="s">
        <v>218</v>
      </c>
    </row>
    <row r="40" spans="1:20" ht="16">
      <c r="A40" s="41"/>
      <c r="B40" s="61" t="s">
        <v>219</v>
      </c>
      <c r="C40" s="161">
        <v>0</v>
      </c>
      <c r="D40" s="63">
        <v>1</v>
      </c>
      <c r="E40" s="63">
        <v>1</v>
      </c>
      <c r="F40" s="64">
        <f t="shared" si="0"/>
        <v>0</v>
      </c>
      <c r="G40" s="137"/>
      <c r="H40" s="137"/>
      <c r="I40" s="137"/>
      <c r="J40" s="137"/>
      <c r="K40" s="137"/>
      <c r="L40" s="137"/>
      <c r="M40" s="137"/>
      <c r="N40" s="138"/>
      <c r="O40" s="76"/>
      <c r="P40" s="70"/>
      <c r="Q40" s="69"/>
      <c r="R40" s="67"/>
      <c r="S40" s="70"/>
      <c r="T40" s="71" t="s">
        <v>220</v>
      </c>
    </row>
    <row r="41" spans="1:20">
      <c r="A41" s="81"/>
      <c r="B41" s="82"/>
      <c r="C41" s="83"/>
      <c r="D41" s="84"/>
      <c r="E41" s="84"/>
      <c r="F41" s="85"/>
      <c r="G41" s="86"/>
      <c r="H41" s="86"/>
      <c r="I41" s="86"/>
      <c r="J41" s="86"/>
      <c r="K41" s="86"/>
      <c r="L41" s="86"/>
      <c r="M41" s="86"/>
      <c r="N41" s="87"/>
      <c r="O41" s="88"/>
      <c r="P41" s="83"/>
      <c r="Q41" s="89"/>
      <c r="R41" s="88"/>
      <c r="S41" s="83"/>
      <c r="T41" s="90"/>
    </row>
    <row r="43" spans="1:20">
      <c r="A43" s="91"/>
      <c r="B43" s="92"/>
      <c r="C43" s="93" t="s">
        <v>134</v>
      </c>
      <c r="D43" s="93"/>
      <c r="E43" s="93"/>
      <c r="F43" s="94">
        <f>SUM(F7:F41)</f>
        <v>90000000.21502158</v>
      </c>
      <c r="G43" s="95">
        <f t="shared" ref="G43:N43" si="1">SUM(G6:G41)</f>
        <v>0</v>
      </c>
      <c r="H43" s="95">
        <f t="shared" si="1"/>
        <v>0</v>
      </c>
      <c r="I43" s="95">
        <f t="shared" si="1"/>
        <v>0</v>
      </c>
      <c r="J43" s="95">
        <f t="shared" si="1"/>
        <v>0</v>
      </c>
      <c r="K43" s="95">
        <f t="shared" si="1"/>
        <v>0</v>
      </c>
      <c r="L43" s="95">
        <f t="shared" si="1"/>
        <v>0</v>
      </c>
      <c r="M43" s="95">
        <f t="shared" si="1"/>
        <v>0</v>
      </c>
      <c r="N43" s="95">
        <f t="shared" si="1"/>
        <v>0</v>
      </c>
      <c r="Q43" s="93" t="s">
        <v>134</v>
      </c>
      <c r="R43" s="96">
        <f>SUM(F10*R10,F11*R11,F14*R14,F17*R17,F19*R19,F21*R21,-C24*P24,-F28*R28,-F29*R29,-F30*R30)*85%</f>
        <v>191068.63632959998</v>
      </c>
      <c r="S43" s="96">
        <f>SUM(F10*S10,F11*S11,F14*S14,F17*S17,F19*S19,F21*S21,C24*S24,F28*S28,F29*S29,F30*S30)</f>
        <v>-1191908.4902400002</v>
      </c>
      <c r="T43" s="97">
        <f>SUM(G43:N43)</f>
        <v>0</v>
      </c>
    </row>
    <row r="44" spans="1:20">
      <c r="A44" s="91"/>
      <c r="P44" s="42"/>
      <c r="R44" s="98" t="s">
        <v>221</v>
      </c>
    </row>
    <row r="45" spans="1:20">
      <c r="B45" s="99"/>
      <c r="F45" s="100" t="s">
        <v>222</v>
      </c>
      <c r="G45" s="101">
        <f>G43/$F$43</f>
        <v>0</v>
      </c>
      <c r="H45" s="101">
        <f>H43/$F$43+G45</f>
        <v>0</v>
      </c>
      <c r="I45" s="101">
        <f t="shared" ref="I45:N45" si="2">I43/$F$43+H45</f>
        <v>0</v>
      </c>
      <c r="J45" s="101">
        <f t="shared" si="2"/>
        <v>0</v>
      </c>
      <c r="K45" s="101">
        <f t="shared" si="2"/>
        <v>0</v>
      </c>
      <c r="L45" s="101">
        <f t="shared" si="2"/>
        <v>0</v>
      </c>
      <c r="M45" s="101">
        <f t="shared" si="2"/>
        <v>0</v>
      </c>
      <c r="N45" s="101">
        <f t="shared" si="2"/>
        <v>0</v>
      </c>
    </row>
    <row r="46" spans="1:20">
      <c r="A46" s="105"/>
      <c r="B46" s="106"/>
      <c r="E46" s="102"/>
      <c r="F46" s="100" t="s">
        <v>223</v>
      </c>
      <c r="G46" s="103">
        <v>0.2</v>
      </c>
      <c r="H46" s="103">
        <v>0.35</v>
      </c>
      <c r="I46" s="103">
        <v>0.45</v>
      </c>
      <c r="J46" s="103">
        <v>0.55000000000000004</v>
      </c>
      <c r="K46" s="103">
        <v>0.65</v>
      </c>
      <c r="L46" s="103">
        <v>0.75</v>
      </c>
      <c r="M46" s="103">
        <v>0.85</v>
      </c>
      <c r="N46" s="103">
        <v>0.95</v>
      </c>
    </row>
    <row r="47" spans="1:20">
      <c r="B47" s="99"/>
    </row>
  </sheetData>
  <mergeCells count="6">
    <mergeCell ref="R4:S4"/>
    <mergeCell ref="A5:B5"/>
    <mergeCell ref="A4:C4"/>
    <mergeCell ref="D4:F4"/>
    <mergeCell ref="G4:N4"/>
    <mergeCell ref="O4:Q4"/>
  </mergeCells>
  <pageMargins left="0.45" right="0.45" top="0.5" bottom="0.5" header="0.3" footer="0.3"/>
  <pageSetup scale="57" orientation="landscape" horizontalDpi="4294967294"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F32EE-B841-1B40-AB8E-F17425442DEB}">
  <sheetPr>
    <tabColor theme="5" tint="-0.499984740745262"/>
  </sheetPr>
  <dimension ref="B2:I23"/>
  <sheetViews>
    <sheetView zoomScale="80" zoomScaleNormal="80" workbookViewId="0"/>
  </sheetViews>
  <sheetFormatPr baseColWidth="10" defaultColWidth="10.83203125" defaultRowHeight="26"/>
  <cols>
    <col min="1" max="1" width="10.83203125" style="10"/>
    <col min="2" max="2" width="3.1640625" style="10" bestFit="1" customWidth="1"/>
    <col min="3" max="3" width="10.83203125" style="10" customWidth="1"/>
    <col min="4" max="4" width="171" style="10" customWidth="1"/>
    <col min="5" max="5" width="10.83203125" style="10"/>
    <col min="6" max="6" width="15.83203125" style="10" bestFit="1" customWidth="1"/>
    <col min="7" max="7" width="10.83203125" style="10"/>
    <col min="8" max="8" width="9.6640625" style="10" customWidth="1"/>
    <col min="9" max="9" width="15.83203125" style="10" customWidth="1"/>
    <col min="10" max="16384" width="10.83203125" style="10"/>
  </cols>
  <sheetData>
    <row r="2" spans="2:4">
      <c r="C2" s="28" t="s">
        <v>527</v>
      </c>
    </row>
    <row r="3" spans="2:4">
      <c r="C3" s="10" t="s">
        <v>534</v>
      </c>
    </row>
    <row r="4" spans="2:4">
      <c r="C4" s="10" t="s">
        <v>528</v>
      </c>
    </row>
    <row r="6" spans="2:4">
      <c r="B6" s="10">
        <v>1</v>
      </c>
      <c r="C6" s="10" t="s">
        <v>526</v>
      </c>
    </row>
    <row r="7" spans="2:4">
      <c r="B7" s="10">
        <v>2</v>
      </c>
      <c r="C7" s="10" t="s">
        <v>529</v>
      </c>
    </row>
    <row r="8" spans="2:4">
      <c r="B8" s="10">
        <v>3</v>
      </c>
      <c r="C8" s="10" t="s">
        <v>535</v>
      </c>
    </row>
    <row r="9" spans="2:4">
      <c r="D9" s="10" t="s">
        <v>520</v>
      </c>
    </row>
    <row r="10" spans="2:4">
      <c r="D10" s="10" t="s">
        <v>521</v>
      </c>
    </row>
    <row r="11" spans="2:4">
      <c r="D11" s="10" t="s">
        <v>522</v>
      </c>
    </row>
    <row r="12" spans="2:4">
      <c r="D12" s="10" t="s">
        <v>523</v>
      </c>
    </row>
    <row r="13" spans="2:4">
      <c r="D13" s="10" t="s">
        <v>524</v>
      </c>
    </row>
    <row r="14" spans="2:4">
      <c r="D14" s="10" t="s">
        <v>525</v>
      </c>
    </row>
    <row r="15" spans="2:4">
      <c r="D15" s="10" t="s">
        <v>531</v>
      </c>
    </row>
    <row r="16" spans="2:4">
      <c r="B16" s="10">
        <v>4</v>
      </c>
      <c r="C16" s="10" t="s">
        <v>530</v>
      </c>
    </row>
    <row r="17" spans="2:9">
      <c r="B17" s="10">
        <v>5</v>
      </c>
      <c r="C17" s="10" t="s">
        <v>532</v>
      </c>
    </row>
    <row r="18" spans="2:9">
      <c r="B18" s="10">
        <v>6</v>
      </c>
      <c r="C18" s="10" t="s">
        <v>544</v>
      </c>
    </row>
    <row r="19" spans="2:9">
      <c r="B19" s="10">
        <v>7</v>
      </c>
      <c r="C19" s="10" t="s">
        <v>533</v>
      </c>
      <c r="F19" s="217"/>
      <c r="I19" s="217"/>
    </row>
    <row r="20" spans="2:9">
      <c r="C20" s="10" t="s">
        <v>543</v>
      </c>
      <c r="F20" s="217"/>
      <c r="I20" s="217"/>
    </row>
    <row r="21" spans="2:9">
      <c r="D21" s="10" t="s">
        <v>538</v>
      </c>
      <c r="F21" s="299"/>
      <c r="G21" s="298"/>
      <c r="I21" s="300"/>
    </row>
    <row r="22" spans="2:9">
      <c r="D22" s="10" t="s">
        <v>539</v>
      </c>
      <c r="F22" s="299"/>
      <c r="G22" s="298"/>
      <c r="I22" s="300"/>
    </row>
    <row r="23" spans="2:9">
      <c r="F23" s="299"/>
      <c r="G23" s="298"/>
      <c r="I23" s="300"/>
    </row>
  </sheetData>
  <pageMargins left="0.7" right="0.7" top="0.75" bottom="0.75" header="0.3" footer="0.3"/>
  <pageSetup orientation="portrait" horizontalDpi="4294967292" verticalDpi="429496729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9EEED-618B-7D47-B1E8-D6F781484ABF}">
  <sheetPr>
    <tabColor theme="5" tint="-0.499984740745262"/>
  </sheetPr>
  <dimension ref="B2:V8"/>
  <sheetViews>
    <sheetView zoomScale="80" zoomScaleNormal="80" workbookViewId="0"/>
  </sheetViews>
  <sheetFormatPr baseColWidth="10" defaultColWidth="10.83203125" defaultRowHeight="26"/>
  <cols>
    <col min="1" max="19" width="10.83203125" style="10"/>
    <col min="20" max="21" width="12.5" style="10" bestFit="1" customWidth="1"/>
    <col min="22" max="16384" width="10.83203125" style="10"/>
  </cols>
  <sheetData>
    <row r="2" spans="2:22">
      <c r="B2" s="10" t="s">
        <v>513</v>
      </c>
      <c r="T2" s="217" t="s">
        <v>536</v>
      </c>
      <c r="U2" s="217" t="s">
        <v>370</v>
      </c>
      <c r="V2" s="217" t="s">
        <v>537</v>
      </c>
    </row>
    <row r="3" spans="2:22">
      <c r="T3" s="301">
        <v>39904</v>
      </c>
      <c r="U3" s="10" t="s">
        <v>515</v>
      </c>
      <c r="V3" s="10" t="s">
        <v>514</v>
      </c>
    </row>
    <row r="4" spans="2:22">
      <c r="T4" s="301">
        <v>39919</v>
      </c>
      <c r="U4" s="10" t="s">
        <v>517</v>
      </c>
      <c r="V4" s="10" t="s">
        <v>516</v>
      </c>
    </row>
    <row r="5" spans="2:22">
      <c r="T5" s="301">
        <v>40275</v>
      </c>
      <c r="U5" s="10" t="s">
        <v>518</v>
      </c>
      <c r="V5" s="10" t="s">
        <v>516</v>
      </c>
    </row>
    <row r="6" spans="2:22">
      <c r="T6" s="301">
        <v>40316</v>
      </c>
      <c r="U6" s="10" t="s">
        <v>515</v>
      </c>
      <c r="V6" s="10" t="s">
        <v>514</v>
      </c>
    </row>
    <row r="7" spans="2:22">
      <c r="T7" s="301">
        <v>41101</v>
      </c>
      <c r="U7" s="10" t="s">
        <v>519</v>
      </c>
      <c r="V7" s="10" t="s">
        <v>516</v>
      </c>
    </row>
    <row r="8" spans="2:22">
      <c r="T8" s="301">
        <v>41131</v>
      </c>
      <c r="U8" s="10" t="s">
        <v>478</v>
      </c>
      <c r="V8" s="10" t="s">
        <v>514</v>
      </c>
    </row>
  </sheetData>
  <pageMargins left="0.7" right="0.7" top="0.75" bottom="0.75" header="0.3" footer="0.3"/>
  <pageSetup orientation="portrait" horizontalDpi="4294967292" verticalDpi="429496729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8AC89-5155-7E41-9111-CDAA75FE2FCB}">
  <sheetPr>
    <tabColor theme="5" tint="-0.499984740745262"/>
  </sheetPr>
  <dimension ref="B2:I39"/>
  <sheetViews>
    <sheetView showGridLines="0" workbookViewId="0"/>
  </sheetViews>
  <sheetFormatPr baseColWidth="10" defaultColWidth="8.83203125" defaultRowHeight="14"/>
  <cols>
    <col min="1" max="1" width="5" style="222" customWidth="1"/>
    <col min="2" max="2" width="4.33203125" style="222" customWidth="1"/>
    <col min="3" max="3" width="30.83203125" style="222" customWidth="1"/>
    <col min="4" max="10" width="8.6640625" style="222" customWidth="1"/>
    <col min="11" max="256" width="8.83203125" style="222"/>
    <col min="257" max="257" width="6.6640625" style="222" customWidth="1"/>
    <col min="258" max="258" width="26.83203125" style="222" customWidth="1"/>
    <col min="259" max="261" width="14.1640625" style="222" customWidth="1"/>
    <col min="262" max="262" width="15" style="222" customWidth="1"/>
    <col min="263" max="264" width="12.6640625" style="222" bestFit="1" customWidth="1"/>
    <col min="265" max="265" width="13.1640625" style="222" bestFit="1" customWidth="1"/>
    <col min="266" max="512" width="8.83203125" style="222"/>
    <col min="513" max="513" width="6.6640625" style="222" customWidth="1"/>
    <col min="514" max="514" width="26.83203125" style="222" customWidth="1"/>
    <col min="515" max="517" width="14.1640625" style="222" customWidth="1"/>
    <col min="518" max="518" width="15" style="222" customWidth="1"/>
    <col min="519" max="520" width="12.6640625" style="222" bestFit="1" customWidth="1"/>
    <col min="521" max="521" width="13.1640625" style="222" bestFit="1" customWidth="1"/>
    <col min="522" max="768" width="8.83203125" style="222"/>
    <col min="769" max="769" width="6.6640625" style="222" customWidth="1"/>
    <col min="770" max="770" width="26.83203125" style="222" customWidth="1"/>
    <col min="771" max="773" width="14.1640625" style="222" customWidth="1"/>
    <col min="774" max="774" width="15" style="222" customWidth="1"/>
    <col min="775" max="776" width="12.6640625" style="222" bestFit="1" customWidth="1"/>
    <col min="777" max="777" width="13.1640625" style="222" bestFit="1" customWidth="1"/>
    <col min="778" max="1024" width="8.83203125" style="222"/>
    <col min="1025" max="1025" width="6.6640625" style="222" customWidth="1"/>
    <col min="1026" max="1026" width="26.83203125" style="222" customWidth="1"/>
    <col min="1027" max="1029" width="14.1640625" style="222" customWidth="1"/>
    <col min="1030" max="1030" width="15" style="222" customWidth="1"/>
    <col min="1031" max="1032" width="12.6640625" style="222" bestFit="1" customWidth="1"/>
    <col min="1033" max="1033" width="13.1640625" style="222" bestFit="1" customWidth="1"/>
    <col min="1034" max="1280" width="8.83203125" style="222"/>
    <col min="1281" max="1281" width="6.6640625" style="222" customWidth="1"/>
    <col min="1282" max="1282" width="26.83203125" style="222" customWidth="1"/>
    <col min="1283" max="1285" width="14.1640625" style="222" customWidth="1"/>
    <col min="1286" max="1286" width="15" style="222" customWidth="1"/>
    <col min="1287" max="1288" width="12.6640625" style="222" bestFit="1" customWidth="1"/>
    <col min="1289" max="1289" width="13.1640625" style="222" bestFit="1" customWidth="1"/>
    <col min="1290" max="1536" width="8.83203125" style="222"/>
    <col min="1537" max="1537" width="6.6640625" style="222" customWidth="1"/>
    <col min="1538" max="1538" width="26.83203125" style="222" customWidth="1"/>
    <col min="1539" max="1541" width="14.1640625" style="222" customWidth="1"/>
    <col min="1542" max="1542" width="15" style="222" customWidth="1"/>
    <col min="1543" max="1544" width="12.6640625" style="222" bestFit="1" customWidth="1"/>
    <col min="1545" max="1545" width="13.1640625" style="222" bestFit="1" customWidth="1"/>
    <col min="1546" max="1792" width="8.83203125" style="222"/>
    <col min="1793" max="1793" width="6.6640625" style="222" customWidth="1"/>
    <col min="1794" max="1794" width="26.83203125" style="222" customWidth="1"/>
    <col min="1795" max="1797" width="14.1640625" style="222" customWidth="1"/>
    <col min="1798" max="1798" width="15" style="222" customWidth="1"/>
    <col min="1799" max="1800" width="12.6640625" style="222" bestFit="1" customWidth="1"/>
    <col min="1801" max="1801" width="13.1640625" style="222" bestFit="1" customWidth="1"/>
    <col min="1802" max="2048" width="8.83203125" style="222"/>
    <col min="2049" max="2049" width="6.6640625" style="222" customWidth="1"/>
    <col min="2050" max="2050" width="26.83203125" style="222" customWidth="1"/>
    <col min="2051" max="2053" width="14.1640625" style="222" customWidth="1"/>
    <col min="2054" max="2054" width="15" style="222" customWidth="1"/>
    <col min="2055" max="2056" width="12.6640625" style="222" bestFit="1" customWidth="1"/>
    <col min="2057" max="2057" width="13.1640625" style="222" bestFit="1" customWidth="1"/>
    <col min="2058" max="2304" width="8.83203125" style="222"/>
    <col min="2305" max="2305" width="6.6640625" style="222" customWidth="1"/>
    <col min="2306" max="2306" width="26.83203125" style="222" customWidth="1"/>
    <col min="2307" max="2309" width="14.1640625" style="222" customWidth="1"/>
    <col min="2310" max="2310" width="15" style="222" customWidth="1"/>
    <col min="2311" max="2312" width="12.6640625" style="222" bestFit="1" customWidth="1"/>
    <col min="2313" max="2313" width="13.1640625" style="222" bestFit="1" customWidth="1"/>
    <col min="2314" max="2560" width="8.83203125" style="222"/>
    <col min="2561" max="2561" width="6.6640625" style="222" customWidth="1"/>
    <col min="2562" max="2562" width="26.83203125" style="222" customWidth="1"/>
    <col min="2563" max="2565" width="14.1640625" style="222" customWidth="1"/>
    <col min="2566" max="2566" width="15" style="222" customWidth="1"/>
    <col min="2567" max="2568" width="12.6640625" style="222" bestFit="1" customWidth="1"/>
    <col min="2569" max="2569" width="13.1640625" style="222" bestFit="1" customWidth="1"/>
    <col min="2570" max="2816" width="8.83203125" style="222"/>
    <col min="2817" max="2817" width="6.6640625" style="222" customWidth="1"/>
    <col min="2818" max="2818" width="26.83203125" style="222" customWidth="1"/>
    <col min="2819" max="2821" width="14.1640625" style="222" customWidth="1"/>
    <col min="2822" max="2822" width="15" style="222" customWidth="1"/>
    <col min="2823" max="2824" width="12.6640625" style="222" bestFit="1" customWidth="1"/>
    <col min="2825" max="2825" width="13.1640625" style="222" bestFit="1" customWidth="1"/>
    <col min="2826" max="3072" width="8.83203125" style="222"/>
    <col min="3073" max="3073" width="6.6640625" style="222" customWidth="1"/>
    <col min="3074" max="3074" width="26.83203125" style="222" customWidth="1"/>
    <col min="3075" max="3077" width="14.1640625" style="222" customWidth="1"/>
    <col min="3078" max="3078" width="15" style="222" customWidth="1"/>
    <col min="3079" max="3080" width="12.6640625" style="222" bestFit="1" customWidth="1"/>
    <col min="3081" max="3081" width="13.1640625" style="222" bestFit="1" customWidth="1"/>
    <col min="3082" max="3328" width="8.83203125" style="222"/>
    <col min="3329" max="3329" width="6.6640625" style="222" customWidth="1"/>
    <col min="3330" max="3330" width="26.83203125" style="222" customWidth="1"/>
    <col min="3331" max="3333" width="14.1640625" style="222" customWidth="1"/>
    <col min="3334" max="3334" width="15" style="222" customWidth="1"/>
    <col min="3335" max="3336" width="12.6640625" style="222" bestFit="1" customWidth="1"/>
    <col min="3337" max="3337" width="13.1640625" style="222" bestFit="1" customWidth="1"/>
    <col min="3338" max="3584" width="8.83203125" style="222"/>
    <col min="3585" max="3585" width="6.6640625" style="222" customWidth="1"/>
    <col min="3586" max="3586" width="26.83203125" style="222" customWidth="1"/>
    <col min="3587" max="3589" width="14.1640625" style="222" customWidth="1"/>
    <col min="3590" max="3590" width="15" style="222" customWidth="1"/>
    <col min="3591" max="3592" width="12.6640625" style="222" bestFit="1" customWidth="1"/>
    <col min="3593" max="3593" width="13.1640625" style="222" bestFit="1" customWidth="1"/>
    <col min="3594" max="3840" width="8.83203125" style="222"/>
    <col min="3841" max="3841" width="6.6640625" style="222" customWidth="1"/>
    <col min="3842" max="3842" width="26.83203125" style="222" customWidth="1"/>
    <col min="3843" max="3845" width="14.1640625" style="222" customWidth="1"/>
    <col min="3846" max="3846" width="15" style="222" customWidth="1"/>
    <col min="3847" max="3848" width="12.6640625" style="222" bestFit="1" customWidth="1"/>
    <col min="3849" max="3849" width="13.1640625" style="222" bestFit="1" customWidth="1"/>
    <col min="3850" max="4096" width="8.83203125" style="222"/>
    <col min="4097" max="4097" width="6.6640625" style="222" customWidth="1"/>
    <col min="4098" max="4098" width="26.83203125" style="222" customWidth="1"/>
    <col min="4099" max="4101" width="14.1640625" style="222" customWidth="1"/>
    <col min="4102" max="4102" width="15" style="222" customWidth="1"/>
    <col min="4103" max="4104" width="12.6640625" style="222" bestFit="1" customWidth="1"/>
    <col min="4105" max="4105" width="13.1640625" style="222" bestFit="1" customWidth="1"/>
    <col min="4106" max="4352" width="8.83203125" style="222"/>
    <col min="4353" max="4353" width="6.6640625" style="222" customWidth="1"/>
    <col min="4354" max="4354" width="26.83203125" style="222" customWidth="1"/>
    <col min="4355" max="4357" width="14.1640625" style="222" customWidth="1"/>
    <col min="4358" max="4358" width="15" style="222" customWidth="1"/>
    <col min="4359" max="4360" width="12.6640625" style="222" bestFit="1" customWidth="1"/>
    <col min="4361" max="4361" width="13.1640625" style="222" bestFit="1" customWidth="1"/>
    <col min="4362" max="4608" width="8.83203125" style="222"/>
    <col min="4609" max="4609" width="6.6640625" style="222" customWidth="1"/>
    <col min="4610" max="4610" width="26.83203125" style="222" customWidth="1"/>
    <col min="4611" max="4613" width="14.1640625" style="222" customWidth="1"/>
    <col min="4614" max="4614" width="15" style="222" customWidth="1"/>
    <col min="4615" max="4616" width="12.6640625" style="222" bestFit="1" customWidth="1"/>
    <col min="4617" max="4617" width="13.1640625" style="222" bestFit="1" customWidth="1"/>
    <col min="4618" max="4864" width="8.83203125" style="222"/>
    <col min="4865" max="4865" width="6.6640625" style="222" customWidth="1"/>
    <col min="4866" max="4866" width="26.83203125" style="222" customWidth="1"/>
    <col min="4867" max="4869" width="14.1640625" style="222" customWidth="1"/>
    <col min="4870" max="4870" width="15" style="222" customWidth="1"/>
    <col min="4871" max="4872" width="12.6640625" style="222" bestFit="1" customWidth="1"/>
    <col min="4873" max="4873" width="13.1640625" style="222" bestFit="1" customWidth="1"/>
    <col min="4874" max="5120" width="8.83203125" style="222"/>
    <col min="5121" max="5121" width="6.6640625" style="222" customWidth="1"/>
    <col min="5122" max="5122" width="26.83203125" style="222" customWidth="1"/>
    <col min="5123" max="5125" width="14.1640625" style="222" customWidth="1"/>
    <col min="5126" max="5126" width="15" style="222" customWidth="1"/>
    <col min="5127" max="5128" width="12.6640625" style="222" bestFit="1" customWidth="1"/>
    <col min="5129" max="5129" width="13.1640625" style="222" bestFit="1" customWidth="1"/>
    <col min="5130" max="5376" width="8.83203125" style="222"/>
    <col min="5377" max="5377" width="6.6640625" style="222" customWidth="1"/>
    <col min="5378" max="5378" width="26.83203125" style="222" customWidth="1"/>
    <col min="5379" max="5381" width="14.1640625" style="222" customWidth="1"/>
    <col min="5382" max="5382" width="15" style="222" customWidth="1"/>
    <col min="5383" max="5384" width="12.6640625" style="222" bestFit="1" customWidth="1"/>
    <col min="5385" max="5385" width="13.1640625" style="222" bestFit="1" customWidth="1"/>
    <col min="5386" max="5632" width="8.83203125" style="222"/>
    <col min="5633" max="5633" width="6.6640625" style="222" customWidth="1"/>
    <col min="5634" max="5634" width="26.83203125" style="222" customWidth="1"/>
    <col min="5635" max="5637" width="14.1640625" style="222" customWidth="1"/>
    <col min="5638" max="5638" width="15" style="222" customWidth="1"/>
    <col min="5639" max="5640" width="12.6640625" style="222" bestFit="1" customWidth="1"/>
    <col min="5641" max="5641" width="13.1640625" style="222" bestFit="1" customWidth="1"/>
    <col min="5642" max="5888" width="8.83203125" style="222"/>
    <col min="5889" max="5889" width="6.6640625" style="222" customWidth="1"/>
    <col min="5890" max="5890" width="26.83203125" style="222" customWidth="1"/>
    <col min="5891" max="5893" width="14.1640625" style="222" customWidth="1"/>
    <col min="5894" max="5894" width="15" style="222" customWidth="1"/>
    <col min="5895" max="5896" width="12.6640625" style="222" bestFit="1" customWidth="1"/>
    <col min="5897" max="5897" width="13.1640625" style="222" bestFit="1" customWidth="1"/>
    <col min="5898" max="6144" width="8.83203125" style="222"/>
    <col min="6145" max="6145" width="6.6640625" style="222" customWidth="1"/>
    <col min="6146" max="6146" width="26.83203125" style="222" customWidth="1"/>
    <col min="6147" max="6149" width="14.1640625" style="222" customWidth="1"/>
    <col min="6150" max="6150" width="15" style="222" customWidth="1"/>
    <col min="6151" max="6152" width="12.6640625" style="222" bestFit="1" customWidth="1"/>
    <col min="6153" max="6153" width="13.1640625" style="222" bestFit="1" customWidth="1"/>
    <col min="6154" max="6400" width="8.83203125" style="222"/>
    <col min="6401" max="6401" width="6.6640625" style="222" customWidth="1"/>
    <col min="6402" max="6402" width="26.83203125" style="222" customWidth="1"/>
    <col min="6403" max="6405" width="14.1640625" style="222" customWidth="1"/>
    <col min="6406" max="6406" width="15" style="222" customWidth="1"/>
    <col min="6407" max="6408" width="12.6640625" style="222" bestFit="1" customWidth="1"/>
    <col min="6409" max="6409" width="13.1640625" style="222" bestFit="1" customWidth="1"/>
    <col min="6410" max="6656" width="8.83203125" style="222"/>
    <col min="6657" max="6657" width="6.6640625" style="222" customWidth="1"/>
    <col min="6658" max="6658" width="26.83203125" style="222" customWidth="1"/>
    <col min="6659" max="6661" width="14.1640625" style="222" customWidth="1"/>
    <col min="6662" max="6662" width="15" style="222" customWidth="1"/>
    <col min="6663" max="6664" width="12.6640625" style="222" bestFit="1" customWidth="1"/>
    <col min="6665" max="6665" width="13.1640625" style="222" bestFit="1" customWidth="1"/>
    <col min="6666" max="6912" width="8.83203125" style="222"/>
    <col min="6913" max="6913" width="6.6640625" style="222" customWidth="1"/>
    <col min="6914" max="6914" width="26.83203125" style="222" customWidth="1"/>
    <col min="6915" max="6917" width="14.1640625" style="222" customWidth="1"/>
    <col min="6918" max="6918" width="15" style="222" customWidth="1"/>
    <col min="6919" max="6920" width="12.6640625" style="222" bestFit="1" customWidth="1"/>
    <col min="6921" max="6921" width="13.1640625" style="222" bestFit="1" customWidth="1"/>
    <col min="6922" max="7168" width="8.83203125" style="222"/>
    <col min="7169" max="7169" width="6.6640625" style="222" customWidth="1"/>
    <col min="7170" max="7170" width="26.83203125" style="222" customWidth="1"/>
    <col min="7171" max="7173" width="14.1640625" style="222" customWidth="1"/>
    <col min="7174" max="7174" width="15" style="222" customWidth="1"/>
    <col min="7175" max="7176" width="12.6640625" style="222" bestFit="1" customWidth="1"/>
    <col min="7177" max="7177" width="13.1640625" style="222" bestFit="1" customWidth="1"/>
    <col min="7178" max="7424" width="8.83203125" style="222"/>
    <col min="7425" max="7425" width="6.6640625" style="222" customWidth="1"/>
    <col min="7426" max="7426" width="26.83203125" style="222" customWidth="1"/>
    <col min="7427" max="7429" width="14.1640625" style="222" customWidth="1"/>
    <col min="7430" max="7430" width="15" style="222" customWidth="1"/>
    <col min="7431" max="7432" width="12.6640625" style="222" bestFit="1" customWidth="1"/>
    <col min="7433" max="7433" width="13.1640625" style="222" bestFit="1" customWidth="1"/>
    <col min="7434" max="7680" width="8.83203125" style="222"/>
    <col min="7681" max="7681" width="6.6640625" style="222" customWidth="1"/>
    <col min="7682" max="7682" width="26.83203125" style="222" customWidth="1"/>
    <col min="7683" max="7685" width="14.1640625" style="222" customWidth="1"/>
    <col min="7686" max="7686" width="15" style="222" customWidth="1"/>
    <col min="7687" max="7688" width="12.6640625" style="222" bestFit="1" customWidth="1"/>
    <col min="7689" max="7689" width="13.1640625" style="222" bestFit="1" customWidth="1"/>
    <col min="7690" max="7936" width="8.83203125" style="222"/>
    <col min="7937" max="7937" width="6.6640625" style="222" customWidth="1"/>
    <col min="7938" max="7938" width="26.83203125" style="222" customWidth="1"/>
    <col min="7939" max="7941" width="14.1640625" style="222" customWidth="1"/>
    <col min="7942" max="7942" width="15" style="222" customWidth="1"/>
    <col min="7943" max="7944" width="12.6640625" style="222" bestFit="1" customWidth="1"/>
    <col min="7945" max="7945" width="13.1640625" style="222" bestFit="1" customWidth="1"/>
    <col min="7946" max="8192" width="8.83203125" style="222"/>
    <col min="8193" max="8193" width="6.6640625" style="222" customWidth="1"/>
    <col min="8194" max="8194" width="26.83203125" style="222" customWidth="1"/>
    <col min="8195" max="8197" width="14.1640625" style="222" customWidth="1"/>
    <col min="8198" max="8198" width="15" style="222" customWidth="1"/>
    <col min="8199" max="8200" width="12.6640625" style="222" bestFit="1" customWidth="1"/>
    <col min="8201" max="8201" width="13.1640625" style="222" bestFit="1" customWidth="1"/>
    <col min="8202" max="8448" width="8.83203125" style="222"/>
    <col min="8449" max="8449" width="6.6640625" style="222" customWidth="1"/>
    <col min="8450" max="8450" width="26.83203125" style="222" customWidth="1"/>
    <col min="8451" max="8453" width="14.1640625" style="222" customWidth="1"/>
    <col min="8454" max="8454" width="15" style="222" customWidth="1"/>
    <col min="8455" max="8456" width="12.6640625" style="222" bestFit="1" customWidth="1"/>
    <col min="8457" max="8457" width="13.1640625" style="222" bestFit="1" customWidth="1"/>
    <col min="8458" max="8704" width="8.83203125" style="222"/>
    <col min="8705" max="8705" width="6.6640625" style="222" customWidth="1"/>
    <col min="8706" max="8706" width="26.83203125" style="222" customWidth="1"/>
    <col min="8707" max="8709" width="14.1640625" style="222" customWidth="1"/>
    <col min="8710" max="8710" width="15" style="222" customWidth="1"/>
    <col min="8711" max="8712" width="12.6640625" style="222" bestFit="1" customWidth="1"/>
    <col min="8713" max="8713" width="13.1640625" style="222" bestFit="1" customWidth="1"/>
    <col min="8714" max="8960" width="8.83203125" style="222"/>
    <col min="8961" max="8961" width="6.6640625" style="222" customWidth="1"/>
    <col min="8962" max="8962" width="26.83203125" style="222" customWidth="1"/>
    <col min="8963" max="8965" width="14.1640625" style="222" customWidth="1"/>
    <col min="8966" max="8966" width="15" style="222" customWidth="1"/>
    <col min="8967" max="8968" width="12.6640625" style="222" bestFit="1" customWidth="1"/>
    <col min="8969" max="8969" width="13.1640625" style="222" bestFit="1" customWidth="1"/>
    <col min="8970" max="9216" width="8.83203125" style="222"/>
    <col min="9217" max="9217" width="6.6640625" style="222" customWidth="1"/>
    <col min="9218" max="9218" width="26.83203125" style="222" customWidth="1"/>
    <col min="9219" max="9221" width="14.1640625" style="222" customWidth="1"/>
    <col min="9222" max="9222" width="15" style="222" customWidth="1"/>
    <col min="9223" max="9224" width="12.6640625" style="222" bestFit="1" customWidth="1"/>
    <col min="9225" max="9225" width="13.1640625" style="222" bestFit="1" customWidth="1"/>
    <col min="9226" max="9472" width="8.83203125" style="222"/>
    <col min="9473" max="9473" width="6.6640625" style="222" customWidth="1"/>
    <col min="9474" max="9474" width="26.83203125" style="222" customWidth="1"/>
    <col min="9475" max="9477" width="14.1640625" style="222" customWidth="1"/>
    <col min="9478" max="9478" width="15" style="222" customWidth="1"/>
    <col min="9479" max="9480" width="12.6640625" style="222" bestFit="1" customWidth="1"/>
    <col min="9481" max="9481" width="13.1640625" style="222" bestFit="1" customWidth="1"/>
    <col min="9482" max="9728" width="8.83203125" style="222"/>
    <col min="9729" max="9729" width="6.6640625" style="222" customWidth="1"/>
    <col min="9730" max="9730" width="26.83203125" style="222" customWidth="1"/>
    <col min="9731" max="9733" width="14.1640625" style="222" customWidth="1"/>
    <col min="9734" max="9734" width="15" style="222" customWidth="1"/>
    <col min="9735" max="9736" width="12.6640625" style="222" bestFit="1" customWidth="1"/>
    <col min="9737" max="9737" width="13.1640625" style="222" bestFit="1" customWidth="1"/>
    <col min="9738" max="9984" width="8.83203125" style="222"/>
    <col min="9985" max="9985" width="6.6640625" style="222" customWidth="1"/>
    <col min="9986" max="9986" width="26.83203125" style="222" customWidth="1"/>
    <col min="9987" max="9989" width="14.1640625" style="222" customWidth="1"/>
    <col min="9990" max="9990" width="15" style="222" customWidth="1"/>
    <col min="9991" max="9992" width="12.6640625" style="222" bestFit="1" customWidth="1"/>
    <col min="9993" max="9993" width="13.1640625" style="222" bestFit="1" customWidth="1"/>
    <col min="9994" max="10240" width="8.83203125" style="222"/>
    <col min="10241" max="10241" width="6.6640625" style="222" customWidth="1"/>
    <col min="10242" max="10242" width="26.83203125" style="222" customWidth="1"/>
    <col min="10243" max="10245" width="14.1640625" style="222" customWidth="1"/>
    <col min="10246" max="10246" width="15" style="222" customWidth="1"/>
    <col min="10247" max="10248" width="12.6640625" style="222" bestFit="1" customWidth="1"/>
    <col min="10249" max="10249" width="13.1640625" style="222" bestFit="1" customWidth="1"/>
    <col min="10250" max="10496" width="8.83203125" style="222"/>
    <col min="10497" max="10497" width="6.6640625" style="222" customWidth="1"/>
    <col min="10498" max="10498" width="26.83203125" style="222" customWidth="1"/>
    <col min="10499" max="10501" width="14.1640625" style="222" customWidth="1"/>
    <col min="10502" max="10502" width="15" style="222" customWidth="1"/>
    <col min="10503" max="10504" width="12.6640625" style="222" bestFit="1" customWidth="1"/>
    <col min="10505" max="10505" width="13.1640625" style="222" bestFit="1" customWidth="1"/>
    <col min="10506" max="10752" width="8.83203125" style="222"/>
    <col min="10753" max="10753" width="6.6640625" style="222" customWidth="1"/>
    <col min="10754" max="10754" width="26.83203125" style="222" customWidth="1"/>
    <col min="10755" max="10757" width="14.1640625" style="222" customWidth="1"/>
    <col min="10758" max="10758" width="15" style="222" customWidth="1"/>
    <col min="10759" max="10760" width="12.6640625" style="222" bestFit="1" customWidth="1"/>
    <col min="10761" max="10761" width="13.1640625" style="222" bestFit="1" customWidth="1"/>
    <col min="10762" max="11008" width="8.83203125" style="222"/>
    <col min="11009" max="11009" width="6.6640625" style="222" customWidth="1"/>
    <col min="11010" max="11010" width="26.83203125" style="222" customWidth="1"/>
    <col min="11011" max="11013" width="14.1640625" style="222" customWidth="1"/>
    <col min="11014" max="11014" width="15" style="222" customWidth="1"/>
    <col min="11015" max="11016" width="12.6640625" style="222" bestFit="1" customWidth="1"/>
    <col min="11017" max="11017" width="13.1640625" style="222" bestFit="1" customWidth="1"/>
    <col min="11018" max="11264" width="8.83203125" style="222"/>
    <col min="11265" max="11265" width="6.6640625" style="222" customWidth="1"/>
    <col min="11266" max="11266" width="26.83203125" style="222" customWidth="1"/>
    <col min="11267" max="11269" width="14.1640625" style="222" customWidth="1"/>
    <col min="11270" max="11270" width="15" style="222" customWidth="1"/>
    <col min="11271" max="11272" width="12.6640625" style="222" bestFit="1" customWidth="1"/>
    <col min="11273" max="11273" width="13.1640625" style="222" bestFit="1" customWidth="1"/>
    <col min="11274" max="11520" width="8.83203125" style="222"/>
    <col min="11521" max="11521" width="6.6640625" style="222" customWidth="1"/>
    <col min="11522" max="11522" width="26.83203125" style="222" customWidth="1"/>
    <col min="11523" max="11525" width="14.1640625" style="222" customWidth="1"/>
    <col min="11526" max="11526" width="15" style="222" customWidth="1"/>
    <col min="11527" max="11528" width="12.6640625" style="222" bestFit="1" customWidth="1"/>
    <col min="11529" max="11529" width="13.1640625" style="222" bestFit="1" customWidth="1"/>
    <col min="11530" max="11776" width="8.83203125" style="222"/>
    <col min="11777" max="11777" width="6.6640625" style="222" customWidth="1"/>
    <col min="11778" max="11778" width="26.83203125" style="222" customWidth="1"/>
    <col min="11779" max="11781" width="14.1640625" style="222" customWidth="1"/>
    <col min="11782" max="11782" width="15" style="222" customWidth="1"/>
    <col min="11783" max="11784" width="12.6640625" style="222" bestFit="1" customWidth="1"/>
    <col min="11785" max="11785" width="13.1640625" style="222" bestFit="1" customWidth="1"/>
    <col min="11786" max="12032" width="8.83203125" style="222"/>
    <col min="12033" max="12033" width="6.6640625" style="222" customWidth="1"/>
    <col min="12034" max="12034" width="26.83203125" style="222" customWidth="1"/>
    <col min="12035" max="12037" width="14.1640625" style="222" customWidth="1"/>
    <col min="12038" max="12038" width="15" style="222" customWidth="1"/>
    <col min="12039" max="12040" width="12.6640625" style="222" bestFit="1" customWidth="1"/>
    <col min="12041" max="12041" width="13.1640625" style="222" bestFit="1" customWidth="1"/>
    <col min="12042" max="12288" width="8.83203125" style="222"/>
    <col min="12289" max="12289" width="6.6640625" style="222" customWidth="1"/>
    <col min="12290" max="12290" width="26.83203125" style="222" customWidth="1"/>
    <col min="12291" max="12293" width="14.1640625" style="222" customWidth="1"/>
    <col min="12294" max="12294" width="15" style="222" customWidth="1"/>
    <col min="12295" max="12296" width="12.6640625" style="222" bestFit="1" customWidth="1"/>
    <col min="12297" max="12297" width="13.1640625" style="222" bestFit="1" customWidth="1"/>
    <col min="12298" max="12544" width="8.83203125" style="222"/>
    <col min="12545" max="12545" width="6.6640625" style="222" customWidth="1"/>
    <col min="12546" max="12546" width="26.83203125" style="222" customWidth="1"/>
    <col min="12547" max="12549" width="14.1640625" style="222" customWidth="1"/>
    <col min="12550" max="12550" width="15" style="222" customWidth="1"/>
    <col min="12551" max="12552" width="12.6640625" style="222" bestFit="1" customWidth="1"/>
    <col min="12553" max="12553" width="13.1640625" style="222" bestFit="1" customWidth="1"/>
    <col min="12554" max="12800" width="8.83203125" style="222"/>
    <col min="12801" max="12801" width="6.6640625" style="222" customWidth="1"/>
    <col min="12802" max="12802" width="26.83203125" style="222" customWidth="1"/>
    <col min="12803" max="12805" width="14.1640625" style="222" customWidth="1"/>
    <col min="12806" max="12806" width="15" style="222" customWidth="1"/>
    <col min="12807" max="12808" width="12.6640625" style="222" bestFit="1" customWidth="1"/>
    <col min="12809" max="12809" width="13.1640625" style="222" bestFit="1" customWidth="1"/>
    <col min="12810" max="13056" width="8.83203125" style="222"/>
    <col min="13057" max="13057" width="6.6640625" style="222" customWidth="1"/>
    <col min="13058" max="13058" width="26.83203125" style="222" customWidth="1"/>
    <col min="13059" max="13061" width="14.1640625" style="222" customWidth="1"/>
    <col min="13062" max="13062" width="15" style="222" customWidth="1"/>
    <col min="13063" max="13064" width="12.6640625" style="222" bestFit="1" customWidth="1"/>
    <col min="13065" max="13065" width="13.1640625" style="222" bestFit="1" customWidth="1"/>
    <col min="13066" max="13312" width="8.83203125" style="222"/>
    <col min="13313" max="13313" width="6.6640625" style="222" customWidth="1"/>
    <col min="13314" max="13314" width="26.83203125" style="222" customWidth="1"/>
    <col min="13315" max="13317" width="14.1640625" style="222" customWidth="1"/>
    <col min="13318" max="13318" width="15" style="222" customWidth="1"/>
    <col min="13319" max="13320" width="12.6640625" style="222" bestFit="1" customWidth="1"/>
    <col min="13321" max="13321" width="13.1640625" style="222" bestFit="1" customWidth="1"/>
    <col min="13322" max="13568" width="8.83203125" style="222"/>
    <col min="13569" max="13569" width="6.6640625" style="222" customWidth="1"/>
    <col min="13570" max="13570" width="26.83203125" style="222" customWidth="1"/>
    <col min="13571" max="13573" width="14.1640625" style="222" customWidth="1"/>
    <col min="13574" max="13574" width="15" style="222" customWidth="1"/>
    <col min="13575" max="13576" width="12.6640625" style="222" bestFit="1" customWidth="1"/>
    <col min="13577" max="13577" width="13.1640625" style="222" bestFit="1" customWidth="1"/>
    <col min="13578" max="13824" width="8.83203125" style="222"/>
    <col min="13825" max="13825" width="6.6640625" style="222" customWidth="1"/>
    <col min="13826" max="13826" width="26.83203125" style="222" customWidth="1"/>
    <col min="13827" max="13829" width="14.1640625" style="222" customWidth="1"/>
    <col min="13830" max="13830" width="15" style="222" customWidth="1"/>
    <col min="13831" max="13832" width="12.6640625" style="222" bestFit="1" customWidth="1"/>
    <col min="13833" max="13833" width="13.1640625" style="222" bestFit="1" customWidth="1"/>
    <col min="13834" max="14080" width="8.83203125" style="222"/>
    <col min="14081" max="14081" width="6.6640625" style="222" customWidth="1"/>
    <col min="14082" max="14082" width="26.83203125" style="222" customWidth="1"/>
    <col min="14083" max="14085" width="14.1640625" style="222" customWidth="1"/>
    <col min="14086" max="14086" width="15" style="222" customWidth="1"/>
    <col min="14087" max="14088" width="12.6640625" style="222" bestFit="1" customWidth="1"/>
    <col min="14089" max="14089" width="13.1640625" style="222" bestFit="1" customWidth="1"/>
    <col min="14090" max="14336" width="8.83203125" style="222"/>
    <col min="14337" max="14337" width="6.6640625" style="222" customWidth="1"/>
    <col min="14338" max="14338" width="26.83203125" style="222" customWidth="1"/>
    <col min="14339" max="14341" width="14.1640625" style="222" customWidth="1"/>
    <col min="14342" max="14342" width="15" style="222" customWidth="1"/>
    <col min="14343" max="14344" width="12.6640625" style="222" bestFit="1" customWidth="1"/>
    <col min="14345" max="14345" width="13.1640625" style="222" bestFit="1" customWidth="1"/>
    <col min="14346" max="14592" width="8.83203125" style="222"/>
    <col min="14593" max="14593" width="6.6640625" style="222" customWidth="1"/>
    <col min="14594" max="14594" width="26.83203125" style="222" customWidth="1"/>
    <col min="14595" max="14597" width="14.1640625" style="222" customWidth="1"/>
    <col min="14598" max="14598" width="15" style="222" customWidth="1"/>
    <col min="14599" max="14600" width="12.6640625" style="222" bestFit="1" customWidth="1"/>
    <col min="14601" max="14601" width="13.1640625" style="222" bestFit="1" customWidth="1"/>
    <col min="14602" max="14848" width="8.83203125" style="222"/>
    <col min="14849" max="14849" width="6.6640625" style="222" customWidth="1"/>
    <col min="14850" max="14850" width="26.83203125" style="222" customWidth="1"/>
    <col min="14851" max="14853" width="14.1640625" style="222" customWidth="1"/>
    <col min="14854" max="14854" width="15" style="222" customWidth="1"/>
    <col min="14855" max="14856" width="12.6640625" style="222" bestFit="1" customWidth="1"/>
    <col min="14857" max="14857" width="13.1640625" style="222" bestFit="1" customWidth="1"/>
    <col min="14858" max="15104" width="8.83203125" style="222"/>
    <col min="15105" max="15105" width="6.6640625" style="222" customWidth="1"/>
    <col min="15106" max="15106" width="26.83203125" style="222" customWidth="1"/>
    <col min="15107" max="15109" width="14.1640625" style="222" customWidth="1"/>
    <col min="15110" max="15110" width="15" style="222" customWidth="1"/>
    <col min="15111" max="15112" width="12.6640625" style="222" bestFit="1" customWidth="1"/>
    <col min="15113" max="15113" width="13.1640625" style="222" bestFit="1" customWidth="1"/>
    <col min="15114" max="15360" width="8.83203125" style="222"/>
    <col min="15361" max="15361" width="6.6640625" style="222" customWidth="1"/>
    <col min="15362" max="15362" width="26.83203125" style="222" customWidth="1"/>
    <col min="15363" max="15365" width="14.1640625" style="222" customWidth="1"/>
    <col min="15366" max="15366" width="15" style="222" customWidth="1"/>
    <col min="15367" max="15368" width="12.6640625" style="222" bestFit="1" customWidth="1"/>
    <col min="15369" max="15369" width="13.1640625" style="222" bestFit="1" customWidth="1"/>
    <col min="15370" max="15616" width="8.83203125" style="222"/>
    <col min="15617" max="15617" width="6.6640625" style="222" customWidth="1"/>
    <col min="15618" max="15618" width="26.83203125" style="222" customWidth="1"/>
    <col min="15619" max="15621" width="14.1640625" style="222" customWidth="1"/>
    <col min="15622" max="15622" width="15" style="222" customWidth="1"/>
    <col min="15623" max="15624" width="12.6640625" style="222" bestFit="1" customWidth="1"/>
    <col min="15625" max="15625" width="13.1640625" style="222" bestFit="1" customWidth="1"/>
    <col min="15626" max="15872" width="8.83203125" style="222"/>
    <col min="15873" max="15873" width="6.6640625" style="222" customWidth="1"/>
    <col min="15874" max="15874" width="26.83203125" style="222" customWidth="1"/>
    <col min="15875" max="15877" width="14.1640625" style="222" customWidth="1"/>
    <col min="15878" max="15878" width="15" style="222" customWidth="1"/>
    <col min="15879" max="15880" width="12.6640625" style="222" bestFit="1" customWidth="1"/>
    <col min="15881" max="15881" width="13.1640625" style="222" bestFit="1" customWidth="1"/>
    <col min="15882" max="16128" width="8.83203125" style="222"/>
    <col min="16129" max="16129" width="6.6640625" style="222" customWidth="1"/>
    <col min="16130" max="16130" width="26.83203125" style="222" customWidth="1"/>
    <col min="16131" max="16133" width="14.1640625" style="222" customWidth="1"/>
    <col min="16134" max="16134" width="15" style="222" customWidth="1"/>
    <col min="16135" max="16136" width="12.6640625" style="222" bestFit="1" customWidth="1"/>
    <col min="16137" max="16137" width="13.1640625" style="222" bestFit="1" customWidth="1"/>
    <col min="16138" max="16384" width="8.83203125" style="222"/>
  </cols>
  <sheetData>
    <row r="2" spans="2:7" ht="16">
      <c r="B2" s="330" t="s">
        <v>506</v>
      </c>
      <c r="C2" s="330"/>
      <c r="D2" s="330"/>
      <c r="E2" s="330"/>
      <c r="F2" s="330"/>
    </row>
    <row r="3" spans="2:7" ht="16">
      <c r="B3" s="331" t="s">
        <v>399</v>
      </c>
      <c r="C3" s="331"/>
      <c r="D3" s="331"/>
      <c r="E3" s="331"/>
      <c r="F3" s="331"/>
    </row>
    <row r="4" spans="2:7" ht="16">
      <c r="B4" s="330" t="s">
        <v>398</v>
      </c>
      <c r="C4" s="330"/>
      <c r="D4" s="330"/>
      <c r="E4" s="330"/>
      <c r="F4" s="330"/>
    </row>
    <row r="5" spans="2:7" ht="16">
      <c r="B5" s="332" t="s">
        <v>397</v>
      </c>
      <c r="C5" s="332"/>
      <c r="D5" s="332"/>
      <c r="E5" s="332"/>
      <c r="F5" s="332"/>
    </row>
    <row r="6" spans="2:7" ht="16">
      <c r="B6" s="236"/>
      <c r="C6" s="236"/>
      <c r="D6" s="236"/>
      <c r="E6" s="236"/>
      <c r="F6" s="236"/>
    </row>
    <row r="7" spans="2:7" ht="16">
      <c r="B7" s="235"/>
    </row>
    <row r="8" spans="2:7">
      <c r="B8" s="329"/>
      <c r="C8" s="329"/>
      <c r="D8" s="234">
        <v>2012</v>
      </c>
      <c r="E8" s="234">
        <v>2011</v>
      </c>
      <c r="F8" s="234">
        <v>2010</v>
      </c>
    </row>
    <row r="9" spans="2:7" ht="7.5" customHeight="1">
      <c r="B9" s="229"/>
      <c r="C9" s="229"/>
    </row>
    <row r="10" spans="2:7">
      <c r="B10" s="329" t="s">
        <v>396</v>
      </c>
      <c r="C10" s="329"/>
      <c r="D10" s="233">
        <v>12985</v>
      </c>
      <c r="E10" s="233">
        <v>17260</v>
      </c>
      <c r="F10" s="233">
        <v>17759</v>
      </c>
    </row>
    <row r="11" spans="2:7">
      <c r="B11" s="329" t="s">
        <v>395</v>
      </c>
      <c r="C11" s="329"/>
      <c r="D11" s="231">
        <v>8919</v>
      </c>
      <c r="E11" s="231">
        <v>11042</v>
      </c>
      <c r="F11" s="231">
        <v>10799</v>
      </c>
    </row>
    <row r="12" spans="2:7" ht="3.75" customHeight="1">
      <c r="B12" s="226"/>
      <c r="C12" s="226"/>
      <c r="D12" s="226"/>
      <c r="E12" s="226"/>
      <c r="F12" s="226"/>
      <c r="G12" s="226"/>
    </row>
    <row r="13" spans="2:7">
      <c r="B13" s="329" t="s">
        <v>394</v>
      </c>
      <c r="C13" s="329"/>
      <c r="D13" s="232">
        <f>D10-D11</f>
        <v>4066</v>
      </c>
      <c r="E13" s="232">
        <f>E10-E11</f>
        <v>6218</v>
      </c>
      <c r="F13" s="232">
        <f>F10-F11</f>
        <v>6960</v>
      </c>
    </row>
    <row r="14" spans="2:7">
      <c r="B14" s="226"/>
      <c r="C14" s="226"/>
    </row>
    <row r="15" spans="2:7" ht="15">
      <c r="B15" s="229"/>
      <c r="C15" s="229" t="s">
        <v>393</v>
      </c>
      <c r="D15" s="231">
        <v>4506</v>
      </c>
      <c r="E15" s="231">
        <v>5109</v>
      </c>
      <c r="F15" s="231">
        <v>5358</v>
      </c>
    </row>
    <row r="16" spans="2:7" ht="15">
      <c r="B16" s="229"/>
      <c r="C16" s="229" t="s">
        <v>392</v>
      </c>
      <c r="D16" s="231">
        <v>543</v>
      </c>
      <c r="E16" s="231">
        <v>518</v>
      </c>
      <c r="F16" s="231">
        <v>511</v>
      </c>
    </row>
    <row r="17" spans="2:9" ht="16">
      <c r="B17" s="229"/>
      <c r="C17" s="229" t="s">
        <v>391</v>
      </c>
      <c r="D17" s="231">
        <v>327</v>
      </c>
      <c r="E17" s="231">
        <v>593</v>
      </c>
      <c r="F17" s="231">
        <v>268</v>
      </c>
    </row>
    <row r="18" spans="2:9" ht="4.5" customHeight="1">
      <c r="B18" s="229"/>
      <c r="C18" s="229"/>
    </row>
    <row r="19" spans="2:9" ht="15">
      <c r="B19" s="229"/>
      <c r="C19" s="229" t="s">
        <v>390</v>
      </c>
      <c r="D19" s="232">
        <f>SUM(D15:D17)</f>
        <v>5376</v>
      </c>
      <c r="E19" s="232">
        <f>SUM(E15:E17)</f>
        <v>6220</v>
      </c>
      <c r="F19" s="232">
        <f>SUM(F15:F17)</f>
        <v>6137</v>
      </c>
    </row>
    <row r="20" spans="2:9" ht="7.5" customHeight="1">
      <c r="B20" s="226"/>
      <c r="C20" s="226"/>
      <c r="D20" s="226"/>
      <c r="E20" s="226"/>
      <c r="F20" s="226"/>
      <c r="G20" s="226"/>
      <c r="H20" s="226"/>
      <c r="I20" s="226"/>
    </row>
    <row r="21" spans="2:9">
      <c r="B21" s="329" t="s">
        <v>389</v>
      </c>
      <c r="C21" s="329"/>
      <c r="D21" s="232">
        <f>D13-D19</f>
        <v>-1310</v>
      </c>
      <c r="E21" s="232">
        <f>E13-E19</f>
        <v>-2</v>
      </c>
      <c r="F21" s="232">
        <f>F13-F19</f>
        <v>823</v>
      </c>
    </row>
    <row r="22" spans="2:9">
      <c r="B22" s="226"/>
      <c r="C22" s="226"/>
    </row>
    <row r="23" spans="2:9" ht="15">
      <c r="B23" s="229"/>
      <c r="C23" s="229" t="s">
        <v>388</v>
      </c>
      <c r="D23" s="222">
        <v>0</v>
      </c>
      <c r="E23" s="222">
        <v>0</v>
      </c>
      <c r="F23" s="222">
        <v>9</v>
      </c>
    </row>
    <row r="24" spans="2:9" ht="15">
      <c r="B24" s="229"/>
      <c r="C24" s="229" t="s">
        <v>387</v>
      </c>
      <c r="D24" s="231">
        <v>-1310</v>
      </c>
      <c r="E24" s="231">
        <v>-2</v>
      </c>
      <c r="F24" s="231">
        <v>823</v>
      </c>
    </row>
    <row r="25" spans="2:9" ht="15">
      <c r="B25" s="229"/>
      <c r="C25" s="229" t="s">
        <v>386</v>
      </c>
      <c r="D25" s="222">
        <v>226</v>
      </c>
      <c r="E25" s="222">
        <v>227</v>
      </c>
      <c r="F25" s="222">
        <v>231</v>
      </c>
    </row>
    <row r="26" spans="2:9" ht="14.25" customHeight="1">
      <c r="B26" s="229"/>
      <c r="C26" s="229" t="s">
        <v>385</v>
      </c>
      <c r="D26" s="231">
        <v>-1536</v>
      </c>
      <c r="E26" s="231">
        <v>-229</v>
      </c>
      <c r="F26" s="231">
        <v>592</v>
      </c>
    </row>
    <row r="27" spans="2:9" ht="15">
      <c r="B27" s="229"/>
      <c r="C27" s="229" t="s">
        <v>384</v>
      </c>
      <c r="D27" s="231">
        <v>-551</v>
      </c>
      <c r="E27" s="231">
        <v>-77</v>
      </c>
      <c r="F27" s="231">
        <v>203</v>
      </c>
    </row>
    <row r="28" spans="2:9" ht="8.25" customHeight="1">
      <c r="B28" s="229"/>
      <c r="C28" s="226"/>
      <c r="D28" s="230"/>
      <c r="E28" s="230"/>
      <c r="F28" s="230"/>
    </row>
    <row r="29" spans="2:9" ht="16" thickBot="1">
      <c r="B29" s="229"/>
      <c r="C29" s="228" t="s">
        <v>383</v>
      </c>
      <c r="D29" s="227">
        <f>D26-D27</f>
        <v>-985</v>
      </c>
      <c r="E29" s="227">
        <f>E26-E27</f>
        <v>-152</v>
      </c>
      <c r="F29" s="227">
        <f>F26-F27</f>
        <v>389</v>
      </c>
    </row>
    <row r="30" spans="2:9" ht="15" thickTop="1">
      <c r="B30" s="226"/>
      <c r="C30" s="226"/>
      <c r="D30" s="226"/>
      <c r="E30" s="226"/>
      <c r="F30" s="226"/>
      <c r="G30" s="226"/>
      <c r="H30" s="226"/>
      <c r="I30" s="226"/>
    </row>
    <row r="31" spans="2:9">
      <c r="C31" s="222" t="s">
        <v>382</v>
      </c>
      <c r="D31" s="225">
        <v>219.2</v>
      </c>
      <c r="E31" s="225">
        <v>217.4</v>
      </c>
      <c r="F31" s="225">
        <v>236.4</v>
      </c>
    </row>
    <row r="32" spans="2:9">
      <c r="C32" s="222" t="s">
        <v>381</v>
      </c>
      <c r="D32" s="225">
        <v>219.2</v>
      </c>
      <c r="E32" s="225">
        <v>217.4</v>
      </c>
      <c r="F32" s="225">
        <v>238</v>
      </c>
    </row>
    <row r="33" spans="2:6">
      <c r="D33" s="225"/>
      <c r="E33" s="225"/>
      <c r="F33" s="225"/>
    </row>
    <row r="34" spans="2:6">
      <c r="C34" s="222" t="s">
        <v>380</v>
      </c>
      <c r="D34" s="224">
        <f>D29/D31</f>
        <v>-4.4936131386861318</v>
      </c>
      <c r="E34" s="224">
        <f>E29/E31</f>
        <v>-0.69917203311867526</v>
      </c>
      <c r="F34" s="224">
        <f>F29/F31</f>
        <v>1.6455160744500845</v>
      </c>
    </row>
    <row r="35" spans="2:6">
      <c r="C35" s="222" t="s">
        <v>379</v>
      </c>
      <c r="D35" s="224">
        <f>D29/D32</f>
        <v>-4.4936131386861318</v>
      </c>
      <c r="E35" s="224">
        <f>E29/E32</f>
        <v>-0.69917203311867526</v>
      </c>
      <c r="F35" s="224">
        <f>F29/F32</f>
        <v>1.634453781512605</v>
      </c>
    </row>
    <row r="37" spans="2:6">
      <c r="B37" s="223" t="s">
        <v>378</v>
      </c>
    </row>
    <row r="39" spans="2:6">
      <c r="B39" s="223" t="s">
        <v>377</v>
      </c>
    </row>
  </sheetData>
  <mergeCells count="9">
    <mergeCell ref="B10:C10"/>
    <mergeCell ref="B11:C11"/>
    <mergeCell ref="B13:C13"/>
    <mergeCell ref="B21:C21"/>
    <mergeCell ref="B2:F2"/>
    <mergeCell ref="B3:F3"/>
    <mergeCell ref="B4:F4"/>
    <mergeCell ref="B5:F5"/>
    <mergeCell ref="B8:C8"/>
  </mergeCell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075B3-05E4-6C4B-AA42-EA59BB2C7686}">
  <sheetPr>
    <tabColor theme="5" tint="-0.499984740745262"/>
  </sheetPr>
  <dimension ref="B2:J46"/>
  <sheetViews>
    <sheetView showGridLines="0" workbookViewId="0"/>
  </sheetViews>
  <sheetFormatPr baseColWidth="10" defaultColWidth="9" defaultRowHeight="14"/>
  <cols>
    <col min="1" max="1" width="4.33203125" style="222" customWidth="1"/>
    <col min="2" max="2" width="5.1640625" style="222" customWidth="1"/>
    <col min="3" max="3" width="33" style="222" customWidth="1"/>
    <col min="4" max="4" width="11.6640625" style="237" customWidth="1"/>
    <col min="5" max="5" width="10.5" style="237" customWidth="1"/>
    <col min="6" max="6" width="10.33203125" style="237" customWidth="1"/>
    <col min="7" max="16384" width="9" style="222"/>
  </cols>
  <sheetData>
    <row r="2" spans="2:10" ht="16">
      <c r="B2" s="330" t="s">
        <v>507</v>
      </c>
      <c r="C2" s="330"/>
      <c r="D2" s="330"/>
      <c r="E2" s="330"/>
      <c r="F2" s="330"/>
    </row>
    <row r="3" spans="2:10" ht="16">
      <c r="B3" s="331" t="s">
        <v>399</v>
      </c>
      <c r="C3" s="331"/>
      <c r="D3" s="331"/>
      <c r="E3" s="331"/>
      <c r="F3" s="331"/>
    </row>
    <row r="4" spans="2:10" ht="16">
      <c r="B4" s="330" t="s">
        <v>427</v>
      </c>
      <c r="C4" s="330"/>
      <c r="D4" s="330"/>
      <c r="E4" s="330"/>
      <c r="F4" s="330"/>
    </row>
    <row r="5" spans="2:10" ht="16">
      <c r="B5" s="332" t="s">
        <v>426</v>
      </c>
      <c r="C5" s="332"/>
      <c r="D5" s="332"/>
      <c r="E5" s="332"/>
      <c r="F5" s="332"/>
    </row>
    <row r="6" spans="2:10" ht="16">
      <c r="C6" s="235"/>
    </row>
    <row r="7" spans="2:10" ht="16">
      <c r="C7" s="235"/>
    </row>
    <row r="8" spans="2:10">
      <c r="B8" s="241"/>
      <c r="C8" s="241"/>
      <c r="D8" s="251">
        <v>2012</v>
      </c>
      <c r="E8" s="251">
        <v>2011</v>
      </c>
      <c r="F8" s="251">
        <v>2010</v>
      </c>
    </row>
    <row r="9" spans="2:10">
      <c r="B9" s="242" t="s">
        <v>103</v>
      </c>
      <c r="C9" s="242"/>
      <c r="D9" s="242"/>
      <c r="E9" s="242"/>
      <c r="F9" s="242"/>
    </row>
    <row r="10" spans="2:10">
      <c r="B10" s="241" t="s">
        <v>109</v>
      </c>
      <c r="C10" s="241"/>
      <c r="D10" s="250"/>
      <c r="E10" s="250"/>
      <c r="F10" s="250"/>
    </row>
    <row r="11" spans="2:10" ht="15">
      <c r="B11" s="246"/>
      <c r="C11" s="246" t="s">
        <v>425</v>
      </c>
      <c r="D11" s="244">
        <v>930</v>
      </c>
      <c r="E11" s="244">
        <v>1507</v>
      </c>
      <c r="F11" s="244">
        <v>2622</v>
      </c>
    </row>
    <row r="12" spans="2:10" ht="15">
      <c r="B12" s="246"/>
      <c r="C12" s="246" t="s">
        <v>424</v>
      </c>
      <c r="D12" s="244">
        <f>2341</f>
        <v>2341</v>
      </c>
      <c r="E12" s="244">
        <f>2916</f>
        <v>2916</v>
      </c>
      <c r="F12" s="244">
        <v>3213</v>
      </c>
      <c r="H12" s="247"/>
      <c r="I12" s="247"/>
      <c r="J12" s="247"/>
    </row>
    <row r="13" spans="2:10" ht="15">
      <c r="B13" s="246"/>
      <c r="C13" s="246" t="s">
        <v>423</v>
      </c>
      <c r="D13" s="244">
        <f>249+163</f>
        <v>412</v>
      </c>
      <c r="E13" s="244">
        <f>245+413</f>
        <v>658</v>
      </c>
      <c r="F13" s="244">
        <f>201+334</f>
        <v>535</v>
      </c>
    </row>
    <row r="14" spans="2:10" ht="5.25" customHeight="1">
      <c r="B14" s="241"/>
      <c r="C14" s="241"/>
      <c r="D14" s="241"/>
      <c r="E14" s="241"/>
      <c r="F14" s="241"/>
    </row>
    <row r="15" spans="2:10">
      <c r="B15" s="242" t="s">
        <v>422</v>
      </c>
      <c r="C15" s="242"/>
      <c r="D15" s="243">
        <f>SUM(D11:D13)</f>
        <v>3683</v>
      </c>
      <c r="E15" s="243">
        <f>SUM(E11:E13)</f>
        <v>5081</v>
      </c>
      <c r="F15" s="243">
        <f>SUM(F11:F13)</f>
        <v>6370</v>
      </c>
    </row>
    <row r="16" spans="2:10">
      <c r="B16" s="241" t="s">
        <v>421</v>
      </c>
      <c r="C16" s="241"/>
      <c r="D16" s="244">
        <v>5353</v>
      </c>
      <c r="E16" s="244">
        <v>5176</v>
      </c>
      <c r="F16" s="244">
        <v>5231</v>
      </c>
    </row>
    <row r="17" spans="2:10" ht="15" hidden="1" customHeight="1">
      <c r="B17" s="241" t="s">
        <v>420</v>
      </c>
      <c r="C17" s="241"/>
      <c r="D17" s="244" t="s">
        <v>412</v>
      </c>
      <c r="E17" s="244" t="s">
        <v>412</v>
      </c>
      <c r="F17" s="244" t="s">
        <v>412</v>
      </c>
    </row>
    <row r="18" spans="2:10">
      <c r="B18" s="241" t="s">
        <v>419</v>
      </c>
      <c r="C18" s="241"/>
      <c r="D18" s="244">
        <v>745</v>
      </c>
      <c r="E18" s="244">
        <v>1167</v>
      </c>
      <c r="F18" s="244">
        <v>1467</v>
      </c>
    </row>
    <row r="19" spans="2:10" ht="6.75" customHeight="1">
      <c r="B19" s="241"/>
      <c r="C19" s="241"/>
      <c r="D19" s="241"/>
      <c r="E19" s="241"/>
      <c r="F19" s="241"/>
    </row>
    <row r="20" spans="2:10" ht="15" thickBot="1">
      <c r="B20" s="242" t="s">
        <v>418</v>
      </c>
      <c r="C20" s="242"/>
      <c r="D20" s="249">
        <f>SUM(D15:D18)</f>
        <v>9781</v>
      </c>
      <c r="E20" s="249">
        <f>SUM(E15:E18)</f>
        <v>11424</v>
      </c>
      <c r="F20" s="249">
        <f>SUM(F15:F18)</f>
        <v>13068</v>
      </c>
    </row>
    <row r="21" spans="2:10" ht="15" thickTop="1">
      <c r="B21" s="241"/>
      <c r="C21" s="241"/>
      <c r="D21" s="241"/>
      <c r="E21" s="241"/>
      <c r="F21" s="241"/>
    </row>
    <row r="22" spans="2:10">
      <c r="B22" s="242" t="s">
        <v>417</v>
      </c>
      <c r="C22" s="242"/>
      <c r="D22" s="242"/>
      <c r="E22" s="242"/>
      <c r="F22" s="242"/>
    </row>
    <row r="23" spans="2:10">
      <c r="B23" s="241" t="s">
        <v>125</v>
      </c>
      <c r="C23" s="241"/>
      <c r="D23" s="241"/>
      <c r="E23" s="241"/>
      <c r="F23" s="241"/>
    </row>
    <row r="24" spans="2:10">
      <c r="B24" s="246"/>
      <c r="C24" s="241" t="s">
        <v>416</v>
      </c>
      <c r="D24" s="248">
        <v>1162</v>
      </c>
      <c r="E24" s="244">
        <v>1022</v>
      </c>
      <c r="F24" s="244">
        <v>1133</v>
      </c>
      <c r="H24" s="247"/>
      <c r="I24" s="247"/>
      <c r="J24" s="247"/>
    </row>
    <row r="25" spans="2:10" ht="15">
      <c r="B25" s="246"/>
      <c r="C25" s="246" t="s">
        <v>415</v>
      </c>
      <c r="D25" s="244">
        <v>1380</v>
      </c>
      <c r="E25" s="244">
        <v>1503</v>
      </c>
      <c r="F25" s="244">
        <v>1514</v>
      </c>
    </row>
    <row r="26" spans="2:10" ht="30">
      <c r="B26" s="246"/>
      <c r="C26" s="246" t="s">
        <v>414</v>
      </c>
      <c r="D26" s="244">
        <f>26</f>
        <v>26</v>
      </c>
      <c r="E26" s="244">
        <f>231</f>
        <v>231</v>
      </c>
      <c r="F26" s="244" t="s">
        <v>412</v>
      </c>
    </row>
    <row r="27" spans="2:10" ht="15" hidden="1" customHeight="1">
      <c r="B27" s="246"/>
      <c r="C27" s="246" t="s">
        <v>413</v>
      </c>
      <c r="D27" s="244" t="s">
        <v>412</v>
      </c>
      <c r="E27" s="244" t="s">
        <v>412</v>
      </c>
      <c r="F27" s="244" t="s">
        <v>412</v>
      </c>
    </row>
    <row r="28" spans="2:10" ht="8.25" customHeight="1">
      <c r="B28" s="241"/>
      <c r="C28" s="241"/>
      <c r="D28" s="241"/>
      <c r="E28" s="241"/>
      <c r="F28" s="241"/>
    </row>
    <row r="29" spans="2:10" ht="15" customHeight="1">
      <c r="B29" s="333" t="s">
        <v>411</v>
      </c>
      <c r="C29" s="333"/>
      <c r="D29" s="243">
        <f>SUM(D24:D27)</f>
        <v>2568</v>
      </c>
      <c r="E29" s="243">
        <f>SUM(E24:E27)</f>
        <v>2756</v>
      </c>
      <c r="F29" s="243">
        <f>SUM(F24:F27)</f>
        <v>2647</v>
      </c>
    </row>
    <row r="30" spans="2:10">
      <c r="B30" s="241" t="s">
        <v>410</v>
      </c>
      <c r="C30" s="241"/>
      <c r="D30" s="244">
        <v>2956</v>
      </c>
      <c r="E30" s="244">
        <v>2871</v>
      </c>
      <c r="F30" s="244">
        <v>3099</v>
      </c>
    </row>
    <row r="31" spans="2:10">
      <c r="B31" s="241" t="s">
        <v>409</v>
      </c>
      <c r="C31" s="241"/>
      <c r="D31" s="244">
        <v>698</v>
      </c>
      <c r="E31" s="244">
        <v>899</v>
      </c>
      <c r="F31" s="244">
        <v>670</v>
      </c>
    </row>
    <row r="32" spans="2:10" ht="15.75" customHeight="1">
      <c r="B32" s="241" t="s">
        <v>408</v>
      </c>
      <c r="C32" s="241"/>
      <c r="D32" s="244">
        <v>388</v>
      </c>
      <c r="E32" s="244">
        <v>888</v>
      </c>
      <c r="F32" s="244">
        <v>1192</v>
      </c>
    </row>
    <row r="33" spans="2:6" ht="6" customHeight="1">
      <c r="B33" s="241"/>
      <c r="C33" s="241"/>
      <c r="D33" s="241"/>
      <c r="E33" s="241"/>
      <c r="F33" s="241"/>
    </row>
    <row r="34" spans="2:6" ht="15" customHeight="1">
      <c r="B34" s="333" t="s">
        <v>407</v>
      </c>
      <c r="C34" s="333"/>
      <c r="D34" s="243">
        <f>SUM(D29:D32)</f>
        <v>6610</v>
      </c>
      <c r="E34" s="243">
        <f>SUM(E29:E32)</f>
        <v>7414</v>
      </c>
      <c r="F34" s="243">
        <f>SUM(F29:F32)</f>
        <v>7608</v>
      </c>
    </row>
    <row r="35" spans="2:6" ht="15.75" customHeight="1">
      <c r="B35" s="245"/>
      <c r="C35" s="245"/>
      <c r="D35" s="245"/>
      <c r="E35" s="245"/>
      <c r="F35" s="245"/>
    </row>
    <row r="36" spans="2:6" ht="15.75" customHeight="1">
      <c r="B36" s="242" t="s">
        <v>406</v>
      </c>
      <c r="C36" s="242"/>
      <c r="D36" s="242"/>
      <c r="E36" s="242"/>
      <c r="F36" s="242"/>
    </row>
    <row r="37" spans="2:6" ht="15" customHeight="1">
      <c r="B37" s="334" t="s">
        <v>405</v>
      </c>
      <c r="C37" s="334"/>
      <c r="D37" s="244">
        <v>110</v>
      </c>
      <c r="E37" s="244">
        <v>108</v>
      </c>
      <c r="F37" s="244">
        <v>118</v>
      </c>
    </row>
    <row r="38" spans="2:6" ht="15" customHeight="1">
      <c r="B38" s="334" t="s">
        <v>404</v>
      </c>
      <c r="C38" s="334"/>
      <c r="D38" s="244">
        <v>380</v>
      </c>
      <c r="E38" s="244">
        <v>1412</v>
      </c>
      <c r="F38" s="244">
        <v>2222</v>
      </c>
    </row>
    <row r="39" spans="2:6" ht="15" customHeight="1">
      <c r="B39" s="334" t="s">
        <v>403</v>
      </c>
      <c r="C39" s="334"/>
      <c r="D39" s="244">
        <v>3799</v>
      </c>
      <c r="E39" s="244">
        <v>3699</v>
      </c>
      <c r="F39" s="244">
        <v>3925</v>
      </c>
    </row>
    <row r="40" spans="2:6" ht="15" customHeight="1">
      <c r="B40" s="334" t="s">
        <v>402</v>
      </c>
      <c r="C40" s="334"/>
      <c r="D40" s="244">
        <v>-1118</v>
      </c>
      <c r="E40" s="244">
        <v>-1209</v>
      </c>
      <c r="F40" s="244">
        <v>-805</v>
      </c>
    </row>
    <row r="41" spans="2:6" ht="6.75" customHeight="1">
      <c r="B41" s="241"/>
      <c r="C41" s="241"/>
      <c r="D41" s="241"/>
      <c r="E41" s="241"/>
      <c r="F41" s="241"/>
    </row>
    <row r="42" spans="2:6">
      <c r="B42" s="242" t="s">
        <v>401</v>
      </c>
      <c r="C42" s="242"/>
      <c r="D42" s="243">
        <f>SUM(D37:D40)</f>
        <v>3171</v>
      </c>
      <c r="E42" s="243">
        <f>SUM(E37:E40)</f>
        <v>4010</v>
      </c>
      <c r="F42" s="243">
        <f>SUM(F37:F40)</f>
        <v>5460</v>
      </c>
    </row>
    <row r="43" spans="2:6" ht="15" thickBot="1">
      <c r="B43" s="242" t="s">
        <v>400</v>
      </c>
      <c r="C43" s="241"/>
      <c r="D43" s="239">
        <f>D34+D42</f>
        <v>9781</v>
      </c>
      <c r="E43" s="240">
        <f>E34+E42</f>
        <v>11424</v>
      </c>
      <c r="F43" s="239">
        <f>F34+F42</f>
        <v>13068</v>
      </c>
    </row>
    <row r="44" spans="2:6" ht="15" thickTop="1">
      <c r="B44" s="333"/>
      <c r="C44" s="333"/>
      <c r="D44" s="238"/>
      <c r="E44" s="238"/>
      <c r="F44" s="238"/>
    </row>
    <row r="46" spans="2:6">
      <c r="B46" s="223" t="s">
        <v>377</v>
      </c>
      <c r="C46" s="223"/>
    </row>
  </sheetData>
  <mergeCells count="11">
    <mergeCell ref="B2:F2"/>
    <mergeCell ref="B3:F3"/>
    <mergeCell ref="B4:F4"/>
    <mergeCell ref="B5:F5"/>
    <mergeCell ref="B44:C44"/>
    <mergeCell ref="B29:C29"/>
    <mergeCell ref="B34:C34"/>
    <mergeCell ref="B37:C37"/>
    <mergeCell ref="B38:C38"/>
    <mergeCell ref="B39:C39"/>
    <mergeCell ref="B40:C40"/>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0F0F58-B4C0-7D4C-8E3C-A7ACBA159DA5}">
  <sheetPr>
    <tabColor theme="5" tint="-0.499984740745262"/>
  </sheetPr>
  <dimension ref="B2:K42"/>
  <sheetViews>
    <sheetView showGridLines="0" workbookViewId="0"/>
  </sheetViews>
  <sheetFormatPr baseColWidth="10" defaultColWidth="8.83203125" defaultRowHeight="16"/>
  <cols>
    <col min="1" max="1" width="5" style="252" customWidth="1"/>
    <col min="2" max="2" width="3.33203125" style="252" customWidth="1"/>
    <col min="3" max="3" width="46" style="252" customWidth="1"/>
    <col min="4" max="257" width="8.83203125" style="252"/>
    <col min="258" max="258" width="46" style="252" customWidth="1"/>
    <col min="259" max="513" width="8.83203125" style="252"/>
    <col min="514" max="514" width="46" style="252" customWidth="1"/>
    <col min="515" max="769" width="8.83203125" style="252"/>
    <col min="770" max="770" width="46" style="252" customWidth="1"/>
    <col min="771" max="1025" width="8.83203125" style="252"/>
    <col min="1026" max="1026" width="46" style="252" customWidth="1"/>
    <col min="1027" max="1281" width="8.83203125" style="252"/>
    <col min="1282" max="1282" width="46" style="252" customWidth="1"/>
    <col min="1283" max="1537" width="8.83203125" style="252"/>
    <col min="1538" max="1538" width="46" style="252" customWidth="1"/>
    <col min="1539" max="1793" width="8.83203125" style="252"/>
    <col min="1794" max="1794" width="46" style="252" customWidth="1"/>
    <col min="1795" max="2049" width="8.83203125" style="252"/>
    <col min="2050" max="2050" width="46" style="252" customWidth="1"/>
    <col min="2051" max="2305" width="8.83203125" style="252"/>
    <col min="2306" max="2306" width="46" style="252" customWidth="1"/>
    <col min="2307" max="2561" width="8.83203125" style="252"/>
    <col min="2562" max="2562" width="46" style="252" customWidth="1"/>
    <col min="2563" max="2817" width="8.83203125" style="252"/>
    <col min="2818" max="2818" width="46" style="252" customWidth="1"/>
    <col min="2819" max="3073" width="8.83203125" style="252"/>
    <col min="3074" max="3074" width="46" style="252" customWidth="1"/>
    <col min="3075" max="3329" width="8.83203125" style="252"/>
    <col min="3330" max="3330" width="46" style="252" customWidth="1"/>
    <col min="3331" max="3585" width="8.83203125" style="252"/>
    <col min="3586" max="3586" width="46" style="252" customWidth="1"/>
    <col min="3587" max="3841" width="8.83203125" style="252"/>
    <col min="3842" max="3842" width="46" style="252" customWidth="1"/>
    <col min="3843" max="4097" width="8.83203125" style="252"/>
    <col min="4098" max="4098" width="46" style="252" customWidth="1"/>
    <col min="4099" max="4353" width="8.83203125" style="252"/>
    <col min="4354" max="4354" width="46" style="252" customWidth="1"/>
    <col min="4355" max="4609" width="8.83203125" style="252"/>
    <col min="4610" max="4610" width="46" style="252" customWidth="1"/>
    <col min="4611" max="4865" width="8.83203125" style="252"/>
    <col min="4866" max="4866" width="46" style="252" customWidth="1"/>
    <col min="4867" max="5121" width="8.83203125" style="252"/>
    <col min="5122" max="5122" width="46" style="252" customWidth="1"/>
    <col min="5123" max="5377" width="8.83203125" style="252"/>
    <col min="5378" max="5378" width="46" style="252" customWidth="1"/>
    <col min="5379" max="5633" width="8.83203125" style="252"/>
    <col min="5634" max="5634" width="46" style="252" customWidth="1"/>
    <col min="5635" max="5889" width="8.83203125" style="252"/>
    <col min="5890" max="5890" width="46" style="252" customWidth="1"/>
    <col min="5891" max="6145" width="8.83203125" style="252"/>
    <col min="6146" max="6146" width="46" style="252" customWidth="1"/>
    <col min="6147" max="6401" width="8.83203125" style="252"/>
    <col min="6402" max="6402" width="46" style="252" customWidth="1"/>
    <col min="6403" max="6657" width="8.83203125" style="252"/>
    <col min="6658" max="6658" width="46" style="252" customWidth="1"/>
    <col min="6659" max="6913" width="8.83203125" style="252"/>
    <col min="6914" max="6914" width="46" style="252" customWidth="1"/>
    <col min="6915" max="7169" width="8.83203125" style="252"/>
    <col min="7170" max="7170" width="46" style="252" customWidth="1"/>
    <col min="7171" max="7425" width="8.83203125" style="252"/>
    <col min="7426" max="7426" width="46" style="252" customWidth="1"/>
    <col min="7427" max="7681" width="8.83203125" style="252"/>
    <col min="7682" max="7682" width="46" style="252" customWidth="1"/>
    <col min="7683" max="7937" width="8.83203125" style="252"/>
    <col min="7938" max="7938" width="46" style="252" customWidth="1"/>
    <col min="7939" max="8193" width="8.83203125" style="252"/>
    <col min="8194" max="8194" width="46" style="252" customWidth="1"/>
    <col min="8195" max="8449" width="8.83203125" style="252"/>
    <col min="8450" max="8450" width="46" style="252" customWidth="1"/>
    <col min="8451" max="8705" width="8.83203125" style="252"/>
    <col min="8706" max="8706" width="46" style="252" customWidth="1"/>
    <col min="8707" max="8961" width="8.83203125" style="252"/>
    <col min="8962" max="8962" width="46" style="252" customWidth="1"/>
    <col min="8963" max="9217" width="8.83203125" style="252"/>
    <col min="9218" max="9218" width="46" style="252" customWidth="1"/>
    <col min="9219" max="9473" width="8.83203125" style="252"/>
    <col min="9474" max="9474" width="46" style="252" customWidth="1"/>
    <col min="9475" max="9729" width="8.83203125" style="252"/>
    <col min="9730" max="9730" width="46" style="252" customWidth="1"/>
    <col min="9731" max="9985" width="8.83203125" style="252"/>
    <col min="9986" max="9986" width="46" style="252" customWidth="1"/>
    <col min="9987" max="10241" width="8.83203125" style="252"/>
    <col min="10242" max="10242" width="46" style="252" customWidth="1"/>
    <col min="10243" max="10497" width="8.83203125" style="252"/>
    <col min="10498" max="10498" width="46" style="252" customWidth="1"/>
    <col min="10499" max="10753" width="8.83203125" style="252"/>
    <col min="10754" max="10754" width="46" style="252" customWidth="1"/>
    <col min="10755" max="11009" width="8.83203125" style="252"/>
    <col min="11010" max="11010" width="46" style="252" customWidth="1"/>
    <col min="11011" max="11265" width="8.83203125" style="252"/>
    <col min="11266" max="11266" width="46" style="252" customWidth="1"/>
    <col min="11267" max="11521" width="8.83203125" style="252"/>
    <col min="11522" max="11522" width="46" style="252" customWidth="1"/>
    <col min="11523" max="11777" width="8.83203125" style="252"/>
    <col min="11778" max="11778" width="46" style="252" customWidth="1"/>
    <col min="11779" max="12033" width="8.83203125" style="252"/>
    <col min="12034" max="12034" width="46" style="252" customWidth="1"/>
    <col min="12035" max="12289" width="8.83203125" style="252"/>
    <col min="12290" max="12290" width="46" style="252" customWidth="1"/>
    <col min="12291" max="12545" width="8.83203125" style="252"/>
    <col min="12546" max="12546" width="46" style="252" customWidth="1"/>
    <col min="12547" max="12801" width="8.83203125" style="252"/>
    <col min="12802" max="12802" width="46" style="252" customWidth="1"/>
    <col min="12803" max="13057" width="8.83203125" style="252"/>
    <col min="13058" max="13058" width="46" style="252" customWidth="1"/>
    <col min="13059" max="13313" width="8.83203125" style="252"/>
    <col min="13314" max="13314" width="46" style="252" customWidth="1"/>
    <col min="13315" max="13569" width="8.83203125" style="252"/>
    <col min="13570" max="13570" width="46" style="252" customWidth="1"/>
    <col min="13571" max="13825" width="8.83203125" style="252"/>
    <col min="13826" max="13826" width="46" style="252" customWidth="1"/>
    <col min="13827" max="14081" width="8.83203125" style="252"/>
    <col min="14082" max="14082" width="46" style="252" customWidth="1"/>
    <col min="14083" max="14337" width="8.83203125" style="252"/>
    <col min="14338" max="14338" width="46" style="252" customWidth="1"/>
    <col min="14339" max="14593" width="8.83203125" style="252"/>
    <col min="14594" max="14594" width="46" style="252" customWidth="1"/>
    <col min="14595" max="14849" width="8.83203125" style="252"/>
    <col min="14850" max="14850" width="46" style="252" customWidth="1"/>
    <col min="14851" max="15105" width="8.83203125" style="252"/>
    <col min="15106" max="15106" width="46" style="252" customWidth="1"/>
    <col min="15107" max="15361" width="8.83203125" style="252"/>
    <col min="15362" max="15362" width="46" style="252" customWidth="1"/>
    <col min="15363" max="15617" width="8.83203125" style="252"/>
    <col min="15618" max="15618" width="46" style="252" customWidth="1"/>
    <col min="15619" max="15873" width="8.83203125" style="252"/>
    <col min="15874" max="15874" width="46" style="252" customWidth="1"/>
    <col min="15875" max="16129" width="8.83203125" style="252"/>
    <col min="16130" max="16130" width="46" style="252" customWidth="1"/>
    <col min="16131" max="16384" width="8.83203125" style="252"/>
  </cols>
  <sheetData>
    <row r="2" spans="2:11">
      <c r="C2" s="330" t="s">
        <v>508</v>
      </c>
      <c r="D2" s="330"/>
      <c r="E2" s="330"/>
    </row>
    <row r="3" spans="2:11">
      <c r="C3" s="331" t="s">
        <v>399</v>
      </c>
      <c r="D3" s="335"/>
      <c r="E3" s="335"/>
      <c r="F3" s="268"/>
      <c r="G3" s="268"/>
    </row>
    <row r="4" spans="2:11">
      <c r="C4" s="330" t="s">
        <v>455</v>
      </c>
      <c r="D4" s="330"/>
      <c r="E4" s="330"/>
    </row>
    <row r="5" spans="2:11">
      <c r="C5" s="332" t="s">
        <v>426</v>
      </c>
      <c r="D5" s="332"/>
      <c r="E5" s="332"/>
    </row>
    <row r="6" spans="2:11">
      <c r="D6" s="236"/>
      <c r="E6" s="236"/>
    </row>
    <row r="7" spans="2:11">
      <c r="D7" s="267">
        <v>2012</v>
      </c>
      <c r="E7" s="267">
        <v>2011</v>
      </c>
      <c r="F7" s="267">
        <v>2010</v>
      </c>
    </row>
    <row r="8" spans="2:11" s="222" customFormat="1" ht="14">
      <c r="B8" s="256" t="s">
        <v>454</v>
      </c>
      <c r="D8" s="263"/>
      <c r="E8" s="263"/>
      <c r="F8" s="263"/>
      <c r="I8" s="263"/>
      <c r="J8" s="263"/>
      <c r="K8" s="263"/>
    </row>
    <row r="9" spans="2:11" s="222" customFormat="1" ht="15">
      <c r="C9" s="254" t="s">
        <v>453</v>
      </c>
      <c r="D9" s="261">
        <v>-985</v>
      </c>
      <c r="E9" s="261">
        <v>-152</v>
      </c>
      <c r="F9" s="261">
        <v>389</v>
      </c>
    </row>
    <row r="10" spans="2:11" s="222" customFormat="1" ht="15">
      <c r="C10" s="254" t="s">
        <v>452</v>
      </c>
      <c r="D10" s="261">
        <v>121</v>
      </c>
      <c r="E10" s="261">
        <v>314</v>
      </c>
      <c r="F10" s="261">
        <v>24</v>
      </c>
    </row>
    <row r="11" spans="2:11" s="222" customFormat="1" ht="15">
      <c r="C11" s="254" t="s">
        <v>451</v>
      </c>
      <c r="D11" s="264">
        <v>543</v>
      </c>
      <c r="E11" s="264">
        <v>518</v>
      </c>
      <c r="F11" s="264">
        <v>511</v>
      </c>
    </row>
    <row r="12" spans="2:11" s="222" customFormat="1" ht="15">
      <c r="C12" s="254" t="s">
        <v>450</v>
      </c>
      <c r="D12" s="261">
        <v>50</v>
      </c>
      <c r="E12" s="261">
        <v>46</v>
      </c>
      <c r="F12" s="261">
        <v>53</v>
      </c>
    </row>
    <row r="13" spans="2:11" s="222" customFormat="1" ht="15">
      <c r="C13" s="254" t="s">
        <v>449</v>
      </c>
      <c r="D13" s="261">
        <v>-467</v>
      </c>
      <c r="E13" s="261">
        <v>-153</v>
      </c>
      <c r="F13" s="261">
        <v>126</v>
      </c>
    </row>
    <row r="14" spans="2:11" s="222" customFormat="1">
      <c r="B14" s="265"/>
      <c r="C14" s="254" t="s">
        <v>432</v>
      </c>
      <c r="D14" s="261">
        <v>-20</v>
      </c>
      <c r="E14" s="261">
        <v>106</v>
      </c>
      <c r="F14" s="261">
        <v>-208</v>
      </c>
    </row>
    <row r="15" spans="2:11" s="222" customFormat="1" ht="15">
      <c r="C15" s="254" t="s">
        <v>448</v>
      </c>
      <c r="D15" s="261">
        <v>575</v>
      </c>
      <c r="E15" s="261">
        <v>297</v>
      </c>
      <c r="F15" s="261">
        <v>-189</v>
      </c>
    </row>
    <row r="16" spans="2:11" s="222" customFormat="1" ht="15">
      <c r="C16" s="254" t="s">
        <v>447</v>
      </c>
      <c r="D16" s="261">
        <v>140</v>
      </c>
      <c r="E16" s="261">
        <v>-111</v>
      </c>
      <c r="F16" s="261">
        <v>-93</v>
      </c>
    </row>
    <row r="17" spans="2:6" s="222" customFormat="1" ht="15">
      <c r="C17" s="254" t="s">
        <v>446</v>
      </c>
      <c r="D17" s="266">
        <v>33</v>
      </c>
      <c r="E17" s="266">
        <v>-45</v>
      </c>
      <c r="F17" s="266">
        <v>-21</v>
      </c>
    </row>
    <row r="18" spans="2:6" s="222" customFormat="1" ht="15">
      <c r="C18" s="228" t="s">
        <v>445</v>
      </c>
      <c r="D18" s="258">
        <f>SUM(D9:D17)</f>
        <v>-10</v>
      </c>
      <c r="E18" s="258">
        <f>SUM(E9:E17)</f>
        <v>820</v>
      </c>
      <c r="F18" s="258">
        <f>SUM(F9:F17)</f>
        <v>592</v>
      </c>
    </row>
    <row r="19" spans="2:6" s="222" customFormat="1">
      <c r="C19" s="254"/>
      <c r="D19" s="265"/>
      <c r="E19" s="265"/>
      <c r="F19" s="265"/>
    </row>
    <row r="20" spans="2:6" s="222" customFormat="1" ht="14">
      <c r="B20" s="256" t="s">
        <v>444</v>
      </c>
      <c r="D20" s="263"/>
      <c r="E20" s="263"/>
      <c r="F20" s="263"/>
    </row>
    <row r="21" spans="2:6" s="222" customFormat="1" ht="15.75" customHeight="1">
      <c r="C21" s="254" t="s">
        <v>443</v>
      </c>
      <c r="D21" s="264">
        <v>-810</v>
      </c>
      <c r="E21" s="264">
        <v>-634</v>
      </c>
      <c r="F21" s="264">
        <v>-499</v>
      </c>
    </row>
    <row r="22" spans="2:6" s="222" customFormat="1" ht="30">
      <c r="C22" s="254" t="s">
        <v>442</v>
      </c>
      <c r="D22" s="264">
        <v>526</v>
      </c>
      <c r="E22" s="262" t="s">
        <v>113</v>
      </c>
      <c r="F22" s="262" t="s">
        <v>113</v>
      </c>
    </row>
    <row r="23" spans="2:6" s="222" customFormat="1" ht="17">
      <c r="C23" s="254" t="s">
        <v>441</v>
      </c>
      <c r="D23" s="264">
        <v>-9</v>
      </c>
      <c r="E23" s="264">
        <v>-268</v>
      </c>
      <c r="F23" s="262" t="s">
        <v>113</v>
      </c>
    </row>
    <row r="24" spans="2:6" s="222" customFormat="1" ht="17">
      <c r="C24" s="254" t="s">
        <v>432</v>
      </c>
      <c r="D24" s="262" t="s">
        <v>113</v>
      </c>
      <c r="E24" s="260">
        <v>32</v>
      </c>
      <c r="F24" s="260">
        <v>14</v>
      </c>
    </row>
    <row r="25" spans="2:6" s="222" customFormat="1" ht="15">
      <c r="C25" s="228" t="s">
        <v>440</v>
      </c>
      <c r="D25" s="258">
        <f>SUM(D21:D24)</f>
        <v>-293</v>
      </c>
      <c r="E25" s="258">
        <f>SUM(E21:E24)</f>
        <v>-870</v>
      </c>
      <c r="F25" s="258">
        <f>SUM(F21:F24)</f>
        <v>-485</v>
      </c>
    </row>
    <row r="26" spans="2:6" s="222" customFormat="1" ht="14">
      <c r="C26" s="228"/>
      <c r="D26" s="264"/>
      <c r="E26" s="264"/>
      <c r="F26" s="264"/>
    </row>
    <row r="27" spans="2:6" s="222" customFormat="1" ht="14">
      <c r="B27" s="256" t="s">
        <v>439</v>
      </c>
      <c r="D27" s="263"/>
      <c r="E27" s="263"/>
      <c r="F27" s="263"/>
    </row>
    <row r="28" spans="2:6" s="222" customFormat="1" ht="30">
      <c r="C28" s="254" t="s">
        <v>438</v>
      </c>
    </row>
    <row r="29" spans="2:6" s="222" customFormat="1" ht="15">
      <c r="C29" s="254" t="s">
        <v>437</v>
      </c>
      <c r="D29" s="261">
        <v>-254</v>
      </c>
      <c r="E29" s="261">
        <v>-20</v>
      </c>
      <c r="F29" s="261">
        <v>-315</v>
      </c>
    </row>
    <row r="30" spans="2:6" s="222" customFormat="1" ht="15">
      <c r="C30" s="254" t="s">
        <v>436</v>
      </c>
      <c r="D30" s="261">
        <v>-86</v>
      </c>
      <c r="E30" s="261">
        <v>-178</v>
      </c>
      <c r="F30" s="261">
        <v>-189</v>
      </c>
    </row>
    <row r="31" spans="2:6" s="222" customFormat="1" ht="17">
      <c r="C31" s="254" t="s">
        <v>435</v>
      </c>
      <c r="D31" s="262" t="s">
        <v>113</v>
      </c>
      <c r="E31" s="261">
        <v>-900</v>
      </c>
      <c r="F31" s="262" t="s">
        <v>113</v>
      </c>
    </row>
    <row r="32" spans="2:6" s="222" customFormat="1" ht="15">
      <c r="C32" s="254" t="s">
        <v>434</v>
      </c>
    </row>
    <row r="33" spans="2:6" s="222" customFormat="1" ht="15">
      <c r="C33" s="254" t="s">
        <v>433</v>
      </c>
      <c r="D33" s="261">
        <v>71</v>
      </c>
      <c r="E33" s="261">
        <v>68</v>
      </c>
      <c r="F33" s="261">
        <v>8</v>
      </c>
    </row>
    <row r="34" spans="2:6" s="222" customFormat="1" ht="15">
      <c r="C34" s="254" t="s">
        <v>432</v>
      </c>
      <c r="D34" s="260">
        <v>-5</v>
      </c>
      <c r="E34" s="260">
        <v>-35</v>
      </c>
      <c r="F34" s="259" t="s">
        <v>113</v>
      </c>
    </row>
    <row r="35" spans="2:6" s="222" customFormat="1" ht="15">
      <c r="C35" s="228" t="s">
        <v>431</v>
      </c>
      <c r="D35" s="258">
        <f>SUM(D29:D34)</f>
        <v>-274</v>
      </c>
      <c r="E35" s="258">
        <f>SUM(E29:E34)</f>
        <v>-1065</v>
      </c>
      <c r="F35" s="258">
        <f>SUM(F29:F34)</f>
        <v>-496</v>
      </c>
    </row>
    <row r="36" spans="2:6" s="222" customFormat="1" ht="14">
      <c r="C36" s="228"/>
      <c r="D36" s="257"/>
      <c r="E36" s="257"/>
      <c r="F36" s="257"/>
    </row>
    <row r="37" spans="2:6" s="222" customFormat="1" ht="14">
      <c r="C37" s="256" t="s">
        <v>430</v>
      </c>
      <c r="D37" s="255">
        <f>D35+D25+D18</f>
        <v>-577</v>
      </c>
      <c r="E37" s="255">
        <f>E35+E25+E18</f>
        <v>-1115</v>
      </c>
      <c r="F37" s="255">
        <f>F35+F25+F18</f>
        <v>-389</v>
      </c>
    </row>
    <row r="38" spans="2:6">
      <c r="B38" s="222"/>
      <c r="C38" s="254" t="s">
        <v>429</v>
      </c>
      <c r="D38" s="253">
        <v>1507</v>
      </c>
      <c r="E38" s="253">
        <v>2622</v>
      </c>
      <c r="F38" s="253">
        <v>3011</v>
      </c>
    </row>
    <row r="39" spans="2:6" ht="17" thickBot="1">
      <c r="B39" s="222"/>
      <c r="C39" s="228" t="s">
        <v>428</v>
      </c>
      <c r="D39" s="239">
        <f>D38+D37</f>
        <v>930</v>
      </c>
      <c r="E39" s="240">
        <f>E38+E37</f>
        <v>1507</v>
      </c>
      <c r="F39" s="239">
        <f>F38+F37</f>
        <v>2622</v>
      </c>
    </row>
    <row r="40" spans="2:6" ht="17" thickTop="1"/>
    <row r="42" spans="2:6">
      <c r="C42" s="223" t="s">
        <v>377</v>
      </c>
    </row>
  </sheetData>
  <mergeCells count="4">
    <mergeCell ref="C2:E2"/>
    <mergeCell ref="C3:E3"/>
    <mergeCell ref="C4:E4"/>
    <mergeCell ref="C5:E5"/>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F3A82-6951-E446-A78B-34BB849EE1CB}">
  <sheetPr>
    <tabColor theme="5" tint="-0.499984740745262"/>
  </sheetPr>
  <dimension ref="A2:K39"/>
  <sheetViews>
    <sheetView showGridLines="0" workbookViewId="0">
      <pane xSplit="2" ySplit="8" topLeftCell="C9" activePane="bottomRight" state="frozen"/>
      <selection pane="topRight"/>
      <selection pane="bottomLeft"/>
      <selection pane="bottomRight"/>
    </sheetView>
  </sheetViews>
  <sheetFormatPr baseColWidth="10" defaultColWidth="8.83203125" defaultRowHeight="16"/>
  <cols>
    <col min="1" max="1" width="3.1640625" style="265" customWidth="1"/>
    <col min="2" max="2" width="35.5" style="265" customWidth="1"/>
    <col min="3" max="3" width="10.6640625" style="265" customWidth="1"/>
    <col min="4" max="7" width="8.6640625" style="265" customWidth="1"/>
    <col min="8" max="253" width="8.83203125" style="265"/>
    <col min="254" max="254" width="6.6640625" style="265" customWidth="1"/>
    <col min="255" max="255" width="26.83203125" style="265" customWidth="1"/>
    <col min="256" max="258" width="14.1640625" style="265" customWidth="1"/>
    <col min="259" max="259" width="15" style="265" customWidth="1"/>
    <col min="260" max="261" width="12.6640625" style="265" bestFit="1" customWidth="1"/>
    <col min="262" max="262" width="13.1640625" style="265" bestFit="1" customWidth="1"/>
    <col min="263" max="509" width="8.83203125" style="265"/>
    <col min="510" max="510" width="6.6640625" style="265" customWidth="1"/>
    <col min="511" max="511" width="26.83203125" style="265" customWidth="1"/>
    <col min="512" max="514" width="14.1640625" style="265" customWidth="1"/>
    <col min="515" max="515" width="15" style="265" customWidth="1"/>
    <col min="516" max="517" width="12.6640625" style="265" bestFit="1" customWidth="1"/>
    <col min="518" max="518" width="13.1640625" style="265" bestFit="1" customWidth="1"/>
    <col min="519" max="765" width="8.83203125" style="265"/>
    <col min="766" max="766" width="6.6640625" style="265" customWidth="1"/>
    <col min="767" max="767" width="26.83203125" style="265" customWidth="1"/>
    <col min="768" max="770" width="14.1640625" style="265" customWidth="1"/>
    <col min="771" max="771" width="15" style="265" customWidth="1"/>
    <col min="772" max="773" width="12.6640625" style="265" bestFit="1" customWidth="1"/>
    <col min="774" max="774" width="13.1640625" style="265" bestFit="1" customWidth="1"/>
    <col min="775" max="1021" width="8.83203125" style="265"/>
    <col min="1022" max="1022" width="6.6640625" style="265" customWidth="1"/>
    <col min="1023" max="1023" width="26.83203125" style="265" customWidth="1"/>
    <col min="1024" max="1026" width="14.1640625" style="265" customWidth="1"/>
    <col min="1027" max="1027" width="15" style="265" customWidth="1"/>
    <col min="1028" max="1029" width="12.6640625" style="265" bestFit="1" customWidth="1"/>
    <col min="1030" max="1030" width="13.1640625" style="265" bestFit="1" customWidth="1"/>
    <col min="1031" max="1277" width="8.83203125" style="265"/>
    <col min="1278" max="1278" width="6.6640625" style="265" customWidth="1"/>
    <col min="1279" max="1279" width="26.83203125" style="265" customWidth="1"/>
    <col min="1280" max="1282" width="14.1640625" style="265" customWidth="1"/>
    <col min="1283" max="1283" width="15" style="265" customWidth="1"/>
    <col min="1284" max="1285" width="12.6640625" style="265" bestFit="1" customWidth="1"/>
    <col min="1286" max="1286" width="13.1640625" style="265" bestFit="1" customWidth="1"/>
    <col min="1287" max="1533" width="8.83203125" style="265"/>
    <col min="1534" max="1534" width="6.6640625" style="265" customWidth="1"/>
    <col min="1535" max="1535" width="26.83203125" style="265" customWidth="1"/>
    <col min="1536" max="1538" width="14.1640625" style="265" customWidth="1"/>
    <col min="1539" max="1539" width="15" style="265" customWidth="1"/>
    <col min="1540" max="1541" width="12.6640625" style="265" bestFit="1" customWidth="1"/>
    <col min="1542" max="1542" width="13.1640625" style="265" bestFit="1" customWidth="1"/>
    <col min="1543" max="1789" width="8.83203125" style="265"/>
    <col min="1790" max="1790" width="6.6640625" style="265" customWidth="1"/>
    <col min="1791" max="1791" width="26.83203125" style="265" customWidth="1"/>
    <col min="1792" max="1794" width="14.1640625" style="265" customWidth="1"/>
    <col min="1795" max="1795" width="15" style="265" customWidth="1"/>
    <col min="1796" max="1797" width="12.6640625" style="265" bestFit="1" customWidth="1"/>
    <col min="1798" max="1798" width="13.1640625" style="265" bestFit="1" customWidth="1"/>
    <col min="1799" max="2045" width="8.83203125" style="265"/>
    <col min="2046" max="2046" width="6.6640625" style="265" customWidth="1"/>
    <col min="2047" max="2047" width="26.83203125" style="265" customWidth="1"/>
    <col min="2048" max="2050" width="14.1640625" style="265" customWidth="1"/>
    <col min="2051" max="2051" width="15" style="265" customWidth="1"/>
    <col min="2052" max="2053" width="12.6640625" style="265" bestFit="1" customWidth="1"/>
    <col min="2054" max="2054" width="13.1640625" style="265" bestFit="1" customWidth="1"/>
    <col min="2055" max="2301" width="8.83203125" style="265"/>
    <col min="2302" max="2302" width="6.6640625" style="265" customWidth="1"/>
    <col min="2303" max="2303" width="26.83203125" style="265" customWidth="1"/>
    <col min="2304" max="2306" width="14.1640625" style="265" customWidth="1"/>
    <col min="2307" max="2307" width="15" style="265" customWidth="1"/>
    <col min="2308" max="2309" width="12.6640625" style="265" bestFit="1" customWidth="1"/>
    <col min="2310" max="2310" width="13.1640625" style="265" bestFit="1" customWidth="1"/>
    <col min="2311" max="2557" width="8.83203125" style="265"/>
    <col min="2558" max="2558" width="6.6640625" style="265" customWidth="1"/>
    <col min="2559" max="2559" width="26.83203125" style="265" customWidth="1"/>
    <col min="2560" max="2562" width="14.1640625" style="265" customWidth="1"/>
    <col min="2563" max="2563" width="15" style="265" customWidth="1"/>
    <col min="2564" max="2565" width="12.6640625" style="265" bestFit="1" customWidth="1"/>
    <col min="2566" max="2566" width="13.1640625" style="265" bestFit="1" customWidth="1"/>
    <col min="2567" max="2813" width="8.83203125" style="265"/>
    <col min="2814" max="2814" width="6.6640625" style="265" customWidth="1"/>
    <col min="2815" max="2815" width="26.83203125" style="265" customWidth="1"/>
    <col min="2816" max="2818" width="14.1640625" style="265" customWidth="1"/>
    <col min="2819" max="2819" width="15" style="265" customWidth="1"/>
    <col min="2820" max="2821" width="12.6640625" style="265" bestFit="1" customWidth="1"/>
    <col min="2822" max="2822" width="13.1640625" style="265" bestFit="1" customWidth="1"/>
    <col min="2823" max="3069" width="8.83203125" style="265"/>
    <col min="3070" max="3070" width="6.6640625" style="265" customWidth="1"/>
    <col min="3071" max="3071" width="26.83203125" style="265" customWidth="1"/>
    <col min="3072" max="3074" width="14.1640625" style="265" customWidth="1"/>
    <col min="3075" max="3075" width="15" style="265" customWidth="1"/>
    <col min="3076" max="3077" width="12.6640625" style="265" bestFit="1" customWidth="1"/>
    <col min="3078" max="3078" width="13.1640625" style="265" bestFit="1" customWidth="1"/>
    <col min="3079" max="3325" width="8.83203125" style="265"/>
    <col min="3326" max="3326" width="6.6640625" style="265" customWidth="1"/>
    <col min="3327" max="3327" width="26.83203125" style="265" customWidth="1"/>
    <col min="3328" max="3330" width="14.1640625" style="265" customWidth="1"/>
    <col min="3331" max="3331" width="15" style="265" customWidth="1"/>
    <col min="3332" max="3333" width="12.6640625" style="265" bestFit="1" customWidth="1"/>
    <col min="3334" max="3334" width="13.1640625" style="265" bestFit="1" customWidth="1"/>
    <col min="3335" max="3581" width="8.83203125" style="265"/>
    <col min="3582" max="3582" width="6.6640625" style="265" customWidth="1"/>
    <col min="3583" max="3583" width="26.83203125" style="265" customWidth="1"/>
    <col min="3584" max="3586" width="14.1640625" style="265" customWidth="1"/>
    <col min="3587" max="3587" width="15" style="265" customWidth="1"/>
    <col min="3588" max="3589" width="12.6640625" style="265" bestFit="1" customWidth="1"/>
    <col min="3590" max="3590" width="13.1640625" style="265" bestFit="1" customWidth="1"/>
    <col min="3591" max="3837" width="8.83203125" style="265"/>
    <col min="3838" max="3838" width="6.6640625" style="265" customWidth="1"/>
    <col min="3839" max="3839" width="26.83203125" style="265" customWidth="1"/>
    <col min="3840" max="3842" width="14.1640625" style="265" customWidth="1"/>
    <col min="3843" max="3843" width="15" style="265" customWidth="1"/>
    <col min="3844" max="3845" width="12.6640625" style="265" bestFit="1" customWidth="1"/>
    <col min="3846" max="3846" width="13.1640625" style="265" bestFit="1" customWidth="1"/>
    <col min="3847" max="4093" width="8.83203125" style="265"/>
    <col min="4094" max="4094" width="6.6640625" style="265" customWidth="1"/>
    <col min="4095" max="4095" width="26.83203125" style="265" customWidth="1"/>
    <col min="4096" max="4098" width="14.1640625" style="265" customWidth="1"/>
    <col min="4099" max="4099" width="15" style="265" customWidth="1"/>
    <col min="4100" max="4101" width="12.6640625" style="265" bestFit="1" customWidth="1"/>
    <col min="4102" max="4102" width="13.1640625" style="265" bestFit="1" customWidth="1"/>
    <col min="4103" max="4349" width="8.83203125" style="265"/>
    <col min="4350" max="4350" width="6.6640625" style="265" customWidth="1"/>
    <col min="4351" max="4351" width="26.83203125" style="265" customWidth="1"/>
    <col min="4352" max="4354" width="14.1640625" style="265" customWidth="1"/>
    <col min="4355" max="4355" width="15" style="265" customWidth="1"/>
    <col min="4356" max="4357" width="12.6640625" style="265" bestFit="1" customWidth="1"/>
    <col min="4358" max="4358" width="13.1640625" style="265" bestFit="1" customWidth="1"/>
    <col min="4359" max="4605" width="8.83203125" style="265"/>
    <col min="4606" max="4606" width="6.6640625" style="265" customWidth="1"/>
    <col min="4607" max="4607" width="26.83203125" style="265" customWidth="1"/>
    <col min="4608" max="4610" width="14.1640625" style="265" customWidth="1"/>
    <col min="4611" max="4611" width="15" style="265" customWidth="1"/>
    <col min="4612" max="4613" width="12.6640625" style="265" bestFit="1" customWidth="1"/>
    <col min="4614" max="4614" width="13.1640625" style="265" bestFit="1" customWidth="1"/>
    <col min="4615" max="4861" width="8.83203125" style="265"/>
    <col min="4862" max="4862" width="6.6640625" style="265" customWidth="1"/>
    <col min="4863" max="4863" width="26.83203125" style="265" customWidth="1"/>
    <col min="4864" max="4866" width="14.1640625" style="265" customWidth="1"/>
    <col min="4867" max="4867" width="15" style="265" customWidth="1"/>
    <col min="4868" max="4869" width="12.6640625" style="265" bestFit="1" customWidth="1"/>
    <col min="4870" max="4870" width="13.1640625" style="265" bestFit="1" customWidth="1"/>
    <col min="4871" max="5117" width="8.83203125" style="265"/>
    <col min="5118" max="5118" width="6.6640625" style="265" customWidth="1"/>
    <col min="5119" max="5119" width="26.83203125" style="265" customWidth="1"/>
    <col min="5120" max="5122" width="14.1640625" style="265" customWidth="1"/>
    <col min="5123" max="5123" width="15" style="265" customWidth="1"/>
    <col min="5124" max="5125" width="12.6640625" style="265" bestFit="1" customWidth="1"/>
    <col min="5126" max="5126" width="13.1640625" style="265" bestFit="1" customWidth="1"/>
    <col min="5127" max="5373" width="8.83203125" style="265"/>
    <col min="5374" max="5374" width="6.6640625" style="265" customWidth="1"/>
    <col min="5375" max="5375" width="26.83203125" style="265" customWidth="1"/>
    <col min="5376" max="5378" width="14.1640625" style="265" customWidth="1"/>
    <col min="5379" max="5379" width="15" style="265" customWidth="1"/>
    <col min="5380" max="5381" width="12.6640625" style="265" bestFit="1" customWidth="1"/>
    <col min="5382" max="5382" width="13.1640625" style="265" bestFit="1" customWidth="1"/>
    <col min="5383" max="5629" width="8.83203125" style="265"/>
    <col min="5630" max="5630" width="6.6640625" style="265" customWidth="1"/>
    <col min="5631" max="5631" width="26.83203125" style="265" customWidth="1"/>
    <col min="5632" max="5634" width="14.1640625" style="265" customWidth="1"/>
    <col min="5635" max="5635" width="15" style="265" customWidth="1"/>
    <col min="5636" max="5637" width="12.6640625" style="265" bestFit="1" customWidth="1"/>
    <col min="5638" max="5638" width="13.1640625" style="265" bestFit="1" customWidth="1"/>
    <col min="5639" max="5885" width="8.83203125" style="265"/>
    <col min="5886" max="5886" width="6.6640625" style="265" customWidth="1"/>
    <col min="5887" max="5887" width="26.83203125" style="265" customWidth="1"/>
    <col min="5888" max="5890" width="14.1640625" style="265" customWidth="1"/>
    <col min="5891" max="5891" width="15" style="265" customWidth="1"/>
    <col min="5892" max="5893" width="12.6640625" style="265" bestFit="1" customWidth="1"/>
    <col min="5894" max="5894" width="13.1640625" style="265" bestFit="1" customWidth="1"/>
    <col min="5895" max="6141" width="8.83203125" style="265"/>
    <col min="6142" max="6142" width="6.6640625" style="265" customWidth="1"/>
    <col min="6143" max="6143" width="26.83203125" style="265" customWidth="1"/>
    <col min="6144" max="6146" width="14.1640625" style="265" customWidth="1"/>
    <col min="6147" max="6147" width="15" style="265" customWidth="1"/>
    <col min="6148" max="6149" width="12.6640625" style="265" bestFit="1" customWidth="1"/>
    <col min="6150" max="6150" width="13.1640625" style="265" bestFit="1" customWidth="1"/>
    <col min="6151" max="6397" width="8.83203125" style="265"/>
    <col min="6398" max="6398" width="6.6640625" style="265" customWidth="1"/>
    <col min="6399" max="6399" width="26.83203125" style="265" customWidth="1"/>
    <col min="6400" max="6402" width="14.1640625" style="265" customWidth="1"/>
    <col min="6403" max="6403" width="15" style="265" customWidth="1"/>
    <col min="6404" max="6405" width="12.6640625" style="265" bestFit="1" customWidth="1"/>
    <col min="6406" max="6406" width="13.1640625" style="265" bestFit="1" customWidth="1"/>
    <col min="6407" max="6653" width="8.83203125" style="265"/>
    <col min="6654" max="6654" width="6.6640625" style="265" customWidth="1"/>
    <col min="6655" max="6655" width="26.83203125" style="265" customWidth="1"/>
    <col min="6656" max="6658" width="14.1640625" style="265" customWidth="1"/>
    <col min="6659" max="6659" width="15" style="265" customWidth="1"/>
    <col min="6660" max="6661" width="12.6640625" style="265" bestFit="1" customWidth="1"/>
    <col min="6662" max="6662" width="13.1640625" style="265" bestFit="1" customWidth="1"/>
    <col min="6663" max="6909" width="8.83203125" style="265"/>
    <col min="6910" max="6910" width="6.6640625" style="265" customWidth="1"/>
    <col min="6911" max="6911" width="26.83203125" style="265" customWidth="1"/>
    <col min="6912" max="6914" width="14.1640625" style="265" customWidth="1"/>
    <col min="6915" max="6915" width="15" style="265" customWidth="1"/>
    <col min="6916" max="6917" width="12.6640625" style="265" bestFit="1" customWidth="1"/>
    <col min="6918" max="6918" width="13.1640625" style="265" bestFit="1" customWidth="1"/>
    <col min="6919" max="7165" width="8.83203125" style="265"/>
    <col min="7166" max="7166" width="6.6640625" style="265" customWidth="1"/>
    <col min="7167" max="7167" width="26.83203125" style="265" customWidth="1"/>
    <col min="7168" max="7170" width="14.1640625" style="265" customWidth="1"/>
    <col min="7171" max="7171" width="15" style="265" customWidth="1"/>
    <col min="7172" max="7173" width="12.6640625" style="265" bestFit="1" customWidth="1"/>
    <col min="7174" max="7174" width="13.1640625" style="265" bestFit="1" customWidth="1"/>
    <col min="7175" max="7421" width="8.83203125" style="265"/>
    <col min="7422" max="7422" width="6.6640625" style="265" customWidth="1"/>
    <col min="7423" max="7423" width="26.83203125" style="265" customWidth="1"/>
    <col min="7424" max="7426" width="14.1640625" style="265" customWidth="1"/>
    <col min="7427" max="7427" width="15" style="265" customWidth="1"/>
    <col min="7428" max="7429" width="12.6640625" style="265" bestFit="1" customWidth="1"/>
    <col min="7430" max="7430" width="13.1640625" style="265" bestFit="1" customWidth="1"/>
    <col min="7431" max="7677" width="8.83203125" style="265"/>
    <col min="7678" max="7678" width="6.6640625" style="265" customWidth="1"/>
    <col min="7679" max="7679" width="26.83203125" style="265" customWidth="1"/>
    <col min="7680" max="7682" width="14.1640625" style="265" customWidth="1"/>
    <col min="7683" max="7683" width="15" style="265" customWidth="1"/>
    <col min="7684" max="7685" width="12.6640625" style="265" bestFit="1" customWidth="1"/>
    <col min="7686" max="7686" width="13.1640625" style="265" bestFit="1" customWidth="1"/>
    <col min="7687" max="7933" width="8.83203125" style="265"/>
    <col min="7934" max="7934" width="6.6640625" style="265" customWidth="1"/>
    <col min="7935" max="7935" width="26.83203125" style="265" customWidth="1"/>
    <col min="7936" max="7938" width="14.1640625" style="265" customWidth="1"/>
    <col min="7939" max="7939" width="15" style="265" customWidth="1"/>
    <col min="7940" max="7941" width="12.6640625" style="265" bestFit="1" customWidth="1"/>
    <col min="7942" max="7942" width="13.1640625" style="265" bestFit="1" customWidth="1"/>
    <col min="7943" max="8189" width="8.83203125" style="265"/>
    <col min="8190" max="8190" width="6.6640625" style="265" customWidth="1"/>
    <col min="8191" max="8191" width="26.83203125" style="265" customWidth="1"/>
    <col min="8192" max="8194" width="14.1640625" style="265" customWidth="1"/>
    <col min="8195" max="8195" width="15" style="265" customWidth="1"/>
    <col min="8196" max="8197" width="12.6640625" style="265" bestFit="1" customWidth="1"/>
    <col min="8198" max="8198" width="13.1640625" style="265" bestFit="1" customWidth="1"/>
    <col min="8199" max="8445" width="8.83203125" style="265"/>
    <col min="8446" max="8446" width="6.6640625" style="265" customWidth="1"/>
    <col min="8447" max="8447" width="26.83203125" style="265" customWidth="1"/>
    <col min="8448" max="8450" width="14.1640625" style="265" customWidth="1"/>
    <col min="8451" max="8451" width="15" style="265" customWidth="1"/>
    <col min="8452" max="8453" width="12.6640625" style="265" bestFit="1" customWidth="1"/>
    <col min="8454" max="8454" width="13.1640625" style="265" bestFit="1" customWidth="1"/>
    <col min="8455" max="8701" width="8.83203125" style="265"/>
    <col min="8702" max="8702" width="6.6640625" style="265" customWidth="1"/>
    <col min="8703" max="8703" width="26.83203125" style="265" customWidth="1"/>
    <col min="8704" max="8706" width="14.1640625" style="265" customWidth="1"/>
    <col min="8707" max="8707" width="15" style="265" customWidth="1"/>
    <col min="8708" max="8709" width="12.6640625" style="265" bestFit="1" customWidth="1"/>
    <col min="8710" max="8710" width="13.1640625" style="265" bestFit="1" customWidth="1"/>
    <col min="8711" max="8957" width="8.83203125" style="265"/>
    <col min="8958" max="8958" width="6.6640625" style="265" customWidth="1"/>
    <col min="8959" max="8959" width="26.83203125" style="265" customWidth="1"/>
    <col min="8960" max="8962" width="14.1640625" style="265" customWidth="1"/>
    <col min="8963" max="8963" width="15" style="265" customWidth="1"/>
    <col min="8964" max="8965" width="12.6640625" style="265" bestFit="1" customWidth="1"/>
    <col min="8966" max="8966" width="13.1640625" style="265" bestFit="1" customWidth="1"/>
    <col min="8967" max="9213" width="8.83203125" style="265"/>
    <col min="9214" max="9214" width="6.6640625" style="265" customWidth="1"/>
    <col min="9215" max="9215" width="26.83203125" style="265" customWidth="1"/>
    <col min="9216" max="9218" width="14.1640625" style="265" customWidth="1"/>
    <col min="9219" max="9219" width="15" style="265" customWidth="1"/>
    <col min="9220" max="9221" width="12.6640625" style="265" bestFit="1" customWidth="1"/>
    <col min="9222" max="9222" width="13.1640625" style="265" bestFit="1" customWidth="1"/>
    <col min="9223" max="9469" width="8.83203125" style="265"/>
    <col min="9470" max="9470" width="6.6640625" style="265" customWidth="1"/>
    <col min="9471" max="9471" width="26.83203125" style="265" customWidth="1"/>
    <col min="9472" max="9474" width="14.1640625" style="265" customWidth="1"/>
    <col min="9475" max="9475" width="15" style="265" customWidth="1"/>
    <col min="9476" max="9477" width="12.6640625" style="265" bestFit="1" customWidth="1"/>
    <col min="9478" max="9478" width="13.1640625" style="265" bestFit="1" customWidth="1"/>
    <col min="9479" max="9725" width="8.83203125" style="265"/>
    <col min="9726" max="9726" width="6.6640625" style="265" customWidth="1"/>
    <col min="9727" max="9727" width="26.83203125" style="265" customWidth="1"/>
    <col min="9728" max="9730" width="14.1640625" style="265" customWidth="1"/>
    <col min="9731" max="9731" width="15" style="265" customWidth="1"/>
    <col min="9732" max="9733" width="12.6640625" style="265" bestFit="1" customWidth="1"/>
    <col min="9734" max="9734" width="13.1640625" style="265" bestFit="1" customWidth="1"/>
    <col min="9735" max="9981" width="8.83203125" style="265"/>
    <col min="9982" max="9982" width="6.6640625" style="265" customWidth="1"/>
    <col min="9983" max="9983" width="26.83203125" style="265" customWidth="1"/>
    <col min="9984" max="9986" width="14.1640625" style="265" customWidth="1"/>
    <col min="9987" max="9987" width="15" style="265" customWidth="1"/>
    <col min="9988" max="9989" width="12.6640625" style="265" bestFit="1" customWidth="1"/>
    <col min="9990" max="9990" width="13.1640625" style="265" bestFit="1" customWidth="1"/>
    <col min="9991" max="10237" width="8.83203125" style="265"/>
    <col min="10238" max="10238" width="6.6640625" style="265" customWidth="1"/>
    <col min="10239" max="10239" width="26.83203125" style="265" customWidth="1"/>
    <col min="10240" max="10242" width="14.1640625" style="265" customWidth="1"/>
    <col min="10243" max="10243" width="15" style="265" customWidth="1"/>
    <col min="10244" max="10245" width="12.6640625" style="265" bestFit="1" customWidth="1"/>
    <col min="10246" max="10246" width="13.1640625" style="265" bestFit="1" customWidth="1"/>
    <col min="10247" max="10493" width="8.83203125" style="265"/>
    <col min="10494" max="10494" width="6.6640625" style="265" customWidth="1"/>
    <col min="10495" max="10495" width="26.83203125" style="265" customWidth="1"/>
    <col min="10496" max="10498" width="14.1640625" style="265" customWidth="1"/>
    <col min="10499" max="10499" width="15" style="265" customWidth="1"/>
    <col min="10500" max="10501" width="12.6640625" style="265" bestFit="1" customWidth="1"/>
    <col min="10502" max="10502" width="13.1640625" style="265" bestFit="1" customWidth="1"/>
    <col min="10503" max="10749" width="8.83203125" style="265"/>
    <col min="10750" max="10750" width="6.6640625" style="265" customWidth="1"/>
    <col min="10751" max="10751" width="26.83203125" style="265" customWidth="1"/>
    <col min="10752" max="10754" width="14.1640625" style="265" customWidth="1"/>
    <col min="10755" max="10755" width="15" style="265" customWidth="1"/>
    <col min="10756" max="10757" width="12.6640625" style="265" bestFit="1" customWidth="1"/>
    <col min="10758" max="10758" width="13.1640625" style="265" bestFit="1" customWidth="1"/>
    <col min="10759" max="11005" width="8.83203125" style="265"/>
    <col min="11006" max="11006" width="6.6640625" style="265" customWidth="1"/>
    <col min="11007" max="11007" width="26.83203125" style="265" customWidth="1"/>
    <col min="11008" max="11010" width="14.1640625" style="265" customWidth="1"/>
    <col min="11011" max="11011" width="15" style="265" customWidth="1"/>
    <col min="11012" max="11013" width="12.6640625" style="265" bestFit="1" customWidth="1"/>
    <col min="11014" max="11014" width="13.1640625" style="265" bestFit="1" customWidth="1"/>
    <col min="11015" max="11261" width="8.83203125" style="265"/>
    <col min="11262" max="11262" width="6.6640625" style="265" customWidth="1"/>
    <col min="11263" max="11263" width="26.83203125" style="265" customWidth="1"/>
    <col min="11264" max="11266" width="14.1640625" style="265" customWidth="1"/>
    <col min="11267" max="11267" width="15" style="265" customWidth="1"/>
    <col min="11268" max="11269" width="12.6640625" style="265" bestFit="1" customWidth="1"/>
    <col min="11270" max="11270" width="13.1640625" style="265" bestFit="1" customWidth="1"/>
    <col min="11271" max="11517" width="8.83203125" style="265"/>
    <col min="11518" max="11518" width="6.6640625" style="265" customWidth="1"/>
    <col min="11519" max="11519" width="26.83203125" style="265" customWidth="1"/>
    <col min="11520" max="11522" width="14.1640625" style="265" customWidth="1"/>
    <col min="11523" max="11523" width="15" style="265" customWidth="1"/>
    <col min="11524" max="11525" width="12.6640625" style="265" bestFit="1" customWidth="1"/>
    <col min="11526" max="11526" width="13.1640625" style="265" bestFit="1" customWidth="1"/>
    <col min="11527" max="11773" width="8.83203125" style="265"/>
    <col min="11774" max="11774" width="6.6640625" style="265" customWidth="1"/>
    <col min="11775" max="11775" width="26.83203125" style="265" customWidth="1"/>
    <col min="11776" max="11778" width="14.1640625" style="265" customWidth="1"/>
    <col min="11779" max="11779" width="15" style="265" customWidth="1"/>
    <col min="11780" max="11781" width="12.6640625" style="265" bestFit="1" customWidth="1"/>
    <col min="11782" max="11782" width="13.1640625" style="265" bestFit="1" customWidth="1"/>
    <col min="11783" max="12029" width="8.83203125" style="265"/>
    <col min="12030" max="12030" width="6.6640625" style="265" customWidth="1"/>
    <col min="12031" max="12031" width="26.83203125" style="265" customWidth="1"/>
    <col min="12032" max="12034" width="14.1640625" style="265" customWidth="1"/>
    <col min="12035" max="12035" width="15" style="265" customWidth="1"/>
    <col min="12036" max="12037" width="12.6640625" style="265" bestFit="1" customWidth="1"/>
    <col min="12038" max="12038" width="13.1640625" style="265" bestFit="1" customWidth="1"/>
    <col min="12039" max="12285" width="8.83203125" style="265"/>
    <col min="12286" max="12286" width="6.6640625" style="265" customWidth="1"/>
    <col min="12287" max="12287" width="26.83203125" style="265" customWidth="1"/>
    <col min="12288" max="12290" width="14.1640625" style="265" customWidth="1"/>
    <col min="12291" max="12291" width="15" style="265" customWidth="1"/>
    <col min="12292" max="12293" width="12.6640625" style="265" bestFit="1" customWidth="1"/>
    <col min="12294" max="12294" width="13.1640625" style="265" bestFit="1" customWidth="1"/>
    <col min="12295" max="12541" width="8.83203125" style="265"/>
    <col min="12542" max="12542" width="6.6640625" style="265" customWidth="1"/>
    <col min="12543" max="12543" width="26.83203125" style="265" customWidth="1"/>
    <col min="12544" max="12546" width="14.1640625" style="265" customWidth="1"/>
    <col min="12547" max="12547" width="15" style="265" customWidth="1"/>
    <col min="12548" max="12549" width="12.6640625" style="265" bestFit="1" customWidth="1"/>
    <col min="12550" max="12550" width="13.1640625" style="265" bestFit="1" customWidth="1"/>
    <col min="12551" max="12797" width="8.83203125" style="265"/>
    <col min="12798" max="12798" width="6.6640625" style="265" customWidth="1"/>
    <col min="12799" max="12799" width="26.83203125" style="265" customWidth="1"/>
    <col min="12800" max="12802" width="14.1640625" style="265" customWidth="1"/>
    <col min="12803" max="12803" width="15" style="265" customWidth="1"/>
    <col min="12804" max="12805" width="12.6640625" style="265" bestFit="1" customWidth="1"/>
    <col min="12806" max="12806" width="13.1640625" style="265" bestFit="1" customWidth="1"/>
    <col min="12807" max="13053" width="8.83203125" style="265"/>
    <col min="13054" max="13054" width="6.6640625" style="265" customWidth="1"/>
    <col min="13055" max="13055" width="26.83203125" style="265" customWidth="1"/>
    <col min="13056" max="13058" width="14.1640625" style="265" customWidth="1"/>
    <col min="13059" max="13059" width="15" style="265" customWidth="1"/>
    <col min="13060" max="13061" width="12.6640625" style="265" bestFit="1" customWidth="1"/>
    <col min="13062" max="13062" width="13.1640625" style="265" bestFit="1" customWidth="1"/>
    <col min="13063" max="13309" width="8.83203125" style="265"/>
    <col min="13310" max="13310" width="6.6640625" style="265" customWidth="1"/>
    <col min="13311" max="13311" width="26.83203125" style="265" customWidth="1"/>
    <col min="13312" max="13314" width="14.1640625" style="265" customWidth="1"/>
    <col min="13315" max="13315" width="15" style="265" customWidth="1"/>
    <col min="13316" max="13317" width="12.6640625" style="265" bestFit="1" customWidth="1"/>
    <col min="13318" max="13318" width="13.1640625" style="265" bestFit="1" customWidth="1"/>
    <col min="13319" max="13565" width="8.83203125" style="265"/>
    <col min="13566" max="13566" width="6.6640625" style="265" customWidth="1"/>
    <col min="13567" max="13567" width="26.83203125" style="265" customWidth="1"/>
    <col min="13568" max="13570" width="14.1640625" style="265" customWidth="1"/>
    <col min="13571" max="13571" width="15" style="265" customWidth="1"/>
    <col min="13572" max="13573" width="12.6640625" style="265" bestFit="1" customWidth="1"/>
    <col min="13574" max="13574" width="13.1640625" style="265" bestFit="1" customWidth="1"/>
    <col min="13575" max="13821" width="8.83203125" style="265"/>
    <col min="13822" max="13822" width="6.6640625" style="265" customWidth="1"/>
    <col min="13823" max="13823" width="26.83203125" style="265" customWidth="1"/>
    <col min="13824" max="13826" width="14.1640625" style="265" customWidth="1"/>
    <col min="13827" max="13827" width="15" style="265" customWidth="1"/>
    <col min="13828" max="13829" width="12.6640625" style="265" bestFit="1" customWidth="1"/>
    <col min="13830" max="13830" width="13.1640625" style="265" bestFit="1" customWidth="1"/>
    <col min="13831" max="14077" width="8.83203125" style="265"/>
    <col min="14078" max="14078" width="6.6640625" style="265" customWidth="1"/>
    <col min="14079" max="14079" width="26.83203125" style="265" customWidth="1"/>
    <col min="14080" max="14082" width="14.1640625" style="265" customWidth="1"/>
    <col min="14083" max="14083" width="15" style="265" customWidth="1"/>
    <col min="14084" max="14085" width="12.6640625" style="265" bestFit="1" customWidth="1"/>
    <col min="14086" max="14086" width="13.1640625" style="265" bestFit="1" customWidth="1"/>
    <col min="14087" max="14333" width="8.83203125" style="265"/>
    <col min="14334" max="14334" width="6.6640625" style="265" customWidth="1"/>
    <col min="14335" max="14335" width="26.83203125" style="265" customWidth="1"/>
    <col min="14336" max="14338" width="14.1640625" style="265" customWidth="1"/>
    <col min="14339" max="14339" width="15" style="265" customWidth="1"/>
    <col min="14340" max="14341" width="12.6640625" style="265" bestFit="1" customWidth="1"/>
    <col min="14342" max="14342" width="13.1640625" style="265" bestFit="1" customWidth="1"/>
    <col min="14343" max="14589" width="8.83203125" style="265"/>
    <col min="14590" max="14590" width="6.6640625" style="265" customWidth="1"/>
    <col min="14591" max="14591" width="26.83203125" style="265" customWidth="1"/>
    <col min="14592" max="14594" width="14.1640625" style="265" customWidth="1"/>
    <col min="14595" max="14595" width="15" style="265" customWidth="1"/>
    <col min="14596" max="14597" width="12.6640625" style="265" bestFit="1" customWidth="1"/>
    <col min="14598" max="14598" width="13.1640625" style="265" bestFit="1" customWidth="1"/>
    <col min="14599" max="14845" width="8.83203125" style="265"/>
    <col min="14846" max="14846" width="6.6640625" style="265" customWidth="1"/>
    <col min="14847" max="14847" width="26.83203125" style="265" customWidth="1"/>
    <col min="14848" max="14850" width="14.1640625" style="265" customWidth="1"/>
    <col min="14851" max="14851" width="15" style="265" customWidth="1"/>
    <col min="14852" max="14853" width="12.6640625" style="265" bestFit="1" customWidth="1"/>
    <col min="14854" max="14854" width="13.1640625" style="265" bestFit="1" customWidth="1"/>
    <col min="14855" max="15101" width="8.83203125" style="265"/>
    <col min="15102" max="15102" width="6.6640625" style="265" customWidth="1"/>
    <col min="15103" max="15103" width="26.83203125" style="265" customWidth="1"/>
    <col min="15104" max="15106" width="14.1640625" style="265" customWidth="1"/>
    <col min="15107" max="15107" width="15" style="265" customWidth="1"/>
    <col min="15108" max="15109" width="12.6640625" style="265" bestFit="1" customWidth="1"/>
    <col min="15110" max="15110" width="13.1640625" style="265" bestFit="1" customWidth="1"/>
    <col min="15111" max="15357" width="8.83203125" style="265"/>
    <col min="15358" max="15358" width="6.6640625" style="265" customWidth="1"/>
    <col min="15359" max="15359" width="26.83203125" style="265" customWidth="1"/>
    <col min="15360" max="15362" width="14.1640625" style="265" customWidth="1"/>
    <col min="15363" max="15363" width="15" style="265" customWidth="1"/>
    <col min="15364" max="15365" width="12.6640625" style="265" bestFit="1" customWidth="1"/>
    <col min="15366" max="15366" width="13.1640625" style="265" bestFit="1" customWidth="1"/>
    <col min="15367" max="15613" width="8.83203125" style="265"/>
    <col min="15614" max="15614" width="6.6640625" style="265" customWidth="1"/>
    <col min="15615" max="15615" width="26.83203125" style="265" customWidth="1"/>
    <col min="15616" max="15618" width="14.1640625" style="265" customWidth="1"/>
    <col min="15619" max="15619" width="15" style="265" customWidth="1"/>
    <col min="15620" max="15621" width="12.6640625" style="265" bestFit="1" customWidth="1"/>
    <col min="15622" max="15622" width="13.1640625" style="265" bestFit="1" customWidth="1"/>
    <col min="15623" max="15869" width="8.83203125" style="265"/>
    <col min="15870" max="15870" width="6.6640625" style="265" customWidth="1"/>
    <col min="15871" max="15871" width="26.83203125" style="265" customWidth="1"/>
    <col min="15872" max="15874" width="14.1640625" style="265" customWidth="1"/>
    <col min="15875" max="15875" width="15" style="265" customWidth="1"/>
    <col min="15876" max="15877" width="12.6640625" style="265" bestFit="1" customWidth="1"/>
    <col min="15878" max="15878" width="13.1640625" style="265" bestFit="1" customWidth="1"/>
    <col min="15879" max="16125" width="8.83203125" style="265"/>
    <col min="16126" max="16126" width="6.6640625" style="265" customWidth="1"/>
    <col min="16127" max="16127" width="26.83203125" style="265" customWidth="1"/>
    <col min="16128" max="16130" width="14.1640625" style="265" customWidth="1"/>
    <col min="16131" max="16131" width="15" style="265" customWidth="1"/>
    <col min="16132" max="16133" width="12.6640625" style="265" bestFit="1" customWidth="1"/>
    <col min="16134" max="16134" width="13.1640625" style="265" bestFit="1" customWidth="1"/>
    <col min="16135" max="16384" width="8.83203125" style="265"/>
  </cols>
  <sheetData>
    <row r="2" spans="1:10">
      <c r="A2" s="330" t="s">
        <v>509</v>
      </c>
      <c r="B2" s="330"/>
      <c r="C2" s="330"/>
      <c r="D2" s="330"/>
      <c r="E2" s="330"/>
      <c r="F2" s="330"/>
      <c r="G2" s="330"/>
      <c r="H2" s="330"/>
      <c r="I2" s="330"/>
      <c r="J2" s="330"/>
    </row>
    <row r="3" spans="1:10">
      <c r="A3" s="331" t="s">
        <v>399</v>
      </c>
      <c r="B3" s="331"/>
      <c r="C3" s="331"/>
      <c r="D3" s="331"/>
      <c r="E3" s="331"/>
      <c r="F3" s="331"/>
      <c r="G3" s="331"/>
      <c r="H3" s="331"/>
      <c r="I3" s="331"/>
      <c r="J3" s="331"/>
    </row>
    <row r="4" spans="1:10">
      <c r="A4" s="330" t="s">
        <v>470</v>
      </c>
      <c r="B4" s="330"/>
      <c r="C4" s="330"/>
      <c r="D4" s="330"/>
      <c r="E4" s="330"/>
      <c r="F4" s="330"/>
      <c r="G4" s="330"/>
      <c r="H4" s="330"/>
      <c r="I4" s="330"/>
      <c r="J4" s="330"/>
    </row>
    <row r="5" spans="1:10">
      <c r="A5" s="332" t="s">
        <v>397</v>
      </c>
      <c r="B5" s="332"/>
      <c r="C5" s="332"/>
      <c r="D5" s="332"/>
      <c r="E5" s="332"/>
      <c r="F5" s="332"/>
      <c r="G5" s="332"/>
      <c r="H5" s="332"/>
      <c r="I5" s="332"/>
      <c r="J5" s="332"/>
    </row>
    <row r="6" spans="1:10">
      <c r="A6" s="236"/>
      <c r="B6" s="236"/>
      <c r="C6" s="236"/>
      <c r="D6" s="236"/>
      <c r="E6" s="236"/>
      <c r="F6" s="236"/>
      <c r="G6" s="236"/>
      <c r="H6" s="236"/>
      <c r="I6" s="236"/>
      <c r="J6" s="236"/>
    </row>
    <row r="8" spans="1:10" s="222" customFormat="1" ht="14">
      <c r="A8" s="329"/>
      <c r="B8" s="329"/>
      <c r="C8" s="272" t="s">
        <v>469</v>
      </c>
      <c r="D8" s="272" t="s">
        <v>468</v>
      </c>
      <c r="E8" s="272" t="s">
        <v>467</v>
      </c>
      <c r="F8" s="272" t="s">
        <v>466</v>
      </c>
      <c r="G8" s="272" t="s">
        <v>465</v>
      </c>
      <c r="H8" s="272" t="s">
        <v>464</v>
      </c>
      <c r="I8" s="272" t="s">
        <v>463</v>
      </c>
      <c r="J8" s="272" t="s">
        <v>462</v>
      </c>
    </row>
    <row r="9" spans="1:10" s="222" customFormat="1" ht="14">
      <c r="A9" s="229"/>
      <c r="B9" s="229"/>
    </row>
    <row r="10" spans="1:10" s="222" customFormat="1" ht="14">
      <c r="A10" s="329" t="s">
        <v>396</v>
      </c>
      <c r="B10" s="329"/>
      <c r="C10" s="233">
        <v>3884</v>
      </c>
      <c r="D10" s="233">
        <v>2927</v>
      </c>
      <c r="E10" s="233">
        <v>3022</v>
      </c>
      <c r="F10" s="233">
        <v>3152</v>
      </c>
      <c r="G10" s="233">
        <v>5425</v>
      </c>
      <c r="H10" s="233">
        <v>3986</v>
      </c>
      <c r="I10" s="233">
        <v>3906.4</v>
      </c>
      <c r="J10" s="233">
        <v>3943</v>
      </c>
    </row>
    <row r="11" spans="1:10" s="222" customFormat="1" ht="14">
      <c r="A11" s="329" t="s">
        <v>395</v>
      </c>
      <c r="B11" s="329"/>
      <c r="C11" s="231">
        <f>8919-SUM(D11:F11)</f>
        <v>2960</v>
      </c>
      <c r="D11" s="231">
        <v>1975</v>
      </c>
      <c r="E11" s="231">
        <v>2018</v>
      </c>
      <c r="F11" s="231">
        <v>1966</v>
      </c>
      <c r="G11" s="231">
        <v>3788</v>
      </c>
      <c r="H11" s="231">
        <v>2497</v>
      </c>
      <c r="I11" s="231">
        <v>2409</v>
      </c>
      <c r="J11" s="231">
        <v>2348</v>
      </c>
    </row>
    <row r="12" spans="1:10" s="222" customFormat="1" ht="14">
      <c r="A12" s="226"/>
      <c r="B12" s="226"/>
      <c r="C12" s="226"/>
      <c r="D12" s="226"/>
      <c r="E12" s="226"/>
      <c r="F12" s="226"/>
      <c r="G12" s="226"/>
      <c r="H12" s="226"/>
      <c r="I12" s="226"/>
      <c r="J12" s="226"/>
    </row>
    <row r="13" spans="1:10" s="222" customFormat="1" ht="14">
      <c r="A13" s="329" t="s">
        <v>394</v>
      </c>
      <c r="B13" s="329"/>
      <c r="C13" s="232">
        <f t="shared" ref="C13:J13" si="0">C10-C11</f>
        <v>924</v>
      </c>
      <c r="D13" s="232">
        <f t="shared" si="0"/>
        <v>952</v>
      </c>
      <c r="E13" s="232">
        <f t="shared" si="0"/>
        <v>1004</v>
      </c>
      <c r="F13" s="232">
        <f t="shared" si="0"/>
        <v>1186</v>
      </c>
      <c r="G13" s="232">
        <f t="shared" si="0"/>
        <v>1637</v>
      </c>
      <c r="H13" s="232">
        <f t="shared" si="0"/>
        <v>1489</v>
      </c>
      <c r="I13" s="232">
        <f t="shared" si="0"/>
        <v>1497.4</v>
      </c>
      <c r="J13" s="232">
        <f t="shared" si="0"/>
        <v>1595</v>
      </c>
    </row>
    <row r="14" spans="1:10" s="222" customFormat="1" ht="6.75" customHeight="1">
      <c r="A14" s="226"/>
      <c r="B14" s="226"/>
    </row>
    <row r="15" spans="1:10" s="222" customFormat="1" ht="14">
      <c r="A15" s="229"/>
      <c r="B15" s="226" t="s">
        <v>461</v>
      </c>
    </row>
    <row r="16" spans="1:10" s="222" customFormat="1" ht="15">
      <c r="A16" s="229"/>
      <c r="B16" s="229" t="s">
        <v>460</v>
      </c>
      <c r="C16" s="233">
        <v>1209</v>
      </c>
      <c r="D16" s="233">
        <v>1087</v>
      </c>
      <c r="E16" s="233">
        <v>1050</v>
      </c>
      <c r="F16" s="233">
        <v>1160</v>
      </c>
      <c r="G16" s="233">
        <v>1343</v>
      </c>
      <c r="H16" s="233">
        <v>1242</v>
      </c>
      <c r="I16" s="233">
        <v>1243</v>
      </c>
      <c r="J16" s="233">
        <v>1281</v>
      </c>
    </row>
    <row r="17" spans="1:11" s="222" customFormat="1" ht="15">
      <c r="A17" s="229"/>
      <c r="B17" s="229" t="s">
        <v>392</v>
      </c>
      <c r="C17" s="222">
        <f>543-D17-E17-F17</f>
        <v>157</v>
      </c>
      <c r="D17" s="222">
        <v>133</v>
      </c>
      <c r="E17" s="222">
        <v>128</v>
      </c>
      <c r="F17" s="222">
        <v>125</v>
      </c>
      <c r="G17" s="222">
        <f>518-H17-I17-J17</f>
        <v>135</v>
      </c>
      <c r="H17" s="222">
        <v>127</v>
      </c>
      <c r="I17" s="222">
        <v>128</v>
      </c>
      <c r="J17" s="222">
        <v>128</v>
      </c>
    </row>
    <row r="18" spans="1:11" s="222" customFormat="1" ht="19" customHeight="1">
      <c r="A18" s="229"/>
      <c r="B18" s="229" t="s">
        <v>115</v>
      </c>
      <c r="C18" s="271">
        <f>C19-C17-C16</f>
        <v>303</v>
      </c>
      <c r="D18" s="271">
        <v>-112</v>
      </c>
      <c r="E18" s="271">
        <v>9</v>
      </c>
      <c r="F18" s="271">
        <v>127</v>
      </c>
      <c r="G18" s="231">
        <f>(451+21+121)-H18-I18-J18</f>
        <v>232</v>
      </c>
      <c r="H18" s="231">
        <v>291</v>
      </c>
      <c r="I18" s="231">
        <v>45</v>
      </c>
      <c r="J18" s="231">
        <f>25</f>
        <v>25</v>
      </c>
    </row>
    <row r="19" spans="1:11" s="222" customFormat="1" ht="15">
      <c r="A19" s="229"/>
      <c r="B19" s="229" t="s">
        <v>390</v>
      </c>
      <c r="C19" s="232">
        <f>5376-D19-E19-F19</f>
        <v>1669</v>
      </c>
      <c r="D19" s="232">
        <f t="shared" ref="D19:J19" si="1">SUM(D16:D18)</f>
        <v>1108</v>
      </c>
      <c r="E19" s="232">
        <f t="shared" si="1"/>
        <v>1187</v>
      </c>
      <c r="F19" s="232">
        <f t="shared" si="1"/>
        <v>1412</v>
      </c>
      <c r="G19" s="232">
        <f t="shared" si="1"/>
        <v>1710</v>
      </c>
      <c r="H19" s="232">
        <f t="shared" si="1"/>
        <v>1660</v>
      </c>
      <c r="I19" s="232">
        <f t="shared" si="1"/>
        <v>1416</v>
      </c>
      <c r="J19" s="232">
        <f t="shared" si="1"/>
        <v>1434</v>
      </c>
    </row>
    <row r="20" spans="1:11" s="222" customFormat="1" ht="8.25" customHeight="1">
      <c r="A20" s="226"/>
      <c r="B20" s="226"/>
      <c r="C20" s="226"/>
      <c r="D20" s="226"/>
      <c r="E20" s="226"/>
      <c r="F20" s="226"/>
      <c r="G20" s="226"/>
      <c r="H20" s="226"/>
      <c r="I20" s="226"/>
      <c r="J20" s="226"/>
    </row>
    <row r="21" spans="1:11" s="222" customFormat="1" ht="14">
      <c r="A21" s="329" t="s">
        <v>459</v>
      </c>
      <c r="B21" s="329"/>
      <c r="C21" s="232">
        <f t="shared" ref="C21:J21" si="2">C13-C19</f>
        <v>-745</v>
      </c>
      <c r="D21" s="232">
        <f t="shared" si="2"/>
        <v>-156</v>
      </c>
      <c r="E21" s="232">
        <f t="shared" si="2"/>
        <v>-183</v>
      </c>
      <c r="F21" s="232">
        <f t="shared" si="2"/>
        <v>-226</v>
      </c>
      <c r="G21" s="232">
        <f t="shared" si="2"/>
        <v>-73</v>
      </c>
      <c r="H21" s="232">
        <f t="shared" si="2"/>
        <v>-171</v>
      </c>
      <c r="I21" s="232">
        <f t="shared" si="2"/>
        <v>81.400000000000091</v>
      </c>
      <c r="J21" s="232">
        <f t="shared" si="2"/>
        <v>161</v>
      </c>
    </row>
    <row r="22" spans="1:11" s="222" customFormat="1" ht="14">
      <c r="A22" s="226"/>
      <c r="B22" s="226"/>
    </row>
    <row r="23" spans="1:11" s="222" customFormat="1" ht="15">
      <c r="A23" s="229"/>
      <c r="B23" s="229" t="s">
        <v>386</v>
      </c>
      <c r="C23" s="270">
        <f>226-D23-E23-F23</f>
        <v>57</v>
      </c>
      <c r="D23" s="270">
        <v>55</v>
      </c>
      <c r="E23" s="270">
        <v>58</v>
      </c>
      <c r="F23" s="270">
        <v>56</v>
      </c>
      <c r="G23" s="270">
        <f>227-H23-I23-J23</f>
        <v>57</v>
      </c>
      <c r="H23" s="270">
        <v>55</v>
      </c>
      <c r="I23" s="270">
        <v>57</v>
      </c>
      <c r="J23" s="270">
        <v>58</v>
      </c>
    </row>
    <row r="24" spans="1:11" s="222" customFormat="1" ht="15">
      <c r="A24" s="229"/>
      <c r="B24" s="229" t="s">
        <v>385</v>
      </c>
      <c r="C24" s="231">
        <f t="shared" ref="C24:J24" si="3">C21-C23</f>
        <v>-802</v>
      </c>
      <c r="D24" s="231">
        <f t="shared" si="3"/>
        <v>-211</v>
      </c>
      <c r="E24" s="231">
        <f t="shared" si="3"/>
        <v>-241</v>
      </c>
      <c r="F24" s="231">
        <f t="shared" si="3"/>
        <v>-282</v>
      </c>
      <c r="G24" s="231">
        <f t="shared" si="3"/>
        <v>-130</v>
      </c>
      <c r="H24" s="231">
        <f t="shared" si="3"/>
        <v>-226</v>
      </c>
      <c r="I24" s="231">
        <f t="shared" si="3"/>
        <v>24.400000000000091</v>
      </c>
      <c r="J24" s="231">
        <f t="shared" si="3"/>
        <v>103</v>
      </c>
    </row>
    <row r="25" spans="1:11" s="222" customFormat="1" ht="15">
      <c r="A25" s="229"/>
      <c r="B25" s="229" t="s">
        <v>384</v>
      </c>
      <c r="C25" s="231">
        <f>-551-D25-E25-F25</f>
        <v>-250</v>
      </c>
      <c r="D25" s="231">
        <v>-88</v>
      </c>
      <c r="E25" s="231">
        <v>-94</v>
      </c>
      <c r="F25" s="231">
        <v>-119</v>
      </c>
      <c r="G25" s="231">
        <f>-77-H25-I25-J25</f>
        <v>-43</v>
      </c>
      <c r="H25" s="231">
        <v>-83</v>
      </c>
      <c r="I25" s="231">
        <v>10</v>
      </c>
      <c r="J25" s="231">
        <v>39</v>
      </c>
    </row>
    <row r="26" spans="1:11" s="222" customFormat="1" ht="6.75" customHeight="1">
      <c r="A26" s="229"/>
      <c r="B26" s="226"/>
      <c r="C26" s="230"/>
      <c r="D26" s="230"/>
      <c r="E26" s="230"/>
      <c r="F26" s="230"/>
      <c r="G26" s="230"/>
      <c r="H26" s="230"/>
      <c r="I26" s="230"/>
      <c r="J26" s="230"/>
    </row>
    <row r="27" spans="1:11" s="222" customFormat="1" ht="15.75" customHeight="1" thickBot="1">
      <c r="A27" s="229"/>
      <c r="B27" s="228" t="s">
        <v>383</v>
      </c>
      <c r="C27" s="227">
        <f t="shared" ref="C27:J27" si="4">C24-C25</f>
        <v>-552</v>
      </c>
      <c r="D27" s="227">
        <f t="shared" si="4"/>
        <v>-123</v>
      </c>
      <c r="E27" s="227">
        <f t="shared" si="4"/>
        <v>-147</v>
      </c>
      <c r="F27" s="227">
        <f t="shared" si="4"/>
        <v>-163</v>
      </c>
      <c r="G27" s="227">
        <f t="shared" si="4"/>
        <v>-87</v>
      </c>
      <c r="H27" s="227">
        <f t="shared" si="4"/>
        <v>-143</v>
      </c>
      <c r="I27" s="227">
        <f t="shared" si="4"/>
        <v>14.400000000000091</v>
      </c>
      <c r="J27" s="227">
        <f t="shared" si="4"/>
        <v>64</v>
      </c>
      <c r="K27" s="237"/>
    </row>
    <row r="28" spans="1:11" s="222" customFormat="1" ht="15" thickTop="1">
      <c r="A28" s="226"/>
      <c r="B28" s="226"/>
      <c r="C28" s="226"/>
      <c r="D28" s="226"/>
      <c r="E28" s="226"/>
      <c r="F28" s="226"/>
    </row>
    <row r="29" spans="1:11" s="222" customFormat="1" ht="14">
      <c r="B29" s="222" t="s">
        <v>458</v>
      </c>
      <c r="C29" s="225">
        <v>219.5</v>
      </c>
      <c r="D29" s="222">
        <v>219.4</v>
      </c>
      <c r="E29" s="222">
        <v>219.3</v>
      </c>
      <c r="F29" s="222">
        <v>218.3</v>
      </c>
      <c r="G29" s="222">
        <v>212.2</v>
      </c>
      <c r="H29" s="222">
        <v>213.3</v>
      </c>
      <c r="I29" s="269">
        <v>216</v>
      </c>
      <c r="J29" s="222">
        <v>229.2</v>
      </c>
    </row>
    <row r="30" spans="1:11" s="222" customFormat="1" ht="14">
      <c r="B30" s="222" t="s">
        <v>457</v>
      </c>
      <c r="C30" s="225">
        <v>219.5</v>
      </c>
      <c r="D30" s="222">
        <v>219.4</v>
      </c>
      <c r="E30" s="222">
        <v>219.3</v>
      </c>
      <c r="F30" s="222">
        <v>218.3</v>
      </c>
      <c r="G30" s="222">
        <v>212.2</v>
      </c>
      <c r="H30" s="222">
        <v>213.3</v>
      </c>
      <c r="I30" s="269">
        <v>216</v>
      </c>
      <c r="J30" s="222">
        <v>231.7</v>
      </c>
    </row>
    <row r="31" spans="1:11" s="222" customFormat="1" ht="8.25" customHeight="1">
      <c r="C31" s="225"/>
    </row>
    <row r="32" spans="1:11" s="222" customFormat="1" ht="15.75" customHeight="1">
      <c r="B32" s="222" t="s">
        <v>380</v>
      </c>
      <c r="C32" s="224">
        <f t="shared" ref="C32:J33" si="5">C$27/C29</f>
        <v>-2.5148063781321186</v>
      </c>
      <c r="D32" s="224">
        <f t="shared" si="5"/>
        <v>-0.56061987237921607</v>
      </c>
      <c r="E32" s="224">
        <f t="shared" si="5"/>
        <v>-0.6703146374829001</v>
      </c>
      <c r="F32" s="224">
        <f t="shared" si="5"/>
        <v>-0.74667888227210255</v>
      </c>
      <c r="G32" s="224">
        <f t="shared" si="5"/>
        <v>-0.40999057492931201</v>
      </c>
      <c r="H32" s="224">
        <f t="shared" si="5"/>
        <v>-0.67041725269573371</v>
      </c>
      <c r="I32" s="224">
        <f t="shared" si="5"/>
        <v>6.6666666666667082E-2</v>
      </c>
      <c r="J32" s="224">
        <f t="shared" si="5"/>
        <v>0.27923211169284468</v>
      </c>
    </row>
    <row r="33" spans="2:10" s="222" customFormat="1" ht="15.75" customHeight="1">
      <c r="B33" s="222" t="s">
        <v>379</v>
      </c>
      <c r="C33" s="224">
        <f t="shared" si="5"/>
        <v>-2.5148063781321186</v>
      </c>
      <c r="D33" s="224">
        <f t="shared" si="5"/>
        <v>-0.56061987237921607</v>
      </c>
      <c r="E33" s="224">
        <f t="shared" si="5"/>
        <v>-0.6703146374829001</v>
      </c>
      <c r="F33" s="224">
        <f t="shared" si="5"/>
        <v>-0.74667888227210255</v>
      </c>
      <c r="G33" s="224">
        <f t="shared" si="5"/>
        <v>-0.40999057492931201</v>
      </c>
      <c r="H33" s="224">
        <f t="shared" si="5"/>
        <v>-0.67041725269573371</v>
      </c>
      <c r="I33" s="224">
        <f t="shared" si="5"/>
        <v>6.6666666666667082E-2</v>
      </c>
      <c r="J33" s="224">
        <f t="shared" si="5"/>
        <v>0.2762192490289167</v>
      </c>
    </row>
    <row r="36" spans="2:10">
      <c r="B36" s="223" t="s">
        <v>456</v>
      </c>
    </row>
    <row r="39" spans="2:10" ht="7.5" customHeight="1"/>
  </sheetData>
  <mergeCells count="9">
    <mergeCell ref="A11:B11"/>
    <mergeCell ref="A13:B13"/>
    <mergeCell ref="A21:B21"/>
    <mergeCell ref="A8:B8"/>
    <mergeCell ref="A2:J2"/>
    <mergeCell ref="A3:J3"/>
    <mergeCell ref="A4:J4"/>
    <mergeCell ref="A5:J5"/>
    <mergeCell ref="A10:B10"/>
  </mergeCells>
  <pageMargins left="0.7" right="0.7" top="0.75" bottom="0.75" header="0.3" footer="0.3"/>
  <pageSetup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297C9-900F-E84C-BE7D-80B96475C9CB}">
  <sheetPr>
    <tabColor theme="5" tint="-0.499984740745262"/>
  </sheetPr>
  <dimension ref="A2:J44"/>
  <sheetViews>
    <sheetView showGridLines="0" workbookViewId="0">
      <pane xSplit="2" ySplit="8" topLeftCell="C9" activePane="bottomRight" state="frozen"/>
      <selection pane="topRight"/>
      <selection pane="bottomLeft"/>
      <selection pane="bottomRight"/>
    </sheetView>
  </sheetViews>
  <sheetFormatPr baseColWidth="10" defaultColWidth="9" defaultRowHeight="14"/>
  <cols>
    <col min="1" max="1" width="5.1640625" style="222" customWidth="1"/>
    <col min="2" max="2" width="33" style="222" customWidth="1"/>
    <col min="3" max="3" width="9.1640625" style="237" customWidth="1"/>
    <col min="4" max="6" width="9.1640625" style="222" customWidth="1"/>
    <col min="7" max="16384" width="9" style="222"/>
  </cols>
  <sheetData>
    <row r="2" spans="1:10" ht="16">
      <c r="B2" s="330" t="s">
        <v>510</v>
      </c>
      <c r="C2" s="330"/>
      <c r="D2" s="330"/>
      <c r="E2" s="330"/>
      <c r="F2" s="330"/>
      <c r="G2" s="330"/>
      <c r="H2" s="330"/>
      <c r="I2" s="330"/>
      <c r="J2" s="330"/>
    </row>
    <row r="3" spans="1:10" ht="16">
      <c r="B3" s="331" t="s">
        <v>399</v>
      </c>
      <c r="C3" s="331"/>
      <c r="D3" s="331"/>
      <c r="E3" s="331"/>
      <c r="F3" s="331"/>
      <c r="G3" s="331"/>
      <c r="H3" s="331"/>
      <c r="I3" s="331"/>
      <c r="J3" s="331"/>
    </row>
    <row r="4" spans="1:10" ht="16">
      <c r="B4" s="330" t="s">
        <v>472</v>
      </c>
      <c r="C4" s="330"/>
      <c r="D4" s="330"/>
      <c r="E4" s="330"/>
      <c r="F4" s="330"/>
      <c r="G4" s="330"/>
      <c r="H4" s="330"/>
      <c r="I4" s="330"/>
      <c r="J4" s="330"/>
    </row>
    <row r="5" spans="1:10" ht="16">
      <c r="B5" s="332" t="s">
        <v>426</v>
      </c>
      <c r="C5" s="332"/>
      <c r="D5" s="332"/>
      <c r="E5" s="332"/>
      <c r="F5" s="332"/>
      <c r="G5" s="332"/>
      <c r="H5" s="332"/>
      <c r="I5" s="332"/>
      <c r="J5" s="332"/>
    </row>
    <row r="6" spans="1:10" ht="16">
      <c r="B6" s="236"/>
      <c r="C6" s="236"/>
      <c r="D6" s="236"/>
      <c r="E6" s="236"/>
      <c r="F6" s="236"/>
      <c r="G6" s="236"/>
      <c r="H6" s="236"/>
      <c r="I6" s="236"/>
      <c r="J6" s="236"/>
    </row>
    <row r="8" spans="1:10">
      <c r="A8" s="329"/>
      <c r="B8" s="329"/>
      <c r="C8" s="272" t="s">
        <v>469</v>
      </c>
      <c r="D8" s="272" t="s">
        <v>468</v>
      </c>
      <c r="E8" s="272" t="s">
        <v>467</v>
      </c>
      <c r="F8" s="272" t="s">
        <v>466</v>
      </c>
      <c r="G8" s="272" t="s">
        <v>465</v>
      </c>
      <c r="H8" s="272" t="s">
        <v>464</v>
      </c>
      <c r="I8" s="272" t="s">
        <v>463</v>
      </c>
      <c r="J8" s="272" t="s">
        <v>462</v>
      </c>
    </row>
    <row r="9" spans="1:10">
      <c r="A9" s="242" t="s">
        <v>103</v>
      </c>
      <c r="B9" s="242"/>
      <c r="C9" s="242"/>
    </row>
    <row r="10" spans="1:10">
      <c r="A10" s="241" t="s">
        <v>109</v>
      </c>
      <c r="B10" s="241"/>
      <c r="C10" s="250"/>
      <c r="D10" s="250"/>
      <c r="E10" s="250"/>
      <c r="F10" s="250"/>
    </row>
    <row r="11" spans="1:10" ht="15">
      <c r="A11" s="246"/>
      <c r="B11" s="246" t="s">
        <v>425</v>
      </c>
      <c r="C11" s="275">
        <v>930</v>
      </c>
      <c r="D11" s="233">
        <v>525</v>
      </c>
      <c r="E11" s="233">
        <v>888</v>
      </c>
      <c r="F11" s="233">
        <v>839</v>
      </c>
      <c r="G11" s="233">
        <v>1507</v>
      </c>
      <c r="H11" s="233">
        <v>1085</v>
      </c>
      <c r="I11" s="233">
        <v>1551</v>
      </c>
      <c r="J11" s="233">
        <v>1767</v>
      </c>
    </row>
    <row r="12" spans="1:10" ht="15">
      <c r="A12" s="246"/>
      <c r="B12" s="246" t="s">
        <v>424</v>
      </c>
      <c r="C12" s="275">
        <f>2341000/1000</f>
        <v>2341</v>
      </c>
      <c r="D12" s="276">
        <v>3362</v>
      </c>
      <c r="E12" s="233">
        <v>2993</v>
      </c>
      <c r="F12" s="233">
        <v>3084</v>
      </c>
      <c r="G12" s="233">
        <v>2916</v>
      </c>
      <c r="H12" s="233">
        <v>4376</v>
      </c>
      <c r="I12" s="233">
        <v>3572</v>
      </c>
      <c r="J12" s="233">
        <v>3408</v>
      </c>
    </row>
    <row r="13" spans="1:10" ht="15">
      <c r="A13" s="246"/>
      <c r="B13" s="246" t="s">
        <v>471</v>
      </c>
      <c r="C13" s="275">
        <v>412</v>
      </c>
      <c r="D13" s="233">
        <v>743</v>
      </c>
      <c r="E13" s="233">
        <v>855</v>
      </c>
      <c r="F13" s="233">
        <v>759</v>
      </c>
      <c r="G13" s="233">
        <f>413+245</f>
        <v>658</v>
      </c>
      <c r="H13" s="233">
        <f>364+285</f>
        <v>649</v>
      </c>
      <c r="I13" s="233">
        <f>334+194</f>
        <v>528</v>
      </c>
      <c r="J13" s="233">
        <f>269+189</f>
        <v>458</v>
      </c>
    </row>
    <row r="14" spans="1:10" ht="6.75" customHeight="1">
      <c r="A14" s="241"/>
      <c r="B14" s="241"/>
      <c r="C14" s="241"/>
    </row>
    <row r="15" spans="1:10">
      <c r="A15" s="242" t="s">
        <v>422</v>
      </c>
      <c r="B15" s="242"/>
      <c r="C15" s="243">
        <f t="shared" ref="C15:J15" si="0">SUM(C11:C13)</f>
        <v>3683</v>
      </c>
      <c r="D15" s="243">
        <f t="shared" si="0"/>
        <v>4630</v>
      </c>
      <c r="E15" s="243">
        <f t="shared" si="0"/>
        <v>4736</v>
      </c>
      <c r="F15" s="243">
        <f t="shared" si="0"/>
        <v>4682</v>
      </c>
      <c r="G15" s="243">
        <f t="shared" si="0"/>
        <v>5081</v>
      </c>
      <c r="H15" s="243">
        <f t="shared" si="0"/>
        <v>6110</v>
      </c>
      <c r="I15" s="243">
        <f t="shared" si="0"/>
        <v>5651</v>
      </c>
      <c r="J15" s="243">
        <f t="shared" si="0"/>
        <v>5633</v>
      </c>
    </row>
    <row r="16" spans="1:10">
      <c r="A16" s="241" t="s">
        <v>421</v>
      </c>
      <c r="B16" s="241"/>
      <c r="C16" s="244">
        <f>5353000/1000</f>
        <v>5353</v>
      </c>
      <c r="D16" s="244">
        <v>5493</v>
      </c>
      <c r="E16" s="244">
        <v>5153</v>
      </c>
      <c r="F16" s="244">
        <v>5126</v>
      </c>
      <c r="G16" s="244">
        <v>5176</v>
      </c>
      <c r="H16" s="244">
        <v>5242</v>
      </c>
      <c r="I16" s="244">
        <v>5237</v>
      </c>
      <c r="J16" s="244">
        <v>5226</v>
      </c>
    </row>
    <row r="17" spans="1:10">
      <c r="A17" s="241" t="s">
        <v>419</v>
      </c>
      <c r="B17" s="241"/>
      <c r="C17" s="244">
        <f>745000/1000</f>
        <v>745</v>
      </c>
      <c r="D17" s="244">
        <v>767</v>
      </c>
      <c r="E17" s="244">
        <v>923</v>
      </c>
      <c r="F17" s="244">
        <v>1231</v>
      </c>
      <c r="G17" s="244">
        <v>1167</v>
      </c>
      <c r="H17" s="244">
        <v>1399</v>
      </c>
      <c r="I17" s="244">
        <v>1541</v>
      </c>
      <c r="J17" s="244">
        <v>1515</v>
      </c>
    </row>
    <row r="18" spans="1:10" ht="9" customHeight="1">
      <c r="A18" s="241"/>
      <c r="B18" s="241"/>
      <c r="C18" s="241"/>
    </row>
    <row r="19" spans="1:10" ht="15" thickBot="1">
      <c r="A19" s="242" t="s">
        <v>418</v>
      </c>
      <c r="B19" s="242"/>
      <c r="C19" s="249">
        <f t="shared" ref="C19:J19" si="1">SUM(C15:C17)</f>
        <v>9781</v>
      </c>
      <c r="D19" s="249">
        <f t="shared" si="1"/>
        <v>10890</v>
      </c>
      <c r="E19" s="249">
        <f t="shared" si="1"/>
        <v>10812</v>
      </c>
      <c r="F19" s="249">
        <f t="shared" si="1"/>
        <v>11039</v>
      </c>
      <c r="G19" s="249">
        <f t="shared" si="1"/>
        <v>11424</v>
      </c>
      <c r="H19" s="249">
        <f t="shared" si="1"/>
        <v>12751</v>
      </c>
      <c r="I19" s="249">
        <f t="shared" si="1"/>
        <v>12429</v>
      </c>
      <c r="J19" s="249">
        <f t="shared" si="1"/>
        <v>12374</v>
      </c>
    </row>
    <row r="20" spans="1:10" ht="8.25" customHeight="1" thickTop="1">
      <c r="A20" s="241"/>
      <c r="B20" s="241"/>
      <c r="C20" s="241"/>
    </row>
    <row r="21" spans="1:10">
      <c r="A21" s="242" t="s">
        <v>417</v>
      </c>
      <c r="B21" s="242"/>
      <c r="C21" s="222"/>
    </row>
    <row r="22" spans="1:10">
      <c r="A22" s="241" t="s">
        <v>125</v>
      </c>
      <c r="B22" s="241"/>
      <c r="C22" s="241"/>
    </row>
    <row r="23" spans="1:10">
      <c r="A23" s="241"/>
      <c r="B23" s="241" t="s">
        <v>416</v>
      </c>
      <c r="C23" s="244">
        <v>1162</v>
      </c>
      <c r="D23" s="244">
        <v>1408</v>
      </c>
      <c r="E23" s="244">
        <v>1015</v>
      </c>
      <c r="F23" s="244">
        <v>984</v>
      </c>
      <c r="G23" s="244">
        <v>1022</v>
      </c>
      <c r="H23" s="244">
        <v>1831</v>
      </c>
      <c r="I23" s="244">
        <v>1386</v>
      </c>
      <c r="J23" s="244">
        <v>1274</v>
      </c>
    </row>
    <row r="24" spans="1:10" ht="15">
      <c r="A24" s="246"/>
      <c r="B24" s="246" t="s">
        <v>415</v>
      </c>
      <c r="C24" s="244">
        <v>1380</v>
      </c>
      <c r="D24" s="244">
        <v>1344</v>
      </c>
      <c r="E24" s="244">
        <v>1219</v>
      </c>
      <c r="F24" s="244">
        <v>1222</v>
      </c>
      <c r="G24" s="244">
        <v>1503</v>
      </c>
      <c r="H24" s="244">
        <v>1404</v>
      </c>
      <c r="I24" s="244">
        <v>1381</v>
      </c>
      <c r="J24" s="244">
        <v>1396</v>
      </c>
    </row>
    <row r="25" spans="1:10" ht="30">
      <c r="A25" s="246"/>
      <c r="B25" s="246" t="s">
        <v>414</v>
      </c>
      <c r="C25" s="244">
        <f>26000/1000</f>
        <v>26</v>
      </c>
      <c r="D25" s="244">
        <v>22</v>
      </c>
      <c r="E25" s="244">
        <v>250</v>
      </c>
      <c r="F25" s="244">
        <v>231</v>
      </c>
      <c r="G25" s="244">
        <v>231</v>
      </c>
      <c r="H25" s="244">
        <v>231</v>
      </c>
      <c r="I25" s="244">
        <v>0</v>
      </c>
      <c r="J25" s="244">
        <v>0</v>
      </c>
    </row>
    <row r="26" spans="1:10" ht="6.75" customHeight="1">
      <c r="A26" s="241"/>
      <c r="B26" s="241"/>
      <c r="C26" s="241"/>
    </row>
    <row r="27" spans="1:10">
      <c r="A27" s="333" t="s">
        <v>411</v>
      </c>
      <c r="B27" s="333"/>
      <c r="C27" s="243">
        <f t="shared" ref="C27:J27" si="2">SUM(C23:C25)</f>
        <v>2568</v>
      </c>
      <c r="D27" s="243">
        <f t="shared" si="2"/>
        <v>2774</v>
      </c>
      <c r="E27" s="243">
        <f t="shared" si="2"/>
        <v>2484</v>
      </c>
      <c r="F27" s="243">
        <f t="shared" si="2"/>
        <v>2437</v>
      </c>
      <c r="G27" s="243">
        <f t="shared" si="2"/>
        <v>2756</v>
      </c>
      <c r="H27" s="243">
        <f t="shared" si="2"/>
        <v>3466</v>
      </c>
      <c r="I27" s="243">
        <f t="shared" si="2"/>
        <v>2767</v>
      </c>
      <c r="J27" s="243">
        <f t="shared" si="2"/>
        <v>2670</v>
      </c>
    </row>
    <row r="28" spans="1:10">
      <c r="A28" s="241" t="s">
        <v>410</v>
      </c>
      <c r="B28" s="241"/>
      <c r="C28" s="244">
        <f>2956000/1000</f>
        <v>2956</v>
      </c>
      <c r="D28" s="244">
        <v>2943</v>
      </c>
      <c r="E28" s="233">
        <v>2901</v>
      </c>
      <c r="F28" s="244">
        <v>2871</v>
      </c>
      <c r="G28" s="244">
        <v>2871</v>
      </c>
      <c r="H28" s="244">
        <v>2871</v>
      </c>
      <c r="I28" s="244">
        <v>3099</v>
      </c>
      <c r="J28" s="244">
        <v>3099</v>
      </c>
    </row>
    <row r="29" spans="1:10">
      <c r="A29" s="241" t="s">
        <v>409</v>
      </c>
      <c r="B29" s="241"/>
      <c r="C29" s="244">
        <f>698000/1000</f>
        <v>698</v>
      </c>
      <c r="D29" s="222">
        <v>885</v>
      </c>
      <c r="E29" s="222">
        <v>852</v>
      </c>
      <c r="F29" s="244">
        <v>871</v>
      </c>
      <c r="G29" s="244">
        <v>899</v>
      </c>
      <c r="H29" s="244">
        <v>740</v>
      </c>
      <c r="I29" s="244">
        <v>644</v>
      </c>
      <c r="J29" s="244">
        <v>646</v>
      </c>
    </row>
    <row r="30" spans="1:10">
      <c r="A30" s="241" t="s">
        <v>408</v>
      </c>
      <c r="B30" s="241"/>
      <c r="C30" s="244">
        <f>388000/1000</f>
        <v>388</v>
      </c>
      <c r="D30" s="222">
        <v>786</v>
      </c>
      <c r="E30" s="222">
        <v>904</v>
      </c>
      <c r="F30" s="244">
        <v>924</v>
      </c>
      <c r="G30" s="244">
        <v>888</v>
      </c>
      <c r="H30" s="244">
        <v>1152</v>
      </c>
      <c r="I30" s="244">
        <v>1216</v>
      </c>
      <c r="J30" s="244">
        <v>1208</v>
      </c>
    </row>
    <row r="31" spans="1:10" ht="8.25" customHeight="1">
      <c r="A31" s="241"/>
      <c r="B31" s="241"/>
      <c r="C31" s="241"/>
    </row>
    <row r="32" spans="1:10">
      <c r="A32" s="333" t="s">
        <v>407</v>
      </c>
      <c r="B32" s="333"/>
      <c r="C32" s="243">
        <f t="shared" ref="C32:J32" si="3">SUM(C27:C30)</f>
        <v>6610</v>
      </c>
      <c r="D32" s="243">
        <f t="shared" si="3"/>
        <v>7388</v>
      </c>
      <c r="E32" s="243">
        <f t="shared" si="3"/>
        <v>7141</v>
      </c>
      <c r="F32" s="243">
        <f t="shared" si="3"/>
        <v>7103</v>
      </c>
      <c r="G32" s="243">
        <f t="shared" si="3"/>
        <v>7414</v>
      </c>
      <c r="H32" s="243">
        <f t="shared" si="3"/>
        <v>8229</v>
      </c>
      <c r="I32" s="243">
        <f t="shared" si="3"/>
        <v>7726</v>
      </c>
      <c r="J32" s="243">
        <f t="shared" si="3"/>
        <v>7623</v>
      </c>
    </row>
    <row r="33" spans="1:10" ht="7.5" customHeight="1">
      <c r="A33" s="245"/>
      <c r="B33" s="245"/>
      <c r="C33" s="245"/>
    </row>
    <row r="34" spans="1:10">
      <c r="A34" s="242" t="s">
        <v>406</v>
      </c>
      <c r="B34" s="242"/>
      <c r="C34" s="242"/>
    </row>
    <row r="35" spans="1:10">
      <c r="A35" s="334" t="s">
        <v>405</v>
      </c>
      <c r="B35" s="334"/>
      <c r="C35" s="244">
        <f>110000/1000</f>
        <v>110</v>
      </c>
      <c r="D35" s="222">
        <v>110</v>
      </c>
      <c r="E35" s="244">
        <v>109</v>
      </c>
      <c r="F35" s="244">
        <v>109</v>
      </c>
      <c r="G35" s="237">
        <v>108</v>
      </c>
      <c r="H35" s="237">
        <v>107</v>
      </c>
      <c r="I35" s="237">
        <v>107</v>
      </c>
      <c r="J35" s="237">
        <v>108</v>
      </c>
    </row>
    <row r="36" spans="1:10">
      <c r="A36" s="334" t="s">
        <v>404</v>
      </c>
      <c r="B36" s="334"/>
      <c r="C36" s="244">
        <v>380</v>
      </c>
      <c r="D36" s="222">
        <v>932</v>
      </c>
      <c r="E36" s="244">
        <v>1057</v>
      </c>
      <c r="F36" s="244">
        <v>1204</v>
      </c>
      <c r="G36" s="237">
        <v>1412</v>
      </c>
      <c r="H36" s="237">
        <v>1541</v>
      </c>
      <c r="I36" s="237">
        <v>1728</v>
      </c>
      <c r="J36" s="237">
        <v>1819</v>
      </c>
    </row>
    <row r="37" spans="1:10">
      <c r="A37" s="334" t="s">
        <v>403</v>
      </c>
      <c r="B37" s="334"/>
      <c r="C37" s="244">
        <f>3799000/1000</f>
        <v>3799</v>
      </c>
      <c r="D37" s="233">
        <v>3789</v>
      </c>
      <c r="E37" s="244">
        <v>3782</v>
      </c>
      <c r="F37" s="244">
        <v>3767</v>
      </c>
      <c r="G37" s="237">
        <v>3699</v>
      </c>
      <c r="H37" s="237">
        <v>3619</v>
      </c>
      <c r="I37" s="237">
        <v>3605</v>
      </c>
      <c r="J37" s="237">
        <v>3587</v>
      </c>
    </row>
    <row r="38" spans="1:10">
      <c r="A38" s="334" t="s">
        <v>402</v>
      </c>
      <c r="B38" s="334"/>
      <c r="C38" s="244">
        <v>-1118</v>
      </c>
      <c r="D38" s="244">
        <v>-1329</v>
      </c>
      <c r="E38" s="244">
        <v>-1277</v>
      </c>
      <c r="F38" s="244">
        <v>-1144</v>
      </c>
      <c r="G38" s="237">
        <v>-1209</v>
      </c>
      <c r="H38" s="237">
        <v>-745</v>
      </c>
      <c r="I38" s="237">
        <v>-737</v>
      </c>
      <c r="J38" s="237">
        <v>-763</v>
      </c>
    </row>
    <row r="39" spans="1:10" ht="7.5" customHeight="1">
      <c r="A39" s="241"/>
      <c r="B39" s="241"/>
      <c r="C39" s="241"/>
    </row>
    <row r="40" spans="1:10">
      <c r="A40" s="242" t="s">
        <v>401</v>
      </c>
      <c r="B40" s="242"/>
      <c r="C40" s="243">
        <f t="shared" ref="C40:J40" si="4">SUM(C35:C38)</f>
        <v>3171</v>
      </c>
      <c r="D40" s="243">
        <f t="shared" si="4"/>
        <v>3502</v>
      </c>
      <c r="E40" s="243">
        <f t="shared" si="4"/>
        <v>3671</v>
      </c>
      <c r="F40" s="243">
        <f t="shared" si="4"/>
        <v>3936</v>
      </c>
      <c r="G40" s="243">
        <f t="shared" si="4"/>
        <v>4010</v>
      </c>
      <c r="H40" s="243">
        <f t="shared" si="4"/>
        <v>4522</v>
      </c>
      <c r="I40" s="243">
        <f t="shared" si="4"/>
        <v>4703</v>
      </c>
      <c r="J40" s="243">
        <f t="shared" si="4"/>
        <v>4751</v>
      </c>
    </row>
    <row r="41" spans="1:10" ht="15" thickBot="1">
      <c r="A41" s="242" t="s">
        <v>400</v>
      </c>
      <c r="B41" s="241"/>
      <c r="C41" s="239">
        <f t="shared" ref="C41:J41" si="5">C32+C40</f>
        <v>9781</v>
      </c>
      <c r="D41" s="239">
        <f t="shared" si="5"/>
        <v>10890</v>
      </c>
      <c r="E41" s="239">
        <f t="shared" si="5"/>
        <v>10812</v>
      </c>
      <c r="F41" s="239">
        <f t="shared" si="5"/>
        <v>11039</v>
      </c>
      <c r="G41" s="239">
        <f t="shared" si="5"/>
        <v>11424</v>
      </c>
      <c r="H41" s="239">
        <f t="shared" si="5"/>
        <v>12751</v>
      </c>
      <c r="I41" s="239">
        <f t="shared" si="5"/>
        <v>12429</v>
      </c>
      <c r="J41" s="239">
        <f t="shared" si="5"/>
        <v>12374</v>
      </c>
    </row>
    <row r="42" spans="1:10" ht="17" thickTop="1">
      <c r="A42" s="336"/>
      <c r="B42" s="336"/>
      <c r="C42" s="274"/>
      <c r="D42" s="265"/>
      <c r="E42" s="265"/>
      <c r="F42" s="265"/>
    </row>
    <row r="43" spans="1:10" ht="16">
      <c r="A43" s="265"/>
      <c r="B43" s="265"/>
      <c r="C43" s="273"/>
      <c r="D43" s="265"/>
      <c r="E43" s="265"/>
      <c r="F43" s="265"/>
    </row>
    <row r="44" spans="1:10">
      <c r="A44" s="223" t="s">
        <v>456</v>
      </c>
    </row>
  </sheetData>
  <mergeCells count="12">
    <mergeCell ref="A37:B37"/>
    <mergeCell ref="A38:B38"/>
    <mergeCell ref="A42:B42"/>
    <mergeCell ref="B2:J2"/>
    <mergeCell ref="B3:J3"/>
    <mergeCell ref="B4:J4"/>
    <mergeCell ref="B5:J5"/>
    <mergeCell ref="A8:B8"/>
    <mergeCell ref="A27:B27"/>
    <mergeCell ref="A32:B32"/>
    <mergeCell ref="A35:B35"/>
    <mergeCell ref="A36:B36"/>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70FEC-7F95-3641-A3C7-69CA090A6176}">
  <sheetPr>
    <tabColor theme="5" tint="-0.499984740745262"/>
  </sheetPr>
  <dimension ref="B2:L36"/>
  <sheetViews>
    <sheetView showGridLines="0" workbookViewId="0">
      <pane xSplit="2" ySplit="8" topLeftCell="C9" activePane="bottomRight" state="frozen"/>
      <selection pane="topRight"/>
      <selection pane="bottomLeft"/>
      <selection pane="bottomRight"/>
    </sheetView>
  </sheetViews>
  <sheetFormatPr baseColWidth="10" defaultColWidth="8.83203125" defaultRowHeight="16"/>
  <cols>
    <col min="1" max="1" width="3.5" style="252" customWidth="1"/>
    <col min="2" max="2" width="29.6640625" style="252" customWidth="1"/>
    <col min="3" max="3" width="9.1640625" style="252" bestFit="1" customWidth="1"/>
    <col min="4" max="4" width="10.6640625" style="252" customWidth="1"/>
    <col min="5" max="5" width="9.83203125" style="252" customWidth="1"/>
    <col min="6" max="6" width="11" style="252" customWidth="1"/>
    <col min="7" max="9" width="8.83203125" style="252"/>
    <col min="10" max="10" width="9.33203125" style="252" bestFit="1" customWidth="1"/>
    <col min="11" max="16384" width="8.83203125" style="252"/>
  </cols>
  <sheetData>
    <row r="2" spans="2:12">
      <c r="B2" s="330" t="s">
        <v>511</v>
      </c>
      <c r="C2" s="330"/>
      <c r="D2" s="330"/>
      <c r="E2" s="330"/>
      <c r="F2" s="330"/>
      <c r="G2" s="330"/>
      <c r="H2" s="330"/>
      <c r="I2" s="330"/>
      <c r="J2" s="330"/>
      <c r="K2" s="330"/>
      <c r="L2" s="330"/>
    </row>
    <row r="3" spans="2:12">
      <c r="B3" s="337" t="s">
        <v>399</v>
      </c>
      <c r="C3" s="337"/>
      <c r="D3" s="337"/>
      <c r="E3" s="337"/>
      <c r="F3" s="337"/>
      <c r="G3" s="337"/>
      <c r="H3" s="337"/>
      <c r="I3" s="337"/>
      <c r="J3" s="337"/>
      <c r="K3" s="337"/>
      <c r="L3" s="337"/>
    </row>
    <row r="4" spans="2:12">
      <c r="B4" s="330" t="s">
        <v>503</v>
      </c>
      <c r="C4" s="330"/>
      <c r="D4" s="330"/>
      <c r="E4" s="330"/>
      <c r="F4" s="330"/>
      <c r="G4" s="330"/>
      <c r="H4" s="330"/>
      <c r="I4" s="330"/>
      <c r="J4" s="330"/>
      <c r="K4" s="330"/>
      <c r="L4" s="330"/>
    </row>
    <row r="5" spans="2:12">
      <c r="B5" s="332" t="s">
        <v>502</v>
      </c>
      <c r="C5" s="332"/>
      <c r="D5" s="332"/>
      <c r="E5" s="332"/>
      <c r="F5" s="332"/>
      <c r="G5" s="332"/>
      <c r="H5" s="332"/>
      <c r="I5" s="332"/>
      <c r="J5" s="332"/>
      <c r="K5" s="332"/>
      <c r="L5" s="332"/>
    </row>
    <row r="6" spans="2:12">
      <c r="B6" s="235"/>
      <c r="D6" s="293"/>
      <c r="E6" s="293"/>
      <c r="F6" s="293"/>
    </row>
    <row r="8" spans="2:12" s="279" customFormat="1" ht="14">
      <c r="C8" s="292" t="s">
        <v>501</v>
      </c>
      <c r="D8" s="292" t="s">
        <v>500</v>
      </c>
      <c r="E8" s="292" t="s">
        <v>499</v>
      </c>
      <c r="F8" s="292" t="s">
        <v>498</v>
      </c>
      <c r="G8" s="292" t="s">
        <v>497</v>
      </c>
      <c r="H8" s="292" t="s">
        <v>496</v>
      </c>
      <c r="I8" s="292" t="s">
        <v>495</v>
      </c>
      <c r="J8" s="292" t="s">
        <v>494</v>
      </c>
    </row>
    <row r="9" spans="2:12" s="279" customFormat="1" ht="14">
      <c r="B9" s="279" t="s">
        <v>112</v>
      </c>
      <c r="C9" s="285">
        <v>12985</v>
      </c>
      <c r="D9" s="285">
        <v>27686</v>
      </c>
      <c r="E9" s="285">
        <v>19279</v>
      </c>
      <c r="F9" s="285">
        <v>12434</v>
      </c>
      <c r="G9" s="285">
        <v>6751.6</v>
      </c>
      <c r="H9" s="291">
        <v>73301</v>
      </c>
      <c r="I9" s="291">
        <v>39854</v>
      </c>
      <c r="J9" s="285">
        <v>468651</v>
      </c>
    </row>
    <row r="10" spans="2:12" s="279" customFormat="1" ht="14">
      <c r="B10" s="279" t="s">
        <v>493</v>
      </c>
      <c r="C10" s="285">
        <v>-1310</v>
      </c>
      <c r="D10" s="285">
        <v>2661</v>
      </c>
      <c r="E10" s="285">
        <v>1890</v>
      </c>
      <c r="F10" s="285">
        <v>1345</v>
      </c>
      <c r="G10" s="285">
        <v>537</v>
      </c>
      <c r="H10" s="285">
        <v>5371</v>
      </c>
      <c r="I10" s="285">
        <v>-838</v>
      </c>
      <c r="J10" s="285">
        <v>27725</v>
      </c>
    </row>
    <row r="11" spans="2:12" s="279" customFormat="1" ht="14">
      <c r="B11" s="279" t="s">
        <v>492</v>
      </c>
      <c r="C11" s="285">
        <v>226</v>
      </c>
      <c r="D11" s="285">
        <v>425</v>
      </c>
      <c r="E11" s="285">
        <v>329</v>
      </c>
      <c r="F11" s="285">
        <v>160</v>
      </c>
      <c r="G11" s="285">
        <v>69.599999999999994</v>
      </c>
      <c r="H11" s="285">
        <v>762</v>
      </c>
      <c r="I11" s="285">
        <v>267</v>
      </c>
      <c r="J11" s="285">
        <v>2249</v>
      </c>
    </row>
    <row r="12" spans="2:12" s="279" customFormat="1" ht="14">
      <c r="B12" s="279" t="s">
        <v>491</v>
      </c>
      <c r="C12" s="290">
        <v>-2.1</v>
      </c>
      <c r="D12" s="290">
        <v>3.35</v>
      </c>
      <c r="E12" s="290">
        <v>4.1500000000000004</v>
      </c>
      <c r="F12" s="290">
        <v>3.5</v>
      </c>
      <c r="G12" s="290">
        <v>6.3</v>
      </c>
      <c r="H12" s="290">
        <v>4.4000000000000004</v>
      </c>
      <c r="I12" s="290">
        <v>-2</v>
      </c>
      <c r="J12" s="290">
        <v>4.45</v>
      </c>
    </row>
    <row r="13" spans="2:12" s="279" customFormat="1" ht="14">
      <c r="B13" s="279" t="s">
        <v>490</v>
      </c>
      <c r="C13" s="289">
        <v>19.88</v>
      </c>
      <c r="D13" s="289">
        <v>39.51</v>
      </c>
      <c r="E13" s="289">
        <v>46.01</v>
      </c>
      <c r="F13" s="289">
        <v>69.02</v>
      </c>
      <c r="G13" s="289">
        <v>85.41</v>
      </c>
      <c r="H13" s="289">
        <v>61.15</v>
      </c>
      <c r="I13" s="289">
        <v>47.55</v>
      </c>
      <c r="J13" s="289">
        <v>70.489999999999995</v>
      </c>
    </row>
    <row r="14" spans="2:12" s="279" customFormat="1" ht="14">
      <c r="B14" s="279" t="s">
        <v>489</v>
      </c>
      <c r="C14" s="288">
        <v>219.2</v>
      </c>
      <c r="D14" s="288">
        <v>395.3</v>
      </c>
      <c r="E14" s="287">
        <v>230</v>
      </c>
      <c r="F14" s="287">
        <v>200.1</v>
      </c>
      <c r="G14" s="287">
        <v>48.9</v>
      </c>
      <c r="H14" s="287">
        <v>650.79999999999995</v>
      </c>
      <c r="I14" s="287">
        <v>106.4</v>
      </c>
      <c r="J14" s="287">
        <v>3345</v>
      </c>
    </row>
    <row r="15" spans="2:12" s="279" customFormat="1" ht="14">
      <c r="C15" s="288"/>
      <c r="D15" s="288"/>
      <c r="E15" s="287"/>
      <c r="F15" s="287"/>
      <c r="G15" s="287"/>
      <c r="H15" s="287"/>
      <c r="I15" s="287"/>
      <c r="J15" s="287"/>
    </row>
    <row r="16" spans="2:12" s="279" customFormat="1" ht="14">
      <c r="B16" s="279" t="s">
        <v>182</v>
      </c>
      <c r="C16" s="285">
        <v>930</v>
      </c>
      <c r="D16" s="285">
        <v>1836</v>
      </c>
      <c r="E16" s="285">
        <v>537</v>
      </c>
      <c r="F16" s="285">
        <v>1285</v>
      </c>
      <c r="G16" s="285">
        <v>124</v>
      </c>
      <c r="H16" s="285">
        <v>784</v>
      </c>
      <c r="I16" s="285">
        <v>618</v>
      </c>
      <c r="J16" s="285">
        <v>7781</v>
      </c>
    </row>
    <row r="17" spans="2:10" s="279" customFormat="1" ht="14">
      <c r="B17" s="279" t="s">
        <v>122</v>
      </c>
      <c r="C17" s="285">
        <v>9781</v>
      </c>
      <c r="D17" s="285">
        <v>20991</v>
      </c>
      <c r="E17" s="285">
        <v>13905</v>
      </c>
      <c r="F17" s="285">
        <v>8089</v>
      </c>
      <c r="G17" s="285">
        <v>4048</v>
      </c>
      <c r="H17" s="285">
        <v>48163</v>
      </c>
      <c r="I17" s="285">
        <v>16585</v>
      </c>
      <c r="J17" s="285">
        <v>203105</v>
      </c>
    </row>
    <row r="18" spans="2:10" s="279" customFormat="1" ht="14">
      <c r="B18" s="279" t="s">
        <v>488</v>
      </c>
      <c r="C18" s="285">
        <v>2982</v>
      </c>
      <c r="D18" s="285">
        <v>6930</v>
      </c>
      <c r="E18" s="285">
        <v>4553</v>
      </c>
      <c r="F18" s="285">
        <v>3131</v>
      </c>
      <c r="G18" s="285">
        <v>824.11</v>
      </c>
      <c r="H18" s="285">
        <v>17648</v>
      </c>
      <c r="I18" s="285">
        <v>3120</v>
      </c>
      <c r="J18" s="285">
        <v>54136</v>
      </c>
    </row>
    <row r="19" spans="2:10" s="284" customFormat="1" ht="16.5" customHeight="1">
      <c r="B19" s="279" t="s">
        <v>487</v>
      </c>
      <c r="C19" s="286">
        <f t="shared" ref="C19:J19" si="0">C13*C14</f>
        <v>4357.6959999999999</v>
      </c>
      <c r="D19" s="286">
        <f t="shared" si="0"/>
        <v>15618.303</v>
      </c>
      <c r="E19" s="286">
        <f t="shared" si="0"/>
        <v>10582.3</v>
      </c>
      <c r="F19" s="286">
        <f t="shared" si="0"/>
        <v>13810.901999999998</v>
      </c>
      <c r="G19" s="286">
        <f t="shared" si="0"/>
        <v>4176.549</v>
      </c>
      <c r="H19" s="286">
        <f t="shared" si="0"/>
        <v>39796.42</v>
      </c>
      <c r="I19" s="286">
        <f t="shared" si="0"/>
        <v>5059.32</v>
      </c>
      <c r="J19" s="286">
        <f t="shared" si="0"/>
        <v>235789.05</v>
      </c>
    </row>
    <row r="20" spans="2:10" s="284" customFormat="1" ht="30">
      <c r="B20" s="284" t="s">
        <v>486</v>
      </c>
      <c r="C20" s="286">
        <f t="shared" ref="C20:J20" si="1">C19+C18</f>
        <v>7339.6959999999999</v>
      </c>
      <c r="D20" s="286">
        <f t="shared" si="1"/>
        <v>22548.303</v>
      </c>
      <c r="E20" s="286">
        <f t="shared" si="1"/>
        <v>15135.3</v>
      </c>
      <c r="F20" s="286">
        <f t="shared" si="1"/>
        <v>16941.901999999998</v>
      </c>
      <c r="G20" s="286">
        <f t="shared" si="1"/>
        <v>5000.6589999999997</v>
      </c>
      <c r="H20" s="286">
        <f t="shared" si="1"/>
        <v>57444.42</v>
      </c>
      <c r="I20" s="286">
        <f t="shared" si="1"/>
        <v>8179.32</v>
      </c>
      <c r="J20" s="286">
        <f t="shared" si="1"/>
        <v>289925.05</v>
      </c>
    </row>
    <row r="21" spans="2:10" s="279" customFormat="1" ht="14">
      <c r="C21" s="285"/>
      <c r="D21" s="285"/>
      <c r="E21" s="285"/>
      <c r="F21" s="285"/>
      <c r="G21" s="285"/>
      <c r="H21" s="285"/>
      <c r="I21" s="285"/>
      <c r="J21" s="285"/>
    </row>
    <row r="22" spans="2:10" s="279" customFormat="1" ht="30">
      <c r="B22" s="284" t="s">
        <v>485</v>
      </c>
      <c r="C22" s="283">
        <f t="shared" ref="C22:J22" si="2">C10/C11</f>
        <v>-5.7964601769911503</v>
      </c>
      <c r="D22" s="283">
        <f t="shared" si="2"/>
        <v>6.2611764705882349</v>
      </c>
      <c r="E22" s="283">
        <f t="shared" si="2"/>
        <v>5.7446808510638299</v>
      </c>
      <c r="F22" s="283">
        <f t="shared" si="2"/>
        <v>8.40625</v>
      </c>
      <c r="G22" s="283">
        <f t="shared" si="2"/>
        <v>7.7155172413793114</v>
      </c>
      <c r="H22" s="283">
        <f t="shared" si="2"/>
        <v>7.0485564304461938</v>
      </c>
      <c r="I22" s="283">
        <f t="shared" si="2"/>
        <v>-3.1385767790262173</v>
      </c>
      <c r="J22" s="283">
        <f t="shared" si="2"/>
        <v>12.327701200533571</v>
      </c>
    </row>
    <row r="23" spans="2:10" s="279" customFormat="1" ht="14">
      <c r="B23" s="279" t="s">
        <v>484</v>
      </c>
      <c r="C23" s="283">
        <f t="shared" ref="C23:J23" si="3">C18/C10</f>
        <v>-2.2763358778625955</v>
      </c>
      <c r="D23" s="283">
        <f t="shared" si="3"/>
        <v>2.6042841037204059</v>
      </c>
      <c r="E23" s="283">
        <f t="shared" si="3"/>
        <v>2.408994708994709</v>
      </c>
      <c r="F23" s="283">
        <f t="shared" si="3"/>
        <v>2.3278810408921933</v>
      </c>
      <c r="G23" s="283">
        <f t="shared" si="3"/>
        <v>1.5346554934823091</v>
      </c>
      <c r="H23" s="283">
        <f t="shared" si="3"/>
        <v>3.2857940793148388</v>
      </c>
      <c r="I23" s="283">
        <f t="shared" si="3"/>
        <v>-3.7231503579952268</v>
      </c>
      <c r="J23" s="283">
        <f t="shared" si="3"/>
        <v>1.9526059513074843</v>
      </c>
    </row>
    <row r="24" spans="2:10" s="279" customFormat="1" ht="14">
      <c r="B24" s="279" t="s">
        <v>483</v>
      </c>
      <c r="C24" s="282">
        <f t="shared" ref="C24:J24" si="4">C18/C17</f>
        <v>0.3048768019629895</v>
      </c>
      <c r="D24" s="282">
        <f t="shared" si="4"/>
        <v>0.3301414892096613</v>
      </c>
      <c r="E24" s="282">
        <f t="shared" si="4"/>
        <v>0.32743617403811581</v>
      </c>
      <c r="F24" s="282">
        <f t="shared" si="4"/>
        <v>0.38706885894424525</v>
      </c>
      <c r="G24" s="282">
        <f t="shared" si="4"/>
        <v>0.20358448616600791</v>
      </c>
      <c r="H24" s="282">
        <f t="shared" si="4"/>
        <v>0.36642235741129081</v>
      </c>
      <c r="I24" s="282">
        <f t="shared" si="4"/>
        <v>0.18812179680434127</v>
      </c>
      <c r="J24" s="282">
        <f t="shared" si="4"/>
        <v>0.26654193643681839</v>
      </c>
    </row>
    <row r="25" spans="2:10" s="279" customFormat="1" ht="14">
      <c r="B25" s="279" t="s">
        <v>482</v>
      </c>
      <c r="C25" s="282">
        <f t="shared" ref="C25:J25" si="5">C18/(C18+C19)</f>
        <v>0.40628385698808234</v>
      </c>
      <c r="D25" s="282">
        <f t="shared" si="5"/>
        <v>0.30734020205422996</v>
      </c>
      <c r="E25" s="282">
        <f t="shared" si="5"/>
        <v>0.30081993749710945</v>
      </c>
      <c r="F25" s="282">
        <f t="shared" si="5"/>
        <v>0.18480805756047936</v>
      </c>
      <c r="G25" s="282">
        <f t="shared" si="5"/>
        <v>0.16480027932318522</v>
      </c>
      <c r="H25" s="282">
        <f t="shared" si="5"/>
        <v>0.30721869939673863</v>
      </c>
      <c r="I25" s="282">
        <f t="shared" si="5"/>
        <v>0.38144980267308287</v>
      </c>
      <c r="J25" s="282">
        <f t="shared" si="5"/>
        <v>0.18672412059599541</v>
      </c>
    </row>
    <row r="26" spans="2:10" s="279" customFormat="1" ht="14">
      <c r="B26" s="279" t="s">
        <v>481</v>
      </c>
      <c r="C26" s="280" t="s">
        <v>478</v>
      </c>
      <c r="D26" s="280" t="s">
        <v>480</v>
      </c>
      <c r="E26" s="280" t="s">
        <v>479</v>
      </c>
      <c r="F26" s="280" t="s">
        <v>479</v>
      </c>
      <c r="G26" s="280" t="s">
        <v>478</v>
      </c>
      <c r="H26" s="280" t="s">
        <v>477</v>
      </c>
      <c r="I26" s="280" t="s">
        <v>476</v>
      </c>
      <c r="J26" s="280" t="s">
        <v>475</v>
      </c>
    </row>
    <row r="27" spans="2:10" s="279" customFormat="1" ht="14">
      <c r="B27" s="279" t="s">
        <v>474</v>
      </c>
      <c r="C27" s="280">
        <v>2.04</v>
      </c>
      <c r="D27" s="281" t="s">
        <v>113</v>
      </c>
      <c r="E27" s="280">
        <v>1.0900000000000001</v>
      </c>
      <c r="F27" s="280">
        <v>1.27</v>
      </c>
      <c r="G27" s="280">
        <v>0.96</v>
      </c>
      <c r="H27" s="280">
        <v>0.87</v>
      </c>
      <c r="I27" s="280">
        <v>3.79</v>
      </c>
      <c r="J27" s="280">
        <v>0.28000000000000003</v>
      </c>
    </row>
    <row r="31" spans="2:10">
      <c r="B31" s="278" t="s">
        <v>473</v>
      </c>
    </row>
    <row r="36" spans="2:2">
      <c r="B36" s="277"/>
    </row>
  </sheetData>
  <mergeCells count="4">
    <mergeCell ref="B2:L2"/>
    <mergeCell ref="B3:L3"/>
    <mergeCell ref="B4:L4"/>
    <mergeCell ref="B5:L5"/>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A6A25-28D7-4C41-A008-7B736141BFCA}">
  <sheetPr>
    <tabColor theme="5" tint="-0.499984740745262"/>
  </sheetPr>
  <dimension ref="B2:L33"/>
  <sheetViews>
    <sheetView showGridLines="0" workbookViewId="0"/>
  </sheetViews>
  <sheetFormatPr baseColWidth="10" defaultColWidth="8.83203125" defaultRowHeight="16"/>
  <cols>
    <col min="1" max="1" width="3.6640625" style="252" customWidth="1"/>
    <col min="2" max="2" width="8.83203125" style="252"/>
    <col min="3" max="3" width="14.83203125" style="252" customWidth="1"/>
    <col min="4" max="16384" width="8.83203125" style="252"/>
  </cols>
  <sheetData>
    <row r="2" spans="2:12">
      <c r="B2" s="330" t="s">
        <v>512</v>
      </c>
      <c r="C2" s="330"/>
      <c r="D2" s="330"/>
      <c r="E2" s="330"/>
      <c r="F2" s="330"/>
      <c r="G2" s="330"/>
      <c r="H2" s="330"/>
      <c r="I2" s="330"/>
      <c r="J2" s="330"/>
      <c r="K2" s="330"/>
      <c r="L2" s="330"/>
    </row>
    <row r="3" spans="2:12">
      <c r="B3" s="331" t="s">
        <v>399</v>
      </c>
      <c r="C3" s="331"/>
      <c r="D3" s="331"/>
      <c r="E3" s="331"/>
      <c r="F3" s="331"/>
      <c r="G3" s="331"/>
      <c r="H3" s="331"/>
      <c r="I3" s="331"/>
      <c r="J3" s="331"/>
      <c r="K3" s="331"/>
      <c r="L3" s="331"/>
    </row>
    <row r="4" spans="2:12">
      <c r="B4" s="330" t="s">
        <v>505</v>
      </c>
      <c r="C4" s="330"/>
      <c r="D4" s="330"/>
      <c r="E4" s="330"/>
      <c r="F4" s="330"/>
      <c r="G4" s="330"/>
      <c r="H4" s="330"/>
      <c r="I4" s="330"/>
      <c r="J4" s="330"/>
      <c r="K4" s="330"/>
      <c r="L4" s="330"/>
    </row>
    <row r="5" spans="2:12">
      <c r="B5" s="332" t="s">
        <v>426</v>
      </c>
      <c r="C5" s="332"/>
      <c r="D5" s="332"/>
      <c r="E5" s="332"/>
      <c r="F5" s="332"/>
      <c r="G5" s="332"/>
      <c r="H5" s="332"/>
      <c r="I5" s="332"/>
      <c r="J5" s="332"/>
      <c r="K5" s="332"/>
      <c r="L5" s="332"/>
    </row>
    <row r="6" spans="2:12">
      <c r="B6" s="235"/>
    </row>
    <row r="7" spans="2:12">
      <c r="B7" s="235"/>
    </row>
    <row r="8" spans="2:12">
      <c r="C8" s="297"/>
    </row>
    <row r="9" spans="2:12">
      <c r="C9" s="296"/>
    </row>
    <row r="10" spans="2:12">
      <c r="C10" s="296"/>
    </row>
    <row r="11" spans="2:12">
      <c r="C11" s="296"/>
    </row>
    <row r="12" spans="2:12">
      <c r="C12" s="296"/>
    </row>
    <row r="13" spans="2:12">
      <c r="C13" s="296"/>
    </row>
    <row r="14" spans="2:12">
      <c r="C14" s="296"/>
    </row>
    <row r="15" spans="2:12">
      <c r="C15" s="296"/>
    </row>
    <row r="16" spans="2:12">
      <c r="C16" s="296"/>
    </row>
    <row r="17" spans="2:3">
      <c r="C17" s="296"/>
    </row>
    <row r="18" spans="2:3">
      <c r="C18" s="296"/>
    </row>
    <row r="19" spans="2:3">
      <c r="C19" s="296"/>
    </row>
    <row r="20" spans="2:3">
      <c r="C20" s="296"/>
    </row>
    <row r="21" spans="2:3">
      <c r="C21" s="296"/>
    </row>
    <row r="22" spans="2:3">
      <c r="C22" s="296"/>
    </row>
    <row r="23" spans="2:3">
      <c r="C23" s="296"/>
    </row>
    <row r="24" spans="2:3">
      <c r="C24" s="296"/>
    </row>
    <row r="26" spans="2:3">
      <c r="C26" s="294"/>
    </row>
    <row r="27" spans="2:3">
      <c r="C27" s="294"/>
    </row>
    <row r="28" spans="2:3">
      <c r="C28" s="294"/>
    </row>
    <row r="29" spans="2:3">
      <c r="C29" s="294"/>
    </row>
    <row r="30" spans="2:3">
      <c r="B30" s="295" t="s">
        <v>504</v>
      </c>
      <c r="C30" s="294"/>
    </row>
    <row r="31" spans="2:3">
      <c r="C31" s="294"/>
    </row>
    <row r="32" spans="2:3">
      <c r="C32" s="294"/>
    </row>
    <row r="33" spans="3:3">
      <c r="C33" s="294"/>
    </row>
  </sheetData>
  <mergeCells count="4">
    <mergeCell ref="B2:L2"/>
    <mergeCell ref="B3:L3"/>
    <mergeCell ref="B4:L4"/>
    <mergeCell ref="B5:L5"/>
  </mergeCell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FF686-8201-3D40-82B6-AF59C0B10923}">
  <dimension ref="B2:B4"/>
  <sheetViews>
    <sheetView workbookViewId="0"/>
  </sheetViews>
  <sheetFormatPr baseColWidth="10" defaultRowHeight="26"/>
  <cols>
    <col min="1" max="16384" width="10.83203125" style="141"/>
  </cols>
  <sheetData>
    <row r="2" spans="2:2">
      <c r="B2" s="141" t="s">
        <v>308</v>
      </c>
    </row>
    <row r="4" spans="2:2">
      <c r="B4" s="141" t="s">
        <v>309</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3:C43"/>
  <sheetViews>
    <sheetView workbookViewId="0"/>
  </sheetViews>
  <sheetFormatPr baseColWidth="10" defaultColWidth="10.83203125" defaultRowHeight="26"/>
  <cols>
    <col min="1" max="1" width="10.83203125" style="24"/>
    <col min="2" max="2" width="10.83203125" style="10"/>
    <col min="3" max="16384" width="10.83203125" style="24"/>
  </cols>
  <sheetData>
    <row r="3" spans="2:2" ht="29">
      <c r="B3" s="32" t="s">
        <v>75</v>
      </c>
    </row>
    <row r="4" spans="2:2" ht="29">
      <c r="B4" s="32"/>
    </row>
    <row r="5" spans="2:2" ht="29">
      <c r="B5" s="32" t="s">
        <v>76</v>
      </c>
    </row>
    <row r="7" spans="2:2" ht="29">
      <c r="B7" s="32" t="s">
        <v>77</v>
      </c>
    </row>
    <row r="9" spans="2:2" ht="29">
      <c r="B9" s="32" t="s">
        <v>78</v>
      </c>
    </row>
    <row r="11" spans="2:2">
      <c r="B11" s="10" t="s">
        <v>80</v>
      </c>
    </row>
    <row r="13" spans="2:2">
      <c r="B13" s="10" t="s">
        <v>85</v>
      </c>
    </row>
    <row r="15" spans="2:2">
      <c r="B15" s="10" t="s">
        <v>86</v>
      </c>
    </row>
    <row r="17" spans="2:2">
      <c r="B17" s="10" t="s">
        <v>87</v>
      </c>
    </row>
    <row r="19" spans="2:2">
      <c r="B19" s="10" t="s">
        <v>94</v>
      </c>
    </row>
    <row r="25" spans="2:2" ht="29">
      <c r="B25" s="26" t="s">
        <v>83</v>
      </c>
    </row>
    <row r="26" spans="2:2">
      <c r="B26" s="10" t="s">
        <v>92</v>
      </c>
    </row>
    <row r="27" spans="2:2">
      <c r="B27" s="10" t="s">
        <v>64</v>
      </c>
    </row>
    <row r="28" spans="2:2">
      <c r="B28" s="10" t="s">
        <v>65</v>
      </c>
    </row>
    <row r="29" spans="2:2">
      <c r="B29" s="10" t="s">
        <v>93</v>
      </c>
    </row>
    <row r="30" spans="2:2">
      <c r="B30" s="10" t="s">
        <v>53</v>
      </c>
    </row>
    <row r="31" spans="2:2">
      <c r="B31" s="10" t="s">
        <v>54</v>
      </c>
    </row>
    <row r="32" spans="2:2">
      <c r="B32" s="10" t="s">
        <v>55</v>
      </c>
    </row>
    <row r="33" spans="2:3">
      <c r="B33" s="10" t="s">
        <v>56</v>
      </c>
    </row>
    <row r="34" spans="2:3">
      <c r="B34" s="25" t="s">
        <v>66</v>
      </c>
    </row>
    <row r="35" spans="2:3">
      <c r="B35" s="10" t="s">
        <v>57</v>
      </c>
    </row>
    <row r="36" spans="2:3">
      <c r="B36" s="10" t="s">
        <v>58</v>
      </c>
    </row>
    <row r="37" spans="2:3">
      <c r="B37" s="10" t="s">
        <v>59</v>
      </c>
    </row>
    <row r="38" spans="2:3">
      <c r="B38" s="25" t="s">
        <v>67</v>
      </c>
    </row>
    <row r="39" spans="2:3">
      <c r="B39" s="10" t="s">
        <v>60</v>
      </c>
    </row>
    <row r="40" spans="2:3">
      <c r="C40" s="25" t="s">
        <v>61</v>
      </c>
    </row>
    <row r="41" spans="2:3">
      <c r="C41" s="25" t="s">
        <v>62</v>
      </c>
    </row>
    <row r="42" spans="2:3">
      <c r="C42" s="25" t="s">
        <v>63</v>
      </c>
    </row>
    <row r="43" spans="2:3">
      <c r="B43" s="10" t="s">
        <v>68</v>
      </c>
    </row>
  </sheetData>
  <pageMargins left="0.75" right="0.75" top="1" bottom="1" header="0.5" footer="0.5"/>
  <pageSetup orientation="portrait" horizontalDpi="4294967292" verticalDpi="429496729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29</vt:i4>
      </vt:variant>
      <vt:variant>
        <vt:lpstr>Named Ranges</vt:lpstr>
      </vt:variant>
      <vt:variant>
        <vt:i4>69</vt:i4>
      </vt:variant>
    </vt:vector>
  </HeadingPairs>
  <TitlesOfParts>
    <vt:vector size="98" baseType="lpstr">
      <vt:lpstr>Class11</vt:lpstr>
      <vt:lpstr>Learning Objective</vt:lpstr>
      <vt:lpstr>Market Liquidity</vt:lpstr>
      <vt:lpstr>Liquidity Risk Mitigation</vt:lpstr>
      <vt:lpstr>Liquidity Stress Test</vt:lpstr>
      <vt:lpstr>Liquidity_VaR</vt:lpstr>
      <vt:lpstr>Liquidity</vt:lpstr>
      <vt:lpstr>LiquidityOtherThougths</vt:lpstr>
      <vt:lpstr>Laddering</vt:lpstr>
      <vt:lpstr>Homework</vt:lpstr>
      <vt:lpstr>Discussion</vt:lpstr>
      <vt:lpstr>Q1</vt:lpstr>
      <vt:lpstr>Q1_Calc</vt:lpstr>
      <vt:lpstr>Q1_BankTable</vt:lpstr>
      <vt:lpstr>Q2_LiquidityVaR</vt:lpstr>
      <vt:lpstr>Q3_DaysToLiquidate</vt:lpstr>
      <vt:lpstr>EndowmentPortfolio_March</vt:lpstr>
      <vt:lpstr>EndowmentPortfolio_June</vt:lpstr>
      <vt:lpstr>LiquidityRiskCaseStudy</vt:lpstr>
      <vt:lpstr>LCS_MarketData</vt:lpstr>
      <vt:lpstr>LCS_Exhibit 1</vt:lpstr>
      <vt:lpstr>LCS_Exhibit 2</vt:lpstr>
      <vt:lpstr>LCS_Exhibit 3</vt:lpstr>
      <vt:lpstr>LCS_Exhibit 4</vt:lpstr>
      <vt:lpstr>LCS_Exhibit 5</vt:lpstr>
      <vt:lpstr>LCS_Exhibit 6</vt:lpstr>
      <vt:lpstr>LCS_Exhibit 7</vt:lpstr>
      <vt:lpstr>OtherLiquidityModels</vt:lpstr>
      <vt:lpstr>Remember</vt:lpstr>
      <vt:lpstr>'Learning Objective'!a</vt:lpstr>
      <vt:lpstr>'Liquidity Risk Mitigation'!a</vt:lpstr>
      <vt:lpstr>'Liquidity Stress Test'!a</vt:lpstr>
      <vt:lpstr>'Market Liquidity'!a</vt:lpstr>
      <vt:lpstr>a</vt:lpstr>
      <vt:lpstr>'Learning Objective'!alpha</vt:lpstr>
      <vt:lpstr>'Liquidity Risk Mitigation'!alpha</vt:lpstr>
      <vt:lpstr>'Liquidity Stress Test'!alpha</vt:lpstr>
      <vt:lpstr>'Market Liquidity'!alpha</vt:lpstr>
      <vt:lpstr>alpha</vt:lpstr>
      <vt:lpstr>'Learning Objective'!bid</vt:lpstr>
      <vt:lpstr>'Liquidity Risk Mitigation'!bid</vt:lpstr>
      <vt:lpstr>'Liquidity Stress Test'!bid</vt:lpstr>
      <vt:lpstr>'Market Liquidity'!bid</vt:lpstr>
      <vt:lpstr>bid</vt:lpstr>
      <vt:lpstr>'Learning Objective'!midprice</vt:lpstr>
      <vt:lpstr>'Liquidity Risk Mitigation'!midprice</vt:lpstr>
      <vt:lpstr>'Liquidity Stress Test'!midprice</vt:lpstr>
      <vt:lpstr>'Market Liquidity'!midprice</vt:lpstr>
      <vt:lpstr>midprice</vt:lpstr>
      <vt:lpstr>'Learning Objective'!mu</vt:lpstr>
      <vt:lpstr>'Liquidity Risk Mitigation'!mu</vt:lpstr>
      <vt:lpstr>'Liquidity Stress Test'!mu</vt:lpstr>
      <vt:lpstr>'Market Liquidity'!mu</vt:lpstr>
      <vt:lpstr>mu</vt:lpstr>
      <vt:lpstr>'Learning Objective'!offer</vt:lpstr>
      <vt:lpstr>'Liquidity Risk Mitigation'!offer</vt:lpstr>
      <vt:lpstr>'Liquidity Stress Test'!offer</vt:lpstr>
      <vt:lpstr>'Market Liquidity'!offer</vt:lpstr>
      <vt:lpstr>offer</vt:lpstr>
      <vt:lpstr>'Learning Objective'!s</vt:lpstr>
      <vt:lpstr>'Liquidity Risk Mitigation'!s</vt:lpstr>
      <vt:lpstr>'Liquidity Stress Test'!s</vt:lpstr>
      <vt:lpstr>'Market Liquidity'!s</vt:lpstr>
      <vt:lpstr>s</vt:lpstr>
      <vt:lpstr>'Learning Objective'!Shares</vt:lpstr>
      <vt:lpstr>'Liquidity Risk Mitigation'!Shares</vt:lpstr>
      <vt:lpstr>'Liquidity Stress Test'!Shares</vt:lpstr>
      <vt:lpstr>'Market Liquidity'!Shares</vt:lpstr>
      <vt:lpstr>Shares</vt:lpstr>
      <vt:lpstr>'Learning Objective'!sigma</vt:lpstr>
      <vt:lpstr>'Liquidity Risk Mitigation'!sigma</vt:lpstr>
      <vt:lpstr>'Liquidity Stress Test'!sigma</vt:lpstr>
      <vt:lpstr>'Market Liquidity'!sigma</vt:lpstr>
      <vt:lpstr>sigma</vt:lpstr>
      <vt:lpstr>'Learning Objective'!simS</vt:lpstr>
      <vt:lpstr>'Liquidity Risk Mitigation'!simS</vt:lpstr>
      <vt:lpstr>'Liquidity Stress Test'!simS</vt:lpstr>
      <vt:lpstr>'Market Liquidity'!simS</vt:lpstr>
      <vt:lpstr>simS</vt:lpstr>
      <vt:lpstr>'Learning Objective'!simSpread</vt:lpstr>
      <vt:lpstr>'Liquidity Risk Mitigation'!simSpread</vt:lpstr>
      <vt:lpstr>'Liquidity Stress Test'!simSpread</vt:lpstr>
      <vt:lpstr>'Market Liquidity'!simSpread</vt:lpstr>
      <vt:lpstr>simSpread</vt:lpstr>
      <vt:lpstr>'Learning Objective'!simSpreadPerShare</vt:lpstr>
      <vt:lpstr>'Liquidity Risk Mitigation'!simSpreadPerShare</vt:lpstr>
      <vt:lpstr>'Liquidity Stress Test'!simSpreadPerShare</vt:lpstr>
      <vt:lpstr>'Market Liquidity'!simSpreadPerShare</vt:lpstr>
      <vt:lpstr>'Learning Objective'!spread</vt:lpstr>
      <vt:lpstr>'Liquidity Risk Mitigation'!spread</vt:lpstr>
      <vt:lpstr>'Liquidity Stress Test'!spread</vt:lpstr>
      <vt:lpstr>'Market Liquidity'!spread</vt:lpstr>
      <vt:lpstr>spread</vt:lpstr>
      <vt:lpstr>'Learning Objective'!SpreadVaR</vt:lpstr>
      <vt:lpstr>'Liquidity Risk Mitigation'!SpreadVaR</vt:lpstr>
      <vt:lpstr>'Liquidity Stress Test'!SpreadVaR</vt:lpstr>
      <vt:lpstr>'Market Liquidity'!SpreadVaR</vt:lpstr>
      <vt:lpstr>SpreadVaR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David Romoff</cp:lastModifiedBy>
  <dcterms:created xsi:type="dcterms:W3CDTF">2017-06-30T20:46:32Z</dcterms:created>
  <dcterms:modified xsi:type="dcterms:W3CDTF">2023-04-05T21:33:43Z</dcterms:modified>
</cp:coreProperties>
</file>