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c59771fbc718b250/Documents/Columbia/Market Risk 1/Lecture 3/"/>
    </mc:Choice>
  </mc:AlternateContent>
  <xr:revisionPtr revIDLastSave="0" documentId="8_{B9C87B67-3249-4575-92FC-119FDA3EB846}" xr6:coauthVersionLast="47" xr6:coauthVersionMax="47" xr10:uidLastSave="{00000000-0000-0000-0000-000000000000}"/>
  <bookViews>
    <workbookView xWindow="-108" yWindow="-108" windowWidth="23256" windowHeight="14856" activeTab="3" xr2:uid="{6035CB13-2C00-4A62-9997-475C2CCA9BE2}"/>
  </bookViews>
  <sheets>
    <sheet name="building a forward curve" sheetId="7" r:id="rId1"/>
    <sheet name="Badly behaving shocks" sheetId="10" r:id="rId2"/>
    <sheet name="Well Behaved Shocks" sheetId="11" r:id="rId3"/>
    <sheet name="Pricing and Shocking a Bond" sheetId="1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7" l="1"/>
  <c r="M23" i="13"/>
  <c r="D23" i="13"/>
  <c r="E23" i="13"/>
  <c r="F23" i="13"/>
  <c r="G23" i="13"/>
  <c r="H23" i="13"/>
  <c r="I23" i="13"/>
  <c r="J23" i="13"/>
  <c r="K23" i="13"/>
  <c r="L23" i="13"/>
  <c r="K6" i="13"/>
  <c r="B10" i="13"/>
  <c r="B8" i="13"/>
  <c r="K9" i="13"/>
  <c r="I6" i="13"/>
  <c r="I9" i="13" s="1"/>
  <c r="M4" i="13"/>
  <c r="M6" i="13" s="1"/>
  <c r="M9" i="13" s="1"/>
  <c r="L4" i="13"/>
  <c r="L6" i="13" s="1"/>
  <c r="L9" i="13" s="1"/>
  <c r="K4" i="13"/>
  <c r="J4" i="13"/>
  <c r="J6" i="13" s="1"/>
  <c r="J9" i="13" s="1"/>
  <c r="I4" i="13"/>
  <c r="H4" i="13"/>
  <c r="G4" i="13"/>
  <c r="F4" i="13"/>
  <c r="F6" i="13" s="1"/>
  <c r="F9" i="13" s="1"/>
  <c r="E4" i="13"/>
  <c r="D4" i="13"/>
  <c r="D6" i="13" s="1"/>
  <c r="D9" i="13" s="1"/>
  <c r="C4" i="13"/>
  <c r="G3" i="13"/>
  <c r="F3" i="13"/>
  <c r="E3" i="13"/>
  <c r="D3" i="13"/>
  <c r="C3" i="13"/>
  <c r="B3" i="13"/>
  <c r="B1" i="13"/>
  <c r="C1" i="13" s="1"/>
  <c r="D1" i="13" s="1"/>
  <c r="E1" i="13" s="1"/>
  <c r="F1" i="13" s="1"/>
  <c r="G1" i="13" s="1"/>
  <c r="H1" i="13" s="1"/>
  <c r="I1" i="13" s="1"/>
  <c r="J1" i="13" s="1"/>
  <c r="K1" i="13" s="1"/>
  <c r="L1" i="13" s="1"/>
  <c r="M1" i="13" s="1"/>
  <c r="C10" i="11"/>
  <c r="C8" i="11"/>
  <c r="C8" i="10"/>
  <c r="G4" i="7"/>
  <c r="E4" i="7"/>
  <c r="D4" i="7"/>
  <c r="C4" i="7"/>
  <c r="G6" i="13" l="1"/>
  <c r="G9" i="13" s="1"/>
  <c r="C6" i="13"/>
  <c r="C9" i="13" s="1"/>
  <c r="C10" i="13" s="1"/>
  <c r="D10" i="13" s="1"/>
  <c r="E10" i="13" s="1"/>
  <c r="F10" i="13" s="1"/>
  <c r="E6" i="13"/>
  <c r="E9" i="13" s="1"/>
  <c r="H6" i="13"/>
  <c r="H9" i="13" s="1"/>
  <c r="C8" i="13"/>
  <c r="D8" i="13" s="1"/>
  <c r="E8" i="13" s="1"/>
  <c r="F8" i="13" s="1"/>
  <c r="G8" i="13" s="1"/>
  <c r="H8" i="13" s="1"/>
  <c r="I8" i="13" s="1"/>
  <c r="J8" i="13" s="1"/>
  <c r="K8" i="13" s="1"/>
  <c r="L8" i="13" s="1"/>
  <c r="M8" i="13" s="1"/>
  <c r="N4" i="11"/>
  <c r="M4" i="11"/>
  <c r="L4" i="11"/>
  <c r="K4" i="11"/>
  <c r="J4" i="11"/>
  <c r="I4" i="11"/>
  <c r="H4" i="11"/>
  <c r="G4" i="11"/>
  <c r="F4" i="11"/>
  <c r="E4" i="11"/>
  <c r="D4" i="11"/>
  <c r="H3" i="11"/>
  <c r="G3" i="11"/>
  <c r="F3" i="11"/>
  <c r="E3" i="11"/>
  <c r="D3" i="11"/>
  <c r="C3" i="11"/>
  <c r="C1" i="11"/>
  <c r="D1" i="11" s="1"/>
  <c r="E1" i="11" s="1"/>
  <c r="F1" i="11" s="1"/>
  <c r="G1" i="11" s="1"/>
  <c r="H1" i="11" s="1"/>
  <c r="I1" i="11" s="1"/>
  <c r="J1" i="11" s="1"/>
  <c r="K1" i="11" s="1"/>
  <c r="L1" i="11" s="1"/>
  <c r="M1" i="11" s="1"/>
  <c r="N1" i="11" s="1"/>
  <c r="H4" i="10"/>
  <c r="H8" i="10" s="1"/>
  <c r="N4" i="10"/>
  <c r="M4" i="10"/>
  <c r="M8" i="10" s="1"/>
  <c r="L4" i="10"/>
  <c r="L8" i="10" s="1"/>
  <c r="K4" i="10"/>
  <c r="K8" i="10" s="1"/>
  <c r="J4" i="10"/>
  <c r="J8" i="10" s="1"/>
  <c r="I4" i="10"/>
  <c r="I8" i="10" s="1"/>
  <c r="G4" i="10"/>
  <c r="F4" i="10"/>
  <c r="F8" i="10" s="1"/>
  <c r="E4" i="10"/>
  <c r="E8" i="10" s="1"/>
  <c r="D4" i="10"/>
  <c r="D8" i="10" s="1"/>
  <c r="H3" i="10"/>
  <c r="G3" i="10"/>
  <c r="F3" i="10"/>
  <c r="E3" i="10"/>
  <c r="D3" i="10"/>
  <c r="C3" i="10"/>
  <c r="C1" i="10"/>
  <c r="D1" i="10" s="1"/>
  <c r="E1" i="10" s="1"/>
  <c r="F1" i="10" s="1"/>
  <c r="G1" i="10" s="1"/>
  <c r="H1" i="10" s="1"/>
  <c r="I1" i="10" s="1"/>
  <c r="J1" i="10" s="1"/>
  <c r="K1" i="10" s="1"/>
  <c r="L1" i="10" s="1"/>
  <c r="M1" i="10" s="1"/>
  <c r="N1" i="10" s="1"/>
  <c r="L6" i="7"/>
  <c r="K6" i="7"/>
  <c r="J6" i="7"/>
  <c r="N4" i="7"/>
  <c r="M4" i="7"/>
  <c r="L4" i="7"/>
  <c r="M6" i="7" s="1"/>
  <c r="K4" i="7"/>
  <c r="J4" i="7"/>
  <c r="I4" i="7"/>
  <c r="I6" i="7" s="1"/>
  <c r="H4" i="7"/>
  <c r="H3" i="7"/>
  <c r="G3" i="7"/>
  <c r="G6" i="7" s="1"/>
  <c r="F3" i="7"/>
  <c r="E3" i="7"/>
  <c r="D3" i="7"/>
  <c r="C3" i="7"/>
  <c r="C1" i="7"/>
  <c r="D1" i="7" s="1"/>
  <c r="E1" i="7" s="1"/>
  <c r="F1" i="7" s="1"/>
  <c r="G1" i="7" s="1"/>
  <c r="H1" i="7" s="1"/>
  <c r="I1" i="7" s="1"/>
  <c r="G10" i="13" l="1"/>
  <c r="E20" i="13" s="1"/>
  <c r="E21" i="13" s="1"/>
  <c r="E24" i="13" s="1"/>
  <c r="D20" i="13"/>
  <c r="D21" i="13" s="1"/>
  <c r="D24" i="13" s="1"/>
  <c r="G6" i="10"/>
  <c r="G8" i="10"/>
  <c r="F6" i="7"/>
  <c r="H6" i="7"/>
  <c r="D6" i="10"/>
  <c r="N6" i="10"/>
  <c r="N8" i="10"/>
  <c r="D6" i="7"/>
  <c r="N6" i="7"/>
  <c r="K6" i="10"/>
  <c r="L6" i="11"/>
  <c r="L9" i="11" s="1"/>
  <c r="E6" i="7"/>
  <c r="L6" i="10"/>
  <c r="M6" i="10"/>
  <c r="F6" i="11"/>
  <c r="F9" i="11" s="1"/>
  <c r="N6" i="11"/>
  <c r="N9" i="11" s="1"/>
  <c r="J6" i="10"/>
  <c r="E6" i="10"/>
  <c r="F6" i="10"/>
  <c r="H6" i="10"/>
  <c r="G6" i="11"/>
  <c r="G9" i="11" s="1"/>
  <c r="J6" i="11"/>
  <c r="J9" i="11" s="1"/>
  <c r="H6" i="11"/>
  <c r="H9" i="11" s="1"/>
  <c r="I6" i="11"/>
  <c r="I9" i="11" s="1"/>
  <c r="K6" i="11"/>
  <c r="K9" i="11" s="1"/>
  <c r="D6" i="11"/>
  <c r="E6" i="11"/>
  <c r="E9" i="11" s="1"/>
  <c r="M6" i="11"/>
  <c r="M9" i="11" s="1"/>
  <c r="I6" i="10"/>
  <c r="J1" i="7"/>
  <c r="K1" i="7" s="1"/>
  <c r="L1" i="7" s="1"/>
  <c r="M1" i="7" s="1"/>
  <c r="N1" i="7" s="1"/>
  <c r="H10" i="13" l="1"/>
  <c r="I10" i="13"/>
  <c r="I20" i="13" s="1"/>
  <c r="F20" i="13"/>
  <c r="F21" i="13" s="1"/>
  <c r="F24" i="13" s="1"/>
  <c r="D9" i="11"/>
  <c r="D10" i="11" s="1"/>
  <c r="E10" i="11" s="1"/>
  <c r="F10" i="11" s="1"/>
  <c r="G10" i="11" s="1"/>
  <c r="H10" i="11" s="1"/>
  <c r="I10" i="11" s="1"/>
  <c r="J10" i="11" s="1"/>
  <c r="K10" i="11" s="1"/>
  <c r="L10" i="11" s="1"/>
  <c r="M10" i="11" s="1"/>
  <c r="N10" i="11" s="1"/>
  <c r="D8" i="11"/>
  <c r="G20" i="13" l="1"/>
  <c r="G21" i="13" s="1"/>
  <c r="G24" i="13" s="1"/>
  <c r="J10" i="13"/>
  <c r="K20" i="13" s="1"/>
  <c r="H20" i="13"/>
  <c r="H21" i="13" s="1"/>
  <c r="H24" i="13" s="1"/>
  <c r="I21" i="13"/>
  <c r="I24" i="13" s="1"/>
  <c r="E8" i="11"/>
  <c r="K10" i="13" l="1"/>
  <c r="L20" i="13"/>
  <c r="L21" i="13" s="1"/>
  <c r="L24" i="13" s="1"/>
  <c r="K21" i="13"/>
  <c r="K24" i="13" s="1"/>
  <c r="J20" i="13"/>
  <c r="J21" i="13" s="1"/>
  <c r="J24" i="13" s="1"/>
  <c r="F8" i="11"/>
  <c r="L10" i="13" l="1"/>
  <c r="M10" i="13" s="1"/>
  <c r="M20" i="13"/>
  <c r="M21" i="13" s="1"/>
  <c r="M24" i="13" s="1"/>
  <c r="A26" i="13" s="1"/>
  <c r="A29" i="13" s="1"/>
  <c r="G8" i="11"/>
  <c r="H8" i="11" l="1"/>
  <c r="I8" i="11" l="1"/>
  <c r="J8" i="11" l="1"/>
  <c r="K8" i="11" l="1"/>
  <c r="L8" i="11" l="1"/>
  <c r="M8" i="11" l="1"/>
  <c r="N8" i="11" l="1"/>
</calcChain>
</file>

<file path=xl/sharedStrings.xml><?xml version="1.0" encoding="utf-8"?>
<sst xmlns="http://schemas.openxmlformats.org/spreadsheetml/2006/main" count="107" uniqueCount="33">
  <si>
    <t>Maturity</t>
  </si>
  <si>
    <t>Time</t>
  </si>
  <si>
    <t>Forwards</t>
  </si>
  <si>
    <t>1 Mo</t>
  </si>
  <si>
    <t>2 Mo</t>
  </si>
  <si>
    <t>3 Mo</t>
  </si>
  <si>
    <t>6 Mo</t>
  </si>
  <si>
    <t>1 Yr</t>
  </si>
  <si>
    <t>2 Yr</t>
  </si>
  <si>
    <t>3 Yr</t>
  </si>
  <si>
    <t>5 Yr</t>
  </si>
  <si>
    <t>7 Yr</t>
  </si>
  <si>
    <t>10 Yr</t>
  </si>
  <si>
    <t>20 Yr</t>
  </si>
  <si>
    <t>30 Yr</t>
  </si>
  <si>
    <t>Yield</t>
  </si>
  <si>
    <t xml:space="preserve">Shocked Yield </t>
  </si>
  <si>
    <t>Shocked YC</t>
  </si>
  <si>
    <t>shocks</t>
  </si>
  <si>
    <t>Shocked forwards</t>
  </si>
  <si>
    <t>Original Built Back YC</t>
  </si>
  <si>
    <t>Shocks</t>
  </si>
  <si>
    <t>Face</t>
  </si>
  <si>
    <t>Coupon</t>
  </si>
  <si>
    <t>Rates</t>
  </si>
  <si>
    <t>Original Built Back Rates Curve</t>
  </si>
  <si>
    <t>Shocked Rates Curve</t>
  </si>
  <si>
    <t>Discount Factors</t>
  </si>
  <si>
    <t>Cash Flows</t>
  </si>
  <si>
    <t>PV's</t>
  </si>
  <si>
    <t>Original Bond Value</t>
  </si>
  <si>
    <t>Shocked Bond Value</t>
  </si>
  <si>
    <t>P&amp;L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</si>
</sst>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00%"/>
    <numFmt numFmtId="165" formatCode="_(&quot;$&quot;* #,##0_);_(&quot;$&quot;* \(#,##0\);_(&quot;$&quot;* &quot;-&quot;??_);_(@_)"/>
    <numFmt numFmtId="166" formatCode="0.0000"/>
  </numFmts>
  <fonts count="4" x14ac:knownFonts="1">
    <font>
      <sz val="11"/>
      <color theme="1"/>
      <name val="Calibri"/>
      <family val="2"/>
      <scheme val="minor"/>
    </font>
    <font>
      <sz val="11"/>
      <color theme="1"/>
      <name val="Calibri"/>
      <family val="2"/>
      <scheme val="minor"/>
    </font>
    <font>
      <b/>
      <sz val="10"/>
      <color rgb="FF393B3E"/>
      <name val="Source Sans Pro"/>
      <family val="2"/>
    </font>
    <font>
      <sz val="10"/>
      <name val="Times New Roman"/>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1" fillId="0" borderId="0"/>
    <xf numFmtId="0" fontId="3" fillId="0" borderId="0"/>
    <xf numFmtId="44" fontId="1" fillId="0" borderId="0" applyFont="0" applyFill="0" applyBorder="0" applyAlignment="0" applyProtection="0"/>
  </cellStyleXfs>
  <cellXfs count="18">
    <xf numFmtId="0" fontId="0" fillId="0" borderId="0" xfId="0"/>
    <xf numFmtId="9" fontId="0" fillId="0" borderId="0" xfId="0" applyNumberFormat="1"/>
    <xf numFmtId="14" fontId="0" fillId="0" borderId="0" xfId="0" applyNumberFormat="1"/>
    <xf numFmtId="2" fontId="0" fillId="0" borderId="0" xfId="0" applyNumberFormat="1"/>
    <xf numFmtId="10" fontId="0" fillId="0" borderId="0" xfId="0" applyNumberFormat="1"/>
    <xf numFmtId="10" fontId="0" fillId="0" borderId="0" xfId="1" applyNumberFormat="1" applyFont="1"/>
    <xf numFmtId="164" fontId="0" fillId="0" borderId="0" xfId="1" applyNumberFormat="1" applyFont="1"/>
    <xf numFmtId="0" fontId="2" fillId="0" borderId="0" xfId="0" applyFont="1" applyAlignment="1">
      <alignment horizontal="center" vertical="center" wrapText="1"/>
    </xf>
    <xf numFmtId="164" fontId="0" fillId="0" borderId="0" xfId="0" applyNumberFormat="1"/>
    <xf numFmtId="2" fontId="3" fillId="2" borderId="0" xfId="3" applyNumberFormat="1" applyFill="1"/>
    <xf numFmtId="0" fontId="0" fillId="3" borderId="0" xfId="0" applyFill="1"/>
    <xf numFmtId="9" fontId="0" fillId="3" borderId="0" xfId="0" applyNumberFormat="1" applyFill="1"/>
    <xf numFmtId="9" fontId="0" fillId="3" borderId="0" xfId="1" applyFont="1" applyFill="1"/>
    <xf numFmtId="165" fontId="0" fillId="0" borderId="0" xfId="4" applyNumberFormat="1" applyFont="1"/>
    <xf numFmtId="10" fontId="0" fillId="4" borderId="0" xfId="0" applyNumberFormat="1" applyFill="1"/>
    <xf numFmtId="166" fontId="0" fillId="0" borderId="0" xfId="0" applyNumberFormat="1"/>
    <xf numFmtId="165" fontId="0" fillId="0" borderId="0" xfId="0" applyNumberFormat="1"/>
    <xf numFmtId="44" fontId="0" fillId="0" borderId="0" xfId="0" applyNumberFormat="1"/>
  </cellXfs>
  <cellStyles count="5">
    <cellStyle name="Currency" xfId="4" builtinId="4"/>
    <cellStyle name="Normal" xfId="0" builtinId="0"/>
    <cellStyle name="Normal 2" xfId="2" xr:uid="{69DE4826-0E83-4E36-893C-0DBE6BECFCF9}"/>
    <cellStyle name="Normal 3" xfId="3" xr:uid="{BCF57378-3219-444E-BC24-8B7B08C6229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Yield Curve vs Forward Rate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'building a forward curve'!$B$4</c:f>
              <c:strCache>
                <c:ptCount val="1"/>
                <c:pt idx="0">
                  <c:v>Yield</c:v>
                </c:pt>
              </c:strCache>
            </c:strRef>
          </c:tx>
          <c:spPr>
            <a:ln w="28575" cap="rnd">
              <a:solidFill>
                <a:schemeClr val="accent2"/>
              </a:solidFill>
              <a:round/>
            </a:ln>
            <a:effectLst/>
          </c:spPr>
          <c:marker>
            <c:symbol val="none"/>
          </c:marker>
          <c:val>
            <c:numRef>
              <c:f>'building a forward curve'!$C$4:$N$4</c:f>
              <c:numCache>
                <c:formatCode>0.00</c:formatCode>
                <c:ptCount val="12"/>
                <c:pt idx="0">
                  <c:v>2.9332268969520899E-2</c:v>
                </c:pt>
                <c:pt idx="1">
                  <c:v>3.3627917395934903E-2</c:v>
                </c:pt>
                <c:pt idx="2">
                  <c:v>3.5173544767308502E-2</c:v>
                </c:pt>
                <c:pt idx="3">
                  <c:v>3.5184379141703102E-2</c:v>
                </c:pt>
                <c:pt idx="4">
                  <c:v>3.4956471370002101E-2</c:v>
                </c:pt>
                <c:pt idx="5" formatCode="0.00%">
                  <c:v>3.1699999999999999E-2</c:v>
                </c:pt>
                <c:pt idx="6" formatCode="0.00%">
                  <c:v>3.3500000000000002E-2</c:v>
                </c:pt>
                <c:pt idx="7" formatCode="0.00%">
                  <c:v>3.3399999999999999E-2</c:v>
                </c:pt>
                <c:pt idx="8" formatCode="0.00%">
                  <c:v>3.3399999999999999E-2</c:v>
                </c:pt>
                <c:pt idx="9" formatCode="0.00%">
                  <c:v>3.2500000000000001E-2</c:v>
                </c:pt>
                <c:pt idx="10" formatCode="0.00%">
                  <c:v>3.5499999999999997E-2</c:v>
                </c:pt>
                <c:pt idx="11" formatCode="0.00%">
                  <c:v>3.3000000000000002E-2</c:v>
                </c:pt>
              </c:numCache>
            </c:numRef>
          </c:val>
          <c:smooth val="0"/>
          <c:extLst>
            <c:ext xmlns:c16="http://schemas.microsoft.com/office/drawing/2014/chart" uri="{C3380CC4-5D6E-409C-BE32-E72D297353CC}">
              <c16:uniqueId val="{00000001-319A-4291-90B4-19852025F684}"/>
            </c:ext>
          </c:extLst>
        </c:ser>
        <c:ser>
          <c:idx val="2"/>
          <c:order val="2"/>
          <c:tx>
            <c:strRef>
              <c:f>'building a forward curve'!$B$6</c:f>
              <c:strCache>
                <c:ptCount val="1"/>
                <c:pt idx="0">
                  <c:v>Forwards</c:v>
                </c:pt>
              </c:strCache>
            </c:strRef>
          </c:tx>
          <c:spPr>
            <a:ln w="28575" cap="rnd">
              <a:solidFill>
                <a:schemeClr val="accent3"/>
              </a:solidFill>
              <a:round/>
            </a:ln>
            <a:effectLst/>
          </c:spPr>
          <c:marker>
            <c:symbol val="none"/>
          </c:marker>
          <c:val>
            <c:numRef>
              <c:f>'building a forward curve'!$C$6:$N$6</c:f>
              <c:numCache>
                <c:formatCode>0.0000%</c:formatCode>
                <c:ptCount val="12"/>
                <c:pt idx="1">
                  <c:v>3.794149258512447E-2</c:v>
                </c:pt>
                <c:pt idx="2">
                  <c:v>3.8271736691329883E-2</c:v>
                </c:pt>
                <c:pt idx="3">
                  <c:v>3.519521362949285E-2</c:v>
                </c:pt>
                <c:pt idx="4">
                  <c:v>3.4728613774823947E-2</c:v>
                </c:pt>
                <c:pt idx="5">
                  <c:v>2.8453775056854536E-2</c:v>
                </c:pt>
                <c:pt idx="6">
                  <c:v>3.7109426822532043E-2</c:v>
                </c:pt>
                <c:pt idx="7">
                  <c:v>3.3250018141942395E-2</c:v>
                </c:pt>
                <c:pt idx="8">
                  <c:v>3.3400000000000096E-2</c:v>
                </c:pt>
                <c:pt idx="9">
                  <c:v>3.0403047010656215E-2</c:v>
                </c:pt>
                <c:pt idx="10">
                  <c:v>3.8508716707021939E-2</c:v>
                </c:pt>
                <c:pt idx="11">
                  <c:v>2.801809262256949E-2</c:v>
                </c:pt>
              </c:numCache>
            </c:numRef>
          </c:val>
          <c:smooth val="0"/>
          <c:extLst>
            <c:ext xmlns:c16="http://schemas.microsoft.com/office/drawing/2014/chart" uri="{C3380CC4-5D6E-409C-BE32-E72D297353CC}">
              <c16:uniqueId val="{00000002-319A-4291-90B4-19852025F684}"/>
            </c:ext>
          </c:extLst>
        </c:ser>
        <c:dLbls>
          <c:showLegendKey val="0"/>
          <c:showVal val="0"/>
          <c:showCatName val="0"/>
          <c:showSerName val="0"/>
          <c:showPercent val="0"/>
          <c:showBubbleSize val="0"/>
        </c:dLbls>
        <c:smooth val="0"/>
        <c:axId val="429868288"/>
        <c:axId val="429867304"/>
        <c:extLst>
          <c:ext xmlns:c15="http://schemas.microsoft.com/office/drawing/2012/chart" uri="{02D57815-91ED-43cb-92C2-25804820EDAC}">
            <c15:filteredLineSeries>
              <c15:ser>
                <c:idx val="0"/>
                <c:order val="0"/>
                <c:tx>
                  <c:strRef>
                    <c:extLst>
                      <c:ext uri="{02D57815-91ED-43cb-92C2-25804820EDAC}">
                        <c15:formulaRef>
                          <c15:sqref>'building a forward curve'!$B$3</c15:sqref>
                        </c15:formulaRef>
                      </c:ext>
                    </c:extLst>
                    <c:strCache>
                      <c:ptCount val="1"/>
                      <c:pt idx="0">
                        <c:v>Time</c:v>
                      </c:pt>
                    </c:strCache>
                  </c:strRef>
                </c:tx>
                <c:spPr>
                  <a:ln w="28575" cap="rnd">
                    <a:solidFill>
                      <a:schemeClr val="accent1"/>
                    </a:solidFill>
                    <a:round/>
                  </a:ln>
                  <a:effectLst/>
                </c:spPr>
                <c:marker>
                  <c:symbol val="none"/>
                </c:marker>
                <c:val>
                  <c:numRef>
                    <c:extLst>
                      <c:ext uri="{02D57815-91ED-43cb-92C2-25804820EDAC}">
                        <c15:formulaRef>
                          <c15:sqref>'building a forward curve'!$C$3:$I$3</c15:sqref>
                        </c15:formulaRef>
                      </c:ext>
                    </c:extLst>
                    <c:numCache>
                      <c:formatCode>0.00</c:formatCode>
                      <c:ptCount val="7"/>
                      <c:pt idx="0">
                        <c:v>8.3333333333333329E-2</c:v>
                      </c:pt>
                      <c:pt idx="1">
                        <c:v>0.16666666666666666</c:v>
                      </c:pt>
                      <c:pt idx="2">
                        <c:v>0.25</c:v>
                      </c:pt>
                      <c:pt idx="3">
                        <c:v>0.5</c:v>
                      </c:pt>
                      <c:pt idx="4">
                        <c:v>1</c:v>
                      </c:pt>
                      <c:pt idx="5">
                        <c:v>2</c:v>
                      </c:pt>
                      <c:pt idx="6">
                        <c:v>3</c:v>
                      </c:pt>
                    </c:numCache>
                  </c:numRef>
                </c:val>
                <c:smooth val="0"/>
                <c:extLst>
                  <c:ext xmlns:c16="http://schemas.microsoft.com/office/drawing/2014/chart" uri="{C3380CC4-5D6E-409C-BE32-E72D297353CC}">
                    <c16:uniqueId val="{00000000-319A-4291-90B4-19852025F684}"/>
                  </c:ext>
                </c:extLst>
              </c15:ser>
            </c15:filteredLineSeries>
          </c:ext>
        </c:extLst>
      </c:lineChart>
      <c:catAx>
        <c:axId val="42986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67304"/>
        <c:crosses val="autoZero"/>
        <c:auto val="1"/>
        <c:lblAlgn val="ctr"/>
        <c:lblOffset val="100"/>
        <c:noMultiLvlLbl val="0"/>
      </c:catAx>
      <c:valAx>
        <c:axId val="429867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6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Yield Curve vs Forward Rate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'Badly behaving shocks'!$B$4</c:f>
              <c:strCache>
                <c:ptCount val="1"/>
                <c:pt idx="0">
                  <c:v>Yield</c:v>
                </c:pt>
              </c:strCache>
            </c:strRef>
          </c:tx>
          <c:spPr>
            <a:ln w="28575" cap="rnd">
              <a:solidFill>
                <a:schemeClr val="accent2"/>
              </a:solidFill>
              <a:round/>
            </a:ln>
            <a:effectLst/>
          </c:spPr>
          <c:marker>
            <c:symbol val="none"/>
          </c:marker>
          <c:val>
            <c:numRef>
              <c:f>'Badly behaving shocks'!$C$4:$N$4</c:f>
              <c:numCache>
                <c:formatCode>0.00%</c:formatCode>
                <c:ptCount val="12"/>
                <c:pt idx="0">
                  <c:v>1.15E-2</c:v>
                </c:pt>
                <c:pt idx="1">
                  <c:v>1.4999999999999999E-2</c:v>
                </c:pt>
                <c:pt idx="2">
                  <c:v>1.6299999999999999E-2</c:v>
                </c:pt>
                <c:pt idx="3">
                  <c:v>2.2499999999999999E-2</c:v>
                </c:pt>
                <c:pt idx="4">
                  <c:v>2.86E-2</c:v>
                </c:pt>
                <c:pt idx="5">
                  <c:v>3.1699999999999999E-2</c:v>
                </c:pt>
                <c:pt idx="6">
                  <c:v>3.3500000000000002E-2</c:v>
                </c:pt>
                <c:pt idx="7">
                  <c:v>3.3399999999999999E-2</c:v>
                </c:pt>
                <c:pt idx="8">
                  <c:v>3.3399999999999999E-2</c:v>
                </c:pt>
                <c:pt idx="9">
                  <c:v>3.2500000000000001E-2</c:v>
                </c:pt>
                <c:pt idx="10">
                  <c:v>3.5499999999999997E-2</c:v>
                </c:pt>
                <c:pt idx="11">
                  <c:v>3.3000000000000002E-2</c:v>
                </c:pt>
              </c:numCache>
            </c:numRef>
          </c:val>
          <c:smooth val="0"/>
          <c:extLst>
            <c:ext xmlns:c16="http://schemas.microsoft.com/office/drawing/2014/chart" uri="{C3380CC4-5D6E-409C-BE32-E72D297353CC}">
              <c16:uniqueId val="{00000000-1CFA-4733-9C91-3C915A844841}"/>
            </c:ext>
          </c:extLst>
        </c:ser>
        <c:ser>
          <c:idx val="2"/>
          <c:order val="2"/>
          <c:tx>
            <c:strRef>
              <c:f>'Badly behaving shocks'!$B$6</c:f>
              <c:strCache>
                <c:ptCount val="1"/>
                <c:pt idx="0">
                  <c:v>Forwards</c:v>
                </c:pt>
              </c:strCache>
            </c:strRef>
          </c:tx>
          <c:spPr>
            <a:ln w="28575" cap="rnd">
              <a:solidFill>
                <a:schemeClr val="accent3"/>
              </a:solidFill>
              <a:round/>
            </a:ln>
            <a:effectLst/>
          </c:spPr>
          <c:marker>
            <c:symbol val="none"/>
          </c:marker>
          <c:val>
            <c:numRef>
              <c:f>'Badly behaving shocks'!$C$6:$N$6</c:f>
              <c:numCache>
                <c:formatCode>0.0000%</c:formatCode>
                <c:ptCount val="12"/>
                <c:pt idx="1">
                  <c:v>1.8512110726644826E-2</c:v>
                </c:pt>
                <c:pt idx="2">
                  <c:v>1.8904997206435015E-2</c:v>
                </c:pt>
                <c:pt idx="3">
                  <c:v>2.8737823477319679E-2</c:v>
                </c:pt>
                <c:pt idx="4">
                  <c:v>3.4736391198044059E-2</c:v>
                </c:pt>
                <c:pt idx="5">
                  <c:v>3.4809342796033427E-2</c:v>
                </c:pt>
                <c:pt idx="6">
                  <c:v>3.7109426822532043E-2</c:v>
                </c:pt>
                <c:pt idx="7">
                  <c:v>3.3250018141942395E-2</c:v>
                </c:pt>
                <c:pt idx="8">
                  <c:v>3.3400000000000096E-2</c:v>
                </c:pt>
                <c:pt idx="9">
                  <c:v>3.0403047010656215E-2</c:v>
                </c:pt>
                <c:pt idx="10">
                  <c:v>3.8508716707021939E-2</c:v>
                </c:pt>
                <c:pt idx="11">
                  <c:v>2.801809262256949E-2</c:v>
                </c:pt>
              </c:numCache>
            </c:numRef>
          </c:val>
          <c:smooth val="0"/>
          <c:extLst>
            <c:ext xmlns:c16="http://schemas.microsoft.com/office/drawing/2014/chart" uri="{C3380CC4-5D6E-409C-BE32-E72D297353CC}">
              <c16:uniqueId val="{00000001-1CFA-4733-9C91-3C915A844841}"/>
            </c:ext>
          </c:extLst>
        </c:ser>
        <c:ser>
          <c:idx val="3"/>
          <c:order val="3"/>
          <c:tx>
            <c:strRef>
              <c:f>'Badly behaving shocks'!$B$8</c:f>
              <c:strCache>
                <c:ptCount val="1"/>
                <c:pt idx="0">
                  <c:v>Shocked Yield </c:v>
                </c:pt>
              </c:strCache>
            </c:strRef>
          </c:tx>
          <c:spPr>
            <a:ln w="28575" cap="rnd">
              <a:solidFill>
                <a:schemeClr val="accent4"/>
              </a:solidFill>
              <a:round/>
            </a:ln>
            <a:effectLst/>
          </c:spPr>
          <c:marker>
            <c:symbol val="none"/>
          </c:marker>
          <c:val>
            <c:numRef>
              <c:f>'Badly behaving shocks'!$C$8:$N$8</c:f>
              <c:numCache>
                <c:formatCode>0.00%</c:formatCode>
                <c:ptCount val="12"/>
                <c:pt idx="0">
                  <c:v>2.1499999999999998E-2</c:v>
                </c:pt>
                <c:pt idx="1">
                  <c:v>2.5000000000000001E-2</c:v>
                </c:pt>
                <c:pt idx="2">
                  <c:v>2.6299999999999997E-2</c:v>
                </c:pt>
                <c:pt idx="3">
                  <c:v>3.2500000000000001E-2</c:v>
                </c:pt>
                <c:pt idx="4">
                  <c:v>3.8600000000000002E-2</c:v>
                </c:pt>
                <c:pt idx="5">
                  <c:v>4.1700000000000001E-2</c:v>
                </c:pt>
                <c:pt idx="6">
                  <c:v>4.3500000000000004E-2</c:v>
                </c:pt>
                <c:pt idx="7">
                  <c:v>4.3400000000000001E-2</c:v>
                </c:pt>
                <c:pt idx="8">
                  <c:v>4.3400000000000001E-2</c:v>
                </c:pt>
                <c:pt idx="9">
                  <c:v>4.2500000000000003E-2</c:v>
                </c:pt>
                <c:pt idx="10">
                  <c:v>4.5499999999999999E-2</c:v>
                </c:pt>
                <c:pt idx="11">
                  <c:v>4.3000000000000003E-2</c:v>
                </c:pt>
              </c:numCache>
            </c:numRef>
          </c:val>
          <c:smooth val="0"/>
          <c:extLst>
            <c:ext xmlns:c16="http://schemas.microsoft.com/office/drawing/2014/chart" uri="{C3380CC4-5D6E-409C-BE32-E72D297353CC}">
              <c16:uniqueId val="{00000004-1CFA-4733-9C91-3C915A844841}"/>
            </c:ext>
          </c:extLst>
        </c:ser>
        <c:dLbls>
          <c:showLegendKey val="0"/>
          <c:showVal val="0"/>
          <c:showCatName val="0"/>
          <c:showSerName val="0"/>
          <c:showPercent val="0"/>
          <c:showBubbleSize val="0"/>
        </c:dLbls>
        <c:smooth val="0"/>
        <c:axId val="429868288"/>
        <c:axId val="429867304"/>
        <c:extLst>
          <c:ext xmlns:c15="http://schemas.microsoft.com/office/drawing/2012/chart" uri="{02D57815-91ED-43cb-92C2-25804820EDAC}">
            <c15:filteredLineSeries>
              <c15:ser>
                <c:idx val="0"/>
                <c:order val="0"/>
                <c:tx>
                  <c:strRef>
                    <c:extLst>
                      <c:ext uri="{02D57815-91ED-43cb-92C2-25804820EDAC}">
                        <c15:formulaRef>
                          <c15:sqref>'Badly behaving shocks'!$B$3</c15:sqref>
                        </c15:formulaRef>
                      </c:ext>
                    </c:extLst>
                    <c:strCache>
                      <c:ptCount val="1"/>
                      <c:pt idx="0">
                        <c:v>Time</c:v>
                      </c:pt>
                    </c:strCache>
                  </c:strRef>
                </c:tx>
                <c:spPr>
                  <a:ln w="28575" cap="rnd">
                    <a:solidFill>
                      <a:schemeClr val="accent1"/>
                    </a:solidFill>
                    <a:round/>
                  </a:ln>
                  <a:effectLst/>
                </c:spPr>
                <c:marker>
                  <c:symbol val="none"/>
                </c:marker>
                <c:val>
                  <c:numRef>
                    <c:extLst>
                      <c:ext uri="{02D57815-91ED-43cb-92C2-25804820EDAC}">
                        <c15:formulaRef>
                          <c15:sqref>'Badly behaving shocks'!$C$3:$I$3</c15:sqref>
                        </c15:formulaRef>
                      </c:ext>
                    </c:extLst>
                    <c:numCache>
                      <c:formatCode>0.00</c:formatCode>
                      <c:ptCount val="7"/>
                      <c:pt idx="0">
                        <c:v>8.3333333333333329E-2</c:v>
                      </c:pt>
                      <c:pt idx="1">
                        <c:v>0.16666666666666666</c:v>
                      </c:pt>
                      <c:pt idx="2">
                        <c:v>0.25</c:v>
                      </c:pt>
                      <c:pt idx="3">
                        <c:v>0.5</c:v>
                      </c:pt>
                      <c:pt idx="4">
                        <c:v>1</c:v>
                      </c:pt>
                      <c:pt idx="5">
                        <c:v>2</c:v>
                      </c:pt>
                      <c:pt idx="6">
                        <c:v>3</c:v>
                      </c:pt>
                    </c:numCache>
                  </c:numRef>
                </c:val>
                <c:smooth val="0"/>
                <c:extLst>
                  <c:ext xmlns:c16="http://schemas.microsoft.com/office/drawing/2014/chart" uri="{C3380CC4-5D6E-409C-BE32-E72D297353CC}">
                    <c16:uniqueId val="{00000002-1CFA-4733-9C91-3C915A844841}"/>
                  </c:ext>
                </c:extLst>
              </c15:ser>
            </c15:filteredLineSeries>
          </c:ext>
        </c:extLst>
      </c:lineChart>
      <c:catAx>
        <c:axId val="42986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67304"/>
        <c:crosses val="autoZero"/>
        <c:auto val="1"/>
        <c:lblAlgn val="ctr"/>
        <c:lblOffset val="100"/>
        <c:noMultiLvlLbl val="0"/>
      </c:catAx>
      <c:valAx>
        <c:axId val="429867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6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Shocking Forwards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'Well Behaved Shocks'!$B$8</c:f>
              <c:strCache>
                <c:ptCount val="1"/>
                <c:pt idx="0">
                  <c:v>Original Built Back YC</c:v>
                </c:pt>
              </c:strCache>
            </c:strRef>
          </c:tx>
          <c:spPr>
            <a:ln w="28575" cap="rnd">
              <a:solidFill>
                <a:schemeClr val="accent1"/>
              </a:solidFill>
              <a:round/>
            </a:ln>
            <a:effectLst/>
          </c:spPr>
          <c:marker>
            <c:symbol val="none"/>
          </c:marker>
          <c:cat>
            <c:strRef>
              <c:f>'Well Behaved Shocks'!$C$7:$N$7</c:f>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f>'Well Behaved Shocks'!$C$8:$N$8</c:f>
              <c:numCache>
                <c:formatCode>0.00%</c:formatCode>
                <c:ptCount val="12"/>
                <c:pt idx="0">
                  <c:v>1.15E-2</c:v>
                </c:pt>
                <c:pt idx="1">
                  <c:v>1.5000000000000568E-2</c:v>
                </c:pt>
                <c:pt idx="2">
                  <c:v>1.6300000000000203E-2</c:v>
                </c:pt>
                <c:pt idx="3">
                  <c:v>2.2500000000000187E-2</c:v>
                </c:pt>
                <c:pt idx="4">
                  <c:v>2.8600000000000181E-2</c:v>
                </c:pt>
                <c:pt idx="5">
                  <c:v>3.1700000000000061E-2</c:v>
                </c:pt>
                <c:pt idx="6">
                  <c:v>3.3500000000000085E-2</c:v>
                </c:pt>
                <c:pt idx="7">
                  <c:v>3.3400000000000096E-2</c:v>
                </c:pt>
                <c:pt idx="8">
                  <c:v>3.3400000000000096E-2</c:v>
                </c:pt>
                <c:pt idx="9">
                  <c:v>3.2499999999999973E-2</c:v>
                </c:pt>
                <c:pt idx="10">
                  <c:v>3.5500000000000087E-2</c:v>
                </c:pt>
                <c:pt idx="11">
                  <c:v>3.2999999999999918E-2</c:v>
                </c:pt>
              </c:numCache>
            </c:numRef>
          </c:val>
          <c:smooth val="0"/>
          <c:extLst>
            <c:ext xmlns:c16="http://schemas.microsoft.com/office/drawing/2014/chart" uri="{C3380CC4-5D6E-409C-BE32-E72D297353CC}">
              <c16:uniqueId val="{00000000-9875-43A1-8F7C-4E242F954F8F}"/>
            </c:ext>
          </c:extLst>
        </c:ser>
        <c:ser>
          <c:idx val="1"/>
          <c:order val="1"/>
          <c:tx>
            <c:strRef>
              <c:f>'Well Behaved Shocks'!$B$9</c:f>
              <c:strCache>
                <c:ptCount val="1"/>
                <c:pt idx="0">
                  <c:v>Shocked forwards</c:v>
                </c:pt>
              </c:strCache>
            </c:strRef>
          </c:tx>
          <c:spPr>
            <a:ln w="28575" cap="rnd">
              <a:solidFill>
                <a:schemeClr val="accent2"/>
              </a:solidFill>
              <a:round/>
            </a:ln>
            <a:effectLst/>
          </c:spPr>
          <c:marker>
            <c:symbol val="none"/>
          </c:marker>
          <c:cat>
            <c:strRef>
              <c:f>'Well Behaved Shocks'!$C$7:$N$7</c:f>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f>'Well Behaved Shocks'!$C$9:$N$9</c:f>
              <c:numCache>
                <c:formatCode>0.0000%</c:formatCode>
                <c:ptCount val="12"/>
                <c:pt idx="1">
                  <c:v>1.8512110726644826E-2</c:v>
                </c:pt>
                <c:pt idx="2">
                  <c:v>1.8904997206435015E-2</c:v>
                </c:pt>
                <c:pt idx="3">
                  <c:v>2.8737823477319679E-2</c:v>
                </c:pt>
                <c:pt idx="4">
                  <c:v>3.4736391198044059E-2</c:v>
                </c:pt>
                <c:pt idx="5">
                  <c:v>4.4809342796033429E-2</c:v>
                </c:pt>
                <c:pt idx="6">
                  <c:v>3.7109426822532043E-2</c:v>
                </c:pt>
                <c:pt idx="7">
                  <c:v>3.3250018141942395E-2</c:v>
                </c:pt>
                <c:pt idx="8">
                  <c:v>3.3400000000000096E-2</c:v>
                </c:pt>
                <c:pt idx="9">
                  <c:v>3.0403047010656215E-2</c:v>
                </c:pt>
                <c:pt idx="10">
                  <c:v>3.8508716707021939E-2</c:v>
                </c:pt>
                <c:pt idx="11">
                  <c:v>2.801809262256949E-2</c:v>
                </c:pt>
              </c:numCache>
            </c:numRef>
          </c:val>
          <c:smooth val="0"/>
          <c:extLst>
            <c:ext xmlns:c16="http://schemas.microsoft.com/office/drawing/2014/chart" uri="{C3380CC4-5D6E-409C-BE32-E72D297353CC}">
              <c16:uniqueId val="{00000001-9875-43A1-8F7C-4E242F954F8F}"/>
            </c:ext>
          </c:extLst>
        </c:ser>
        <c:ser>
          <c:idx val="2"/>
          <c:order val="2"/>
          <c:tx>
            <c:strRef>
              <c:f>'Well Behaved Shocks'!$B$10</c:f>
              <c:strCache>
                <c:ptCount val="1"/>
                <c:pt idx="0">
                  <c:v>Shocked YC</c:v>
                </c:pt>
              </c:strCache>
            </c:strRef>
          </c:tx>
          <c:spPr>
            <a:ln w="28575" cap="rnd">
              <a:solidFill>
                <a:schemeClr val="accent3"/>
              </a:solidFill>
              <a:round/>
            </a:ln>
            <a:effectLst/>
          </c:spPr>
          <c:marker>
            <c:symbol val="none"/>
          </c:marker>
          <c:cat>
            <c:strRef>
              <c:f>'Well Behaved Shocks'!$C$7:$N$7</c:f>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f>'Well Behaved Shocks'!$C$10:$N$10</c:f>
              <c:numCache>
                <c:formatCode>0.00%</c:formatCode>
                <c:ptCount val="12"/>
                <c:pt idx="0">
                  <c:v>1.15E-2</c:v>
                </c:pt>
                <c:pt idx="1">
                  <c:v>1.5000000000000568E-2</c:v>
                </c:pt>
                <c:pt idx="2">
                  <c:v>1.6300000000000203E-2</c:v>
                </c:pt>
                <c:pt idx="3">
                  <c:v>2.2500000000000187E-2</c:v>
                </c:pt>
                <c:pt idx="4">
                  <c:v>2.8600000000000181E-2</c:v>
                </c:pt>
                <c:pt idx="5">
                  <c:v>3.6672990870312949E-2</c:v>
                </c:pt>
                <c:pt idx="6">
                  <c:v>3.6818449110480156E-2</c:v>
                </c:pt>
                <c:pt idx="7">
                  <c:v>3.538960023015747E-2</c:v>
                </c:pt>
                <c:pt idx="8">
                  <c:v>3.482075246941152E-2</c:v>
                </c:pt>
                <c:pt idx="9">
                  <c:v>3.3493455788143667E-2</c:v>
                </c:pt>
                <c:pt idx="10">
                  <c:v>3.5998051395682129E-2</c:v>
                </c:pt>
                <c:pt idx="11">
                  <c:v>3.3331206089061149E-2</c:v>
                </c:pt>
              </c:numCache>
            </c:numRef>
          </c:val>
          <c:smooth val="0"/>
          <c:extLst>
            <c:ext xmlns:c16="http://schemas.microsoft.com/office/drawing/2014/chart" uri="{C3380CC4-5D6E-409C-BE32-E72D297353CC}">
              <c16:uniqueId val="{00000002-9875-43A1-8F7C-4E242F954F8F}"/>
            </c:ext>
          </c:extLst>
        </c:ser>
        <c:dLbls>
          <c:showLegendKey val="0"/>
          <c:showVal val="0"/>
          <c:showCatName val="0"/>
          <c:showSerName val="0"/>
          <c:showPercent val="0"/>
          <c:showBubbleSize val="0"/>
        </c:dLbls>
        <c:smooth val="0"/>
        <c:axId val="60040928"/>
        <c:axId val="60035104"/>
      </c:lineChart>
      <c:catAx>
        <c:axId val="6004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5104"/>
        <c:crosses val="autoZero"/>
        <c:auto val="1"/>
        <c:lblAlgn val="ctr"/>
        <c:lblOffset val="100"/>
        <c:noMultiLvlLbl val="0"/>
      </c:catAx>
      <c:valAx>
        <c:axId val="60035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0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166687</xdr:colOff>
      <xdr:row>6</xdr:row>
      <xdr:rowOff>184150</xdr:rowOff>
    </xdr:from>
    <xdr:to>
      <xdr:col>9</xdr:col>
      <xdr:colOff>471487</xdr:colOff>
      <xdr:row>21</xdr:row>
      <xdr:rowOff>117475</xdr:rowOff>
    </xdr:to>
    <xdr:graphicFrame macro="">
      <xdr:nvGraphicFramePr>
        <xdr:cNvPr id="2" name="Chart 1">
          <a:extLst>
            <a:ext uri="{FF2B5EF4-FFF2-40B4-BE49-F238E27FC236}">
              <a16:creationId xmlns:a16="http://schemas.microsoft.com/office/drawing/2014/main" id="{F96EE61C-AB79-43AF-B7B7-C6BBDE0BC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xdr:colOff>
      <xdr:row>6</xdr:row>
      <xdr:rowOff>40640</xdr:rowOff>
    </xdr:from>
    <xdr:to>
      <xdr:col>13</xdr:col>
      <xdr:colOff>60960</xdr:colOff>
      <xdr:row>21</xdr:row>
      <xdr:rowOff>106680</xdr:rowOff>
    </xdr:to>
    <xdr:sp macro="" textlink="">
      <xdr:nvSpPr>
        <xdr:cNvPr id="3" name="TextBox 2">
          <a:extLst>
            <a:ext uri="{FF2B5EF4-FFF2-40B4-BE49-F238E27FC236}">
              <a16:creationId xmlns:a16="http://schemas.microsoft.com/office/drawing/2014/main" id="{AAF97920-DE6B-7C7A-52CF-1EE4EA94468C}"/>
            </a:ext>
          </a:extLst>
        </xdr:cNvPr>
        <xdr:cNvSpPr txBox="1"/>
      </xdr:nvSpPr>
      <xdr:spPr>
        <a:xfrm>
          <a:off x="7071360" y="1137920"/>
          <a:ext cx="2265680" cy="280924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We're doing</a:t>
          </a:r>
          <a:r>
            <a:rPr lang="en-US" sz="1100" baseline="0"/>
            <a:t> some cheating here. The typical internal curve would mainly come from SOFR (greyed) (Secure overnight funding rate - the descendant of LIBOR) - and swap rates (not greyed).</a:t>
          </a:r>
        </a:p>
        <a:p>
          <a:endParaRPr lang="en-US" sz="1100" baseline="0"/>
        </a:p>
        <a:p>
          <a:r>
            <a:rPr lang="en-US" sz="1100" baseline="0"/>
            <a:t>Here we're pretending that the Treasury yield curve is a substitute. It's not, but we'll pretend.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166687</xdr:colOff>
      <xdr:row>10</xdr:row>
      <xdr:rowOff>72390</xdr:rowOff>
    </xdr:from>
    <xdr:to>
      <xdr:col>9</xdr:col>
      <xdr:colOff>471487</xdr:colOff>
      <xdr:row>25</xdr:row>
      <xdr:rowOff>5715</xdr:rowOff>
    </xdr:to>
    <xdr:graphicFrame macro="">
      <xdr:nvGraphicFramePr>
        <xdr:cNvPr id="2" name="Chart 1">
          <a:extLst>
            <a:ext uri="{FF2B5EF4-FFF2-40B4-BE49-F238E27FC236}">
              <a16:creationId xmlns:a16="http://schemas.microsoft.com/office/drawing/2014/main" id="{A714B081-9B15-44B2-842A-494FCE018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xdr:colOff>
      <xdr:row>10</xdr:row>
      <xdr:rowOff>111760</xdr:rowOff>
    </xdr:from>
    <xdr:to>
      <xdr:col>13</xdr:col>
      <xdr:colOff>304800</xdr:colOff>
      <xdr:row>18</xdr:row>
      <xdr:rowOff>91440</xdr:rowOff>
    </xdr:to>
    <xdr:sp macro="" textlink="">
      <xdr:nvSpPr>
        <xdr:cNvPr id="3" name="TextBox 2">
          <a:extLst>
            <a:ext uri="{FF2B5EF4-FFF2-40B4-BE49-F238E27FC236}">
              <a16:creationId xmlns:a16="http://schemas.microsoft.com/office/drawing/2014/main" id="{C9C73F4C-054D-A140-4E0E-512547BC5E9A}"/>
            </a:ext>
          </a:extLst>
        </xdr:cNvPr>
        <xdr:cNvSpPr txBox="1"/>
      </xdr:nvSpPr>
      <xdr:spPr>
        <a:xfrm>
          <a:off x="7045960" y="1940560"/>
          <a:ext cx="2534920" cy="1442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Though a parallel shock</a:t>
          </a:r>
          <a:r>
            <a:rPr lang="en-US" sz="1100" baseline="0"/>
            <a:t> works, shocks of a single point don't</a:t>
          </a:r>
          <a:endParaRPr lang="en-US" sz="1100"/>
        </a:p>
        <a:p>
          <a:endParaRPr lang="en-US" sz="1100"/>
        </a:p>
        <a:p>
          <a:r>
            <a:rPr lang="en-US" sz="1100"/>
            <a:t>Directly</a:t>
          </a:r>
          <a:r>
            <a:rPr lang="en-US" sz="1100" baseline="0"/>
            <a:t> a</a:t>
          </a:r>
          <a:r>
            <a:rPr lang="en-US" sz="1100"/>
            <a:t>dding a 100 bp shock to the 2-year point of the yield curve.</a:t>
          </a:r>
        </a:p>
        <a:p>
          <a:endParaRPr lang="en-US" sz="1100"/>
        </a:p>
        <a:p>
          <a:r>
            <a:rPr lang="en-US" sz="1100"/>
            <a:t>Notice that</a:t>
          </a:r>
          <a:r>
            <a:rPr lang="en-US" sz="1100" baseline="0"/>
            <a:t> shocking a yield curve point directly creates arbitrage opportinities.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165100</xdr:colOff>
      <xdr:row>12</xdr:row>
      <xdr:rowOff>142240</xdr:rowOff>
    </xdr:from>
    <xdr:to>
      <xdr:col>8</xdr:col>
      <xdr:colOff>474980</xdr:colOff>
      <xdr:row>27</xdr:row>
      <xdr:rowOff>142240</xdr:rowOff>
    </xdr:to>
    <xdr:graphicFrame macro="">
      <xdr:nvGraphicFramePr>
        <xdr:cNvPr id="3" name="Chart 2">
          <a:extLst>
            <a:ext uri="{FF2B5EF4-FFF2-40B4-BE49-F238E27FC236}">
              <a16:creationId xmlns:a16="http://schemas.microsoft.com/office/drawing/2014/main" id="{B4646383-3616-4F80-6576-7FE47CA79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13</xdr:row>
      <xdr:rowOff>0</xdr:rowOff>
    </xdr:from>
    <xdr:to>
      <xdr:col>12</xdr:col>
      <xdr:colOff>213360</xdr:colOff>
      <xdr:row>20</xdr:row>
      <xdr:rowOff>162560</xdr:rowOff>
    </xdr:to>
    <xdr:sp macro="" textlink="">
      <xdr:nvSpPr>
        <xdr:cNvPr id="5" name="TextBox 4">
          <a:extLst>
            <a:ext uri="{FF2B5EF4-FFF2-40B4-BE49-F238E27FC236}">
              <a16:creationId xmlns:a16="http://schemas.microsoft.com/office/drawing/2014/main" id="{F9513495-7C60-48D9-B4E7-5882FDB8A652}"/>
            </a:ext>
          </a:extLst>
        </xdr:cNvPr>
        <xdr:cNvSpPr txBox="1"/>
      </xdr:nvSpPr>
      <xdr:spPr>
        <a:xfrm>
          <a:off x="6710680" y="2377440"/>
          <a:ext cx="2534920" cy="144272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Directly adding a 100 bp shock to the 2-year point of the forward curve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601980</xdr:colOff>
      <xdr:row>1</xdr:row>
      <xdr:rowOff>15240</xdr:rowOff>
    </xdr:from>
    <xdr:to>
      <xdr:col>18</xdr:col>
      <xdr:colOff>259080</xdr:colOff>
      <xdr:row>11</xdr:row>
      <xdr:rowOff>68580</xdr:rowOff>
    </xdr:to>
    <xdr:sp macro="" textlink="">
      <xdr:nvSpPr>
        <xdr:cNvPr id="2" name="TextBox 1">
          <a:extLst>
            <a:ext uri="{FF2B5EF4-FFF2-40B4-BE49-F238E27FC236}">
              <a16:creationId xmlns:a16="http://schemas.microsoft.com/office/drawing/2014/main" id="{609C56DF-CB92-66E4-6A73-C1232AE9D728}"/>
            </a:ext>
          </a:extLst>
        </xdr:cNvPr>
        <xdr:cNvSpPr txBox="1"/>
      </xdr:nvSpPr>
      <xdr:spPr>
        <a:xfrm>
          <a:off x="9182100" y="198120"/>
          <a:ext cx="2705100" cy="1882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Pricing a bond requires</a:t>
          </a:r>
          <a:r>
            <a:rPr lang="en-US" sz="1100" baseline="0"/>
            <a:t> a small amount of finesse given the yield curve fit. It often means finding values for rates between the points used for the fit. It's not hard if you keep things straight.</a:t>
          </a:r>
        </a:p>
        <a:p>
          <a:endParaRPr lang="en-US" sz="1100" baseline="0"/>
        </a:p>
        <a:p>
          <a:r>
            <a:rPr lang="en-US" sz="1100" baseline="0"/>
            <a:t>We'll take geometric weighted averages of the 'before' and 'after' observations to interpolate</a:t>
          </a:r>
        </a:p>
        <a:p>
          <a:endParaRPr lang="en-US" sz="1100"/>
        </a:p>
      </xdr:txBody>
    </xdr:sp>
    <xdr:clientData/>
  </xdr:twoCellAnchor>
  <xdr:twoCellAnchor>
    <xdr:from>
      <xdr:col>0</xdr:col>
      <xdr:colOff>1127760</xdr:colOff>
      <xdr:row>13</xdr:row>
      <xdr:rowOff>22860</xdr:rowOff>
    </xdr:from>
    <xdr:to>
      <xdr:col>12</xdr:col>
      <xdr:colOff>571500</xdr:colOff>
      <xdr:row>16</xdr:row>
      <xdr:rowOff>38100</xdr:rowOff>
    </xdr:to>
    <xdr:sp macro="" textlink="">
      <xdr:nvSpPr>
        <xdr:cNvPr id="3" name="TextBox 2">
          <a:extLst>
            <a:ext uri="{FF2B5EF4-FFF2-40B4-BE49-F238E27FC236}">
              <a16:creationId xmlns:a16="http://schemas.microsoft.com/office/drawing/2014/main" id="{1FB2DAB6-BDB7-8F7C-5056-CE6DFCF33608}"/>
            </a:ext>
          </a:extLst>
        </xdr:cNvPr>
        <xdr:cNvSpPr txBox="1"/>
      </xdr:nvSpPr>
      <xdr:spPr>
        <a:xfrm>
          <a:off x="1127760" y="2400300"/>
          <a:ext cx="741426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Example:</a:t>
          </a:r>
          <a:r>
            <a:rPr lang="en-US" sz="1100" baseline="0"/>
            <a:t> 10 year, annual coupon bond: Needs discount rates at the 1, 2, 3, 4, 5, ...10 year points, but we're missing the 4, 6, 8, 9</a:t>
          </a:r>
        </a:p>
        <a:p>
          <a:endParaRPr lang="en-US" sz="1100" baseline="0"/>
        </a:p>
        <a:p>
          <a:endParaRPr lang="en-US" sz="1100"/>
        </a:p>
      </xdr:txBody>
    </xdr:sp>
    <xdr:clientData/>
  </xdr:twoCellAnchor>
  <xdr:twoCellAnchor>
    <xdr:from>
      <xdr:col>14</xdr:col>
      <xdr:colOff>83820</xdr:colOff>
      <xdr:row>16</xdr:row>
      <xdr:rowOff>91440</xdr:rowOff>
    </xdr:from>
    <xdr:to>
      <xdr:col>19</xdr:col>
      <xdr:colOff>198120</xdr:colOff>
      <xdr:row>24</xdr:row>
      <xdr:rowOff>30480</xdr:rowOff>
    </xdr:to>
    <xdr:sp macro="" textlink="">
      <xdr:nvSpPr>
        <xdr:cNvPr id="4" name="TextBox 3">
          <a:extLst>
            <a:ext uri="{FF2B5EF4-FFF2-40B4-BE49-F238E27FC236}">
              <a16:creationId xmlns:a16="http://schemas.microsoft.com/office/drawing/2014/main" id="{3BE3EE46-756C-FBD8-06C7-59E8B1F599B2}"/>
            </a:ext>
          </a:extLst>
        </xdr:cNvPr>
        <xdr:cNvSpPr txBox="1"/>
      </xdr:nvSpPr>
      <xdr:spPr>
        <a:xfrm>
          <a:off x="10652760" y="3017520"/>
          <a:ext cx="3162300" cy="1402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a:t>
          </a:r>
          <a:r>
            <a:rPr lang="en-US" sz="1100" baseline="0"/>
            <a:t> YOUR OWN: Build the curve for the unshocked, original values, so that you can compare the original bond value against shocked bond values without using copy/paste-value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7938-89B3-47EB-97AF-3478EFFB7469}">
  <dimension ref="B1:N6"/>
  <sheetViews>
    <sheetView topLeftCell="B1" zoomScale="150" zoomScaleNormal="150" workbookViewId="0">
      <selection activeCell="B14" sqref="B14"/>
    </sheetView>
  </sheetViews>
  <sheetFormatPr defaultRowHeight="14.4" x14ac:dyDescent="0.3"/>
  <cols>
    <col min="2" max="3" width="9.77734375" bestFit="1" customWidth="1"/>
    <col min="4" max="4" width="10.109375" bestFit="1" customWidth="1"/>
    <col min="5" max="5" width="9.77734375" bestFit="1" customWidth="1"/>
    <col min="6" max="11" width="10.77734375" bestFit="1" customWidth="1"/>
    <col min="12" max="12" width="12.21875" bestFit="1" customWidth="1"/>
    <col min="13" max="14" width="9.77734375" bestFit="1" customWidth="1"/>
  </cols>
  <sheetData>
    <row r="1" spans="2:14" x14ac:dyDescent="0.3">
      <c r="B1" t="s">
        <v>0</v>
      </c>
      <c r="C1" s="2">
        <f ca="1">TODAY()+30</f>
        <v>45476</v>
      </c>
      <c r="D1" s="2">
        <f ca="1">C1+31</f>
        <v>45507</v>
      </c>
      <c r="E1" s="2">
        <f ca="1">D1+31</f>
        <v>45538</v>
      </c>
      <c r="F1" s="2">
        <f ca="1">E1+91</f>
        <v>45629</v>
      </c>
      <c r="G1" s="2">
        <f ca="1">F1+182</f>
        <v>45811</v>
      </c>
      <c r="H1" s="2">
        <f ca="1">G1+366</f>
        <v>46177</v>
      </c>
      <c r="I1" s="2">
        <f ca="1">H1+365</f>
        <v>46542</v>
      </c>
      <c r="J1" s="2">
        <f ca="1">I1+730</f>
        <v>47272</v>
      </c>
      <c r="K1" s="2">
        <f ca="1">J1+731</f>
        <v>48003</v>
      </c>
      <c r="L1" s="2">
        <f ca="1">K1+3*365+1</f>
        <v>49099</v>
      </c>
      <c r="M1" s="2">
        <f ca="1">L1+3652</f>
        <v>52751</v>
      </c>
      <c r="N1" s="2">
        <f ca="1">M1+3653</f>
        <v>56404</v>
      </c>
    </row>
    <row r="2" spans="2:14" x14ac:dyDescent="0.3">
      <c r="C2" s="7" t="s">
        <v>3</v>
      </c>
      <c r="D2" s="7" t="s">
        <v>4</v>
      </c>
      <c r="E2" s="7" t="s">
        <v>5</v>
      </c>
      <c r="F2" s="7" t="s">
        <v>6</v>
      </c>
      <c r="G2" s="7" t="s">
        <v>7</v>
      </c>
      <c r="H2" s="7" t="s">
        <v>8</v>
      </c>
      <c r="I2" s="7" t="s">
        <v>9</v>
      </c>
      <c r="J2" s="7" t="s">
        <v>10</v>
      </c>
      <c r="K2" s="7" t="s">
        <v>11</v>
      </c>
      <c r="L2" s="7" t="s">
        <v>12</v>
      </c>
      <c r="M2" s="7" t="s">
        <v>13</v>
      </c>
      <c r="N2" s="7" t="s">
        <v>14</v>
      </c>
    </row>
    <row r="3" spans="2:14" x14ac:dyDescent="0.3">
      <c r="B3" t="s">
        <v>1</v>
      </c>
      <c r="C3" s="3">
        <f>1/12</f>
        <v>8.3333333333333329E-2</v>
      </c>
      <c r="D3" s="3">
        <f>2/12</f>
        <v>0.16666666666666666</v>
      </c>
      <c r="E3" s="3">
        <f>3/12</f>
        <v>0.25</v>
      </c>
      <c r="F3" s="3">
        <f>6/12</f>
        <v>0.5</v>
      </c>
      <c r="G3" s="3">
        <f>1</f>
        <v>1</v>
      </c>
      <c r="H3" s="3">
        <f>2</f>
        <v>2</v>
      </c>
      <c r="I3" s="3">
        <v>3</v>
      </c>
      <c r="J3" s="3">
        <v>5</v>
      </c>
      <c r="K3" s="3">
        <v>7</v>
      </c>
      <c r="L3" s="3">
        <v>10</v>
      </c>
      <c r="M3" s="3">
        <v>20</v>
      </c>
      <c r="N3" s="3">
        <v>30</v>
      </c>
    </row>
    <row r="4" spans="2:14" x14ac:dyDescent="0.3">
      <c r="B4" t="s">
        <v>15</v>
      </c>
      <c r="C4" s="9">
        <f>2.93322689695209/100</f>
        <v>2.9332268969520899E-2</v>
      </c>
      <c r="D4" s="9">
        <f>3.36279173959349/100</f>
        <v>3.3627917395934903E-2</v>
      </c>
      <c r="E4" s="9">
        <f>3.51735447673085/100</f>
        <v>3.5173544767308502E-2</v>
      </c>
      <c r="F4" s="9">
        <f>3.51843791417031/100</f>
        <v>3.5184379141703102E-2</v>
      </c>
      <c r="G4" s="9">
        <f>3.49564713700021/100</f>
        <v>3.4956471370002101E-2</v>
      </c>
      <c r="H4" s="5">
        <f>317%/100</f>
        <v>3.1699999999999999E-2</v>
      </c>
      <c r="I4" s="5">
        <f>335%/100</f>
        <v>3.3500000000000002E-2</v>
      </c>
      <c r="J4" s="5">
        <f>334%/100</f>
        <v>3.3399999999999999E-2</v>
      </c>
      <c r="K4" s="5">
        <f>334%/100</f>
        <v>3.3399999999999999E-2</v>
      </c>
      <c r="L4" s="5">
        <f>325%/100</f>
        <v>3.2500000000000001E-2</v>
      </c>
      <c r="M4" s="5">
        <f>355%/100</f>
        <v>3.5499999999999997E-2</v>
      </c>
      <c r="N4" s="5">
        <f>330%/100</f>
        <v>3.3000000000000002E-2</v>
      </c>
    </row>
    <row r="5" spans="2:14" x14ac:dyDescent="0.3">
      <c r="B5" s="2">
        <v>44729</v>
      </c>
      <c r="D5" s="4"/>
      <c r="E5" s="4"/>
      <c r="F5" s="4"/>
      <c r="G5" s="4"/>
      <c r="H5" s="4"/>
      <c r="I5" s="4"/>
    </row>
    <row r="6" spans="2:14" x14ac:dyDescent="0.3">
      <c r="B6" t="s">
        <v>2</v>
      </c>
      <c r="D6" s="6">
        <f>(((1+D4)^D3)/(1+C4)^C3)^12-1</f>
        <v>3.794149258512447E-2</v>
      </c>
      <c r="E6" s="6">
        <f>(((1+E4)^E3)/(1+D4)^D3)^12-1</f>
        <v>3.8271736691329883E-2</v>
      </c>
      <c r="F6" s="6">
        <f>(((1+F4)^F3)/(1+E4)^E3)^4-1</f>
        <v>3.519521362949285E-2</v>
      </c>
      <c r="G6" s="6">
        <f>(((1+G4)^G3)/(1+F4)^F3)^2-1</f>
        <v>3.4728613774823947E-2</v>
      </c>
      <c r="H6" s="6">
        <f>(((1+H4)^H3)/(1+G4)^G3)^1-1</f>
        <v>2.8453775056854536E-2</v>
      </c>
      <c r="I6" s="6">
        <f>(((1+I4)^I3)/(1+H4)^H3)^1-1</f>
        <v>3.7109426822532043E-2</v>
      </c>
      <c r="J6" s="6">
        <f>(((1+J4)^J3)/(1+I4)^I3)^(1/2)-1</f>
        <v>3.3250018141942395E-2</v>
      </c>
      <c r="K6" s="6">
        <f>(((1+K4)^K3)/(1+J4)^J3)^(1/2)-1</f>
        <v>3.3400000000000096E-2</v>
      </c>
      <c r="L6" s="6">
        <f>(((1+L4)^L3)/(1+K4)^K3)^(1/3)-1</f>
        <v>3.0403047010656215E-2</v>
      </c>
      <c r="M6" s="6">
        <f>(((1+M4)^M3)/(1+L4)^L3)^(1/10)-1</f>
        <v>3.8508716707021939E-2</v>
      </c>
      <c r="N6" s="6">
        <f>(((1+N4)^N3)/(1+M4)^M3)^(1/10)-1</f>
        <v>2.801809262256949E-2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C01A3-5C19-418F-8449-E3D8A23FAFB0}">
  <dimension ref="B1:N9"/>
  <sheetViews>
    <sheetView topLeftCell="C3" zoomScale="150" zoomScaleNormal="150" workbookViewId="0">
      <selection activeCell="G9" sqref="G9"/>
    </sheetView>
  </sheetViews>
  <sheetFormatPr defaultRowHeight="14.4" x14ac:dyDescent="0.3"/>
  <cols>
    <col min="2" max="2" width="13" bestFit="1" customWidth="1"/>
    <col min="3" max="3" width="9.77734375" bestFit="1" customWidth="1"/>
    <col min="4" max="4" width="10.109375" bestFit="1" customWidth="1"/>
    <col min="5" max="5" width="9.77734375" bestFit="1" customWidth="1"/>
    <col min="6" max="11" width="10.77734375" bestFit="1" customWidth="1"/>
    <col min="12" max="12" width="12.21875" bestFit="1" customWidth="1"/>
    <col min="13" max="14" width="9.77734375" bestFit="1" customWidth="1"/>
  </cols>
  <sheetData>
    <row r="1" spans="2:14" x14ac:dyDescent="0.3">
      <c r="B1" t="s">
        <v>0</v>
      </c>
      <c r="C1" s="2">
        <f ca="1">TODAY()+30</f>
        <v>45476</v>
      </c>
      <c r="D1" s="2">
        <f ca="1">C1+31</f>
        <v>45507</v>
      </c>
      <c r="E1" s="2">
        <f ca="1">D1+31</f>
        <v>45538</v>
      </c>
      <c r="F1" s="2">
        <f ca="1">E1+91</f>
        <v>45629</v>
      </c>
      <c r="G1" s="2">
        <f ca="1">F1+182</f>
        <v>45811</v>
      </c>
      <c r="H1" s="2">
        <f ca="1">G1+366</f>
        <v>46177</v>
      </c>
      <c r="I1" s="2">
        <f ca="1">H1+365</f>
        <v>46542</v>
      </c>
      <c r="J1" s="2">
        <f ca="1">I1+730</f>
        <v>47272</v>
      </c>
      <c r="K1" s="2">
        <f ca="1">J1+731</f>
        <v>48003</v>
      </c>
      <c r="L1" s="2">
        <f ca="1">K1+3*365+1</f>
        <v>49099</v>
      </c>
      <c r="M1" s="2">
        <f ca="1">L1+3652</f>
        <v>52751</v>
      </c>
      <c r="N1" s="2">
        <f ca="1">M1+3653</f>
        <v>56404</v>
      </c>
    </row>
    <row r="2" spans="2:14" x14ac:dyDescent="0.3">
      <c r="C2" s="7" t="s">
        <v>3</v>
      </c>
      <c r="D2" s="7" t="s">
        <v>4</v>
      </c>
      <c r="E2" s="7" t="s">
        <v>5</v>
      </c>
      <c r="F2" s="7" t="s">
        <v>6</v>
      </c>
      <c r="G2" s="7" t="s">
        <v>7</v>
      </c>
      <c r="H2" s="7" t="s">
        <v>8</v>
      </c>
      <c r="I2" s="7" t="s">
        <v>9</v>
      </c>
      <c r="J2" s="7" t="s">
        <v>10</v>
      </c>
      <c r="K2" s="7" t="s">
        <v>11</v>
      </c>
      <c r="L2" s="7" t="s">
        <v>12</v>
      </c>
      <c r="M2" s="7" t="s">
        <v>13</v>
      </c>
      <c r="N2" s="7" t="s">
        <v>14</v>
      </c>
    </row>
    <row r="3" spans="2:14" x14ac:dyDescent="0.3">
      <c r="B3" t="s">
        <v>1</v>
      </c>
      <c r="C3" s="3">
        <f>1/12</f>
        <v>8.3333333333333329E-2</v>
      </c>
      <c r="D3" s="3">
        <f>2/12</f>
        <v>0.16666666666666666</v>
      </c>
      <c r="E3" s="3">
        <f>3/12</f>
        <v>0.25</v>
      </c>
      <c r="F3" s="3">
        <f>6/12</f>
        <v>0.5</v>
      </c>
      <c r="G3" s="3">
        <f>1</f>
        <v>1</v>
      </c>
      <c r="H3" s="3">
        <f>2</f>
        <v>2</v>
      </c>
      <c r="I3" s="3">
        <v>3</v>
      </c>
      <c r="J3" s="3">
        <v>5</v>
      </c>
      <c r="K3" s="3">
        <v>7</v>
      </c>
      <c r="L3" s="3">
        <v>10</v>
      </c>
      <c r="M3" s="3">
        <v>20</v>
      </c>
      <c r="N3" s="3">
        <v>30</v>
      </c>
    </row>
    <row r="4" spans="2:14" x14ac:dyDescent="0.3">
      <c r="B4" t="s">
        <v>15</v>
      </c>
      <c r="C4" s="5">
        <v>1.15E-2</v>
      </c>
      <c r="D4" s="5">
        <f>150%/100</f>
        <v>1.4999999999999999E-2</v>
      </c>
      <c r="E4" s="5">
        <f>163%/100</f>
        <v>1.6299999999999999E-2</v>
      </c>
      <c r="F4" s="5">
        <f>225%/100</f>
        <v>2.2499999999999999E-2</v>
      </c>
      <c r="G4" s="5">
        <f>286%/100</f>
        <v>2.86E-2</v>
      </c>
      <c r="H4" s="5">
        <f>317%/100</f>
        <v>3.1699999999999999E-2</v>
      </c>
      <c r="I4" s="5">
        <f>335%/100</f>
        <v>3.3500000000000002E-2</v>
      </c>
      <c r="J4" s="5">
        <f>334%/100</f>
        <v>3.3399999999999999E-2</v>
      </c>
      <c r="K4" s="5">
        <f>334%/100</f>
        <v>3.3399999999999999E-2</v>
      </c>
      <c r="L4" s="5">
        <f>325%/100</f>
        <v>3.2500000000000001E-2</v>
      </c>
      <c r="M4" s="5">
        <f>355%/100</f>
        <v>3.5499999999999997E-2</v>
      </c>
      <c r="N4" s="5">
        <f>330%/100</f>
        <v>3.3000000000000002E-2</v>
      </c>
    </row>
    <row r="5" spans="2:14" x14ac:dyDescent="0.3">
      <c r="B5" s="2">
        <v>44729</v>
      </c>
      <c r="D5" s="4"/>
      <c r="E5" s="4"/>
      <c r="F5" s="4"/>
      <c r="G5" s="4"/>
      <c r="H5" s="4"/>
      <c r="I5" s="4"/>
    </row>
    <row r="6" spans="2:14" x14ac:dyDescent="0.3">
      <c r="B6" t="s">
        <v>2</v>
      </c>
      <c r="D6" s="6">
        <f>(((1+D4)^D3)/(1+C4)^C3)^12-1</f>
        <v>1.8512110726644826E-2</v>
      </c>
      <c r="E6" s="6">
        <f>(((1+E4)^E3)/(1+D4)^D3)^12-1</f>
        <v>1.8904997206435015E-2</v>
      </c>
      <c r="F6" s="6">
        <f>(((1+F4)^F3)/(1+E4)^E3)^4-1</f>
        <v>2.8737823477319679E-2</v>
      </c>
      <c r="G6" s="6">
        <f>(((1+G4)^G3)/(1+F4)^F3)^2-1</f>
        <v>3.4736391198044059E-2</v>
      </c>
      <c r="H6" s="6">
        <f>(((1+H4)^H3)/(1+G4)^G3)^1-1</f>
        <v>3.4809342796033427E-2</v>
      </c>
      <c r="I6" s="6">
        <f>(((1+I4)^I3)/(1+H4)^H3)^1-1</f>
        <v>3.7109426822532043E-2</v>
      </c>
      <c r="J6" s="6">
        <f>(((1+J4)^J3)/(1+I4)^I3)^(1/2)-1</f>
        <v>3.3250018141942395E-2</v>
      </c>
      <c r="K6" s="6">
        <f>(((1+K4)^K3)/(1+J4)^J3)^(1/2)-1</f>
        <v>3.3400000000000096E-2</v>
      </c>
      <c r="L6" s="6">
        <f>(((1+L4)^L3)/(1+K4)^K3)^(1/3)-1</f>
        <v>3.0403047010656215E-2</v>
      </c>
      <c r="M6" s="6">
        <f>(((1+M4)^M3)/(1+L4)^L3)^(1/10)-1</f>
        <v>3.8508716707021939E-2</v>
      </c>
      <c r="N6" s="6">
        <f>(((1+N4)^N3)/(1+M4)^M3)^(1/10)-1</f>
        <v>2.801809262256949E-2</v>
      </c>
    </row>
    <row r="8" spans="2:14" x14ac:dyDescent="0.3">
      <c r="B8" t="s">
        <v>16</v>
      </c>
      <c r="C8" s="4">
        <f t="shared" ref="C8:G8" si="0">C4+C9</f>
        <v>2.1499999999999998E-2</v>
      </c>
      <c r="D8" s="4">
        <f t="shared" si="0"/>
        <v>2.5000000000000001E-2</v>
      </c>
      <c r="E8" s="4">
        <f t="shared" si="0"/>
        <v>2.6299999999999997E-2</v>
      </c>
      <c r="F8" s="4">
        <f t="shared" si="0"/>
        <v>3.2500000000000001E-2</v>
      </c>
      <c r="G8" s="4">
        <f t="shared" si="0"/>
        <v>3.8600000000000002E-2</v>
      </c>
      <c r="H8" s="4">
        <f>H4+H9</f>
        <v>4.1700000000000001E-2</v>
      </c>
      <c r="I8" s="4">
        <f t="shared" ref="I8:N8" si="1">I4+I9</f>
        <v>4.3500000000000004E-2</v>
      </c>
      <c r="J8" s="4">
        <f t="shared" si="1"/>
        <v>4.3400000000000001E-2</v>
      </c>
      <c r="K8" s="4">
        <f t="shared" si="1"/>
        <v>4.3400000000000001E-2</v>
      </c>
      <c r="L8" s="4">
        <f t="shared" si="1"/>
        <v>4.2500000000000003E-2</v>
      </c>
      <c r="M8" s="4">
        <f t="shared" si="1"/>
        <v>4.5499999999999999E-2</v>
      </c>
      <c r="N8" s="4">
        <f t="shared" si="1"/>
        <v>4.3000000000000003E-2</v>
      </c>
    </row>
    <row r="9" spans="2:14" x14ac:dyDescent="0.3">
      <c r="B9" s="10" t="s">
        <v>21</v>
      </c>
      <c r="C9" s="12">
        <v>0.01</v>
      </c>
      <c r="D9" s="12">
        <v>0.01</v>
      </c>
      <c r="E9" s="12">
        <v>0.01</v>
      </c>
      <c r="F9" s="12">
        <v>0.01</v>
      </c>
      <c r="G9" s="12">
        <v>0.01</v>
      </c>
      <c r="H9" s="12">
        <v>0.01</v>
      </c>
      <c r="I9" s="12">
        <v>0.01</v>
      </c>
      <c r="J9" s="12">
        <v>0.01</v>
      </c>
      <c r="K9" s="12">
        <v>0.01</v>
      </c>
      <c r="L9" s="12">
        <v>0.01</v>
      </c>
      <c r="M9" s="12">
        <v>0.01</v>
      </c>
      <c r="N9" s="12">
        <v>0.01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4892B-C008-47F1-8766-C3019F26335A}">
  <dimension ref="B1:N12"/>
  <sheetViews>
    <sheetView topLeftCell="C1" zoomScale="150" zoomScaleNormal="150" workbookViewId="0">
      <selection activeCell="B1" sqref="B1:N12"/>
    </sheetView>
  </sheetViews>
  <sheetFormatPr defaultRowHeight="14.4" x14ac:dyDescent="0.3"/>
  <cols>
    <col min="2" max="2" width="16" bestFit="1" customWidth="1"/>
    <col min="3" max="3" width="9.77734375" bestFit="1" customWidth="1"/>
    <col min="4" max="4" width="10.109375" bestFit="1" customWidth="1"/>
    <col min="5" max="5" width="9.77734375" bestFit="1" customWidth="1"/>
    <col min="6" max="11" width="10.77734375" bestFit="1" customWidth="1"/>
    <col min="12" max="12" width="12.21875" bestFit="1" customWidth="1"/>
    <col min="13" max="14" width="9.77734375" bestFit="1" customWidth="1"/>
  </cols>
  <sheetData>
    <row r="1" spans="2:14" x14ac:dyDescent="0.3">
      <c r="B1" t="s">
        <v>0</v>
      </c>
      <c r="C1" s="2">
        <f ca="1">TODAY()+30</f>
        <v>45476</v>
      </c>
      <c r="D1" s="2">
        <f ca="1">C1+31</f>
        <v>45507</v>
      </c>
      <c r="E1" s="2">
        <f ca="1">D1+31</f>
        <v>45538</v>
      </c>
      <c r="F1" s="2">
        <f ca="1">E1+91</f>
        <v>45629</v>
      </c>
      <c r="G1" s="2">
        <f ca="1">F1+182</f>
        <v>45811</v>
      </c>
      <c r="H1" s="2">
        <f ca="1">G1+366</f>
        <v>46177</v>
      </c>
      <c r="I1" s="2">
        <f ca="1">H1+365</f>
        <v>46542</v>
      </c>
      <c r="J1" s="2">
        <f ca="1">I1+730</f>
        <v>47272</v>
      </c>
      <c r="K1" s="2">
        <f ca="1">J1+731</f>
        <v>48003</v>
      </c>
      <c r="L1" s="2">
        <f ca="1">K1+3*365+1</f>
        <v>49099</v>
      </c>
      <c r="M1" s="2">
        <f ca="1">L1+3652</f>
        <v>52751</v>
      </c>
      <c r="N1" s="2">
        <f ca="1">M1+3653</f>
        <v>56404</v>
      </c>
    </row>
    <row r="2" spans="2:14" x14ac:dyDescent="0.3">
      <c r="C2" s="7" t="s">
        <v>3</v>
      </c>
      <c r="D2" s="7" t="s">
        <v>4</v>
      </c>
      <c r="E2" s="7" t="s">
        <v>5</v>
      </c>
      <c r="F2" s="7" t="s">
        <v>6</v>
      </c>
      <c r="G2" s="7" t="s">
        <v>7</v>
      </c>
      <c r="H2" s="7" t="s">
        <v>8</v>
      </c>
      <c r="I2" s="7" t="s">
        <v>9</v>
      </c>
      <c r="J2" s="7" t="s">
        <v>10</v>
      </c>
      <c r="K2" s="7" t="s">
        <v>11</v>
      </c>
      <c r="L2" s="7" t="s">
        <v>12</v>
      </c>
      <c r="M2" s="7" t="s">
        <v>13</v>
      </c>
      <c r="N2" s="7" t="s">
        <v>14</v>
      </c>
    </row>
    <row r="3" spans="2:14" x14ac:dyDescent="0.3">
      <c r="B3" t="s">
        <v>1</v>
      </c>
      <c r="C3" s="3">
        <f>1/12</f>
        <v>8.3333333333333329E-2</v>
      </c>
      <c r="D3" s="3">
        <f>2/12</f>
        <v>0.16666666666666666</v>
      </c>
      <c r="E3" s="3">
        <f>3/12</f>
        <v>0.25</v>
      </c>
      <c r="F3" s="3">
        <f>6/12</f>
        <v>0.5</v>
      </c>
      <c r="G3" s="3">
        <f>1</f>
        <v>1</v>
      </c>
      <c r="H3" s="3">
        <f>2</f>
        <v>2</v>
      </c>
      <c r="I3" s="3">
        <v>3</v>
      </c>
      <c r="J3" s="3">
        <v>5</v>
      </c>
      <c r="K3" s="3">
        <v>7</v>
      </c>
      <c r="L3" s="3">
        <v>10</v>
      </c>
      <c r="M3" s="3">
        <v>20</v>
      </c>
      <c r="N3" s="3">
        <v>30</v>
      </c>
    </row>
    <row r="4" spans="2:14" x14ac:dyDescent="0.3">
      <c r="B4" t="s">
        <v>15</v>
      </c>
      <c r="C4" s="5">
        <v>1.15E-2</v>
      </c>
      <c r="D4" s="5">
        <f>150%/100</f>
        <v>1.4999999999999999E-2</v>
      </c>
      <c r="E4" s="5">
        <f>163%/100</f>
        <v>1.6299999999999999E-2</v>
      </c>
      <c r="F4" s="5">
        <f>225%/100</f>
        <v>2.2499999999999999E-2</v>
      </c>
      <c r="G4" s="5">
        <f>286%/100</f>
        <v>2.86E-2</v>
      </c>
      <c r="H4" s="5">
        <f>317%/100</f>
        <v>3.1699999999999999E-2</v>
      </c>
      <c r="I4" s="5">
        <f>335%/100</f>
        <v>3.3500000000000002E-2</v>
      </c>
      <c r="J4" s="5">
        <f>334%/100</f>
        <v>3.3399999999999999E-2</v>
      </c>
      <c r="K4" s="5">
        <f>334%/100</f>
        <v>3.3399999999999999E-2</v>
      </c>
      <c r="L4" s="5">
        <f>325%/100</f>
        <v>3.2500000000000001E-2</v>
      </c>
      <c r="M4" s="5">
        <f>355%/100</f>
        <v>3.5499999999999997E-2</v>
      </c>
      <c r="N4" s="5">
        <f>330%/100</f>
        <v>3.3000000000000002E-2</v>
      </c>
    </row>
    <row r="5" spans="2:14" x14ac:dyDescent="0.3">
      <c r="B5" s="2">
        <v>44729</v>
      </c>
      <c r="D5" s="4"/>
      <c r="E5" s="4"/>
      <c r="F5" s="4"/>
      <c r="G5" s="4"/>
      <c r="H5" s="4"/>
      <c r="I5" s="4"/>
    </row>
    <row r="6" spans="2:14" x14ac:dyDescent="0.3">
      <c r="B6" t="s">
        <v>2</v>
      </c>
      <c r="D6" s="6">
        <f>(((1+D4)^D3)/(1+C4)^C3)^12-1</f>
        <v>1.8512110726644826E-2</v>
      </c>
      <c r="E6" s="6">
        <f>(((1+E4)^E3)/(1+D4)^D3)^12-1</f>
        <v>1.8904997206435015E-2</v>
      </c>
      <c r="F6" s="6">
        <f>(((1+F4)^F3)/(1+E4)^E3)^4-1</f>
        <v>2.8737823477319679E-2</v>
      </c>
      <c r="G6" s="6">
        <f>(((1+G4)^G3)/(1+F4)^F3)^2-1</f>
        <v>3.4736391198044059E-2</v>
      </c>
      <c r="H6" s="6">
        <f>(((1+H4)^H3)/(1+G4)^G3)^1-1</f>
        <v>3.4809342796033427E-2</v>
      </c>
      <c r="I6" s="6">
        <f>(((1+I4)^I3)/(1+H4)^H3)^1-1</f>
        <v>3.7109426822532043E-2</v>
      </c>
      <c r="J6" s="6">
        <f>(((1+J4)^J3)/(1+I4)^I3)^(1/2)-1</f>
        <v>3.3250018141942395E-2</v>
      </c>
      <c r="K6" s="6">
        <f>(((1+K4)^K3)/(1+J4)^J3)^(1/2)-1</f>
        <v>3.3400000000000096E-2</v>
      </c>
      <c r="L6" s="6">
        <f>(((1+L4)^L3)/(1+K4)^K3)^(1/3)-1</f>
        <v>3.0403047010656215E-2</v>
      </c>
      <c r="M6" s="6">
        <f>(((1+M4)^M3)/(1+L4)^L3)^(1/10)-1</f>
        <v>3.8508716707021939E-2</v>
      </c>
      <c r="N6" s="6">
        <f>(((1+N4)^N3)/(1+M4)^M3)^(1/10)-1</f>
        <v>2.801809262256949E-2</v>
      </c>
    </row>
    <row r="7" spans="2:14" x14ac:dyDescent="0.3">
      <c r="C7" s="7" t="s">
        <v>3</v>
      </c>
      <c r="D7" s="7" t="s">
        <v>4</v>
      </c>
      <c r="E7" s="7" t="s">
        <v>5</v>
      </c>
      <c r="F7" s="7" t="s">
        <v>6</v>
      </c>
      <c r="G7" s="7" t="s">
        <v>7</v>
      </c>
      <c r="H7" s="7" t="s">
        <v>8</v>
      </c>
      <c r="I7" s="7" t="s">
        <v>9</v>
      </c>
      <c r="J7" s="7" t="s">
        <v>10</v>
      </c>
      <c r="K7" s="7" t="s">
        <v>11</v>
      </c>
      <c r="L7" s="7" t="s">
        <v>12</v>
      </c>
      <c r="M7" s="7" t="s">
        <v>13</v>
      </c>
      <c r="N7" s="7" t="s">
        <v>14</v>
      </c>
    </row>
    <row r="8" spans="2:14" x14ac:dyDescent="0.3">
      <c r="B8" t="s">
        <v>20</v>
      </c>
      <c r="C8" s="4">
        <f>C4</f>
        <v>1.15E-2</v>
      </c>
      <c r="D8" s="5">
        <f>((1+C4)*(1+D6))^0.5-1</f>
        <v>1.5000000000000568E-2</v>
      </c>
      <c r="E8" s="5">
        <f>((1+D8)^2*(1+E6))^(1/3)-1</f>
        <v>1.6300000000000203E-2</v>
      </c>
      <c r="F8" s="5">
        <f>((1+E8)^3*(1+F6)^3)^(1/6)-1</f>
        <v>2.2500000000000187E-2</v>
      </c>
      <c r="G8" s="5">
        <f>((1+F8)^6*(1+G6)^6)^(1/12)-1</f>
        <v>2.8600000000000181E-2</v>
      </c>
      <c r="H8" s="5">
        <f>((1+G8)^12*(1+H6)^12)^(1/24)-1</f>
        <v>3.1700000000000061E-2</v>
      </c>
      <c r="I8" s="5">
        <f>((1+H8)^2*(1+I6)^1)^(1/3)-1</f>
        <v>3.3500000000000085E-2</v>
      </c>
      <c r="J8" s="5">
        <f>((1+I8)^3*(1+J6)^2)^(1/5)-1</f>
        <v>3.3400000000000096E-2</v>
      </c>
      <c r="K8" s="5">
        <f>((1+J8)^5*(1+K6)^2)^(1/7)-1</f>
        <v>3.3400000000000096E-2</v>
      </c>
      <c r="L8" s="5">
        <f>((1+K8)^7*(1+L6)^3)^(1/10)-1</f>
        <v>3.2499999999999973E-2</v>
      </c>
      <c r="M8" s="5">
        <f>((1+L8)^10*(1+M6)^10)^(1/20)-1</f>
        <v>3.5500000000000087E-2</v>
      </c>
      <c r="N8" s="5">
        <f>((1+M8)^20*(1+N6)^10)^(1/30)-1</f>
        <v>3.2999999999999918E-2</v>
      </c>
    </row>
    <row r="9" spans="2:14" x14ac:dyDescent="0.3">
      <c r="B9" t="s">
        <v>19</v>
      </c>
      <c r="D9" s="8">
        <f>D6+D12</f>
        <v>1.8512110726644826E-2</v>
      </c>
      <c r="E9" s="8">
        <f t="shared" ref="E9:N9" si="0">E6+E12</f>
        <v>1.8904997206435015E-2</v>
      </c>
      <c r="F9" s="8">
        <f t="shared" si="0"/>
        <v>2.8737823477319679E-2</v>
      </c>
      <c r="G9" s="8">
        <f t="shared" si="0"/>
        <v>3.4736391198044059E-2</v>
      </c>
      <c r="H9" s="8">
        <f t="shared" si="0"/>
        <v>4.4809342796033429E-2</v>
      </c>
      <c r="I9" s="8">
        <f t="shared" si="0"/>
        <v>3.7109426822532043E-2</v>
      </c>
      <c r="J9" s="8">
        <f t="shared" si="0"/>
        <v>3.3250018141942395E-2</v>
      </c>
      <c r="K9" s="8">
        <f>K6+K12</f>
        <v>3.3400000000000096E-2</v>
      </c>
      <c r="L9" s="8">
        <f>L6+L12</f>
        <v>3.0403047010656215E-2</v>
      </c>
      <c r="M9" s="8">
        <f t="shared" si="0"/>
        <v>3.8508716707021939E-2</v>
      </c>
      <c r="N9" s="8">
        <f t="shared" si="0"/>
        <v>2.801809262256949E-2</v>
      </c>
    </row>
    <row r="10" spans="2:14" x14ac:dyDescent="0.3">
      <c r="B10" t="s">
        <v>17</v>
      </c>
      <c r="C10" s="4">
        <f>C4+C12</f>
        <v>1.15E-2</v>
      </c>
      <c r="D10" s="5">
        <f>((1+C10)*(1+D9))^0.5-1</f>
        <v>1.5000000000000568E-2</v>
      </c>
      <c r="E10" s="5">
        <f>((1+D10)^2*(1+E9))^(1/3)-1</f>
        <v>1.6300000000000203E-2</v>
      </c>
      <c r="F10" s="5">
        <f>((1+E10)^3*(1+F9)^3)^(1/6)-1</f>
        <v>2.2500000000000187E-2</v>
      </c>
      <c r="G10" s="5">
        <f>((1+F10)^6*(1+G9)^6)^(1/12)-1</f>
        <v>2.8600000000000181E-2</v>
      </c>
      <c r="H10" s="5">
        <f>((1+G10)^12*(1+H9)^12)^(1/24)-1</f>
        <v>3.6672990870312949E-2</v>
      </c>
      <c r="I10" s="5">
        <f>((1+H10)^2*(1+I9)^1)^(1/3)-1</f>
        <v>3.6818449110480156E-2</v>
      </c>
      <c r="J10" s="5">
        <f>((1+I10)^3*(1+J9)^2)^(1/5)-1</f>
        <v>3.538960023015747E-2</v>
      </c>
      <c r="K10" s="5">
        <f>((1+J10)^5*(1+K9)^2)^(1/7)-1</f>
        <v>3.482075246941152E-2</v>
      </c>
      <c r="L10" s="5">
        <f>((1+K10)^7*(1+L9)^3)^(1/10)-1</f>
        <v>3.3493455788143667E-2</v>
      </c>
      <c r="M10" s="5">
        <f>((1+L10)^10*(1+M9)^10)^(1/20)-1</f>
        <v>3.5998051395682129E-2</v>
      </c>
      <c r="N10" s="5">
        <f>((1+M10)^20*(1+N9)^10)^(1/30)-1</f>
        <v>3.3331206089061149E-2</v>
      </c>
    </row>
    <row r="12" spans="2:14" x14ac:dyDescent="0.3">
      <c r="B12" s="10" t="s">
        <v>18</v>
      </c>
      <c r="C12" s="11"/>
      <c r="D12" s="11"/>
      <c r="E12" s="11"/>
      <c r="F12" s="11"/>
      <c r="G12" s="11"/>
      <c r="H12" s="11">
        <v>0.01</v>
      </c>
      <c r="I12" s="11"/>
      <c r="J12" s="11"/>
      <c r="K12" s="11"/>
      <c r="L12" s="11"/>
      <c r="M12" s="11"/>
      <c r="N12" s="1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3D0F3-CFD2-4964-A53A-F891FBBC3493}">
  <dimension ref="A1:M29"/>
  <sheetViews>
    <sheetView tabSelected="1" workbookViewId="0">
      <selection activeCell="A20" sqref="A20"/>
    </sheetView>
  </sheetViews>
  <sheetFormatPr defaultRowHeight="14.4" x14ac:dyDescent="0.3"/>
  <cols>
    <col min="1" max="1" width="28.5546875" bestFit="1" customWidth="1"/>
    <col min="3" max="3" width="14.6640625" bestFit="1" customWidth="1"/>
    <col min="7" max="7" width="13.109375" bestFit="1" customWidth="1"/>
  </cols>
  <sheetData>
    <row r="1" spans="1:13" x14ac:dyDescent="0.3">
      <c r="A1" t="s">
        <v>0</v>
      </c>
      <c r="B1" s="2">
        <f ca="1">TODAY()+30</f>
        <v>45476</v>
      </c>
      <c r="C1" s="2">
        <f ca="1">B1+31</f>
        <v>45507</v>
      </c>
      <c r="D1" s="2">
        <f ca="1">C1+31</f>
        <v>45538</v>
      </c>
      <c r="E1" s="2">
        <f ca="1">D1+91</f>
        <v>45629</v>
      </c>
      <c r="F1" s="2">
        <f ca="1">E1+182</f>
        <v>45811</v>
      </c>
      <c r="G1" s="2">
        <f ca="1">F1+366</f>
        <v>46177</v>
      </c>
      <c r="H1" s="2">
        <f ca="1">G1+365</f>
        <v>46542</v>
      </c>
      <c r="I1" s="2">
        <f ca="1">H1+730</f>
        <v>47272</v>
      </c>
      <c r="J1" s="2">
        <f ca="1">I1+731</f>
        <v>48003</v>
      </c>
      <c r="K1" s="2">
        <f ca="1">J1+3*365+1</f>
        <v>49099</v>
      </c>
      <c r="L1" s="2">
        <f ca="1">K1+3652</f>
        <v>52751</v>
      </c>
      <c r="M1" s="2">
        <f ca="1">L1+3653</f>
        <v>56404</v>
      </c>
    </row>
    <row r="2" spans="1:13" x14ac:dyDescent="0.3">
      <c r="B2" s="7" t="s">
        <v>3</v>
      </c>
      <c r="C2" s="7" t="s">
        <v>4</v>
      </c>
      <c r="D2" s="7" t="s">
        <v>5</v>
      </c>
      <c r="E2" s="7" t="s">
        <v>6</v>
      </c>
      <c r="F2" s="7" t="s">
        <v>7</v>
      </c>
      <c r="G2" s="7" t="s">
        <v>8</v>
      </c>
      <c r="H2" s="7" t="s">
        <v>9</v>
      </c>
      <c r="I2" s="7" t="s">
        <v>10</v>
      </c>
      <c r="J2" s="7" t="s">
        <v>11</v>
      </c>
      <c r="K2" s="7" t="s">
        <v>12</v>
      </c>
      <c r="L2" s="7" t="s">
        <v>13</v>
      </c>
      <c r="M2" s="7" t="s">
        <v>14</v>
      </c>
    </row>
    <row r="3" spans="1:13" x14ac:dyDescent="0.3">
      <c r="A3" t="s">
        <v>1</v>
      </c>
      <c r="B3" s="3">
        <f>1/12</f>
        <v>8.3333333333333329E-2</v>
      </c>
      <c r="C3" s="3">
        <f>2/12</f>
        <v>0.16666666666666666</v>
      </c>
      <c r="D3" s="3">
        <f>3/12</f>
        <v>0.25</v>
      </c>
      <c r="E3" s="3">
        <f>6/12</f>
        <v>0.5</v>
      </c>
      <c r="F3" s="3">
        <f>1</f>
        <v>1</v>
      </c>
      <c r="G3" s="3">
        <f>2</f>
        <v>2</v>
      </c>
      <c r="H3" s="3">
        <v>3</v>
      </c>
      <c r="I3" s="3">
        <v>5</v>
      </c>
      <c r="J3" s="3">
        <v>7</v>
      </c>
      <c r="K3" s="3">
        <v>10</v>
      </c>
      <c r="L3" s="3">
        <v>20</v>
      </c>
      <c r="M3" s="3">
        <v>30</v>
      </c>
    </row>
    <row r="4" spans="1:13" x14ac:dyDescent="0.3">
      <c r="A4" t="s">
        <v>24</v>
      </c>
      <c r="B4" s="5">
        <v>1.15E-2</v>
      </c>
      <c r="C4" s="5">
        <f>150%/100</f>
        <v>1.4999999999999999E-2</v>
      </c>
      <c r="D4" s="5">
        <f>163%/100</f>
        <v>1.6299999999999999E-2</v>
      </c>
      <c r="E4" s="5">
        <f>225%/100</f>
        <v>2.2499999999999999E-2</v>
      </c>
      <c r="F4" s="5">
        <f>286%/100</f>
        <v>2.86E-2</v>
      </c>
      <c r="G4" s="5">
        <f>317%/100</f>
        <v>3.1699999999999999E-2</v>
      </c>
      <c r="H4" s="5">
        <f>335%/100</f>
        <v>3.3500000000000002E-2</v>
      </c>
      <c r="I4" s="5">
        <f>334%/100</f>
        <v>3.3399999999999999E-2</v>
      </c>
      <c r="J4" s="5">
        <f>334%/100</f>
        <v>3.3399999999999999E-2</v>
      </c>
      <c r="K4" s="5">
        <f>325%/100</f>
        <v>3.2500000000000001E-2</v>
      </c>
      <c r="L4" s="5">
        <f>355%/100</f>
        <v>3.5499999999999997E-2</v>
      </c>
      <c r="M4" s="5">
        <f>330%/100</f>
        <v>3.3000000000000002E-2</v>
      </c>
    </row>
    <row r="5" spans="1:13" x14ac:dyDescent="0.3">
      <c r="A5" s="2">
        <v>44729</v>
      </c>
      <c r="C5" s="4"/>
      <c r="D5" s="4"/>
      <c r="E5" s="4"/>
      <c r="F5" s="4"/>
      <c r="G5" s="4"/>
      <c r="H5" s="4"/>
    </row>
    <row r="6" spans="1:13" x14ac:dyDescent="0.3">
      <c r="A6" t="s">
        <v>2</v>
      </c>
      <c r="C6" s="6">
        <f>(((1+C4)^C3)/(1+B4)^B3)^12-1</f>
        <v>1.8512110726644826E-2</v>
      </c>
      <c r="D6" s="6">
        <f>(((1+D4)^D3)/(1+C4)^C3)^12-1</f>
        <v>1.8904997206435015E-2</v>
      </c>
      <c r="E6" s="6">
        <f>(((1+E4)^E3)/(1+D4)^D3)^4-1</f>
        <v>2.8737823477319679E-2</v>
      </c>
      <c r="F6" s="6">
        <f>(((1+F4)^F3)/(1+E4)^E3)^2-1</f>
        <v>3.4736391198044059E-2</v>
      </c>
      <c r="G6" s="6">
        <f>(((1+G4)^G3)/(1+F4)^F3)^1-1</f>
        <v>3.4809342796033427E-2</v>
      </c>
      <c r="H6" s="6">
        <f>(((1+H4)^H3)/(1+G4)^G3)^1-1</f>
        <v>3.7109426822532043E-2</v>
      </c>
      <c r="I6" s="6">
        <f>(((1+I4)^I3)/(1+H4)^H3)^(1/2)-1</f>
        <v>3.3250018141942395E-2</v>
      </c>
      <c r="J6" s="6">
        <f>(((1+J4)^J3)/(1+I4)^I3)^(1/2)-1</f>
        <v>3.3400000000000096E-2</v>
      </c>
      <c r="K6" s="6">
        <f>(((1+K4)^K3)/(1+J4)^J3)^(1/3)-1</f>
        <v>3.0403047010656215E-2</v>
      </c>
      <c r="L6" s="6">
        <f>(((1+L4)^L3)/(1+K4)^K3)^(1/10)-1</f>
        <v>3.8508716707021939E-2</v>
      </c>
      <c r="M6" s="6">
        <f>(((1+M4)^M3)/(1+L4)^L3)^(1/10)-1</f>
        <v>2.801809262256949E-2</v>
      </c>
    </row>
    <row r="7" spans="1:13" x14ac:dyDescent="0.3">
      <c r="B7" s="7" t="s">
        <v>3</v>
      </c>
      <c r="C7" s="7" t="s">
        <v>4</v>
      </c>
      <c r="D7" s="7" t="s">
        <v>5</v>
      </c>
      <c r="E7" s="7" t="s">
        <v>6</v>
      </c>
      <c r="F7" s="7" t="s">
        <v>7</v>
      </c>
      <c r="G7" s="7" t="s">
        <v>8</v>
      </c>
      <c r="H7" s="7" t="s">
        <v>9</v>
      </c>
      <c r="I7" s="7" t="s">
        <v>10</v>
      </c>
      <c r="J7" s="7" t="s">
        <v>11</v>
      </c>
      <c r="K7" s="7" t="s">
        <v>12</v>
      </c>
      <c r="L7" s="7" t="s">
        <v>13</v>
      </c>
      <c r="M7" s="7" t="s">
        <v>14</v>
      </c>
    </row>
    <row r="8" spans="1:13" x14ac:dyDescent="0.3">
      <c r="A8" t="s">
        <v>25</v>
      </c>
      <c r="B8" s="4">
        <f>B4</f>
        <v>1.15E-2</v>
      </c>
      <c r="C8" s="5">
        <f>((1+B4)*(1+C6))^0.5-1</f>
        <v>1.5000000000000568E-2</v>
      </c>
      <c r="D8" s="5">
        <f>((1+C8)^2*(1+D6))^(1/3)-1</f>
        <v>1.6300000000000203E-2</v>
      </c>
      <c r="E8" s="5">
        <f>((1+D8)^3*(1+E6)^3)^(1/6)-1</f>
        <v>2.2500000000000187E-2</v>
      </c>
      <c r="F8" s="5">
        <f>((1+E8)^6*(1+F6)^6)^(1/12)-1</f>
        <v>2.8600000000000181E-2</v>
      </c>
      <c r="G8" s="5">
        <f>((1+F8)^12*(1+G6)^12)^(1/24)-1</f>
        <v>3.1700000000000061E-2</v>
      </c>
      <c r="H8" s="5">
        <f>((1+G8)^2*(1+H6)^1)^(1/3)-1</f>
        <v>3.3500000000000085E-2</v>
      </c>
      <c r="I8" s="5">
        <f>((1+H8)^3*(1+I6)^2)^(1/5)-1</f>
        <v>3.3400000000000096E-2</v>
      </c>
      <c r="J8" s="5">
        <f>((1+I8)^5*(1+J6)^2)^(1/7)-1</f>
        <v>3.3400000000000096E-2</v>
      </c>
      <c r="K8" s="5">
        <f>((1+J8)^7*(1+K6)^3)^(1/10)-1</f>
        <v>3.2499999999999973E-2</v>
      </c>
      <c r="L8" s="5">
        <f>((1+K8)^10*(1+L6)^10)^(1/20)-1</f>
        <v>3.5500000000000087E-2</v>
      </c>
      <c r="M8" s="5">
        <f>((1+L8)^20*(1+M6)^10)^(1/30)-1</f>
        <v>3.2999999999999918E-2</v>
      </c>
    </row>
    <row r="9" spans="1:13" x14ac:dyDescent="0.3">
      <c r="A9" t="s">
        <v>19</v>
      </c>
      <c r="C9" s="8">
        <f>C6+C12</f>
        <v>1.8512110726644826E-2</v>
      </c>
      <c r="D9" s="8">
        <f t="shared" ref="D9:M9" si="0">D6+D12</f>
        <v>1.8904997206435015E-2</v>
      </c>
      <c r="E9" s="8">
        <f t="shared" si="0"/>
        <v>2.8737823477319679E-2</v>
      </c>
      <c r="F9" s="8">
        <f t="shared" si="0"/>
        <v>3.4736391198044059E-2</v>
      </c>
      <c r="G9" s="8">
        <f t="shared" si="0"/>
        <v>3.4809342796033427E-2</v>
      </c>
      <c r="H9" s="8">
        <f t="shared" si="0"/>
        <v>3.7109426822532043E-2</v>
      </c>
      <c r="I9" s="8">
        <f t="shared" si="0"/>
        <v>3.3250018141942395E-2</v>
      </c>
      <c r="J9" s="8">
        <f>J6+J12</f>
        <v>3.3400000000000096E-2</v>
      </c>
      <c r="K9" s="8">
        <f>K6+K12</f>
        <v>3.0403047010656215E-2</v>
      </c>
      <c r="L9" s="8">
        <f t="shared" si="0"/>
        <v>3.8508716707021939E-2</v>
      </c>
      <c r="M9" s="8">
        <f t="shared" si="0"/>
        <v>2.801809262256949E-2</v>
      </c>
    </row>
    <row r="10" spans="1:13" x14ac:dyDescent="0.3">
      <c r="A10" t="s">
        <v>26</v>
      </c>
      <c r="B10" s="4">
        <f>B4+B12</f>
        <v>1.15E-2</v>
      </c>
      <c r="C10" s="5">
        <f>((1+B10)*(1+C9))^0.5-1</f>
        <v>1.5000000000000568E-2</v>
      </c>
      <c r="D10" s="5">
        <f>((1+C10)^2*(1+D9))^(1/3)-1</f>
        <v>1.6300000000000203E-2</v>
      </c>
      <c r="E10" s="5">
        <f>((1+D10)^3*(1+E9)^3)^(1/6)-1</f>
        <v>2.2500000000000187E-2</v>
      </c>
      <c r="F10" s="5">
        <f>((1+E10)^6*(1+F9)^6)^(1/12)-1</f>
        <v>2.8600000000000181E-2</v>
      </c>
      <c r="G10" s="5">
        <f>((1+F10)^12*(1+G9)^12)^(1/24)-1</f>
        <v>3.1700000000000061E-2</v>
      </c>
      <c r="H10" s="5">
        <f>((1+G10)^2*(1+H9)^1)^(1/3)-1</f>
        <v>3.3500000000000085E-2</v>
      </c>
      <c r="I10" s="5">
        <f>((1+H10)^3*(1+I9)^2)^(1/5)-1</f>
        <v>3.3400000000000096E-2</v>
      </c>
      <c r="J10" s="5">
        <f>((1+I10)^5*(1+J9)^2)^(1/7)-1</f>
        <v>3.3400000000000096E-2</v>
      </c>
      <c r="K10" s="5">
        <f>((1+J10)^7*(1+K9)^3)^(1/10)-1</f>
        <v>3.2499999999999973E-2</v>
      </c>
      <c r="L10" s="5">
        <f>((1+K10)^10*(1+L9)^10)^(1/20)-1</f>
        <v>3.5500000000000087E-2</v>
      </c>
      <c r="M10" s="5">
        <f>((1+L10)^20*(1+M9)^10)^(1/30)-1</f>
        <v>3.2999999999999918E-2</v>
      </c>
    </row>
    <row r="12" spans="1:13" x14ac:dyDescent="0.3">
      <c r="A12" s="10" t="s">
        <v>18</v>
      </c>
      <c r="B12" s="11"/>
      <c r="C12" s="11"/>
      <c r="D12" s="11"/>
      <c r="E12" s="11"/>
      <c r="F12" s="11"/>
      <c r="G12" s="11">
        <v>0</v>
      </c>
      <c r="H12" s="11"/>
      <c r="I12" s="11"/>
      <c r="J12" s="11"/>
      <c r="K12" s="11"/>
      <c r="L12" s="11"/>
      <c r="M12" s="11"/>
    </row>
    <row r="18" spans="1:13" x14ac:dyDescent="0.3">
      <c r="A18" t="s">
        <v>22</v>
      </c>
    </row>
    <row r="19" spans="1:13" x14ac:dyDescent="0.3">
      <c r="A19" s="13">
        <v>1000</v>
      </c>
      <c r="D19">
        <v>1</v>
      </c>
      <c r="E19">
        <v>2</v>
      </c>
      <c r="F19">
        <v>3</v>
      </c>
      <c r="G19">
        <v>4</v>
      </c>
      <c r="H19">
        <v>5</v>
      </c>
      <c r="I19">
        <v>6</v>
      </c>
      <c r="J19">
        <v>7</v>
      </c>
      <c r="K19">
        <v>8</v>
      </c>
      <c r="L19">
        <v>9</v>
      </c>
      <c r="M19">
        <v>10</v>
      </c>
    </row>
    <row r="20" spans="1:13" x14ac:dyDescent="0.3">
      <c r="A20" t="s">
        <v>23</v>
      </c>
      <c r="C20" t="s">
        <v>24</v>
      </c>
      <c r="D20" s="4">
        <f>F10</f>
        <v>2.8600000000000181E-2</v>
      </c>
      <c r="E20" s="4">
        <f t="shared" ref="E20:F20" si="1">G10</f>
        <v>3.1700000000000061E-2</v>
      </c>
      <c r="F20" s="4">
        <f t="shared" si="1"/>
        <v>3.3500000000000085E-2</v>
      </c>
      <c r="G20" s="14">
        <f>(((1+H10)^F19)*((1+I9)))^(1/4)-1</f>
        <v>3.3437498866059956E-2</v>
      </c>
      <c r="H20" s="4">
        <f>I10</f>
        <v>3.3400000000000096E-2</v>
      </c>
      <c r="I20" s="14">
        <f>(((1+I10)^H19)*((1+J9)))^(1/6)-1</f>
        <v>3.3400000000000096E-2</v>
      </c>
      <c r="J20" s="4">
        <f>J10</f>
        <v>3.3400000000000096E-2</v>
      </c>
      <c r="K20" s="14">
        <f>(((1+J10)^J19)*((1+K9)))^(1/8)-1</f>
        <v>3.3024904700239999E-2</v>
      </c>
      <c r="L20" s="14">
        <f>((1+J10)^J3*(1+K9)^2)^(1/9)-1</f>
        <v>3.2733258041844238E-2</v>
      </c>
      <c r="M20" s="4">
        <f>K10</f>
        <v>3.2499999999999973E-2</v>
      </c>
    </row>
    <row r="21" spans="1:13" x14ac:dyDescent="0.3">
      <c r="A21" s="1">
        <v>0.04</v>
      </c>
      <c r="C21" t="s">
        <v>27</v>
      </c>
      <c r="D21" s="15">
        <f>1/((1+D20)^D19)</f>
        <v>0.97219521679953314</v>
      </c>
      <c r="E21" s="15">
        <f t="shared" ref="E21:M21" si="2">1/((1+E20)^E19)</f>
        <v>0.9394921137575758</v>
      </c>
      <c r="F21" s="15">
        <f t="shared" si="2"/>
        <v>0.90587558984587235</v>
      </c>
      <c r="G21" s="15">
        <f t="shared" si="2"/>
        <v>0.87672448482011867</v>
      </c>
      <c r="H21" s="15">
        <f t="shared" si="2"/>
        <v>0.84851146327265625</v>
      </c>
      <c r="I21" s="15">
        <f t="shared" si="2"/>
        <v>0.82108715238306196</v>
      </c>
      <c r="J21" s="15">
        <f t="shared" si="2"/>
        <v>0.7945492088088465</v>
      </c>
      <c r="K21" s="15">
        <f t="shared" si="2"/>
        <v>0.77110525935840812</v>
      </c>
      <c r="L21" s="15">
        <f t="shared" si="2"/>
        <v>0.74835304650495071</v>
      </c>
      <c r="M21" s="15">
        <f t="shared" si="2"/>
        <v>0.72627215988542326</v>
      </c>
    </row>
    <row r="22" spans="1:13" x14ac:dyDescent="0.3">
      <c r="A22" t="s">
        <v>30</v>
      </c>
    </row>
    <row r="23" spans="1:13" x14ac:dyDescent="0.3">
      <c r="A23" s="17">
        <v>1062.4472722017681</v>
      </c>
      <c r="C23" t="s">
        <v>28</v>
      </c>
      <c r="D23" s="16">
        <f>$A$21*$A$19</f>
        <v>40</v>
      </c>
      <c r="E23" s="16">
        <f t="shared" ref="E23:L23" si="3">$A$21*$A$19</f>
        <v>40</v>
      </c>
      <c r="F23" s="16">
        <f t="shared" si="3"/>
        <v>40</v>
      </c>
      <c r="G23" s="16">
        <f t="shared" si="3"/>
        <v>40</v>
      </c>
      <c r="H23" s="16">
        <f t="shared" si="3"/>
        <v>40</v>
      </c>
      <c r="I23" s="16">
        <f t="shared" si="3"/>
        <v>40</v>
      </c>
      <c r="J23" s="16">
        <f t="shared" si="3"/>
        <v>40</v>
      </c>
      <c r="K23" s="16">
        <f t="shared" si="3"/>
        <v>40</v>
      </c>
      <c r="L23" s="16">
        <f t="shared" si="3"/>
        <v>40</v>
      </c>
      <c r="M23" s="16">
        <f>$A$21*$A$19+$A$19</f>
        <v>1040</v>
      </c>
    </row>
    <row r="24" spans="1:13" x14ac:dyDescent="0.3">
      <c r="C24" t="s">
        <v>29</v>
      </c>
      <c r="D24" s="17">
        <f>D23*D21</f>
        <v>38.887808671981325</v>
      </c>
      <c r="E24" s="17">
        <f t="shared" ref="E24:M24" si="4">E23*E21</f>
        <v>37.579684550303028</v>
      </c>
      <c r="F24" s="17">
        <f t="shared" si="4"/>
        <v>36.235023593834896</v>
      </c>
      <c r="G24" s="17">
        <f t="shared" si="4"/>
        <v>35.068979392804749</v>
      </c>
      <c r="H24" s="17">
        <f t="shared" si="4"/>
        <v>33.940458530906248</v>
      </c>
      <c r="I24" s="17">
        <f t="shared" si="4"/>
        <v>32.843486095322476</v>
      </c>
      <c r="J24" s="17">
        <f t="shared" si="4"/>
        <v>31.781968352353861</v>
      </c>
      <c r="K24" s="17">
        <f t="shared" si="4"/>
        <v>30.844210374336324</v>
      </c>
      <c r="L24" s="17">
        <f t="shared" si="4"/>
        <v>29.934121860198029</v>
      </c>
      <c r="M24" s="17">
        <f t="shared" si="4"/>
        <v>755.32304628084023</v>
      </c>
    </row>
    <row r="25" spans="1:13" x14ac:dyDescent="0.3">
      <c r="A25" t="s">
        <v>31</v>
      </c>
    </row>
    <row r="26" spans="1:13" x14ac:dyDescent="0.3">
      <c r="A26" s="17">
        <f>SUM(D24:M24)</f>
        <v>1062.4387877028812</v>
      </c>
    </row>
    <row r="28" spans="1:13" x14ac:dyDescent="0.3">
      <c r="A28" t="s">
        <v>32</v>
      </c>
    </row>
    <row r="29" spans="1:13" x14ac:dyDescent="0.3">
      <c r="A29" s="17">
        <f>A26-A23</f>
        <v>-8.4844988869008375E-3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building a forward curve</vt:lpstr>
      <vt:lpstr>Badly behaving shocks</vt:lpstr>
      <vt:lpstr>Well Behaved Shocks</vt:lpstr>
      <vt:lpstr>Pricing and Shocking a Bond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MikeZ</dc:creator>
  <cp:lastModifiedBy>Mike Z</cp:lastModifiedBy>
  <dcterms:created xsi:type="dcterms:W3CDTF">2019-08-17T22:40:57Z</dcterms:created>
  <dcterms:modified xsi:type="dcterms:W3CDTF">2024-06-05T17:11:46Z</dcterms:modified>
</cp:coreProperties>
</file>