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9771fbc718b250/Documents/Columbia/QRM/"/>
    </mc:Choice>
  </mc:AlternateContent>
  <xr:revisionPtr revIDLastSave="365" documentId="8_{9C0495C0-47BE-40B0-BF6C-6DEA411BD100}" xr6:coauthVersionLast="47" xr6:coauthVersionMax="47" xr10:uidLastSave="{0E46F37D-3135-4C64-A102-3EFB2EABCDC5}"/>
  <bookViews>
    <workbookView xWindow="-108" yWindow="-108" windowWidth="23256" windowHeight="14856" xr2:uid="{A2AC4B1E-6D97-4D2C-8741-AB932F502DF7}"/>
  </bookViews>
  <sheets>
    <sheet name="Binomial tre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C8" i="1"/>
  <c r="B17" i="1"/>
  <c r="B16" i="1"/>
  <c r="B18" i="1" s="1"/>
  <c r="B22" i="1" s="1"/>
  <c r="B21" i="1" l="1"/>
  <c r="B19" i="1"/>
  <c r="F5" i="1" l="1"/>
  <c r="G6" i="1" s="1"/>
  <c r="H7" i="1" s="1"/>
  <c r="I8" i="1" s="1"/>
  <c r="J9" i="1" s="1"/>
  <c r="F4" i="1"/>
  <c r="F11" i="1"/>
  <c r="K10" i="1" l="1"/>
  <c r="G4" i="1"/>
  <c r="G5" i="1"/>
  <c r="L11" i="1" l="1"/>
  <c r="H6" i="1"/>
  <c r="H4" i="1"/>
  <c r="H5" i="1"/>
  <c r="I6" i="1" s="1"/>
  <c r="M12" i="1" l="1"/>
  <c r="J7" i="1"/>
  <c r="K8" i="1" s="1"/>
  <c r="I7" i="1"/>
  <c r="I4" i="1"/>
  <c r="I5" i="1"/>
  <c r="J6" i="1" s="1"/>
  <c r="K7" i="1" s="1"/>
  <c r="L8" i="1" s="1"/>
  <c r="M9" i="1" s="1"/>
  <c r="N10" i="1" s="1"/>
  <c r="O11" i="1" s="1"/>
  <c r="N13" i="1" l="1"/>
  <c r="O14" i="1" s="1"/>
  <c r="O26" i="1" s="1"/>
  <c r="L9" i="1"/>
  <c r="M10" i="1" s="1"/>
  <c r="J8" i="1"/>
  <c r="J4" i="1"/>
  <c r="J5" i="1"/>
  <c r="K6" i="1" s="1"/>
  <c r="L7" i="1" s="1"/>
  <c r="M8" i="1" s="1"/>
  <c r="N9" i="1" s="1"/>
  <c r="O10" i="1" s="1"/>
  <c r="O23" i="1"/>
  <c r="N11" i="1" l="1"/>
  <c r="K9" i="1"/>
  <c r="L10" i="1" s="1"/>
  <c r="K4" i="1"/>
  <c r="K5" i="1"/>
  <c r="L6" i="1" s="1"/>
  <c r="M7" i="1" s="1"/>
  <c r="N8" i="1" s="1"/>
  <c r="O9" i="1" s="1"/>
  <c r="O22" i="1"/>
  <c r="N22" i="1" s="1"/>
  <c r="O12" i="1" l="1"/>
  <c r="O24" i="1" s="1"/>
  <c r="M11" i="1"/>
  <c r="N12" i="1" s="1"/>
  <c r="O13" i="1" s="1"/>
  <c r="L4" i="1"/>
  <c r="L5" i="1"/>
  <c r="M6" i="1" s="1"/>
  <c r="N7" i="1" s="1"/>
  <c r="O8" i="1" s="1"/>
  <c r="O21" i="1"/>
  <c r="N21" i="1" s="1"/>
  <c r="M21" i="1" s="1"/>
  <c r="N23" i="1" l="1"/>
  <c r="O25" i="1"/>
  <c r="N25" i="1" s="1"/>
  <c r="M4" i="1"/>
  <c r="M5" i="1"/>
  <c r="N6" i="1" s="1"/>
  <c r="O7" i="1" s="1"/>
  <c r="O20" i="1"/>
  <c r="N20" i="1" s="1"/>
  <c r="M20" i="1" s="1"/>
  <c r="L20" i="1" s="1"/>
  <c r="M22" i="1" l="1"/>
  <c r="N24" i="1"/>
  <c r="M24" i="1" s="1"/>
  <c r="N4" i="1"/>
  <c r="N5" i="1"/>
  <c r="O6" i="1" s="1"/>
  <c r="O19" i="1"/>
  <c r="N19" i="1" s="1"/>
  <c r="M19" i="1" s="1"/>
  <c r="L19" i="1" s="1"/>
  <c r="K19" i="1" s="1"/>
  <c r="L21" i="1" l="1"/>
  <c r="M23" i="1"/>
  <c r="L23" i="1" s="1"/>
  <c r="O4" i="1"/>
  <c r="O16" i="1" s="1"/>
  <c r="O5" i="1"/>
  <c r="O17" i="1" s="1"/>
  <c r="O18" i="1"/>
  <c r="N18" i="1" s="1"/>
  <c r="M18" i="1" s="1"/>
  <c r="L18" i="1" s="1"/>
  <c r="K18" i="1" s="1"/>
  <c r="J18" i="1" s="1"/>
  <c r="K20" i="1" l="1"/>
  <c r="L22" i="1"/>
  <c r="K22" i="1" s="1"/>
  <c r="N17" i="1"/>
  <c r="M17" i="1" s="1"/>
  <c r="L17" i="1" s="1"/>
  <c r="K17" i="1" s="1"/>
  <c r="J17" i="1" s="1"/>
  <c r="I17" i="1" s="1"/>
  <c r="N16" i="1"/>
  <c r="J19" i="1" l="1"/>
  <c r="K21" i="1"/>
  <c r="J21" i="1" s="1"/>
  <c r="M16" i="1"/>
  <c r="L16" i="1" s="1"/>
  <c r="K16" i="1" s="1"/>
  <c r="J16" i="1" s="1"/>
  <c r="I16" i="1" s="1"/>
  <c r="H16" i="1" s="1"/>
  <c r="I18" i="1" l="1"/>
  <c r="J20" i="1"/>
  <c r="I20" i="1" s="1"/>
  <c r="H17" i="1" l="1"/>
  <c r="I19" i="1"/>
  <c r="H19" i="1" s="1"/>
  <c r="G16" i="1" l="1"/>
  <c r="H18" i="1"/>
  <c r="G18" i="1" s="1"/>
  <c r="G17" i="1" l="1"/>
  <c r="F16" i="1" l="1"/>
  <c r="F17" i="1"/>
  <c r="E16" i="1" l="1"/>
</calcChain>
</file>

<file path=xl/sharedStrings.xml><?xml version="1.0" encoding="utf-8"?>
<sst xmlns="http://schemas.openxmlformats.org/spreadsheetml/2006/main" count="25" uniqueCount="25">
  <si>
    <t>Underlyer Name</t>
  </si>
  <si>
    <t>Start Price</t>
  </si>
  <si>
    <t>Vol</t>
  </si>
  <si>
    <t>Expiration Date</t>
  </si>
  <si>
    <t>Strike</t>
  </si>
  <si>
    <t>American / European</t>
  </si>
  <si>
    <t>Call / Put</t>
  </si>
  <si>
    <t>Div Amount</t>
  </si>
  <si>
    <t>Div Paydate</t>
  </si>
  <si>
    <t>XYZ Co.</t>
  </si>
  <si>
    <t xml:space="preserve">Discount rate </t>
  </si>
  <si>
    <t>Intermediates</t>
  </si>
  <si>
    <t>Total Days</t>
  </si>
  <si>
    <t>Days until Dividend</t>
  </si>
  <si>
    <t xml:space="preserve">Steps </t>
  </si>
  <si>
    <t>Up move</t>
  </si>
  <si>
    <t>Days per Step</t>
  </si>
  <si>
    <t>Down Move</t>
  </si>
  <si>
    <t>Steps</t>
  </si>
  <si>
    <t>Underlyer</t>
  </si>
  <si>
    <t>Div step number</t>
  </si>
  <si>
    <t>c</t>
  </si>
  <si>
    <t>Up probability</t>
  </si>
  <si>
    <t>Down Prob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</si>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</sst>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3" borderId="0" xfId="0" applyFill="1"/>
    <xf numFmtId="14" fontId="0" fillId="3" borderId="0" xfId="0" applyNumberFormat="1" applyFill="1"/>
    <xf numFmtId="44" fontId="0" fillId="3" borderId="0" xfId="1" applyFont="1" applyFill="1"/>
    <xf numFmtId="9" fontId="0" fillId="3" borderId="0" xfId="0" applyNumberFormat="1" applyFill="1"/>
    <xf numFmtId="0" fontId="0" fillId="4" borderId="0" xfId="0" applyFill="1"/>
    <xf numFmtId="0" fontId="0" fillId="3" borderId="0" xfId="0" applyFill="1" applyAlignment="1">
      <alignment horizontal="right"/>
    </xf>
    <xf numFmtId="166" fontId="0" fillId="2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DECFB-E935-4CAD-8DF1-207D91D4C8AD}">
  <dimension ref="A2:O26"/>
  <sheetViews>
    <sheetView tabSelected="1" workbookViewId="0">
      <selection activeCell="B8" sqref="B8"/>
    </sheetView>
  </sheetViews>
  <sheetFormatPr defaultRowHeight="14.4" x14ac:dyDescent="0.3"/>
  <cols>
    <col min="1" max="1" width="18.33203125" bestFit="1" customWidth="1"/>
    <col min="2" max="2" width="9.5546875" bestFit="1" customWidth="1"/>
  </cols>
  <sheetData>
    <row r="2" spans="1:15" x14ac:dyDescent="0.3">
      <c r="A2" s="3" t="s">
        <v>0</v>
      </c>
      <c r="B2" s="3" t="s">
        <v>9</v>
      </c>
    </row>
    <row r="3" spans="1:15" x14ac:dyDescent="0.3">
      <c r="A3" s="3" t="s">
        <v>1</v>
      </c>
      <c r="B3" s="3">
        <v>100</v>
      </c>
      <c r="D3" t="s">
        <v>18</v>
      </c>
      <c r="E3">
        <v>0</v>
      </c>
      <c r="F3">
        <v>1</v>
      </c>
      <c r="G3">
        <v>2</v>
      </c>
      <c r="H3">
        <v>3</v>
      </c>
      <c r="I3">
        <v>4</v>
      </c>
      <c r="J3" s="7">
        <v>5</v>
      </c>
      <c r="K3" s="7">
        <v>6</v>
      </c>
      <c r="L3">
        <v>7</v>
      </c>
      <c r="M3">
        <v>8</v>
      </c>
      <c r="N3">
        <v>9</v>
      </c>
      <c r="O3">
        <v>10</v>
      </c>
    </row>
    <row r="4" spans="1:15" x14ac:dyDescent="0.3">
      <c r="A4" s="3" t="s">
        <v>2</v>
      </c>
      <c r="B4" s="3">
        <v>0.2</v>
      </c>
      <c r="D4" t="s">
        <v>19</v>
      </c>
      <c r="E4" s="1">
        <f>B3</f>
        <v>100</v>
      </c>
      <c r="F4" s="1">
        <f ca="1">E4*$B$21-IF(E$3=$B$19,$B$9,0)</f>
        <v>102.98608418924411</v>
      </c>
      <c r="G4" s="1">
        <f t="shared" ref="G4:O4" ca="1" si="0">F4*$B$21-IF(F$3=$B$19,$B$9,0)</f>
        <v>106.06133536634076</v>
      </c>
      <c r="H4" s="1">
        <f t="shared" ca="1" si="0"/>
        <v>109.22841613261623</v>
      </c>
      <c r="I4" s="1">
        <f t="shared" ca="1" si="0"/>
        <v>112.49006859691404</v>
      </c>
      <c r="J4" s="1">
        <f t="shared" ca="1" si="0"/>
        <v>113.84911674975635</v>
      </c>
      <c r="K4" s="1">
        <f t="shared" ca="1" si="0"/>
        <v>117.24874722461489</v>
      </c>
      <c r="L4" s="1">
        <f t="shared" ca="1" si="0"/>
        <v>120.74989352757591</v>
      </c>
      <c r="M4" s="1">
        <f t="shared" ca="1" si="0"/>
        <v>124.35558700673195</v>
      </c>
      <c r="N4" s="1">
        <f t="shared" ca="1" si="0"/>
        <v>128.06894952878167</v>
      </c>
      <c r="O4" s="1">
        <f t="shared" ca="1" si="0"/>
        <v>131.89319618199164</v>
      </c>
    </row>
    <row r="5" spans="1:15" x14ac:dyDescent="0.3">
      <c r="A5" s="3" t="s">
        <v>3</v>
      </c>
      <c r="B5" s="4">
        <v>45792</v>
      </c>
      <c r="E5" s="1"/>
      <c r="F5" s="1">
        <f ca="1">E4*$B$22-IF(E$3=$B$19,$B$9,0)</f>
        <v>97.100497399476836</v>
      </c>
      <c r="G5" s="1">
        <f t="shared" ref="G5:O6" ca="1" si="1">F4*$B$22-IF(F$3=$B$19,$B$9,0)</f>
        <v>100</v>
      </c>
      <c r="H5" s="1">
        <f t="shared" ca="1" si="1"/>
        <v>102.98608418924411</v>
      </c>
      <c r="I5" s="1">
        <f t="shared" ca="1" si="1"/>
        <v>106.06133536634076</v>
      </c>
      <c r="J5" s="1">
        <f t="shared" ca="1" si="1"/>
        <v>107.22841613261623</v>
      </c>
      <c r="K5" s="1">
        <f t="shared" ca="1" si="1"/>
        <v>110.54805864892451</v>
      </c>
      <c r="L5" s="1">
        <f t="shared" ca="1" si="1"/>
        <v>113.84911674975635</v>
      </c>
      <c r="M5" s="1">
        <f t="shared" ca="1" si="1"/>
        <v>117.24874722461489</v>
      </c>
      <c r="N5" s="1">
        <f t="shared" ca="1" si="1"/>
        <v>120.74989352757592</v>
      </c>
      <c r="O5" s="1">
        <f t="shared" ca="1" si="1"/>
        <v>124.35558700673195</v>
      </c>
    </row>
    <row r="6" spans="1:15" x14ac:dyDescent="0.3">
      <c r="A6" s="3" t="s">
        <v>4</v>
      </c>
      <c r="B6" s="3">
        <v>100</v>
      </c>
      <c r="E6" s="1"/>
      <c r="G6" s="1">
        <f t="shared" ca="1" si="1"/>
        <v>94.28506595225808</v>
      </c>
      <c r="H6" s="1">
        <f t="shared" ref="H6:O6" ca="1" si="2">G5*$B$22-IF(G$3=$B$19,$B$9,0)</f>
        <v>97.100497399476836</v>
      </c>
      <c r="I6" s="1">
        <f t="shared" ca="1" si="2"/>
        <v>100</v>
      </c>
      <c r="J6" s="1">
        <f t="shared" ca="1" si="2"/>
        <v>100.98608418924411</v>
      </c>
      <c r="K6" s="1">
        <f t="shared" ca="1" si="2"/>
        <v>104.11932541835122</v>
      </c>
      <c r="L6" s="1">
        <f t="shared" ca="1" si="2"/>
        <v>107.34271481357108</v>
      </c>
      <c r="M6" s="1">
        <f t="shared" ca="1" si="2"/>
        <v>110.54805864892451</v>
      </c>
      <c r="N6" s="1">
        <f t="shared" ca="1" si="2"/>
        <v>113.84911674975635</v>
      </c>
      <c r="O6" s="1">
        <f t="shared" ca="1" si="2"/>
        <v>117.2487472246149</v>
      </c>
    </row>
    <row r="7" spans="1:15" x14ac:dyDescent="0.3">
      <c r="A7" s="3" t="s">
        <v>5</v>
      </c>
      <c r="B7" s="8" t="s">
        <v>24</v>
      </c>
      <c r="E7" s="1"/>
      <c r="G7" s="1"/>
      <c r="H7" s="1">
        <f t="shared" ref="H7:O7" ca="1" si="3">G6*$B$22-IF(G$3=$B$19,$B$9,0)</f>
        <v>91.551268013067371</v>
      </c>
      <c r="I7" s="1">
        <f t="shared" ca="1" si="3"/>
        <v>94.28506595225808</v>
      </c>
      <c r="J7" s="1">
        <f t="shared" ca="1" si="3"/>
        <v>95.100497399476836</v>
      </c>
      <c r="K7" s="1">
        <f t="shared" ca="1" si="3"/>
        <v>98.057990052010467</v>
      </c>
      <c r="L7" s="1">
        <f t="shared" ca="1" si="3"/>
        <v>101.10038287019896</v>
      </c>
      <c r="M7" s="1">
        <f t="shared" ca="1" si="3"/>
        <v>104.23031000607942</v>
      </c>
      <c r="N7" s="1">
        <f t="shared" ca="1" si="3"/>
        <v>107.34271481357108</v>
      </c>
      <c r="O7" s="1">
        <f t="shared" ca="1" si="3"/>
        <v>110.54805864892451</v>
      </c>
    </row>
    <row r="8" spans="1:15" x14ac:dyDescent="0.3">
      <c r="A8" s="3" t="s">
        <v>6</v>
      </c>
      <c r="B8" s="8" t="s">
        <v>21</v>
      </c>
      <c r="C8">
        <f>IF(B8="c",0,1)</f>
        <v>0</v>
      </c>
      <c r="E8" s="1"/>
      <c r="G8" s="1"/>
      <c r="H8" s="1"/>
      <c r="I8" s="1">
        <f t="shared" ref="I8:O8" ca="1" si="4">H7*$B$22-IF(H$3=$B$19,$B$9,0)</f>
        <v>88.896736616216558</v>
      </c>
      <c r="J8" s="1">
        <f t="shared" ca="1" si="4"/>
        <v>89.551268013067371</v>
      </c>
      <c r="K8" s="1">
        <f t="shared" ca="1" si="4"/>
        <v>92.343056004268547</v>
      </c>
      <c r="L8" s="1">
        <f t="shared" ca="1" si="4"/>
        <v>95.214796080431682</v>
      </c>
      <c r="M8" s="1">
        <f t="shared" ca="1" si="4"/>
        <v>98.168974639738664</v>
      </c>
      <c r="N8" s="1">
        <f t="shared" ca="1" si="4"/>
        <v>101.2081494569198</v>
      </c>
      <c r="O8" s="1">
        <f t="shared" ca="1" si="4"/>
        <v>104.23031000607942</v>
      </c>
    </row>
    <row r="9" spans="1:15" x14ac:dyDescent="0.3">
      <c r="A9" s="3" t="s">
        <v>7</v>
      </c>
      <c r="B9" s="5">
        <v>2</v>
      </c>
      <c r="E9" s="1"/>
      <c r="G9" s="1"/>
      <c r="H9" s="1"/>
      <c r="I9" s="1"/>
      <c r="J9" s="1">
        <f t="shared" ref="J9:O9" ca="1" si="5">I8*$B$22-IF(I$3=$B$19,$B$9,0)</f>
        <v>84.319173426249137</v>
      </c>
      <c r="K9" s="1">
        <f t="shared" ca="1" si="5"/>
        <v>86.954726668227011</v>
      </c>
      <c r="L9" s="1">
        <f t="shared" ca="1" si="5"/>
        <v>89.665566694022218</v>
      </c>
      <c r="M9" s="1">
        <f t="shared" ca="1" si="5"/>
        <v>92.454040591996744</v>
      </c>
      <c r="N9" s="1">
        <f t="shared" ca="1" si="5"/>
        <v>95.322562667152511</v>
      </c>
      <c r="O9" s="1">
        <f t="shared" ca="1" si="5"/>
        <v>98.273616531475042</v>
      </c>
    </row>
    <row r="10" spans="1:15" x14ac:dyDescent="0.3">
      <c r="A10" s="3" t="s">
        <v>8</v>
      </c>
      <c r="B10" s="4">
        <v>45762</v>
      </c>
      <c r="E10" s="1"/>
      <c r="G10" s="1"/>
      <c r="H10" s="1"/>
      <c r="I10" s="1"/>
      <c r="J10" s="1"/>
      <c r="K10" s="1">
        <f t="shared" ref="K10:O10" ca="1" si="6">J9*$B$22-IF(J$3=$B$19,$B$9,0)</f>
        <v>81.874336800015413</v>
      </c>
      <c r="L10" s="1">
        <f t="shared" ca="1" si="6"/>
        <v>84.433472107203954</v>
      </c>
      <c r="M10" s="1">
        <f t="shared" ca="1" si="6"/>
        <v>87.065711255955208</v>
      </c>
      <c r="N10" s="1">
        <f t="shared" ca="1" si="6"/>
        <v>89.77333328074306</v>
      </c>
      <c r="O10" s="1">
        <f t="shared" ca="1" si="6"/>
        <v>92.558682483733108</v>
      </c>
    </row>
    <row r="11" spans="1:15" x14ac:dyDescent="0.3">
      <c r="A11" s="3" t="s">
        <v>10</v>
      </c>
      <c r="B11" s="6">
        <v>0.04</v>
      </c>
      <c r="E11" s="1"/>
      <c r="F11">
        <f ca="1">IF(B19=I3,1,0)</f>
        <v>1</v>
      </c>
      <c r="G11" s="1"/>
      <c r="H11" s="1"/>
      <c r="I11" s="1"/>
      <c r="J11" s="1"/>
      <c r="K11" s="1"/>
      <c r="L11" s="1">
        <f t="shared" ref="L11:O11" ca="1" si="7">K10*$B$22-IF(K$3=$B$19,$B$9,0)</f>
        <v>79.500388275337869</v>
      </c>
      <c r="M11" s="1">
        <f t="shared" ca="1" si="7"/>
        <v>81.985321387743582</v>
      </c>
      <c r="N11" s="1">
        <f t="shared" ca="1" si="7"/>
        <v>84.541238693924797</v>
      </c>
      <c r="O11" s="1">
        <f t="shared" ca="1" si="7"/>
        <v>87.170353147691586</v>
      </c>
    </row>
    <row r="12" spans="1:15" x14ac:dyDescent="0.3">
      <c r="A12" s="3" t="s">
        <v>14</v>
      </c>
      <c r="B12" s="3">
        <v>10</v>
      </c>
      <c r="E12" s="1"/>
      <c r="G12" s="1"/>
      <c r="H12" s="1"/>
      <c r="I12" s="1"/>
      <c r="J12" s="1"/>
      <c r="K12" s="1"/>
      <c r="L12" s="1"/>
      <c r="M12" s="1">
        <f t="shared" ref="M12:O12" ca="1" si="8">L11*$B$22-IF(L$3=$B$19,$B$9,0)</f>
        <v>77.19527244986844</v>
      </c>
      <c r="N12" s="1">
        <f t="shared" ca="1" si="8"/>
        <v>79.608154862058683</v>
      </c>
      <c r="O12" s="1">
        <f t="shared" ca="1" si="8"/>
        <v>82.089963279479946</v>
      </c>
    </row>
    <row r="13" spans="1:15" x14ac:dyDescent="0.3">
      <c r="E13" s="1"/>
      <c r="G13" s="1"/>
      <c r="H13" s="1"/>
      <c r="I13" s="1"/>
      <c r="J13" s="1"/>
      <c r="K13" s="1"/>
      <c r="L13" s="1"/>
      <c r="M13" s="1"/>
      <c r="N13" s="1">
        <f t="shared" ref="N13:O13" ca="1" si="9">M12*$B$22-IF(M$3=$B$19,$B$9,0)</f>
        <v>74.956993517703566</v>
      </c>
      <c r="O13" s="1">
        <f t="shared" ca="1" si="9"/>
        <v>77.29991434160479</v>
      </c>
    </row>
    <row r="14" spans="1:15" x14ac:dyDescent="0.3">
      <c r="E14" s="1"/>
      <c r="G14" s="1"/>
      <c r="H14" s="1"/>
      <c r="I14" s="1"/>
      <c r="J14" s="1"/>
      <c r="K14" s="1"/>
      <c r="L14" s="1"/>
      <c r="M14" s="1"/>
      <c r="N14" s="1"/>
      <c r="O14" s="1">
        <f ca="1">N13*$B$22-IF(N$3=$B$19,$B$9,0)</f>
        <v>72.783613541383772</v>
      </c>
    </row>
    <row r="15" spans="1:15" x14ac:dyDescent="0.3">
      <c r="A15" t="s">
        <v>11</v>
      </c>
    </row>
    <row r="16" spans="1:15" x14ac:dyDescent="0.3">
      <c r="A16" t="s">
        <v>12</v>
      </c>
      <c r="B16" s="2">
        <f ca="1">B5-TODAY()</f>
        <v>79</v>
      </c>
      <c r="E16">
        <f ca="1">MAX(($B$23*F16+$B$24*F17)*EXP(-$B$11*($B$18/365)),IF($B$7="A",IF($B$8="C",E4-$B$6,$B$6-E4),0))</f>
        <v>3.1036528517795712</v>
      </c>
      <c r="F16">
        <f ca="1">MAX(($B$23*G16+$B$24*G17)*EXP(-$B$11*($B$18/365)),IF($B$7="A",IF($B$8="C",F4-$B$6,$B$6-F4),0))</f>
        <v>4.4400819371985385</v>
      </c>
      <c r="G16">
        <f ca="1">MAX(($B$23*H16+$B$24*H17)*EXP(-$B$11*($B$18/365)),IF($B$7="A",IF($B$8="C",G4-$B$6,$B$6-G4),0))</f>
        <v>6.1933456687061481</v>
      </c>
      <c r="H16">
        <f ca="1">MAX(($B$23*I16+$B$24*I17)*EXP(-$B$11*($B$18/365)),IF($B$7="A",IF($B$8="C",H4-$B$6,$B$6-H4),0))</f>
        <v>8.400878324679141</v>
      </c>
      <c r="I16">
        <f ca="1">MAX(($B$23*J16+$B$24*J17)*EXP(-$B$11*($B$18/365)),IF($B$7="A",IF($B$8="C",I4-$B$6,$B$6-I4),0))</f>
        <v>11.054517519215107</v>
      </c>
      <c r="J16">
        <f ca="1">MAX(($B$23*K16+$B$24*K17)*EXP(-$B$11*($B$18/365)),IF($B$7="A",IF($B$8="C",J4-$B$6,$B$6-J4),0))</f>
        <v>14.088592201412661</v>
      </c>
      <c r="K16">
        <f ca="1">MAX(($B$23*L16+$B$24*L17)*EXP(-$B$11*($B$18/365)),IF($B$7="A",IF($B$8="C",K4-$B$6,$B$6-K4),0))</f>
        <v>17.391579078883034</v>
      </c>
      <c r="L16">
        <f ca="1">MAX(($B$23*M16+$B$24*M17)*EXP(-$B$11*($B$18/365)),IF($B$7="A",IF($B$8="C",L4-$B$6,$B$6-L4),0))</f>
        <v>20.852552290846624</v>
      </c>
      <c r="M16">
        <f ca="1">MAX(($B$23*N16+$B$24*N17)*EXP(-$B$11*($B$18/365)),IF($B$7="A",IF($B$8="C",M4-$B$6,$B$6-M4),0))</f>
        <v>24.42095766997523</v>
      </c>
      <c r="N16">
        <f ca="1">MAX(($B$23*O16+$B$24*O17)*EXP(-$B$11*($B$18/365)),IF($B$7="A",IF($B$8="C",N4-$B$6,$B$6-N4),0))</f>
        <v>28.100053343004983</v>
      </c>
      <c r="O16" s="1">
        <f ca="1">IF($B$8="C",MAX(O4-$B$6,0),MAX($B$6-O4,0))</f>
        <v>31.893196181991641</v>
      </c>
    </row>
    <row r="17" spans="1:15" x14ac:dyDescent="0.3">
      <c r="A17" t="s">
        <v>13</v>
      </c>
      <c r="B17" s="2">
        <f ca="1">B10-TODAY()</f>
        <v>49</v>
      </c>
      <c r="F17">
        <f ca="1">MAX(($B$23*G17+$B$24*G18)*EXP(-$B$11*($B$18/365)),IF($B$7="A",IF($B$8="C",F5-$B$6,$B$6-F5),0))</f>
        <v>1.7726000894806235</v>
      </c>
      <c r="G17">
        <f t="shared" ref="G17:G18" ca="1" si="10">MAX(($B$23*H17+$B$24*H18)*EXP(-$B$11*($B$18/365)),IF($B$7="A",IF($B$8="C",G5-$B$6,$B$6-G5),0))</f>
        <v>2.6945095669074566</v>
      </c>
      <c r="H17">
        <f t="shared" ref="H17:H19" ca="1" si="11">MAX(($B$23*I17+$B$24*I18)*EXP(-$B$11*($B$18/365)),IF($B$7="A",IF($B$8="C",H5-$B$6,$B$6-H5),0))</f>
        <v>3.9965414766107594</v>
      </c>
      <c r="I17">
        <f t="shared" ref="I17:I20" ca="1" si="12">MAX(($B$23*J17+$B$24*J18)*EXP(-$B$11*($B$18/365)),IF($B$7="A",IF($B$8="C",I5-$B$6,$B$6-I5),0))</f>
        <v>5.7617916070220074</v>
      </c>
      <c r="J17">
        <f t="shared" ref="J17:J21" ca="1" si="13">MAX(($B$23*K17+$B$24*K18)*EXP(-$B$11*($B$18/365)),IF($B$7="A",IF($B$8="C",J5-$B$6,$B$6-J5),0))</f>
        <v>8.0395920978909619</v>
      </c>
      <c r="K17">
        <f t="shared" ref="K17:K22" ca="1" si="14">MAX(($B$23*L17+$B$24*L18)*EXP(-$B$11*($B$18/365)),IF($B$7="A",IF($B$8="C",K5-$B$6,$B$6-K5),0))</f>
        <v>10.810010380692614</v>
      </c>
      <c r="L17">
        <f t="shared" ref="L17:L23" ca="1" si="15">MAX(($B$23*M17+$B$24*M18)*EXP(-$B$11*($B$18/365)),IF($B$7="A",IF($B$8="C",L5-$B$6,$B$6-L5),0))</f>
        <v>13.96073254447033</v>
      </c>
      <c r="M17">
        <f t="shared" ref="M17:M24" ca="1" si="16">MAX(($B$23*N17+$B$24*N18)*EXP(-$B$11*($B$18/365)),IF($B$7="A",IF($B$8="C",M5-$B$6,$B$6-M5),0))</f>
        <v>17.32026888293926</v>
      </c>
      <c r="N17">
        <f t="shared" ref="N17:N25" ca="1" si="17">MAX(($B$23*O17+$B$24*O18)*EXP(-$B$11*($B$18/365)),IF($B$7="A",IF($B$8="C",N5-$B$6,$B$6-N5),0))</f>
        <v>20.784165361917118</v>
      </c>
      <c r="O17" s="1">
        <f t="shared" ref="O17:O25" ca="1" si="18">IF($B$8="C",MAX(O5-$B$6,0),MAX($B$6-O5,0))</f>
        <v>24.355587006731952</v>
      </c>
    </row>
    <row r="18" spans="1:15" x14ac:dyDescent="0.3">
      <c r="A18" t="s">
        <v>16</v>
      </c>
      <c r="B18">
        <f ca="1">B16/B12</f>
        <v>7.9</v>
      </c>
      <c r="G18">
        <f t="shared" ca="1" si="10"/>
        <v>0.85376121024848206</v>
      </c>
      <c r="H18">
        <f t="shared" ca="1" si="11"/>
        <v>1.3971452391707941</v>
      </c>
      <c r="I18">
        <f t="shared" ca="1" si="12"/>
        <v>2.2382143815281896</v>
      </c>
      <c r="J18">
        <f t="shared" ca="1" si="13"/>
        <v>3.4939720176613549</v>
      </c>
      <c r="K18">
        <f t="shared" ca="1" si="14"/>
        <v>5.283100451519231</v>
      </c>
      <c r="L18">
        <f t="shared" ca="1" si="15"/>
        <v>7.6780139286851599</v>
      </c>
      <c r="M18">
        <f t="shared" ca="1" si="16"/>
        <v>10.625379777017798</v>
      </c>
      <c r="N18">
        <f t="shared" ca="1" si="17"/>
        <v>13.886375553955098</v>
      </c>
      <c r="O18" s="1">
        <f t="shared" ca="1" si="18"/>
        <v>17.248747224614903</v>
      </c>
    </row>
    <row r="19" spans="1:15" x14ac:dyDescent="0.3">
      <c r="A19" t="s">
        <v>20</v>
      </c>
      <c r="B19" s="9">
        <f ca="1">INT(B18*B17/B16)</f>
        <v>4</v>
      </c>
      <c r="H19">
        <f t="shared" ca="1" si="11"/>
        <v>0.31185611481288489</v>
      </c>
      <c r="I19">
        <f t="shared" ca="1" si="12"/>
        <v>0.5584963108676454</v>
      </c>
      <c r="J19">
        <f t="shared" ca="1" si="13"/>
        <v>0.98633390701768187</v>
      </c>
      <c r="K19">
        <f t="shared" ca="1" si="14"/>
        <v>1.7108960398726178</v>
      </c>
      <c r="L19">
        <f t="shared" ca="1" si="15"/>
        <v>2.897338659950679</v>
      </c>
      <c r="M19">
        <f t="shared" ca="1" si="16"/>
        <v>4.7439483706143513</v>
      </c>
      <c r="N19">
        <f t="shared" ca="1" si="17"/>
        <v>7.38278988426997</v>
      </c>
      <c r="O19" s="1">
        <f t="shared" ca="1" si="18"/>
        <v>10.54805864892451</v>
      </c>
    </row>
    <row r="20" spans="1:15" x14ac:dyDescent="0.3">
      <c r="I20">
        <f t="shared" ca="1" si="12"/>
        <v>6.5756133569592923E-2</v>
      </c>
      <c r="J20">
        <f t="shared" ca="1" si="13"/>
        <v>0.1316261736352009</v>
      </c>
      <c r="K20">
        <f t="shared" ca="1" si="14"/>
        <v>0.26348035757771082</v>
      </c>
      <c r="L20">
        <f t="shared" ca="1" si="15"/>
        <v>0.52741713074239815</v>
      </c>
      <c r="M20">
        <f t="shared" ca="1" si="16"/>
        <v>1.0557478832876597</v>
      </c>
      <c r="N20">
        <f t="shared" ca="1" si="17"/>
        <v>2.1133245928084392</v>
      </c>
      <c r="O20" s="1">
        <f t="shared" ca="1" si="18"/>
        <v>4.2303100060794208</v>
      </c>
    </row>
    <row r="21" spans="1:15" x14ac:dyDescent="0.3">
      <c r="A21" t="s">
        <v>15</v>
      </c>
      <c r="B21">
        <f ca="1">EXP(B4*SQRT(B18/365))</f>
        <v>1.0298608418924411</v>
      </c>
      <c r="J21">
        <f t="shared" ca="1" si="13"/>
        <v>0</v>
      </c>
      <c r="K21">
        <f t="shared" ca="1" si="14"/>
        <v>0</v>
      </c>
      <c r="L21">
        <f t="shared" ca="1" si="15"/>
        <v>0</v>
      </c>
      <c r="M21">
        <f t="shared" ca="1" si="16"/>
        <v>0</v>
      </c>
      <c r="N21">
        <f t="shared" ca="1" si="17"/>
        <v>0</v>
      </c>
      <c r="O21" s="1">
        <f t="shared" ca="1" si="18"/>
        <v>0</v>
      </c>
    </row>
    <row r="22" spans="1:15" x14ac:dyDescent="0.3">
      <c r="A22" t="s">
        <v>17</v>
      </c>
      <c r="B22">
        <f ca="1">EXP(-B4*SQRT(B18/365))</f>
        <v>0.97100497399476837</v>
      </c>
      <c r="K22">
        <f t="shared" ca="1" si="14"/>
        <v>0</v>
      </c>
      <c r="L22">
        <f t="shared" ca="1" si="15"/>
        <v>0</v>
      </c>
      <c r="M22">
        <f t="shared" ca="1" si="16"/>
        <v>0</v>
      </c>
      <c r="N22">
        <f t="shared" ca="1" si="17"/>
        <v>0</v>
      </c>
      <c r="O22" s="1">
        <f t="shared" ca="1" si="18"/>
        <v>0</v>
      </c>
    </row>
    <row r="23" spans="1:15" x14ac:dyDescent="0.3">
      <c r="A23" t="s">
        <v>22</v>
      </c>
      <c r="B23">
        <v>0.5</v>
      </c>
      <c r="L23">
        <f t="shared" ca="1" si="15"/>
        <v>0</v>
      </c>
      <c r="M23">
        <f t="shared" ca="1" si="16"/>
        <v>0</v>
      </c>
      <c r="N23">
        <f t="shared" ca="1" si="17"/>
        <v>0</v>
      </c>
      <c r="O23" s="1">
        <f t="shared" ca="1" si="18"/>
        <v>0</v>
      </c>
    </row>
    <row r="24" spans="1:15" x14ac:dyDescent="0.3">
      <c r="A24" t="s">
        <v>23</v>
      </c>
      <c r="B24">
        <v>0.5</v>
      </c>
      <c r="M24">
        <f t="shared" ca="1" si="16"/>
        <v>0</v>
      </c>
      <c r="N24">
        <f t="shared" ca="1" si="17"/>
        <v>0</v>
      </c>
      <c r="O24" s="1">
        <f t="shared" ca="1" si="18"/>
        <v>0</v>
      </c>
    </row>
    <row r="25" spans="1:15" x14ac:dyDescent="0.3">
      <c r="N25">
        <f t="shared" ca="1" si="17"/>
        <v>0</v>
      </c>
      <c r="O25" s="1">
        <f t="shared" ca="1" si="18"/>
        <v>0</v>
      </c>
    </row>
    <row r="26" spans="1:15" x14ac:dyDescent="0.3">
      <c r="O26" s="1">
        <f ca="1">IF($B$8="C",MAX(O14-$B$6,0),MAX($B$6-O14,0))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Binomial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Z</dc:creator>
  <cp:lastModifiedBy>Mike Z</cp:lastModifiedBy>
  <dcterms:created xsi:type="dcterms:W3CDTF">2025-02-25T02:40:02Z</dcterms:created>
  <dcterms:modified xsi:type="dcterms:W3CDTF">2025-02-26T03:13:01Z</dcterms:modified>
</cp:coreProperties>
</file>