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771fbc718b250/Documents/Columbia/QRM/"/>
    </mc:Choice>
  </mc:AlternateContent>
  <xr:revisionPtr revIDLastSave="0" documentId="8_{188C717C-6997-4444-AE05-BA5D27539F81}" xr6:coauthVersionLast="47" xr6:coauthVersionMax="47" xr10:uidLastSave="{00000000-0000-0000-0000-000000000000}"/>
  <bookViews>
    <workbookView xWindow="-108" yWindow="-108" windowWidth="23256" windowHeight="14856" activeTab="2" xr2:uid="{0CA388F9-0131-42DA-AFCA-B5601309653A}"/>
  </bookViews>
  <sheets>
    <sheet name="Basic Data" sheetId="1" r:id="rId1"/>
    <sheet name="MV Solution for Portfolio" sheetId="2" r:id="rId2"/>
    <sheet name="Benchmark Efficiency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3" l="1"/>
  <c r="L32" i="3"/>
  <c r="K32" i="3"/>
  <c r="M19" i="3"/>
  <c r="L19" i="3"/>
  <c r="K19" i="3"/>
  <c r="M29" i="3"/>
  <c r="K29" i="3"/>
  <c r="L29" i="3"/>
  <c r="K26" i="3" a="1"/>
  <c r="K26" i="3" s="1"/>
  <c r="K13" i="3" a="1"/>
  <c r="K13" i="3" s="1"/>
  <c r="G23" i="3" a="1"/>
  <c r="G23" i="3"/>
  <c r="G18" i="3" a="1"/>
  <c r="G18" i="3"/>
  <c r="E18" i="3" a="1"/>
  <c r="E18" i="3" s="1"/>
  <c r="E20" i="3" s="1"/>
  <c r="E12" i="3"/>
  <c r="E13" i="3"/>
  <c r="E11" i="3"/>
  <c r="E16" i="3" s="1"/>
  <c r="B6" i="3"/>
  <c r="M5" i="1" a="1"/>
  <c r="M5" i="1" s="1"/>
  <c r="N16" i="1" s="1" a="1"/>
  <c r="N16" i="1" s="1"/>
  <c r="R13" i="1" s="1"/>
  <c r="J5" i="1"/>
  <c r="N12" i="1" l="1" a="1"/>
  <c r="N12" i="1" s="1"/>
  <c r="Q12" i="1" s="1"/>
  <c r="N14" i="1" a="1"/>
  <c r="N14" i="1" s="1"/>
  <c r="R12" i="1" s="1"/>
  <c r="Q13" i="1" s="1"/>
  <c r="O20" i="1" l="1" a="1"/>
  <c r="O20" i="1" s="1"/>
  <c r="E23" i="2" s="1" a="1"/>
  <c r="E23" i="2" s="1"/>
  <c r="B9" i="3" l="1"/>
  <c r="G9" i="3" s="1"/>
  <c r="G13" i="3" s="1"/>
  <c r="B8" i="3"/>
  <c r="G8" i="3" s="1"/>
  <c r="G12" i="3" s="1"/>
  <c r="G25" i="2"/>
  <c r="G24" i="2"/>
  <c r="B7" i="3"/>
  <c r="G23" i="2"/>
  <c r="G7" i="3" l="1"/>
  <c r="G26" i="2"/>
  <c r="G20" i="3"/>
  <c r="I20" i="3" s="1"/>
  <c r="K16" i="3" l="1"/>
  <c r="O16" i="3" s="1"/>
  <c r="G11" i="3"/>
  <c r="G16" i="3" s="1"/>
  <c r="L16" i="3" l="1"/>
  <c r="P16" i="3" s="1"/>
  <c r="R16" i="3" s="1"/>
  <c r="M16" i="3"/>
  <c r="Q16" i="3" s="1"/>
  <c r="J21" i="3" s="1"/>
  <c r="K22" i="3" s="1"/>
  <c r="S16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<sst xmlns="http://schemas.openxmlformats.org/spreadsheetml/2006/main" count="36" uniqueCount="31">
  <si>
    <t>E(returns)</t>
  </si>
  <si>
    <t>Covariances</t>
  </si>
  <si>
    <t>Determinant</t>
  </si>
  <si>
    <t>Inverse</t>
  </si>
  <si>
    <t>r1</t>
  </si>
  <si>
    <t>r2</t>
  </si>
  <si>
    <t>r3</t>
  </si>
  <si>
    <t>r</t>
  </si>
  <si>
    <t>Desired rp</t>
  </si>
  <si>
    <t>a</t>
  </si>
  <si>
    <t>i</t>
  </si>
  <si>
    <t>b</t>
  </si>
  <si>
    <t>c</t>
  </si>
  <si>
    <t>A</t>
  </si>
  <si>
    <t>Sum of weights</t>
  </si>
  <si>
    <t>Optimal Weights</t>
  </si>
  <si>
    <t>An Efficient Benchmark</t>
  </si>
  <si>
    <t>Check</t>
  </si>
  <si>
    <t>Portfolio A</t>
  </si>
  <si>
    <t>Portfolio E</t>
  </si>
  <si>
    <t>mean</t>
  </si>
  <si>
    <t>variance</t>
  </si>
  <si>
    <t>std deviation</t>
  </si>
  <si>
    <t>Alpha??</t>
  </si>
  <si>
    <t>Covars</t>
  </si>
  <si>
    <t>Betas</t>
  </si>
  <si>
    <t>Alphas</t>
  </si>
  <si>
    <t>checks</t>
  </si>
  <si>
    <t>RZ</t>
  </si>
  <si>
    <t>Covars vs Port A</t>
  </si>
  <si>
    <t>Betas vs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</si>
</sst>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.0%"/>
    <numFmt numFmtId="169" formatCode="0.00000"/>
    <numFmt numFmtId="172" formatCode="0.0000"/>
    <numFmt numFmtId="173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9" fontId="0" fillId="0" borderId="0" xfId="1" applyFont="1"/>
    <xf numFmtId="168" fontId="0" fillId="0" borderId="0" xfId="1" applyNumberFormat="1" applyFont="1"/>
    <xf numFmtId="168" fontId="4" fillId="4" borderId="0" xfId="1" applyNumberFormat="1" applyFont="1" applyFill="1"/>
    <xf numFmtId="0" fontId="2" fillId="4" borderId="0" xfId="0" applyFont="1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9" fontId="0" fillId="6" borderId="0" xfId="1" applyFont="1" applyFill="1"/>
    <xf numFmtId="9" fontId="0" fillId="0" borderId="0" xfId="0" applyNumberFormat="1"/>
    <xf numFmtId="169" fontId="0" fillId="0" borderId="0" xfId="0" applyNumberFormat="1"/>
    <xf numFmtId="0" fontId="0" fillId="0" borderId="0" xfId="0" applyNumberFormat="1"/>
    <xf numFmtId="172" fontId="0" fillId="0" borderId="0" xfId="0" applyNumberFormat="1"/>
    <xf numFmtId="173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0" fontId="4" fillId="6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487680</xdr:colOff>
      <xdr:row>8</xdr:row>
      <xdr:rowOff>175260</xdr:rowOff>
    </xdr:from>
    <xdr:to>
      <xdr:col>10</xdr:col>
      <xdr:colOff>502920</xdr:colOff>
      <xdr:row>25</xdr:row>
      <xdr:rowOff>68580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3475CC6-D374-EDF1-E09C-1035B4B53107}"/>
                </a:ext>
              </a:extLst>
            </xdr:cNvPr>
            <xdr:cNvSpPr txBox="1"/>
          </xdr:nvSpPr>
          <xdr:spPr>
            <a:xfrm>
              <a:off x="487680" y="1638300"/>
              <a:ext cx="6324600" cy="30022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4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We want</a:t>
              </a:r>
              <a:r>
                <a:rPr lang="en-US" sz="24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to use Excel to find the optimal portfolio weights</a:t>
              </a:r>
              <a:endParaRPr lang="en-US" sz="24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l-GR" sz="24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</m:e>
                      <m:sup>
                        <m:r>
                          <a:rPr lang="en-US" sz="2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</m:sup>
                    </m:sSup>
                    <m:r>
                      <a:rPr lang="en-US" sz="24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2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l-GR" sz="24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Σ</m:t>
                        </m:r>
                      </m:e>
                      <m:sup>
                        <m:r>
                          <a:rPr lang="en-US" sz="2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d>
                      <m:dPr>
                        <m:ctrlPr>
                          <a:rPr lang="en-US" sz="2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24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2400" b="0" i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𝑟</m:t>
                              </m:r>
                            </m:e>
                            <m:e>
                              <m:r>
                                <a:rPr lang="en-US" sz="2400" b="0" i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e>
                          </m:mr>
                        </m:m>
                      </m:e>
                    </m:d>
                    <m:sSup>
                      <m:sSupPr>
                        <m:ctrlPr>
                          <a:rPr lang="en-US" sz="2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</m:t>
                        </m:r>
                      </m:e>
                      <m:sup>
                        <m:r>
                          <a:rPr lang="en-US" sz="2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d>
                      <m:dPr>
                        <m:ctrlPr>
                          <a:rPr lang="en-US" sz="2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24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24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24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24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𝑝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2400" b="0" i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2400"/>
            </a:p>
            <a:p>
              <a:pPr rtl="0" eaLnBrk="1" latinLnBrk="0" hangingPunct="1"/>
              <a:r>
                <a:rPr lang="en-US" sz="2400"/>
                <a:t>Where </a:t>
              </a:r>
              <a14:m>
                <m:oMath xmlns:m="http://schemas.openxmlformats.org/officeDocument/2006/math">
                  <m:r>
                    <a:rPr lang="en-US" sz="2400" b="0" i="1">
                      <a:latin typeface="Cambria Math" panose="02040503050406030204" pitchFamily="18" charset="0"/>
                    </a:rPr>
                    <m:t>𝐴</m:t>
                  </m:r>
                  <m:r>
                    <a:rPr lang="en-US" sz="2400" b="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ctrlPr>
                        <a:rPr lang="en-US" sz="24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en-US" sz="24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en-US" sz="2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mr>
                        <m:m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</m:mr>
                      </m:m>
                    </m:e>
                  </m:d>
                </m:oMath>
              </a14:m>
              <a:r>
                <a:rPr lang="en-US" sz="2400"/>
                <a:t>, and</a:t>
              </a:r>
            </a:p>
            <a:p>
              <a:pPr rtl="0" eaLnBrk="1" latinLnBrk="0" hangingPunct="1"/>
              <a:endParaRPr lang="en-US" sz="2400"/>
            </a:p>
            <a:p>
              <a:pPr rtl="0" eaLnBrk="1" latinLnBrk="0" hangingPunct="1"/>
              <a:r>
                <a:rPr lang="en-US" sz="2000"/>
                <a:t> </a:t>
              </a:r>
              <a14:m>
                <m:oMath xmlns:m="http://schemas.openxmlformats.org/officeDocument/2006/math">
                  <m:r>
                    <a:rPr lang="en-US" sz="20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𝑎</m:t>
                  </m:r>
                  <m:r>
                    <a:rPr lang="en-US" sz="20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𝑟</m:t>
                      </m:r>
                    </m:e>
                    <m:sup>
                      <m: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′</m:t>
                      </m:r>
                    </m:sup>
                  </m:sSup>
                  <m:sSup>
                    <m:sSupPr>
                      <m:ctrlP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l-GR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Σ</m:t>
                      </m:r>
                    </m:e>
                    <m:sup>
                      <m: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r>
                    <a:rPr lang="en-US" sz="20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𝑟</m:t>
                  </m:r>
                </m:oMath>
              </a14:m>
              <a:r>
                <a:rPr lang="en-US" sz="20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 </a:t>
              </a:r>
              <a:r>
                <a:rPr lang="en-US" sz="20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en-US" sz="20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𝑏</m:t>
                  </m:r>
                  <m:r>
                    <a:rPr lang="en-US" sz="20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20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𝑖</m:t>
                      </m:r>
                    </m:e>
                    <m:sup>
                      <m: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′</m:t>
                      </m:r>
                    </m:sup>
                  </m:sSup>
                  <m:sSup>
                    <m:sSupPr>
                      <m:ctrlP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l-GR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Σ</m:t>
                      </m:r>
                    </m:e>
                    <m:sup>
                      <m: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r>
                    <a:rPr lang="en-US" sz="20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𝑟</m:t>
                  </m:r>
                  <m:r>
                    <a:rPr lang="en-US" sz="20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;</m:t>
                  </m:r>
                  <m:r>
                    <m:rPr>
                      <m:sty m:val="p"/>
                    </m:rPr>
                    <a:rPr lang="en-US" sz="20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and</m:t>
                  </m:r>
                  <m:r>
                    <a:rPr lang="en-US" sz="20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20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𝑐</m:t>
                  </m:r>
                  <m:r>
                    <a:rPr lang="en-US" sz="20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20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𝑖</m:t>
                      </m:r>
                    </m:e>
                    <m:sup>
                      <m: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′</m:t>
                      </m:r>
                    </m:sup>
                  </m:sSup>
                  <m:sSup>
                    <m:sSupPr>
                      <m:ctrlP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l-GR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Σ</m:t>
                      </m:r>
                    </m:e>
                    <m:sup>
                      <m: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r>
                    <a:rPr lang="en-US" sz="20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𝑖</m:t>
                  </m:r>
                </m:oMath>
              </a14:m>
              <a:endParaRPr lang="en-US" sz="2000">
                <a:effectLst/>
              </a:endParaRPr>
            </a:p>
            <a:p>
              <a:endParaRPr lang="en-US" sz="2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3475CC6-D374-EDF1-E09C-1035B4B53107}"/>
                </a:ext>
              </a:extLst>
            </xdr:cNvPr>
            <xdr:cNvSpPr txBox="1"/>
          </xdr:nvSpPr>
          <xdr:spPr>
            <a:xfrm>
              <a:off x="487680" y="1638300"/>
              <a:ext cx="6324600" cy="30022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4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We want</a:t>
              </a:r>
              <a:r>
                <a:rPr lang="en-US" sz="24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to use Excel to find the optimal portfolio weights</a:t>
              </a:r>
              <a:endParaRPr lang="en-US" sz="24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2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𝑋</a:t>
              </a:r>
              <a:r>
                <a:rPr lang="el-GR" sz="2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2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∗=</a:t>
              </a:r>
              <a:r>
                <a:rPr lang="el-GR" sz="24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sz="2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^(−1) (■8(𝑟&amp;𝑖)) 𝐴^(−1) (■8(𝑟_𝑝@1))</a:t>
              </a:r>
              <a:endParaRPr lang="en-US" sz="2400"/>
            </a:p>
            <a:p>
              <a:pPr rtl="0" eaLnBrk="1" latinLnBrk="0" hangingPunct="1"/>
              <a:r>
                <a:rPr lang="en-US" sz="2400"/>
                <a:t>Where </a:t>
              </a:r>
              <a:r>
                <a:rPr lang="en-US" sz="2400" b="0" i="0">
                  <a:latin typeface="Cambria Math" panose="02040503050406030204" pitchFamily="18" charset="0"/>
                </a:rPr>
                <a:t>𝐴=(■8(𝑎&amp;𝑏@𝑐&amp;𝑑))</a:t>
              </a:r>
              <a:r>
                <a:rPr lang="en-US" sz="2400"/>
                <a:t>, and</a:t>
              </a:r>
            </a:p>
            <a:p>
              <a:pPr rtl="0" eaLnBrk="1" latinLnBrk="0" hangingPunct="1"/>
              <a:endParaRPr lang="en-US" sz="2400"/>
            </a:p>
            <a:p>
              <a:pPr rtl="0" eaLnBrk="1" latinLnBrk="0" hangingPunct="1"/>
              <a:r>
                <a:rPr lang="en-US" sz="2000"/>
                <a:t> </a:t>
              </a:r>
              <a:r>
                <a:rPr lang="en-US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𝑎=</a:t>
              </a:r>
              <a:r>
                <a:rPr lang="en-US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𝑟^′ </a:t>
              </a:r>
              <a:r>
                <a:rPr lang="el-GR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^(−1) 𝑟</a:t>
              </a:r>
              <a:r>
                <a:rPr lang="en-US" sz="20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 </a:t>
              </a:r>
              <a:r>
                <a:rPr lang="en-US" sz="20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𝑏=𝑖^</a:t>
              </a:r>
              <a:r>
                <a:rPr lang="en-US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′ </a:t>
              </a:r>
              <a:r>
                <a:rPr lang="el-GR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^(−1) 𝑟</a:t>
              </a:r>
              <a:r>
                <a:rPr lang="en-US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;and </a:t>
              </a:r>
              <a:r>
                <a:rPr lang="en-US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𝑐=𝑖^</a:t>
              </a:r>
              <a:r>
                <a:rPr lang="en-US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′ </a:t>
              </a:r>
              <a:r>
                <a:rPr lang="el-GR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^(−1)</a:t>
              </a:r>
              <a:r>
                <a:rPr lang="en-US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𝑖</a:t>
              </a:r>
              <a:endParaRPr lang="en-US" sz="2000">
                <a:effectLst/>
              </a:endParaRPr>
            </a:p>
            <a:p>
              <a:endParaRPr lang="en-US" sz="2400"/>
            </a:p>
          </xdr:txBody>
        </xdr:sp>
      </mc:Fallback>
    </mc:AlternateContent>
    <xdr:clientData/>
  </xdr:twoCellAnchor>
  <xdr:oneCellAnchor>
    <xdr:from>
      <xdr:col>10</xdr:col>
      <xdr:colOff>335280</xdr:colOff>
      <xdr:row>4</xdr:row>
      <xdr:rowOff>72391</xdr:rowOff>
    </xdr:from>
    <xdr:ext cx="1043940" cy="3817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8B6918B-43C7-26A4-D57F-AF98C3A2A46A}"/>
                </a:ext>
              </a:extLst>
            </xdr:cNvPr>
            <xdr:cNvSpPr txBox="1"/>
          </xdr:nvSpPr>
          <xdr:spPr>
            <a:xfrm>
              <a:off x="6644640" y="849631"/>
              <a:ext cx="1043940" cy="3817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l-GR" sz="2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l-GR" sz="2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Σ</m:t>
                        </m:r>
                      </m:e>
                      <m:sup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US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8B6918B-43C7-26A4-D57F-AF98C3A2A46A}"/>
                </a:ext>
              </a:extLst>
            </xdr:cNvPr>
            <xdr:cNvSpPr txBox="1"/>
          </xdr:nvSpPr>
          <xdr:spPr>
            <a:xfrm>
              <a:off x="6644640" y="849631"/>
              <a:ext cx="1043940" cy="3817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sz="2400" i="0">
                  <a:latin typeface="Cambria Math" panose="02040503050406030204" pitchFamily="18" charset="0"/>
                  <a:ea typeface="Cambria Math" panose="02040503050406030204" pitchFamily="18" charset="0"/>
                </a:rPr>
                <a:t>Σ^(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−1</a:t>
              </a:r>
              <a:r>
                <a:rPr lang="el-GR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3</xdr:col>
      <xdr:colOff>457200</xdr:colOff>
      <xdr:row>4</xdr:row>
      <xdr:rowOff>118111</xdr:rowOff>
    </xdr:from>
    <xdr:ext cx="1043940" cy="375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35C185F-32E9-4D3C-82FD-4E0E4381577A}"/>
                </a:ext>
              </a:extLst>
            </xdr:cNvPr>
            <xdr:cNvSpPr txBox="1"/>
          </xdr:nvSpPr>
          <xdr:spPr>
            <a:xfrm>
              <a:off x="2286000" y="895351"/>
              <a:ext cx="1043940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2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Σ</m:t>
                    </m:r>
                    <m:r>
                      <a:rPr lang="en-US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4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35C185F-32E9-4D3C-82FD-4E0E4381577A}"/>
                </a:ext>
              </a:extLst>
            </xdr:cNvPr>
            <xdr:cNvSpPr txBox="1"/>
          </xdr:nvSpPr>
          <xdr:spPr>
            <a:xfrm>
              <a:off x="2286000" y="895351"/>
              <a:ext cx="1043940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sz="2400" i="0">
                  <a:latin typeface="Cambria Math" panose="02040503050406030204" pitchFamily="18" charset="0"/>
                  <a:ea typeface="Cambria Math" panose="02040503050406030204" pitchFamily="18" charset="0"/>
                </a:rPr>
                <a:t>Σ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12</xdr:col>
      <xdr:colOff>45720</xdr:colOff>
      <xdr:row>18</xdr:row>
      <xdr:rowOff>179071</xdr:rowOff>
    </xdr:from>
    <xdr:ext cx="1043940" cy="3817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CA0B78-E3D4-4E77-8F85-5B37B300B875}"/>
                </a:ext>
              </a:extLst>
            </xdr:cNvPr>
            <xdr:cNvSpPr txBox="1"/>
          </xdr:nvSpPr>
          <xdr:spPr>
            <a:xfrm>
              <a:off x="7574280" y="3516631"/>
              <a:ext cx="1043940" cy="3817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l-GR" sz="2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US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4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CA0B78-E3D4-4E77-8F85-5B37B300B875}"/>
                </a:ext>
              </a:extLst>
            </xdr:cNvPr>
            <xdr:cNvSpPr txBox="1"/>
          </xdr:nvSpPr>
          <xdr:spPr>
            <a:xfrm>
              <a:off x="7574280" y="3516631"/>
              <a:ext cx="1043940" cy="3817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𝐴</a:t>
              </a:r>
              <a:r>
                <a:rPr lang="el-GR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−1</a:t>
              </a:r>
              <a:r>
                <a:rPr lang="el-GR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0</xdr:rowOff>
    </xdr:from>
    <xdr:to>
      <xdr:col>11</xdr:col>
      <xdr:colOff>243840</xdr:colOff>
      <xdr:row>18</xdr:row>
      <xdr:rowOff>76200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652CE02-8D36-4176-BC8D-2AF811783808}"/>
                </a:ext>
              </a:extLst>
            </xdr:cNvPr>
            <xdr:cNvSpPr txBox="1"/>
          </xdr:nvSpPr>
          <xdr:spPr>
            <a:xfrm>
              <a:off x="624840" y="365760"/>
              <a:ext cx="6324600" cy="30022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4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We want</a:t>
              </a:r>
              <a:r>
                <a:rPr lang="en-US" sz="24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to use Excel to find the optimal portfolio weights</a:t>
              </a:r>
              <a:endParaRPr lang="en-US" sz="24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l-GR" sz="24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</m:e>
                      <m:sup>
                        <m:r>
                          <a:rPr lang="en-US" sz="2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</m:sup>
                    </m:sSup>
                    <m:r>
                      <a:rPr lang="en-US" sz="24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2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l-GR" sz="24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Σ</m:t>
                        </m:r>
                      </m:e>
                      <m:sup>
                        <m:r>
                          <a:rPr lang="en-US" sz="2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d>
                      <m:dPr>
                        <m:ctrlPr>
                          <a:rPr lang="en-US" sz="2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24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2400" b="0" i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𝑟</m:t>
                              </m:r>
                            </m:e>
                            <m:e>
                              <m:r>
                                <a:rPr lang="en-US" sz="2400" b="0" i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e>
                          </m:mr>
                        </m:m>
                      </m:e>
                    </m:d>
                    <m:sSup>
                      <m:sSupPr>
                        <m:ctrlPr>
                          <a:rPr lang="en-US" sz="2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2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</m:t>
                        </m:r>
                      </m:e>
                      <m:sup>
                        <m:r>
                          <a:rPr lang="en-US" sz="2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d>
                      <m:dPr>
                        <m:ctrlPr>
                          <a:rPr lang="en-US" sz="2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24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24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24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𝑟</m:t>
                                  </m:r>
                                </m:e>
                                <m:sub>
                                  <m:r>
                                    <a:rPr lang="en-US" sz="24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𝑝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2400" b="0" i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2400"/>
            </a:p>
            <a:p>
              <a:pPr rtl="0" eaLnBrk="1" latinLnBrk="0" hangingPunct="1"/>
              <a:r>
                <a:rPr lang="en-US" sz="2400"/>
                <a:t>Where </a:t>
              </a:r>
              <a14:m>
                <m:oMath xmlns:m="http://schemas.openxmlformats.org/officeDocument/2006/math">
                  <m:r>
                    <a:rPr lang="en-US" sz="2400" b="0" i="1">
                      <a:latin typeface="Cambria Math" panose="02040503050406030204" pitchFamily="18" charset="0"/>
                    </a:rPr>
                    <m:t>𝐴</m:t>
                  </m:r>
                  <m:r>
                    <a:rPr lang="en-US" sz="2400" b="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ctrlPr>
                        <a:rPr lang="en-US" sz="24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en-US" sz="24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en-US" sz="2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mr>
                        <m:m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</m:mr>
                      </m:m>
                    </m:e>
                  </m:d>
                </m:oMath>
              </a14:m>
              <a:r>
                <a:rPr lang="en-US" sz="2400"/>
                <a:t>, and</a:t>
              </a:r>
            </a:p>
            <a:p>
              <a:pPr rtl="0" eaLnBrk="1" latinLnBrk="0" hangingPunct="1"/>
              <a:endParaRPr lang="en-US" sz="2400"/>
            </a:p>
            <a:p>
              <a:pPr rtl="0" eaLnBrk="1" latinLnBrk="0" hangingPunct="1"/>
              <a:r>
                <a:rPr lang="en-US" sz="2000"/>
                <a:t> </a:t>
              </a:r>
              <a14:m>
                <m:oMath xmlns:m="http://schemas.openxmlformats.org/officeDocument/2006/math">
                  <m:r>
                    <a:rPr lang="en-US" sz="20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𝑎</m:t>
                  </m:r>
                  <m:r>
                    <a:rPr lang="en-US" sz="20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𝑟</m:t>
                      </m:r>
                    </m:e>
                    <m:sup>
                      <m: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′</m:t>
                      </m:r>
                    </m:sup>
                  </m:sSup>
                  <m:sSup>
                    <m:sSupPr>
                      <m:ctrlP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l-GR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Σ</m:t>
                      </m:r>
                    </m:e>
                    <m:sup>
                      <m: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r>
                    <a:rPr lang="en-US" sz="20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𝑟</m:t>
                  </m:r>
                </m:oMath>
              </a14:m>
              <a:r>
                <a:rPr lang="en-US" sz="20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 </a:t>
              </a:r>
              <a:r>
                <a:rPr lang="en-US" sz="20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en-US" sz="20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𝑏</m:t>
                  </m:r>
                  <m:r>
                    <a:rPr lang="en-US" sz="20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20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𝑖</m:t>
                      </m:r>
                    </m:e>
                    <m:sup>
                      <m: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′</m:t>
                      </m:r>
                    </m:sup>
                  </m:sSup>
                  <m:sSup>
                    <m:sSupPr>
                      <m:ctrlP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l-GR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Σ</m:t>
                      </m:r>
                    </m:e>
                    <m:sup>
                      <m: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r>
                    <a:rPr lang="en-US" sz="20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𝑟</m:t>
                  </m:r>
                  <m:r>
                    <a:rPr lang="en-US" sz="20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;</m:t>
                  </m:r>
                  <m:r>
                    <m:rPr>
                      <m:sty m:val="p"/>
                    </m:rPr>
                    <a:rPr lang="en-US" sz="20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and</m:t>
                  </m:r>
                  <m:r>
                    <a:rPr lang="en-US" sz="20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20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𝑐</m:t>
                  </m:r>
                  <m:r>
                    <a:rPr lang="en-US" sz="20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sSup>
                    <m:sSupPr>
                      <m:ctrlP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20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𝑖</m:t>
                      </m:r>
                    </m:e>
                    <m:sup>
                      <m: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′</m:t>
                      </m:r>
                    </m:sup>
                  </m:sSup>
                  <m:sSup>
                    <m:sSupPr>
                      <m:ctrlP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l-GR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Σ</m:t>
                      </m:r>
                    </m:e>
                    <m:sup>
                      <m:r>
                        <a:rPr lang="en-US" sz="20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−1</m:t>
                      </m:r>
                    </m:sup>
                  </m:sSup>
                  <m:r>
                    <a:rPr lang="en-US" sz="2000" b="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𝑖</m:t>
                  </m:r>
                </m:oMath>
              </a14:m>
              <a:endParaRPr lang="en-US" sz="2000">
                <a:effectLst/>
              </a:endParaRPr>
            </a:p>
            <a:p>
              <a:endParaRPr lang="en-US" sz="2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652CE02-8D36-4176-BC8D-2AF811783808}"/>
                </a:ext>
              </a:extLst>
            </xdr:cNvPr>
            <xdr:cNvSpPr txBox="1"/>
          </xdr:nvSpPr>
          <xdr:spPr>
            <a:xfrm>
              <a:off x="624840" y="365760"/>
              <a:ext cx="6324600" cy="30022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4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We want</a:t>
              </a:r>
              <a:r>
                <a:rPr lang="en-US" sz="24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to use Excel to find the optimal portfolio weights</a:t>
              </a:r>
              <a:endParaRPr lang="en-US" sz="24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2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𝑋</a:t>
              </a:r>
              <a:r>
                <a:rPr lang="el-GR" sz="2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2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∗=</a:t>
              </a:r>
              <a:r>
                <a:rPr lang="el-GR" sz="24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sz="2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^(−1) (■8(𝑟&amp;𝑖)) 𝐴^(−1) (■8(𝑟_𝑝@1))</a:t>
              </a:r>
              <a:endParaRPr lang="en-US" sz="2400"/>
            </a:p>
            <a:p>
              <a:pPr rtl="0" eaLnBrk="1" latinLnBrk="0" hangingPunct="1"/>
              <a:r>
                <a:rPr lang="en-US" sz="2400"/>
                <a:t>Where </a:t>
              </a:r>
              <a:r>
                <a:rPr lang="en-US" sz="2400" b="0" i="0">
                  <a:latin typeface="Cambria Math" panose="02040503050406030204" pitchFamily="18" charset="0"/>
                </a:rPr>
                <a:t>𝐴=(■8(𝑎&amp;𝑏@𝑐&amp;𝑑))</a:t>
              </a:r>
              <a:r>
                <a:rPr lang="en-US" sz="2400"/>
                <a:t>, and</a:t>
              </a:r>
            </a:p>
            <a:p>
              <a:pPr rtl="0" eaLnBrk="1" latinLnBrk="0" hangingPunct="1"/>
              <a:endParaRPr lang="en-US" sz="2400"/>
            </a:p>
            <a:p>
              <a:pPr rtl="0" eaLnBrk="1" latinLnBrk="0" hangingPunct="1"/>
              <a:r>
                <a:rPr lang="en-US" sz="2000"/>
                <a:t> </a:t>
              </a:r>
              <a:r>
                <a:rPr lang="en-US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𝑎=</a:t>
              </a:r>
              <a:r>
                <a:rPr lang="en-US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𝑟^′ </a:t>
              </a:r>
              <a:r>
                <a:rPr lang="el-GR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^(−1) 𝑟</a:t>
              </a:r>
              <a:r>
                <a:rPr lang="en-US" sz="20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 </a:t>
              </a:r>
              <a:r>
                <a:rPr lang="en-US" sz="20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𝑏=𝑖^</a:t>
              </a:r>
              <a:r>
                <a:rPr lang="en-US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′ </a:t>
              </a:r>
              <a:r>
                <a:rPr lang="el-GR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^(−1) 𝑟</a:t>
              </a:r>
              <a:r>
                <a:rPr lang="en-US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;and </a:t>
              </a:r>
              <a:r>
                <a:rPr lang="en-US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𝑐=𝑖^</a:t>
              </a:r>
              <a:r>
                <a:rPr lang="en-US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′ </a:t>
              </a:r>
              <a:r>
                <a:rPr lang="el-GR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sz="20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^(−1)</a:t>
              </a:r>
              <a:r>
                <a:rPr lang="en-US" sz="20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𝑖</a:t>
              </a:r>
              <a:endParaRPr lang="en-US" sz="2000">
                <a:effectLst/>
              </a:endParaRPr>
            </a:p>
            <a:p>
              <a:endParaRPr lang="en-US" sz="24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0F21-17AA-4794-9B0B-8B92C684A741}">
  <dimension ref="A4:R21"/>
  <sheetViews>
    <sheetView workbookViewId="0">
      <selection activeCell="N26" sqref="N26"/>
    </sheetView>
  </sheetViews>
  <sheetFormatPr defaultRowHeight="14.4" x14ac:dyDescent="0.3"/>
  <cols>
    <col min="6" max="6" width="12" bestFit="1" customWidth="1"/>
  </cols>
  <sheetData>
    <row r="4" spans="1:18" ht="18" x14ac:dyDescent="0.35">
      <c r="A4" s="2" t="s">
        <v>7</v>
      </c>
      <c r="B4" t="s">
        <v>0</v>
      </c>
      <c r="C4" t="s">
        <v>10</v>
      </c>
      <c r="F4" t="s">
        <v>1</v>
      </c>
      <c r="J4" t="s">
        <v>2</v>
      </c>
      <c r="M4" t="s">
        <v>3</v>
      </c>
    </row>
    <row r="5" spans="1:18" x14ac:dyDescent="0.3">
      <c r="A5" t="s">
        <v>4</v>
      </c>
      <c r="B5" s="3">
        <v>0.08</v>
      </c>
      <c r="C5" s="3">
        <v>1</v>
      </c>
      <c r="F5" s="3">
        <v>0.16</v>
      </c>
      <c r="G5" s="3">
        <v>-0.1</v>
      </c>
      <c r="H5" s="3">
        <v>-0.02</v>
      </c>
      <c r="J5">
        <f>MDETERM(F5:H7)</f>
        <v>1.8280000000000002E-3</v>
      </c>
      <c r="M5" s="3" cm="1">
        <f t="array" ref="M5:O7">MINVERSE(F5:H7)</f>
        <v>11.269146608315099</v>
      </c>
      <c r="N5" s="3">
        <v>8.7527352297593009</v>
      </c>
      <c r="O5" s="3">
        <v>-3.6105032822757122</v>
      </c>
    </row>
    <row r="6" spans="1:18" x14ac:dyDescent="0.3">
      <c r="A6" t="s">
        <v>5</v>
      </c>
      <c r="B6" s="3">
        <v>0.1</v>
      </c>
      <c r="C6" s="3">
        <v>1</v>
      </c>
      <c r="F6" s="3">
        <v>-0.1</v>
      </c>
      <c r="G6" s="3">
        <v>0.17</v>
      </c>
      <c r="H6" s="3">
        <v>0.1</v>
      </c>
      <c r="M6" s="3">
        <v>8.7527352297592991</v>
      </c>
      <c r="N6" s="3">
        <v>15.536105032822757</v>
      </c>
      <c r="O6" s="3">
        <v>-7.6586433260393889</v>
      </c>
    </row>
    <row r="7" spans="1:18" x14ac:dyDescent="0.3">
      <c r="A7" t="s">
        <v>6</v>
      </c>
      <c r="B7" s="3">
        <v>0.12</v>
      </c>
      <c r="C7" s="3">
        <v>1</v>
      </c>
      <c r="F7" s="3">
        <v>-0.02</v>
      </c>
      <c r="G7" s="3">
        <v>0.1</v>
      </c>
      <c r="H7" s="3">
        <v>0.18</v>
      </c>
      <c r="M7" s="3">
        <v>-3.6105032822757117</v>
      </c>
      <c r="N7" s="3">
        <v>-7.658643326039388</v>
      </c>
      <c r="O7" s="3">
        <v>9.4091903719912491</v>
      </c>
    </row>
    <row r="12" spans="1:18" x14ac:dyDescent="0.3">
      <c r="M12" t="s">
        <v>9</v>
      </c>
      <c r="N12" cm="1">
        <f t="array" ref="N12">MMULT(MMULT(TRANSPOSE(B5:B7),(_xlfn.ANCHORARRAY(M5))),(B5:B7))</f>
        <v>0.24989059080962803</v>
      </c>
      <c r="P12" t="s">
        <v>13</v>
      </c>
      <c r="Q12" s="4">
        <f>N12</f>
        <v>0.24989059080962803</v>
      </c>
      <c r="R12" s="4">
        <f>N14</f>
        <v>2.7527352297592995</v>
      </c>
    </row>
    <row r="13" spans="1:18" x14ac:dyDescent="0.3">
      <c r="Q13" s="4">
        <f>R12</f>
        <v>2.7527352297592995</v>
      </c>
      <c r="R13" s="4">
        <f>N16</f>
        <v>31.181619256017498</v>
      </c>
    </row>
    <row r="14" spans="1:18" x14ac:dyDescent="0.3">
      <c r="M14" t="s">
        <v>11</v>
      </c>
      <c r="N14" cm="1">
        <f t="array" ref="N14">MMULT(MMULT(TRANSPOSE(C5:C7),(_xlfn.ANCHORARRAY(M5))),(B5:B7))</f>
        <v>2.7527352297592995</v>
      </c>
    </row>
    <row r="16" spans="1:18" x14ac:dyDescent="0.3">
      <c r="M16" t="s">
        <v>12</v>
      </c>
      <c r="N16" cm="1">
        <f t="array" ref="N16">MMULT(MMULT(TRANSPOSE(C5:C7),(_xlfn.ANCHORARRAY(M5))),(C5:C7))</f>
        <v>31.181619256017498</v>
      </c>
    </row>
    <row r="20" spans="15:16" x14ac:dyDescent="0.3">
      <c r="O20" s="4" cm="1">
        <f t="array" ref="O20:P21">MINVERSE(Q12:R13)</f>
        <v>145.4081632653056</v>
      </c>
      <c r="P20" s="4">
        <v>-12.836734693877506</v>
      </c>
    </row>
    <row r="21" spans="15:16" x14ac:dyDescent="0.3">
      <c r="O21" s="4">
        <v>-12.836734693877506</v>
      </c>
      <c r="P21" s="4">
        <v>1.1653061224489758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981B-5F40-4BA8-B9B0-AA8E7CB8EB53}">
  <dimension ref="A22:G26"/>
  <sheetViews>
    <sheetView workbookViewId="0">
      <selection activeCell="E23" sqref="E23"/>
    </sheetView>
  </sheetViews>
  <sheetFormatPr defaultRowHeight="14.4" x14ac:dyDescent="0.3"/>
  <cols>
    <col min="1" max="1" width="13.44140625" bestFit="1" customWidth="1"/>
  </cols>
  <sheetData>
    <row r="22" spans="1:7" ht="28.8" x14ac:dyDescent="0.3">
      <c r="A22" s="9" t="s">
        <v>8</v>
      </c>
      <c r="B22" s="9">
        <v>0.11</v>
      </c>
      <c r="E22" s="8" t="s">
        <v>15</v>
      </c>
      <c r="G22" t="s">
        <v>17</v>
      </c>
    </row>
    <row r="23" spans="1:7" ht="15.6" x14ac:dyDescent="0.3">
      <c r="A23" t="s">
        <v>14</v>
      </c>
      <c r="B23">
        <v>1</v>
      </c>
      <c r="E23" s="7" cm="1">
        <f t="array" ref="E23:E25">MMULT(MMULT(MMULT(_xlfn.ANCHORARRAY('Basic Data'!M5),'Basic Data'!B5:C7),_xlfn.ANCHORARRAY('Basic Data'!O20)),B22:B23)</f>
        <v>0.19387755102041204</v>
      </c>
      <c r="G23">
        <f>E23*'Basic Data'!B5</f>
        <v>1.5510204081632964E-2</v>
      </c>
    </row>
    <row r="24" spans="1:7" ht="15.6" x14ac:dyDescent="0.3">
      <c r="E24" s="7">
        <v>0.11224489795918391</v>
      </c>
      <c r="G24">
        <f>E24*'Basic Data'!B6</f>
        <v>1.1224489795918391E-2</v>
      </c>
    </row>
    <row r="25" spans="1:7" ht="15.6" x14ac:dyDescent="0.3">
      <c r="E25" s="7">
        <v>0.69387755102040627</v>
      </c>
      <c r="G25">
        <f>E25*'Basic Data'!B7</f>
        <v>8.3265306122448743E-2</v>
      </c>
    </row>
    <row r="26" spans="1:7" x14ac:dyDescent="0.3">
      <c r="G26" s="10">
        <f>SUM(G23:G25)</f>
        <v>0.1100000000000001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BC8-4FEF-4182-9A1C-C31D529C1F9F}">
  <dimension ref="A4:S32"/>
  <sheetViews>
    <sheetView tabSelected="1" workbookViewId="0">
      <selection activeCell="Q24" sqref="Q24"/>
    </sheetView>
  </sheetViews>
  <sheetFormatPr defaultRowHeight="14.4" x14ac:dyDescent="0.3"/>
  <cols>
    <col min="2" max="2" width="12.77734375" customWidth="1"/>
    <col min="7" max="7" width="9.5546875" bestFit="1" customWidth="1"/>
    <col min="11" max="11" width="14.33203125" bestFit="1" customWidth="1"/>
    <col min="12" max="13" width="10.5546875" bestFit="1" customWidth="1"/>
    <col min="14" max="15" width="11.5546875" bestFit="1" customWidth="1"/>
    <col min="18" max="18" width="9.21875" bestFit="1" customWidth="1"/>
  </cols>
  <sheetData>
    <row r="4" spans="1:19" ht="12" customHeight="1" x14ac:dyDescent="0.3"/>
    <row r="5" spans="1:19" ht="31.2" customHeight="1" x14ac:dyDescent="0.3">
      <c r="B5" s="11" t="s">
        <v>16</v>
      </c>
    </row>
    <row r="6" spans="1:19" ht="28.8" x14ac:dyDescent="0.3">
      <c r="B6" s="11" t="str">
        <f>'MV Solution for Portfolio'!E22</f>
        <v>Optimal Weights</v>
      </c>
      <c r="E6" t="s">
        <v>18</v>
      </c>
      <c r="G6" t="s">
        <v>19</v>
      </c>
      <c r="L6" s="1" t="s">
        <v>23</v>
      </c>
    </row>
    <row r="7" spans="1:19" x14ac:dyDescent="0.3">
      <c r="B7" s="12">
        <f>'MV Solution for Portfolio'!E23</f>
        <v>0.19387755102041204</v>
      </c>
      <c r="E7">
        <v>0</v>
      </c>
      <c r="G7" s="13">
        <f>B7</f>
        <v>0.19387755102041204</v>
      </c>
    </row>
    <row r="8" spans="1:19" x14ac:dyDescent="0.3">
      <c r="B8" s="12">
        <f>'MV Solution for Portfolio'!E24</f>
        <v>0.11224489795918391</v>
      </c>
      <c r="E8" s="5">
        <v>0.5</v>
      </c>
      <c r="G8" s="13">
        <f t="shared" ref="G8:G9" si="0">B8</f>
        <v>0.11224489795918391</v>
      </c>
      <c r="K8" s="15">
        <v>1</v>
      </c>
      <c r="L8">
        <v>0</v>
      </c>
      <c r="M8">
        <v>0</v>
      </c>
    </row>
    <row r="9" spans="1:19" x14ac:dyDescent="0.3">
      <c r="B9" s="12">
        <f>'MV Solution for Portfolio'!E25</f>
        <v>0.69387755102040627</v>
      </c>
      <c r="E9" s="5">
        <v>0.5</v>
      </c>
      <c r="G9" s="13">
        <f t="shared" si="0"/>
        <v>0.69387755102040627</v>
      </c>
      <c r="K9" s="15">
        <v>0</v>
      </c>
      <c r="L9">
        <v>1</v>
      </c>
      <c r="M9">
        <v>0</v>
      </c>
    </row>
    <row r="10" spans="1:19" x14ac:dyDescent="0.3">
      <c r="K10" s="15">
        <v>0</v>
      </c>
      <c r="L10">
        <v>0</v>
      </c>
      <c r="M10">
        <v>1</v>
      </c>
    </row>
    <row r="11" spans="1:19" x14ac:dyDescent="0.3">
      <c r="A11" t="s">
        <v>0</v>
      </c>
      <c r="E11">
        <f>A12*E7</f>
        <v>0</v>
      </c>
      <c r="G11">
        <f>A12*G7</f>
        <v>1.5510204081632964E-2</v>
      </c>
    </row>
    <row r="12" spans="1:19" x14ac:dyDescent="0.3">
      <c r="A12" s="3">
        <v>0.08</v>
      </c>
      <c r="E12">
        <f t="shared" ref="E12:E13" si="1">A13*E8</f>
        <v>0.05</v>
      </c>
      <c r="G12">
        <f t="shared" ref="G12:G13" si="2">A13*G8</f>
        <v>1.1224489795918391E-2</v>
      </c>
      <c r="L12" t="s">
        <v>24</v>
      </c>
    </row>
    <row r="13" spans="1:19" x14ac:dyDescent="0.3">
      <c r="A13" s="3">
        <v>0.1</v>
      </c>
      <c r="E13">
        <f t="shared" si="1"/>
        <v>0.06</v>
      </c>
      <c r="G13">
        <f t="shared" si="2"/>
        <v>8.3265306122448743E-2</v>
      </c>
      <c r="K13" s="16" cm="1">
        <f t="array" ref="K13:M13">TRANSPOSE(MMULT(MMULT(TRANSPOSE(K8:M10),'Basic Data'!F5:H7),'Benchmark Efficiency'!G7:G9))</f>
        <v>5.918367346939412E-3</v>
      </c>
      <c r="L13" s="16">
        <v>6.9081632653060693E-2</v>
      </c>
      <c r="M13" s="16">
        <v>0.13224489795918326</v>
      </c>
    </row>
    <row r="14" spans="1:19" x14ac:dyDescent="0.3">
      <c r="A14" s="3">
        <v>0.12</v>
      </c>
    </row>
    <row r="15" spans="1:19" x14ac:dyDescent="0.3">
      <c r="E15" t="s">
        <v>20</v>
      </c>
      <c r="G15" t="s">
        <v>20</v>
      </c>
      <c r="L15" t="s">
        <v>25</v>
      </c>
      <c r="R15" t="s">
        <v>27</v>
      </c>
    </row>
    <row r="16" spans="1:19" x14ac:dyDescent="0.3">
      <c r="E16">
        <f>SUM(E11:E13)</f>
        <v>0.11</v>
      </c>
      <c r="G16">
        <f>SUM(G11:G13)</f>
        <v>0.1100000000000001</v>
      </c>
      <c r="K16" s="17">
        <f>K13/G18</f>
        <v>5.8793715154593501E-2</v>
      </c>
      <c r="L16" s="17">
        <f>L13/G18</f>
        <v>0.68626457171819333</v>
      </c>
      <c r="M16" s="17">
        <f>M13/G18</f>
        <v>1.3137354282818059</v>
      </c>
      <c r="O16" s="19">
        <f>(A12-G16*K16)/(1-K16)</f>
        <v>7.8126009693053083E-2</v>
      </c>
      <c r="P16" s="19">
        <f>(A13-G16*L16)/(1-L16)</f>
        <v>7.8126009693053347E-2</v>
      </c>
      <c r="Q16" s="19">
        <f>(A14-G16*M16)/(1-M16)</f>
        <v>7.8126009693053847E-2</v>
      </c>
      <c r="R16" s="14">
        <f>O16/P16</f>
        <v>0.99999999999999667</v>
      </c>
      <c r="S16" s="14">
        <f>P16/Q16</f>
        <v>0.99999999999999356</v>
      </c>
    </row>
    <row r="17" spans="5:13" x14ac:dyDescent="0.3">
      <c r="E17" t="s">
        <v>21</v>
      </c>
      <c r="G17" t="s">
        <v>21</v>
      </c>
    </row>
    <row r="18" spans="5:13" x14ac:dyDescent="0.3">
      <c r="E18" cm="1">
        <f t="array" ref="E18">MMULT(MMULT(TRANSPOSE(E7:E9),'Basic Data'!F5:H7),'Benchmark Efficiency'!E7:E9)</f>
        <v>0.13750000000000001</v>
      </c>
      <c r="G18" cm="1">
        <f t="array" ref="G18">MMULT(MMULT(TRANSPOSE(B7:B9),'Basic Data'!F5:H7),'Benchmark Efficiency'!B7:B9)</f>
        <v>0.10066326530612202</v>
      </c>
      <c r="L18" t="s">
        <v>26</v>
      </c>
    </row>
    <row r="19" spans="5:13" ht="15.6" x14ac:dyDescent="0.3">
      <c r="E19" t="s">
        <v>22</v>
      </c>
      <c r="G19" t="s">
        <v>22</v>
      </c>
      <c r="K19" s="21">
        <f>A12-$J$21-($G$16-$J$21)*K16</f>
        <v>-7.1709131688191263E-16</v>
      </c>
      <c r="L19" s="21">
        <f>A13-$J$21-($G$16-$J$21)*L16</f>
        <v>-1.5612511283791264E-16</v>
      </c>
      <c r="M19" s="21">
        <f>A14-$J$21-($G$16-$J$21)*M16</f>
        <v>0</v>
      </c>
    </row>
    <row r="20" spans="5:13" x14ac:dyDescent="0.3">
      <c r="E20" s="6">
        <f>SQRT(E18)</f>
        <v>0.37080992435478316</v>
      </c>
      <c r="G20" s="6">
        <f>SQRT(G18)</f>
        <v>0.3172747473501823</v>
      </c>
      <c r="I20" s="5">
        <f>G20/E20</f>
        <v>0.85562636410621107</v>
      </c>
    </row>
    <row r="21" spans="5:13" x14ac:dyDescent="0.3">
      <c r="I21" t="s">
        <v>28</v>
      </c>
      <c r="J21" s="20">
        <f>Q16</f>
        <v>7.8126009693053847E-2</v>
      </c>
    </row>
    <row r="22" spans="5:13" x14ac:dyDescent="0.3">
      <c r="K22" s="20">
        <f>J21+($G$16-J21)*K16</f>
        <v>8.0000000000000723E-2</v>
      </c>
    </row>
    <row r="23" spans="5:13" x14ac:dyDescent="0.3">
      <c r="G23" cm="1">
        <f t="array" ref="G23">MMULT(MMULT(TRANSPOSE('MV Solution for Portfolio'!B22:B23),_xlfn.ANCHORARRAY('Basic Data'!O20)),'MV Solution for Portfolio'!B22:B23)</f>
        <v>0.10066326530612218</v>
      </c>
    </row>
    <row r="25" spans="5:13" x14ac:dyDescent="0.3">
      <c r="G25" s="18"/>
      <c r="K25" t="s">
        <v>29</v>
      </c>
    </row>
    <row r="26" spans="5:13" x14ac:dyDescent="0.3">
      <c r="K26" cm="1">
        <f t="array" ref="K26:M26">TRANSPOSE(MMULT(MMULT(TRANSPOSE(K8:M10),'Basic Data'!F5:H7),'Benchmark Efficiency'!E7:E9))</f>
        <v>-6.0000000000000005E-2</v>
      </c>
      <c r="L26">
        <v>0.13500000000000001</v>
      </c>
      <c r="M26">
        <v>0.14000000000000001</v>
      </c>
    </row>
    <row r="28" spans="5:13" x14ac:dyDescent="0.3">
      <c r="K28" t="s">
        <v>30</v>
      </c>
    </row>
    <row r="29" spans="5:13" x14ac:dyDescent="0.3">
      <c r="K29">
        <f>K13/E18</f>
        <v>4.3042671614104813E-2</v>
      </c>
      <c r="L29">
        <f>L13/E18</f>
        <v>0.50241187384044139</v>
      </c>
      <c r="M29">
        <f>M13/E18</f>
        <v>0.96178107606678731</v>
      </c>
    </row>
    <row r="31" spans="5:13" x14ac:dyDescent="0.3">
      <c r="L31" t="s">
        <v>26</v>
      </c>
    </row>
    <row r="32" spans="5:13" ht="15.6" x14ac:dyDescent="0.3">
      <c r="K32" s="21">
        <f>A12-$J$21-($E$16-$J$21)*K29</f>
        <v>5.0204860913311174E-4</v>
      </c>
      <c r="L32" s="21">
        <f>A13-$J$21-($E$16-$J$21)*L29</f>
        <v>5.8601191100612765E-3</v>
      </c>
      <c r="M32" s="21">
        <f>A14-$J$21-($E$16-$J$21)*M29</f>
        <v>1.1218189610989127E-2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08DB-8925-49AC-AB72-91E81F6828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Data</vt:lpstr>
      <vt:lpstr>MV Solution for Portfolio</vt:lpstr>
      <vt:lpstr>Benchmark Efficiency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</dc:creator>
  <cp:lastModifiedBy>Mike Z</cp:lastModifiedBy>
  <dcterms:created xsi:type="dcterms:W3CDTF">2025-04-15T21:42:51Z</dcterms:created>
  <dcterms:modified xsi:type="dcterms:W3CDTF">2025-04-16T18:32:56Z</dcterms:modified>
</cp:coreProperties>
</file>