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9771fbc718b250/Documents/Columbia/Market Risk 1/Lecture 2/"/>
    </mc:Choice>
  </mc:AlternateContent>
  <xr:revisionPtr revIDLastSave="118" documentId="8_{B75CB6D6-5E31-4A07-AE5C-D260DB564418}" xr6:coauthVersionLast="47" xr6:coauthVersionMax="47" xr10:uidLastSave="{04787578-550E-46F3-A890-DE4F23613EEA}"/>
  <bookViews>
    <workbookView minimized="1" xWindow="7932" yWindow="4404" windowWidth="15456" windowHeight="10584" activeTab="1" xr2:uid="{DE588E5E-4347-473B-9FB2-11BF3C54485B}"/>
  </bookViews>
  <sheets>
    <sheet name="Base Info" sheetId="1" r:id="rId1"/>
    <sheet name="Greekish" sheetId="7" r:id="rId2"/>
    <sheet name="1% bump up" sheetId="2" r:id="rId3"/>
    <sheet name="1% bump down" sheetId="3" r:id="rId4"/>
    <sheet name="1-5% bump down " sheetId="4" r:id="rId5"/>
    <sheet name="1 vol pt up" sheetId="5" r:id="rId6"/>
    <sheet name="tomorrow" sheetId="6" r:id="rId7"/>
    <sheet name="Rate bum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8" l="1"/>
  <c r="J5" i="8"/>
  <c r="F6" i="8"/>
  <c r="H6" i="8"/>
  <c r="H5" i="8"/>
  <c r="F5" i="8"/>
  <c r="G7" i="6"/>
  <c r="G6" i="6"/>
  <c r="J7" i="5"/>
  <c r="J6" i="5"/>
  <c r="F7" i="5"/>
  <c r="F6" i="5"/>
  <c r="H7" i="5"/>
  <c r="H6" i="5"/>
  <c r="J7" i="4"/>
  <c r="J6" i="4"/>
  <c r="H7" i="4"/>
  <c r="F7" i="4"/>
  <c r="H6" i="4"/>
  <c r="F6" i="4"/>
  <c r="H6" i="3"/>
  <c r="H7" i="3"/>
  <c r="F7" i="3"/>
  <c r="F6" i="3"/>
  <c r="J7" i="3"/>
  <c r="J6" i="3"/>
  <c r="J7" i="2"/>
  <c r="J6" i="2"/>
  <c r="F7" i="2"/>
  <c r="H7" i="2"/>
  <c r="H6" i="2"/>
  <c r="F6" i="2"/>
  <c r="J7" i="6"/>
  <c r="J6" i="6"/>
  <c r="C3" i="6" s="1"/>
  <c r="G7" i="1"/>
  <c r="G6" i="8" s="1"/>
  <c r="G6" i="1"/>
  <c r="G5" i="8" s="1"/>
  <c r="G6" i="5" l="1"/>
  <c r="G7" i="5"/>
  <c r="G6" i="4"/>
  <c r="G7" i="4"/>
  <c r="G7" i="3"/>
  <c r="G6" i="3"/>
  <c r="G7" i="2"/>
  <c r="G6" i="2"/>
  <c r="I4" i="7"/>
  <c r="U6" i="8"/>
  <c r="S6" i="8"/>
  <c r="T6" i="8"/>
  <c r="U5" i="8"/>
  <c r="S5" i="8"/>
  <c r="T5" i="8"/>
  <c r="M4" i="8"/>
  <c r="K4" i="8"/>
  <c r="L4" i="8" s="1"/>
  <c r="B4" i="8"/>
  <c r="U7" i="1"/>
  <c r="S7" i="1"/>
  <c r="U6" i="1"/>
  <c r="S6" i="1"/>
  <c r="T7" i="1"/>
  <c r="T6" i="1"/>
  <c r="M5" i="1"/>
  <c r="K5" i="1"/>
  <c r="L5" i="1" s="1"/>
  <c r="V6" i="1" l="1"/>
  <c r="W6" i="1" s="1"/>
  <c r="Z6" i="1"/>
  <c r="O6" i="1" s="1"/>
  <c r="V5" i="8"/>
  <c r="V6" i="8"/>
  <c r="V7" i="1"/>
  <c r="Z5" i="8" l="1"/>
  <c r="W5" i="8"/>
  <c r="Y5" i="8" s="1"/>
  <c r="Q5" i="8" s="1"/>
  <c r="X5" i="8"/>
  <c r="Z6" i="8"/>
  <c r="W6" i="8"/>
  <c r="Y6" i="8" s="1"/>
  <c r="Q6" i="8" s="1"/>
  <c r="X6" i="8"/>
  <c r="X6" i="1"/>
  <c r="Y6" i="1"/>
  <c r="Q6" i="1" s="1"/>
  <c r="Z7" i="1"/>
  <c r="X7" i="1"/>
  <c r="W7" i="1"/>
  <c r="Y7" i="1" s="1"/>
  <c r="Q7" i="1" s="1"/>
  <c r="K6" i="1" l="1"/>
  <c r="P6" i="8"/>
  <c r="M5" i="8"/>
  <c r="K5" i="8"/>
  <c r="Q7" i="8"/>
  <c r="M6" i="8"/>
  <c r="K6" i="8"/>
  <c r="O6" i="8"/>
  <c r="N6" i="8"/>
  <c r="N5" i="8"/>
  <c r="P5" i="8"/>
  <c r="O5" i="8"/>
  <c r="C3" i="4"/>
  <c r="S7" i="4" s="1"/>
  <c r="B5" i="7"/>
  <c r="B6" i="7"/>
  <c r="B4" i="7"/>
  <c r="C3" i="5"/>
  <c r="S6" i="5" s="1"/>
  <c r="U7" i="5"/>
  <c r="U6" i="5"/>
  <c r="C3" i="3"/>
  <c r="M5" i="3" s="1"/>
  <c r="C3" i="2"/>
  <c r="S6" i="2" s="1"/>
  <c r="U7" i="6"/>
  <c r="S7" i="6"/>
  <c r="T7" i="6"/>
  <c r="U6" i="6"/>
  <c r="S6" i="6"/>
  <c r="M5" i="6"/>
  <c r="K5" i="6"/>
  <c r="L5" i="6" s="1"/>
  <c r="T7" i="5"/>
  <c r="T6" i="5"/>
  <c r="U7" i="4"/>
  <c r="T7" i="4"/>
  <c r="U6" i="4"/>
  <c r="T6" i="4"/>
  <c r="U7" i="3"/>
  <c r="T7" i="3"/>
  <c r="U6" i="3"/>
  <c r="T6" i="3"/>
  <c r="U7" i="2"/>
  <c r="T7" i="2"/>
  <c r="U6" i="2"/>
  <c r="T6" i="2"/>
  <c r="H4" i="7" l="1"/>
  <c r="O4" i="7" s="1"/>
  <c r="O8" i="7" s="1"/>
  <c r="P7" i="8"/>
  <c r="L6" i="8"/>
  <c r="I6" i="7"/>
  <c r="L5" i="8"/>
  <c r="I5" i="7"/>
  <c r="N7" i="8"/>
  <c r="O7" i="8"/>
  <c r="M7" i="8"/>
  <c r="S7" i="5"/>
  <c r="V7" i="5" s="1"/>
  <c r="N7" i="5" s="1"/>
  <c r="K5" i="4"/>
  <c r="L5" i="4" s="1"/>
  <c r="S6" i="4"/>
  <c r="V6" i="4" s="1"/>
  <c r="N6" i="4" s="1"/>
  <c r="M5" i="4"/>
  <c r="S7" i="3"/>
  <c r="V7" i="3" s="1"/>
  <c r="W7" i="3" s="1"/>
  <c r="Y7" i="3" s="1"/>
  <c r="K5" i="5"/>
  <c r="M5" i="5"/>
  <c r="T6" i="6"/>
  <c r="V6" i="6" s="1"/>
  <c r="V6" i="5"/>
  <c r="W6" i="5" s="1"/>
  <c r="Y6" i="5" s="1"/>
  <c r="K5" i="3"/>
  <c r="S6" i="3"/>
  <c r="V6" i="3" s="1"/>
  <c r="X6" i="3" s="1"/>
  <c r="S7" i="2"/>
  <c r="V7" i="2" s="1"/>
  <c r="K5" i="2"/>
  <c r="M5" i="2"/>
  <c r="V7" i="6"/>
  <c r="N7" i="6" s="1"/>
  <c r="V7" i="4"/>
  <c r="N7" i="4" s="1"/>
  <c r="V6" i="2"/>
  <c r="F4" i="7" l="1"/>
  <c r="L7" i="8"/>
  <c r="L5" i="3"/>
  <c r="E4" i="7"/>
  <c r="L5" i="2"/>
  <c r="D4" i="7"/>
  <c r="L5" i="5"/>
  <c r="G4" i="7"/>
  <c r="X6" i="6"/>
  <c r="M6" i="6" s="1"/>
  <c r="W6" i="6"/>
  <c r="Y6" i="6" s="1"/>
  <c r="N6" i="6"/>
  <c r="N8" i="6" s="1"/>
  <c r="N6" i="5"/>
  <c r="N8" i="5" s="1"/>
  <c r="X6" i="5"/>
  <c r="K6" i="5" s="1"/>
  <c r="N6" i="3"/>
  <c r="X7" i="3"/>
  <c r="M7" i="3" s="1"/>
  <c r="W7" i="5"/>
  <c r="Y7" i="5" s="1"/>
  <c r="W7" i="6"/>
  <c r="Y7" i="6" s="1"/>
  <c r="X7" i="5"/>
  <c r="M7" i="5" s="1"/>
  <c r="X7" i="6"/>
  <c r="M7" i="6" s="1"/>
  <c r="W6" i="4"/>
  <c r="Y6" i="4" s="1"/>
  <c r="N7" i="3"/>
  <c r="X6" i="4"/>
  <c r="M6" i="4" s="1"/>
  <c r="W7" i="4"/>
  <c r="Y7" i="4" s="1"/>
  <c r="X7" i="4"/>
  <c r="M7" i="4" s="1"/>
  <c r="N8" i="4"/>
  <c r="W6" i="3"/>
  <c r="Y6" i="3" s="1"/>
  <c r="K6" i="3" s="1"/>
  <c r="M6" i="3"/>
  <c r="W6" i="2"/>
  <c r="Y6" i="2" s="1"/>
  <c r="N6" i="2"/>
  <c r="X6" i="2"/>
  <c r="N7" i="2"/>
  <c r="X7" i="2"/>
  <c r="W7" i="2"/>
  <c r="Y7" i="2" s="1"/>
  <c r="F8" i="7" l="1"/>
  <c r="K6" i="6"/>
  <c r="L6" i="6" s="1"/>
  <c r="L6" i="5"/>
  <c r="G5" i="7"/>
  <c r="L6" i="3"/>
  <c r="E5" i="7"/>
  <c r="M6" i="5"/>
  <c r="M8" i="5" s="1"/>
  <c r="N8" i="3"/>
  <c r="K7" i="3"/>
  <c r="M8" i="3"/>
  <c r="K7" i="5"/>
  <c r="K7" i="6"/>
  <c r="M8" i="6"/>
  <c r="K6" i="4"/>
  <c r="K7" i="4"/>
  <c r="M8" i="4"/>
  <c r="N8" i="2"/>
  <c r="K6" i="2"/>
  <c r="M6" i="2"/>
  <c r="K7" i="2"/>
  <c r="M7" i="2"/>
  <c r="H5" i="7" l="1"/>
  <c r="L7" i="6"/>
  <c r="L8" i="6" s="1"/>
  <c r="H6" i="7"/>
  <c r="L7" i="5"/>
  <c r="L8" i="5" s="1"/>
  <c r="G6" i="7"/>
  <c r="L7" i="4"/>
  <c r="F6" i="7"/>
  <c r="L6" i="4"/>
  <c r="F5" i="7"/>
  <c r="F9" i="7" s="1"/>
  <c r="L7" i="3"/>
  <c r="L8" i="3" s="1"/>
  <c r="E6" i="7"/>
  <c r="L7" i="2"/>
  <c r="D6" i="7"/>
  <c r="L6" i="2"/>
  <c r="D5" i="7"/>
  <c r="M8" i="2"/>
  <c r="F10" i="7" l="1"/>
  <c r="L8" i="4"/>
  <c r="L8" i="2"/>
  <c r="C4" i="7" l="1"/>
  <c r="P4" i="7" s="1"/>
  <c r="P8" i="7" s="1"/>
  <c r="N6" i="1" l="1"/>
  <c r="O7" i="1"/>
  <c r="N7" i="1"/>
  <c r="N4" i="7"/>
  <c r="N8" i="7" s="1"/>
  <c r="K4" i="7"/>
  <c r="K8" i="7" s="1"/>
  <c r="J4" i="7"/>
  <c r="J8" i="7" s="1"/>
  <c r="N8" i="1" l="1"/>
  <c r="O8" i="1"/>
  <c r="M4" i="7"/>
  <c r="M8" i="7" s="1"/>
  <c r="L4" i="7"/>
  <c r="L8" i="7" s="1"/>
  <c r="P7" i="1" l="1"/>
  <c r="M6" i="1"/>
  <c r="L6" i="1"/>
  <c r="M7" i="1"/>
  <c r="K7" i="1"/>
  <c r="L7" i="1" s="1"/>
  <c r="P6" i="1"/>
  <c r="Q8" i="1" l="1"/>
  <c r="P8" i="1"/>
  <c r="L8" i="1"/>
  <c r="S10" i="1" s="1"/>
  <c r="M8" i="1"/>
  <c r="C5" i="7"/>
  <c r="C6" i="7"/>
  <c r="O5" i="7" l="1"/>
  <c r="O9" i="7" s="1"/>
  <c r="P5" i="7"/>
  <c r="P9" i="7" s="1"/>
  <c r="O6" i="7"/>
  <c r="O10" i="7" s="1"/>
  <c r="P6" i="7"/>
  <c r="P10" i="7" s="1"/>
  <c r="N6" i="7"/>
  <c r="N10" i="7" s="1"/>
  <c r="N5" i="7"/>
  <c r="J5" i="7"/>
  <c r="J9" i="7" s="1"/>
  <c r="K5" i="7"/>
  <c r="J6" i="7"/>
  <c r="J10" i="7" s="1"/>
  <c r="K6" i="7"/>
  <c r="P12" i="7" l="1"/>
  <c r="M6" i="7"/>
  <c r="M10" i="7" s="1"/>
  <c r="L6" i="7"/>
  <c r="L10" i="7" s="1"/>
  <c r="M5" i="7"/>
  <c r="M9" i="7" s="1"/>
  <c r="L5" i="7"/>
  <c r="L9" i="7" s="1"/>
  <c r="K10" i="7"/>
  <c r="N9" i="7"/>
  <c r="N12" i="7" s="1"/>
  <c r="O12" i="7"/>
  <c r="K9" i="7"/>
  <c r="J12" i="7"/>
  <c r="K12" i="7" l="1"/>
  <c r="L12" i="7"/>
  <c r="M12" i="7"/>
</calcChain>
</file>

<file path=xl/sharedStrings.xml><?xml version="1.0" encoding="utf-8"?>
<sst xmlns="http://schemas.openxmlformats.org/spreadsheetml/2006/main" count="208" uniqueCount="41">
  <si>
    <t>Option Greeks Excel Formulas - Macroption</t>
  </si>
  <si>
    <t>current price</t>
  </si>
  <si>
    <t>Position</t>
  </si>
  <si>
    <t>Implied Vol</t>
  </si>
  <si>
    <t>Expiration</t>
  </si>
  <si>
    <t>Strike</t>
  </si>
  <si>
    <t>Type</t>
  </si>
  <si>
    <t>disc rate</t>
  </si>
  <si>
    <t>p/u</t>
  </si>
  <si>
    <t>position</t>
  </si>
  <si>
    <t>Delta</t>
  </si>
  <si>
    <t>Gamma</t>
  </si>
  <si>
    <t>Vega</t>
  </si>
  <si>
    <t>Theta</t>
  </si>
  <si>
    <t>Rho</t>
  </si>
  <si>
    <t>ln (S/k)</t>
  </si>
  <si>
    <t>t</t>
  </si>
  <si>
    <t>sig^2/2</t>
  </si>
  <si>
    <t>D1</t>
  </si>
  <si>
    <t>D2</t>
  </si>
  <si>
    <t>N(D1)</t>
  </si>
  <si>
    <t>N(D2)</t>
  </si>
  <si>
    <t>Shares</t>
  </si>
  <si>
    <t>E</t>
  </si>
  <si>
    <t>Original</t>
  </si>
  <si>
    <t>Pbump up</t>
  </si>
  <si>
    <t>Pbump dn</t>
  </si>
  <si>
    <t>G5 bump</t>
  </si>
  <si>
    <t>vol bump</t>
  </si>
  <si>
    <t>time</t>
  </si>
  <si>
    <t>Delta up</t>
  </si>
  <si>
    <t>Delta dn</t>
  </si>
  <si>
    <t>Gamma 5</t>
  </si>
  <si>
    <t>N'(D1)</t>
  </si>
  <si>
    <t>rho</t>
  </si>
  <si>
    <t>rates</t>
  </si>
  <si>
    <t>initial value</t>
  </si>
  <si>
    <t>Calls</t>
  </si>
  <si>
    <t>CAlls</t>
  </si>
  <si>
    <t>2000 Calls @106</t>
  </si>
  <si>
    <t>3000 calls  @120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</si>
</sst>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/>
    <xf numFmtId="44" fontId="0" fillId="0" borderId="0" xfId="1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14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7</xdr:col>
      <xdr:colOff>591670</xdr:colOff>
      <xdr:row>22</xdr:row>
      <xdr:rowOff>17929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263A4-09F2-4238-993E-F76E35E3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77440"/>
          <a:ext cx="4902349" cy="1663849"/>
        </a:xfrm>
        <a:prstGeom prst="rect">
          <a:avLst/>
        </a:prstGeom>
      </xdr:spPr>
    </xdr:pic>
    <xdr:clientData/>
  </xdr:twoCellAnchor>
  <xdr:twoCellAnchor editAs="oneCell">
    <xdr:from>
      <xdr:col>8</xdr:col>
      <xdr:colOff>35859</xdr:colOff>
      <xdr:row>11</xdr:row>
      <xdr:rowOff>44824</xdr:rowOff>
    </xdr:from>
    <xdr:to>
      <xdr:col>18</xdr:col>
      <xdr:colOff>638995</xdr:colOff>
      <xdr:row>26</xdr:row>
      <xdr:rowOff>7402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CF8B0-6FF3-4828-863C-0DD71989A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2279" y="2056504"/>
          <a:ext cx="8168452" cy="27057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croption.com/option-greeks-exce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ption.com/option-greeks-exce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ption.com/option-greeks-exce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ption.com/option-greeks-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ption.com/option-greeks-exce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ption.com/option-greeks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4417-0E51-4533-9155-C142A81043EF}">
  <dimension ref="A1:Z15"/>
  <sheetViews>
    <sheetView topLeftCell="D1" zoomScale="85" zoomScaleNormal="85" workbookViewId="0">
      <selection activeCell="O6" sqref="O6"/>
    </sheetView>
  </sheetViews>
  <sheetFormatPr defaultRowHeight="14.4" x14ac:dyDescent="0.3"/>
  <cols>
    <col min="2" max="2" width="11.33203125" bestFit="1" customWidth="1"/>
    <col min="3" max="3" width="7.21875" bestFit="1" customWidth="1"/>
    <col min="4" max="4" width="14.5546875" bestFit="1" customWidth="1"/>
    <col min="6" max="6" width="10.109375" bestFit="1" customWidth="1"/>
    <col min="7" max="7" width="10.77734375" bestFit="1" customWidth="1"/>
    <col min="12" max="14" width="13.33203125" bestFit="1" customWidth="1"/>
    <col min="15" max="15" width="13" bestFit="1" customWidth="1"/>
    <col min="17" max="17" width="13" bestFit="1" customWidth="1"/>
    <col min="19" max="19" width="13" bestFit="1" customWidth="1"/>
  </cols>
  <sheetData>
    <row r="1" spans="1:26" x14ac:dyDescent="0.3">
      <c r="A1" s="1" t="s">
        <v>0</v>
      </c>
    </row>
    <row r="3" spans="1:26" x14ac:dyDescent="0.3">
      <c r="B3" s="7" t="s">
        <v>1</v>
      </c>
      <c r="C3" s="7">
        <v>100</v>
      </c>
      <c r="D3" s="7"/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33</v>
      </c>
    </row>
    <row r="4" spans="1:26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6" x14ac:dyDescent="0.3">
      <c r="B5" s="7"/>
      <c r="C5" s="7"/>
      <c r="D5" s="7" t="s">
        <v>22</v>
      </c>
      <c r="E5" s="7">
        <v>1000</v>
      </c>
      <c r="F5" s="7"/>
      <c r="G5" s="7"/>
      <c r="H5" s="7"/>
      <c r="I5" s="7"/>
      <c r="J5" s="7"/>
      <c r="K5" s="7">
        <f>C3</f>
        <v>100</v>
      </c>
      <c r="L5" s="8">
        <f>E5*K5</f>
        <v>100000</v>
      </c>
      <c r="M5" s="7">
        <f>1*E5*C3</f>
        <v>100000</v>
      </c>
      <c r="N5" s="7"/>
      <c r="O5" s="7"/>
      <c r="P5" s="7"/>
      <c r="Q5" s="7"/>
    </row>
    <row r="6" spans="1:26" x14ac:dyDescent="0.3">
      <c r="B6" s="7"/>
      <c r="C6" s="7"/>
      <c r="D6" s="7" t="s">
        <v>39</v>
      </c>
      <c r="E6" s="7">
        <v>1000</v>
      </c>
      <c r="F6" s="7">
        <v>0.2</v>
      </c>
      <c r="G6" s="9">
        <f ca="1">TODAY()+365</f>
        <v>46093</v>
      </c>
      <c r="H6" s="7">
        <v>100</v>
      </c>
      <c r="I6" s="7" t="s">
        <v>23</v>
      </c>
      <c r="J6" s="7">
        <v>0.05</v>
      </c>
      <c r="K6" s="7">
        <f ca="1">C3*X6-H6*EXP(-J6*T6)*Y6</f>
        <v>10.450583572185565</v>
      </c>
      <c r="L6" s="8">
        <f t="shared" ref="L6" ca="1" si="0">E6*K6</f>
        <v>10450.583572185566</v>
      </c>
      <c r="M6" s="7">
        <f ca="1">X6*E6*C3</f>
        <v>63683.065117561913</v>
      </c>
      <c r="N6" s="7">
        <f ca="1">((C3*F6*SQRT(T6))^-1)*Z6*E6</f>
        <v>18.7620173458469</v>
      </c>
      <c r="O6" s="7">
        <f ca="1">(E6*C3/100)*SQRT(T6)*Z6</f>
        <v>375.24034691693794</v>
      </c>
      <c r="P6" s="7">
        <f ca="1">E6*(1/T6)*(-(C3*F6)/(2*SQRT(T6))*Z6-J6*H6*EXP(-J6*T6)*Y6)/365</f>
        <v>-17.572678209419713</v>
      </c>
      <c r="Q6" s="7">
        <f ca="1">(H6/1000)*T6*EXP(-J6*T6)*Y6*E6</f>
        <v>53.232481545376345</v>
      </c>
      <c r="S6">
        <f>LN(C3/H6)</f>
        <v>0</v>
      </c>
      <c r="T6" s="4">
        <f ca="1">(G6-TODAY())/365</f>
        <v>1</v>
      </c>
      <c r="U6" s="5">
        <f>F6*F6/2</f>
        <v>2.0000000000000004E-2</v>
      </c>
      <c r="V6">
        <f ca="1">(S6+T6*(J6+U6))/(F6*SQRT(T6))</f>
        <v>0.35000000000000003</v>
      </c>
      <c r="W6">
        <f ca="1">V6-F6*SQRT(T6)</f>
        <v>0.15000000000000002</v>
      </c>
      <c r="X6">
        <f ca="1">_xlfn.NORM.S.DIST(V6,TRUE)</f>
        <v>0.6368306511756191</v>
      </c>
      <c r="Y6">
        <f ca="1">_xlfn.NORM.S.DIST(W6,TRUE)</f>
        <v>0.5596176923702425</v>
      </c>
      <c r="Z6">
        <f ca="1">(1/(SQRT(2*PI())))*EXP(-0.5*V6*V6)</f>
        <v>0.37524034691693792</v>
      </c>
    </row>
    <row r="7" spans="1:26" x14ac:dyDescent="0.3">
      <c r="B7" s="7"/>
      <c r="C7" s="7"/>
      <c r="D7" s="7" t="s">
        <v>40</v>
      </c>
      <c r="E7" s="7">
        <v>-3000</v>
      </c>
      <c r="F7" s="7">
        <v>0.2</v>
      </c>
      <c r="G7" s="9">
        <f ca="1">TODAY()+365</f>
        <v>46093</v>
      </c>
      <c r="H7" s="7">
        <v>120</v>
      </c>
      <c r="I7" s="7" t="s">
        <v>23</v>
      </c>
      <c r="J7" s="7">
        <v>0.06</v>
      </c>
      <c r="K7" s="7">
        <f ca="1">C3*X7-H7*EXP(-J7*T7)*Y7</f>
        <v>3.5094933631355687</v>
      </c>
      <c r="L7" s="8">
        <f ca="1">E7*K7</f>
        <v>-10528.480089406707</v>
      </c>
      <c r="M7" s="7">
        <f ca="1">X7*E7*C3</f>
        <v>-91338.830493204063</v>
      </c>
      <c r="N7" s="7">
        <f ca="1">((C3*F7*SQRT(T7))^-1)*Z7*E7</f>
        <v>-52.50064727569076</v>
      </c>
      <c r="O7" s="7">
        <f ca="1">(E7*C3/100)*SQRT(T7)*Z7</f>
        <v>-1050.0129455138151</v>
      </c>
      <c r="P7" s="7">
        <f ca="1">E7*(1/T7)*(-((C3*F7)/(2*SQRT(T7)))*(1/(SQRT(2*PI())))*EXP(-0.5*V6*V6)-J7*H7*EXP(-J7*T7)*Y7)/365</f>
        <v>44.125565566399942</v>
      </c>
      <c r="Q7" s="7">
        <f ca="1">(H7/1000)*T7*EXP(-J7*T7)*Y7*E7</f>
        <v>-80.810350403797344</v>
      </c>
      <c r="S7">
        <f>LN(C3/H7)</f>
        <v>-0.18232155679395459</v>
      </c>
      <c r="T7" s="4">
        <f ca="1">(G7-TODAY())/365</f>
        <v>1</v>
      </c>
      <c r="U7" s="5">
        <f>F7*F7/2</f>
        <v>2.0000000000000004E-2</v>
      </c>
      <c r="V7">
        <f ca="1">(S7+T7*(J7+U7))/(F7*SQRT(T7))</f>
        <v>-0.51160778396977291</v>
      </c>
      <c r="W7">
        <f ca="1">V7-F7*SQRT(T7)</f>
        <v>-0.71160778396977298</v>
      </c>
      <c r="X7">
        <f ca="1">_xlfn.NORM.S.DIST(V7,TRUE)</f>
        <v>0.3044627683106802</v>
      </c>
      <c r="Y7">
        <f ca="1">_xlfn.NORM.S.DIST(W7,TRUE)</f>
        <v>0.23835384277191274</v>
      </c>
      <c r="Z7">
        <f ca="1">(1/(SQRT(2*PI())))*EXP(-0.5*V7*V7)</f>
        <v>0.35000431517127173</v>
      </c>
    </row>
    <row r="8" spans="1:2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8">
        <f ca="1">SUM(L5:L7)</f>
        <v>99922.103482778868</v>
      </c>
      <c r="M8" s="8">
        <f ca="1">SUM(M5:M7)</f>
        <v>72344.234624357836</v>
      </c>
      <c r="N8" s="8">
        <f ca="1">SUM(N5:N7)</f>
        <v>-33.73862992984386</v>
      </c>
      <c r="O8" s="8">
        <f ca="1">O6+O7</f>
        <v>-674.77259859687717</v>
      </c>
      <c r="P8" s="8">
        <f ca="1">P6+P7</f>
        <v>26.552887356980229</v>
      </c>
      <c r="Q8" s="8">
        <f t="shared" ref="Q8" ca="1" si="1">Q6+Q7</f>
        <v>-27.577868858420999</v>
      </c>
    </row>
    <row r="9" spans="1:2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S9">
        <v>160481.85052801395</v>
      </c>
      <c r="T9" t="s">
        <v>36</v>
      </c>
    </row>
    <row r="10" spans="1:2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S10" s="6">
        <f ca="1">L8-S9</f>
        <v>-60559.747045235083</v>
      </c>
    </row>
    <row r="15" spans="1:26" x14ac:dyDescent="0.3">
      <c r="N15" s="3"/>
    </row>
  </sheetData>
  <hyperlinks>
    <hyperlink ref="A1" r:id="rId1" location="gamma-in-excel" display="https://www.macroption.com/option-greeks-excel/ - gamma-in-excel" xr:uid="{01A044C2-9655-4622-B618-AD36DB1A237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811F-77F4-4B9A-B2C4-ECD490264AF1}">
  <dimension ref="A3:P12"/>
  <sheetViews>
    <sheetView tabSelected="1" workbookViewId="0">
      <selection activeCell="D24" sqref="D24"/>
    </sheetView>
  </sheetViews>
  <sheetFormatPr defaultRowHeight="14.4" x14ac:dyDescent="0.3"/>
  <cols>
    <col min="1" max="1" width="14.77734375" bestFit="1" customWidth="1"/>
    <col min="2" max="2" width="14.77734375" customWidth="1"/>
    <col min="10" max="11" width="14.21875" bestFit="1" customWidth="1"/>
    <col min="12" max="12" width="12" bestFit="1" customWidth="1"/>
    <col min="13" max="14" width="12.6640625" bestFit="1" customWidth="1"/>
    <col min="15" max="15" width="11.6640625" bestFit="1" customWidth="1"/>
    <col min="16" max="16" width="14.21875" bestFit="1" customWidth="1"/>
  </cols>
  <sheetData>
    <row r="3" spans="1:16" x14ac:dyDescent="0.3"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35</v>
      </c>
      <c r="J3" t="s">
        <v>30</v>
      </c>
      <c r="K3" t="s">
        <v>31</v>
      </c>
      <c r="L3" t="s">
        <v>11</v>
      </c>
      <c r="M3" t="s">
        <v>32</v>
      </c>
      <c r="N3" t="s">
        <v>12</v>
      </c>
      <c r="O3" t="s">
        <v>13</v>
      </c>
      <c r="P3" t="s">
        <v>34</v>
      </c>
    </row>
    <row r="4" spans="1:16" x14ac:dyDescent="0.3">
      <c r="A4" t="s">
        <v>22</v>
      </c>
      <c r="B4">
        <f>'Base Info'!E5</f>
        <v>1000</v>
      </c>
      <c r="C4">
        <f>'Base Info'!K5</f>
        <v>100</v>
      </c>
      <c r="D4">
        <f>'1% bump up'!K5</f>
        <v>101</v>
      </c>
      <c r="E4">
        <f>'1% bump down'!K5</f>
        <v>99</v>
      </c>
      <c r="F4">
        <f>'1-5% bump down '!K5</f>
        <v>95</v>
      </c>
      <c r="G4">
        <f>'1 vol pt up'!K5</f>
        <v>100</v>
      </c>
      <c r="H4">
        <f>tomorrow!K5</f>
        <v>100.01369956844218</v>
      </c>
      <c r="I4">
        <f>'Rate bump'!K4</f>
        <v>175.31</v>
      </c>
      <c r="J4">
        <f>(D4-$C$4)/('1% bump up'!$C$3-'Base Info'!$C$3)</f>
        <v>1</v>
      </c>
      <c r="K4">
        <f>(E4-$C$4)/('1% bump up'!$C$3-'Base Info'!$C$3)</f>
        <v>-1</v>
      </c>
      <c r="L4">
        <f>(-K4-J4)/(($D$4-$C$4)*($E$4-$C$4))</f>
        <v>0</v>
      </c>
      <c r="M4">
        <f>(F8-K4)/(($F$4-$E$4)*($E$4-$C$4))</f>
        <v>0</v>
      </c>
      <c r="N4">
        <f>(G4-C4)/0.01</f>
        <v>0</v>
      </c>
      <c r="O4">
        <f>H4*EXP(-'Base Info'!J6/365)-C4</f>
        <v>0</v>
      </c>
      <c r="P4">
        <f>I4-C4</f>
        <v>75.31</v>
      </c>
    </row>
    <row r="5" spans="1:16" x14ac:dyDescent="0.3">
      <c r="A5" t="s">
        <v>37</v>
      </c>
      <c r="B5">
        <f>'Base Info'!E6</f>
        <v>1000</v>
      </c>
      <c r="C5">
        <f ca="1">'Base Info'!K6</f>
        <v>10.450583572185565</v>
      </c>
      <c r="D5">
        <f ca="1">'1% bump up'!K6</f>
        <v>11.096708127437402</v>
      </c>
      <c r="E5">
        <f ca="1">'1% bump down'!K6</f>
        <v>9.8232187376315991</v>
      </c>
      <c r="F5">
        <f ca="1">'1-5% bump down '!K6</f>
        <v>7.5108721783527059</v>
      </c>
      <c r="G5">
        <f ca="1">'1 vol pt up'!K6</f>
        <v>10.826287314250699</v>
      </c>
      <c r="H5">
        <f ca="1">tomorrow!K6</f>
        <v>8.35748690168802</v>
      </c>
      <c r="I5">
        <f ca="1">'Rate bump'!K5</f>
        <v>80.204580168296729</v>
      </c>
      <c r="J5">
        <f ca="1">(D5-$C$5)/('1% bump up'!$C$3-'Base Info'!$C$3)</f>
        <v>0.64612455525183776</v>
      </c>
      <c r="K5">
        <f ca="1">(E5-$C$5)/('1% bump up'!$C$3-'Base Info'!$C$3)</f>
        <v>-0.62736483455396552</v>
      </c>
      <c r="L5">
        <f ca="1">(-K5-J5)/(($D$4-$C$4)*($E$4-$C$4))/100</f>
        <v>1.875972069787224E-4</v>
      </c>
      <c r="M5">
        <f ca="1">(F9-K5)/(($F$4-$E$4)*($E$4-$C$4))</f>
        <v>1.2319548683560555E-2</v>
      </c>
      <c r="N5">
        <f ca="1">'Base Info'!T6*(G5-C5)/100</f>
        <v>3.7570374206513436E-3</v>
      </c>
      <c r="O5">
        <f ca="1">H5-C5</f>
        <v>-2.0930966704975447</v>
      </c>
      <c r="P5">
        <f t="shared" ref="P5:P6" ca="1" si="0">I5-C5</f>
        <v>69.753996596111165</v>
      </c>
    </row>
    <row r="6" spans="1:16" x14ac:dyDescent="0.3">
      <c r="A6" t="s">
        <v>37</v>
      </c>
      <c r="B6">
        <f>'Base Info'!E7</f>
        <v>-3000</v>
      </c>
      <c r="C6">
        <f ca="1">'Base Info'!K7</f>
        <v>3.5094933631355687</v>
      </c>
      <c r="D6">
        <f ca="1">'1% bump up'!K7</f>
        <v>3.8227499174560826</v>
      </c>
      <c r="E6">
        <f ca="1">'1% bump down'!K7</f>
        <v>3.2137335064328241</v>
      </c>
      <c r="F6">
        <f ca="1">'1-5% bump down '!K7</f>
        <v>2.1991787684221187</v>
      </c>
      <c r="G6">
        <f ca="1">'1 vol pt up'!K7</f>
        <v>3.8625432829893604</v>
      </c>
      <c r="H6">
        <f ca="1">tomorrow!K7</f>
        <v>3.4856219836985751</v>
      </c>
      <c r="I6">
        <f ca="1">'Rate bump'!K6</f>
        <v>62.448209001575833</v>
      </c>
      <c r="J6">
        <f ca="1">(D6-$C$6)/('1% bump up'!$C$3-'Base Info'!$C$3)</f>
        <v>0.31325655432051391</v>
      </c>
      <c r="K6">
        <f ca="1">(E6-$C$6)/('1% bump up'!$C$3-'Base Info'!$C$3)</f>
        <v>-0.29575985670274463</v>
      </c>
      <c r="L6">
        <f ca="1">(-K6-J6)/(($D$4-$C$4)*($E$4-$C$4))/100</f>
        <v>1.7496697617769286E-4</v>
      </c>
      <c r="M6">
        <f ca="1">(F10-K6)/(($F$4-$E$4)*($E$4-$C$4))</f>
        <v>1.053029305001707E-2</v>
      </c>
      <c r="N6">
        <f ca="1">'Base Info'!T7*(G6-C6)/100</f>
        <v>3.5304991985379173E-3</v>
      </c>
      <c r="O6">
        <f ca="1">(H6-C6)</f>
        <v>-2.3871379436993578E-2</v>
      </c>
      <c r="P6">
        <f t="shared" ca="1" si="0"/>
        <v>58.938715638440264</v>
      </c>
    </row>
    <row r="8" spans="1:16" x14ac:dyDescent="0.3">
      <c r="F8">
        <f>(E4-F4)/($F$4-$E$4)</f>
        <v>-1</v>
      </c>
      <c r="J8" s="2">
        <f>J4*$B$4*'Base Info'!$C$3</f>
        <v>100000</v>
      </c>
      <c r="K8" s="2">
        <f>K4*$B$4*'Base Info'!$C$3</f>
        <v>-100000</v>
      </c>
      <c r="L8" s="2">
        <f>L4*$B$4*'Base Info'!$C$3</f>
        <v>0</v>
      </c>
      <c r="M8" s="2">
        <f>M4*$B$4*'Base Info'!$C$3</f>
        <v>0</v>
      </c>
      <c r="N8" s="2">
        <f>N4*$B$4*'Base Info'!$C$3</f>
        <v>0</v>
      </c>
      <c r="O8" s="2">
        <f>O4*$B$4*'Base Info'!$C$3</f>
        <v>0</v>
      </c>
      <c r="P8" s="2">
        <f>P4*$B$4*'Base Info'!$C$3</f>
        <v>7531000</v>
      </c>
    </row>
    <row r="9" spans="1:16" x14ac:dyDescent="0.3">
      <c r="F9">
        <f t="shared" ref="F9:F10" ca="1" si="1">(E5-F5)/($F$4-$E$4)</f>
        <v>-0.5780866398197233</v>
      </c>
      <c r="J9" s="2">
        <f ca="1">J5*$B$5*'Base Info'!$C$3</f>
        <v>64612.455525183781</v>
      </c>
      <c r="K9" s="2">
        <f ca="1">K5*$B$5*'Base Info'!$C$3</f>
        <v>-62736.483455396548</v>
      </c>
      <c r="L9" s="2">
        <f ca="1">L5*$B$5*'Base Info'!$C$3</f>
        <v>18.75972069787224</v>
      </c>
      <c r="M9" s="2">
        <f ca="1">M5*$B$5*'Base Info'!$C$3</f>
        <v>1231.9548683560556</v>
      </c>
      <c r="N9" s="2">
        <f ca="1">N5*$B$5*'Base Info'!$C$3</f>
        <v>375.70374206513435</v>
      </c>
      <c r="O9" s="2">
        <f ca="1">(O5*$B$5*'Base Info'!$C$3/182)/'Base Info'!T6</f>
        <v>-1150.0531156579914</v>
      </c>
      <c r="P9" s="2">
        <f ca="1">(P5*$B$5*'Base Info'!$C$3/182)/'Base Info'!U6</f>
        <v>1916318.5878052514</v>
      </c>
    </row>
    <row r="10" spans="1:16" x14ac:dyDescent="0.3">
      <c r="F10">
        <f t="shared" ca="1" si="1"/>
        <v>-0.25363868450267635</v>
      </c>
      <c r="J10" s="2">
        <f ca="1">J6*$B$6*'Base Info'!$C$3</f>
        <v>-93976.966296154176</v>
      </c>
      <c r="K10" s="2">
        <f ca="1">K6*$B$6*'Base Info'!$C$3</f>
        <v>88727.957010823389</v>
      </c>
      <c r="L10" s="2">
        <f ca="1">L6*$B$6*'Base Info'!$C$3</f>
        <v>-52.490092853307857</v>
      </c>
      <c r="M10" s="2">
        <f ca="1">M6*$B$6*'Base Info'!$C$3</f>
        <v>-3159.087915005121</v>
      </c>
      <c r="N10" s="2">
        <f ca="1">N6*$B$6*'Base Info'!$C$3</f>
        <v>-1059.1497595613753</v>
      </c>
      <c r="O10" s="2">
        <f ca="1">(O6*$B$6*'Base Info'!$C$3/182)/'Base Info'!T7</f>
        <v>39.348427643396008</v>
      </c>
      <c r="P10" s="2">
        <f ca="1">(P6*$B$6*'Base Info'!$C$3/182)/'Base Info'!U7</f>
        <v>-4857586.4537176033</v>
      </c>
    </row>
    <row r="12" spans="1:16" x14ac:dyDescent="0.3">
      <c r="J12" s="6">
        <f ca="1">SUM(J8:J10)</f>
        <v>70635.489229029612</v>
      </c>
      <c r="K12" s="6">
        <f t="shared" ref="K12:O12" ca="1" si="2">SUM(K8:K10)</f>
        <v>-74008.526444573159</v>
      </c>
      <c r="L12" s="6">
        <f t="shared" ca="1" si="2"/>
        <v>-33.730372155435617</v>
      </c>
      <c r="M12" s="6">
        <f t="shared" ca="1" si="2"/>
        <v>-1927.1330466490654</v>
      </c>
      <c r="N12" s="6">
        <f t="shared" ca="1" si="2"/>
        <v>-683.44601749624098</v>
      </c>
      <c r="O12" s="6">
        <f t="shared" ca="1" si="2"/>
        <v>-1110.7046880145954</v>
      </c>
      <c r="P12" s="6">
        <f t="shared" ref="P12" ca="1" si="3">SUM(P8:P10)</f>
        <v>4589732.1340876473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1C47-9446-457C-A7B8-E92970B63224}">
  <dimension ref="A1:Y8"/>
  <sheetViews>
    <sheetView workbookViewId="0">
      <selection activeCell="F6" sqref="F6:H7"/>
    </sheetView>
  </sheetViews>
  <sheetFormatPr defaultRowHeight="14.4" x14ac:dyDescent="0.3"/>
  <cols>
    <col min="1" max="1" width="36.88671875" bestFit="1" customWidth="1"/>
    <col min="2" max="2" width="11.33203125" bestFit="1" customWidth="1"/>
    <col min="3" max="3" width="7" bestFit="1" customWidth="1"/>
    <col min="4" max="4" width="14.77734375" bestFit="1" customWidth="1"/>
    <col min="5" max="5" width="7.5546875" bestFit="1" customWidth="1"/>
    <col min="6" max="6" width="10.109375" bestFit="1" customWidth="1"/>
    <col min="7" max="7" width="9.5546875" bestFit="1" customWidth="1"/>
    <col min="8" max="8" width="5.5546875" bestFit="1" customWidth="1"/>
    <col min="9" max="9" width="4.88671875" bestFit="1" customWidth="1"/>
    <col min="10" max="10" width="7.88671875" bestFit="1" customWidth="1"/>
    <col min="11" max="11" width="12" bestFit="1" customWidth="1"/>
    <col min="12" max="12" width="12.109375" bestFit="1" customWidth="1"/>
    <col min="13" max="14" width="12.6640625" bestFit="1" customWidth="1"/>
    <col min="15" max="15" width="5" bestFit="1" customWidth="1"/>
    <col min="16" max="16" width="5.6640625" bestFit="1" customWidth="1"/>
    <col min="17" max="17" width="4.21875" bestFit="1" customWidth="1"/>
    <col min="19" max="19" width="12.6640625" bestFit="1" customWidth="1"/>
    <col min="20" max="20" width="4.5546875" bestFit="1" customWidth="1"/>
    <col min="21" max="21" width="6.88671875" bestFit="1" customWidth="1"/>
    <col min="22" max="22" width="12" bestFit="1" customWidth="1"/>
    <col min="23" max="23" width="12.6640625" bestFit="1" customWidth="1"/>
    <col min="24" max="25" width="12" bestFit="1" customWidth="1"/>
  </cols>
  <sheetData>
    <row r="1" spans="1:25" x14ac:dyDescent="0.3">
      <c r="A1" s="1" t="s">
        <v>0</v>
      </c>
    </row>
    <row r="3" spans="1:25" x14ac:dyDescent="0.3">
      <c r="B3" t="s">
        <v>1</v>
      </c>
      <c r="C3">
        <f>'Base Info'!C3*(1.01)</f>
        <v>101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</row>
    <row r="5" spans="1:25" x14ac:dyDescent="0.3">
      <c r="D5" t="s">
        <v>22</v>
      </c>
      <c r="E5">
        <v>1000</v>
      </c>
      <c r="K5">
        <f>C3</f>
        <v>101</v>
      </c>
      <c r="L5" s="2">
        <f>E5*K5</f>
        <v>101000</v>
      </c>
      <c r="M5">
        <f>1*E5*C3</f>
        <v>101000</v>
      </c>
      <c r="N5">
        <v>0</v>
      </c>
    </row>
    <row r="6" spans="1:25" x14ac:dyDescent="0.3">
      <c r="D6" t="s">
        <v>37</v>
      </c>
      <c r="E6">
        <v>2000</v>
      </c>
      <c r="F6">
        <f>'Base Info'!F6</f>
        <v>0.2</v>
      </c>
      <c r="G6" s="3">
        <f ca="1">'Base Info'!G6</f>
        <v>46093</v>
      </c>
      <c r="H6">
        <f>'Base Info'!H6</f>
        <v>100</v>
      </c>
      <c r="I6" t="s">
        <v>23</v>
      </c>
      <c r="J6">
        <f>'Base Info'!J6</f>
        <v>0.05</v>
      </c>
      <c r="K6">
        <f ca="1">C3*X6-H6*EXP(-J6*T6)*Y6</f>
        <v>11.096708127437402</v>
      </c>
      <c r="L6" s="2">
        <f t="shared" ref="L6" ca="1" si="0">E6*K6</f>
        <v>22193.416254874806</v>
      </c>
      <c r="M6" s="2">
        <f ca="1">X6*E6*C3</f>
        <v>132376.71630751912</v>
      </c>
      <c r="N6" s="2">
        <f ca="1">EXP(-1*POWER(V6,2)/2)/SQRT(2*PI())*E6*C3</f>
        <v>74397.95624618436</v>
      </c>
      <c r="S6">
        <f>LN(C3/H6)</f>
        <v>9.950330853168092E-3</v>
      </c>
      <c r="T6" s="4">
        <f ca="1">(G6-TODAY())/365</f>
        <v>1</v>
      </c>
      <c r="U6" s="5">
        <f>F6*F6/2</f>
        <v>2.0000000000000004E-2</v>
      </c>
      <c r="V6">
        <f ca="1">(S6+T6*(J6+U6))/(F6*SQRT(T6))</f>
        <v>0.39975165426584053</v>
      </c>
      <c r="W6">
        <f ca="1">V6-F6*SQRT(T6)</f>
        <v>0.19975165426584052</v>
      </c>
      <c r="X6">
        <f ca="1">_xlfn.NORM.S.DIST(V6,TRUE)</f>
        <v>0.65533027875009464</v>
      </c>
      <c r="Y6">
        <f ca="1">_xlfn.NORM.S.DIST(W6,TRUE)</f>
        <v>0.57916259324335895</v>
      </c>
    </row>
    <row r="7" spans="1:25" x14ac:dyDescent="0.3">
      <c r="D7" t="s">
        <v>37</v>
      </c>
      <c r="E7">
        <v>-3000</v>
      </c>
      <c r="F7">
        <f>'Base Info'!F7</f>
        <v>0.2</v>
      </c>
      <c r="G7" s="3">
        <f ca="1">'Base Info'!G7</f>
        <v>46093</v>
      </c>
      <c r="H7">
        <f>'Base Info'!H7</f>
        <v>120</v>
      </c>
      <c r="I7" t="s">
        <v>23</v>
      </c>
      <c r="J7">
        <f>'Base Info'!J7</f>
        <v>0.06</v>
      </c>
      <c r="K7">
        <f ca="1">C3*X7-H7*EXP(-J7*T7)*Y7</f>
        <v>3.8227499174560826</v>
      </c>
      <c r="L7" s="2">
        <f ca="1">E7*K7</f>
        <v>-11468.249752368249</v>
      </c>
      <c r="M7" s="2">
        <f ca="1">X7*E7*C3</f>
        <v>-97593.951146035877</v>
      </c>
      <c r="N7" s="2">
        <f ca="1">EXP(-1*POWER(V7,2)/2)/SQRT(2*PI())*E7*C3</f>
        <v>-108650.76308745268</v>
      </c>
      <c r="S7">
        <f>LN(C3/H7)</f>
        <v>-0.17237122594078652</v>
      </c>
      <c r="T7" s="4">
        <f ca="1">(G7-TODAY())/365</f>
        <v>1</v>
      </c>
      <c r="U7" s="5">
        <f>F7*F7/2</f>
        <v>2.0000000000000004E-2</v>
      </c>
      <c r="V7">
        <f ca="1">(S7+T7*(J7+U7))/(F7*SQRT(T7))</f>
        <v>-0.46185612970393258</v>
      </c>
      <c r="W7">
        <f ca="1">V7-F7*SQRT(T7)</f>
        <v>-0.66185612970393259</v>
      </c>
      <c r="X7">
        <f ca="1">_xlfn.NORM.S.DIST(V7,TRUE)</f>
        <v>0.3220922480067191</v>
      </c>
      <c r="Y7">
        <f ca="1">_xlfn.NORM.S.DIST(W7,TRUE)</f>
        <v>0.25403171482402476</v>
      </c>
    </row>
    <row r="8" spans="1:25" x14ac:dyDescent="0.3">
      <c r="L8" s="6">
        <f ca="1">SUM(L5:L7)</f>
        <v>111725.16650250656</v>
      </c>
      <c r="M8" s="6">
        <f ca="1">SUM(M5:M7)</f>
        <v>135782.76516148326</v>
      </c>
      <c r="N8" s="6">
        <f ca="1">SUM(N5:N7)</f>
        <v>-34252.806841268321</v>
      </c>
    </row>
  </sheetData>
  <hyperlinks>
    <hyperlink ref="A1" r:id="rId1" location="gamma-in-excel" display="https://www.macroption.com/option-greeks-excel/ - gamma-in-excel" xr:uid="{533D6D1A-9ACA-456B-88AC-5875E21CD7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592B-A0D3-419E-A250-1B8260DF5550}">
  <dimension ref="A1:Y8"/>
  <sheetViews>
    <sheetView topLeftCell="A2" workbookViewId="0">
      <selection activeCell="G34" sqref="G34"/>
    </sheetView>
  </sheetViews>
  <sheetFormatPr defaultRowHeight="14.4" x14ac:dyDescent="0.3"/>
  <cols>
    <col min="1" max="1" width="36.88671875" bestFit="1" customWidth="1"/>
    <col min="2" max="2" width="11.33203125" bestFit="1" customWidth="1"/>
    <col min="3" max="3" width="9" bestFit="1" customWidth="1"/>
    <col min="4" max="4" width="14.77734375" bestFit="1" customWidth="1"/>
    <col min="5" max="5" width="7.5546875" bestFit="1" customWidth="1"/>
    <col min="6" max="6" width="10.109375" bestFit="1" customWidth="1"/>
    <col min="7" max="7" width="9.5546875" bestFit="1" customWidth="1"/>
    <col min="8" max="8" width="5.5546875" bestFit="1" customWidth="1"/>
    <col min="9" max="9" width="4.88671875" bestFit="1" customWidth="1"/>
    <col min="10" max="10" width="7.88671875" bestFit="1" customWidth="1"/>
    <col min="11" max="11" width="12" bestFit="1" customWidth="1"/>
    <col min="12" max="12" width="12.109375" bestFit="1" customWidth="1"/>
    <col min="13" max="14" width="12.6640625" bestFit="1" customWidth="1"/>
    <col min="15" max="15" width="5" bestFit="1" customWidth="1"/>
    <col min="16" max="16" width="5.6640625" bestFit="1" customWidth="1"/>
    <col min="17" max="17" width="4.21875" bestFit="1" customWidth="1"/>
    <col min="19" max="19" width="12.6640625" bestFit="1" customWidth="1"/>
    <col min="20" max="20" width="4.5546875" bestFit="1" customWidth="1"/>
    <col min="21" max="21" width="6.88671875" bestFit="1" customWidth="1"/>
    <col min="22" max="22" width="12" bestFit="1" customWidth="1"/>
    <col min="23" max="23" width="12.6640625" bestFit="1" customWidth="1"/>
    <col min="24" max="25" width="12" bestFit="1" customWidth="1"/>
  </cols>
  <sheetData>
    <row r="1" spans="1:25" x14ac:dyDescent="0.3">
      <c r="A1" s="1" t="s">
        <v>0</v>
      </c>
    </row>
    <row r="3" spans="1:25" x14ac:dyDescent="0.3">
      <c r="B3" t="s">
        <v>1</v>
      </c>
      <c r="C3">
        <f>'Base Info'!C3*(0.99)</f>
        <v>99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</row>
    <row r="5" spans="1:25" x14ac:dyDescent="0.3">
      <c r="D5" t="s">
        <v>22</v>
      </c>
      <c r="E5">
        <v>1000</v>
      </c>
      <c r="K5">
        <f>C3</f>
        <v>99</v>
      </c>
      <c r="L5" s="2">
        <f>E5*K5</f>
        <v>99000</v>
      </c>
      <c r="M5">
        <f>1*E5*C3</f>
        <v>99000</v>
      </c>
      <c r="N5">
        <v>0</v>
      </c>
    </row>
    <row r="6" spans="1:25" x14ac:dyDescent="0.3">
      <c r="D6" t="s">
        <v>37</v>
      </c>
      <c r="E6">
        <v>2000</v>
      </c>
      <c r="F6">
        <f>'Base Info'!F6</f>
        <v>0.2</v>
      </c>
      <c r="G6" s="3">
        <f ca="1">'Base Info'!G6</f>
        <v>46093</v>
      </c>
      <c r="H6">
        <f>'Base Info'!H6</f>
        <v>100</v>
      </c>
      <c r="I6" t="s">
        <v>23</v>
      </c>
      <c r="J6">
        <f>'Base Info'!J6</f>
        <v>0.05</v>
      </c>
      <c r="K6">
        <f ca="1">C3*X6-H6*EXP(-J6*T6)*Y6</f>
        <v>9.8232187376315991</v>
      </c>
      <c r="L6" s="2">
        <f t="shared" ref="L6" ca="1" si="0">E6*K6</f>
        <v>19646.437475263199</v>
      </c>
      <c r="M6" s="2">
        <f ca="1">X6*E6*C3</f>
        <v>122327.45536970724</v>
      </c>
      <c r="N6" s="2">
        <f ca="1">EXP(-1*POWER(V6,2)/2)/SQRT(2*PI())*E6*C3</f>
        <v>75520.48693652908</v>
      </c>
      <c r="S6">
        <f>LN(C3/H6)</f>
        <v>-1.0050335853501451E-2</v>
      </c>
      <c r="T6" s="4">
        <f ca="1">(G6-TODAY())/365</f>
        <v>1</v>
      </c>
      <c r="U6" s="5">
        <f>F6*F6/2</f>
        <v>2.0000000000000004E-2</v>
      </c>
      <c r="V6">
        <f ca="1">(S6+T6*(J6+U6))/(F6*SQRT(T6))</f>
        <v>0.29974832073249275</v>
      </c>
      <c r="W6">
        <f ca="1">V6-F6*SQRT(T6)</f>
        <v>9.9748320732492735E-2</v>
      </c>
      <c r="X6">
        <f ca="1">_xlfn.NORM.S.DIST(V6,TRUE)</f>
        <v>0.6178154311601376</v>
      </c>
      <c r="Y6">
        <f ca="1">_xlfn.NORM.S.DIST(W6,TRUE)</f>
        <v>0.53972793129449159</v>
      </c>
    </row>
    <row r="7" spans="1:25" x14ac:dyDescent="0.3">
      <c r="D7" t="s">
        <v>37</v>
      </c>
      <c r="E7">
        <v>-3000</v>
      </c>
      <c r="F7">
        <f>'Base Info'!F7</f>
        <v>0.2</v>
      </c>
      <c r="G7" s="3">
        <f ca="1">'Base Info'!G7</f>
        <v>46093</v>
      </c>
      <c r="H7">
        <f>'Base Info'!H7</f>
        <v>120</v>
      </c>
      <c r="I7" t="s">
        <v>23</v>
      </c>
      <c r="J7">
        <f>'Base Info'!J7</f>
        <v>0.06</v>
      </c>
      <c r="K7">
        <f ca="1">C3*X7-H7*EXP(-J7*T7)*Y7</f>
        <v>3.2137335064328241</v>
      </c>
      <c r="L7" s="2">
        <f ca="1">E7*K7</f>
        <v>-9641.2005192984725</v>
      </c>
      <c r="M7" s="2">
        <f ca="1">X7*E7*C3</f>
        <v>-85270.448489413058</v>
      </c>
      <c r="N7" s="2">
        <f ca="1">EXP(-1*POWER(V7,2)/2)/SQRT(2*PI())*E7*C3</f>
        <v>-101185.00534861513</v>
      </c>
      <c r="S7">
        <f>LN(C3/H7)</f>
        <v>-0.19237189264745613</v>
      </c>
      <c r="T7" s="4">
        <f ca="1">(G7-TODAY())/365</f>
        <v>1</v>
      </c>
      <c r="U7" s="5">
        <f>F7*F7/2</f>
        <v>2.0000000000000004E-2</v>
      </c>
      <c r="V7">
        <f ca="1">(S7+T7*(J7+U7))/(F7*SQRT(T7))</f>
        <v>-0.56185946323728064</v>
      </c>
      <c r="W7">
        <f ca="1">V7-F7*SQRT(T7)</f>
        <v>-0.7618594632372806</v>
      </c>
      <c r="X7">
        <f ca="1">_xlfn.NORM.S.DIST(V7,TRUE)</f>
        <v>0.28710588716974095</v>
      </c>
      <c r="Y7">
        <f ca="1">_xlfn.NORM.S.DIST(W7,TRUE)</f>
        <v>0.223071943006692</v>
      </c>
    </row>
    <row r="8" spans="1:25" x14ac:dyDescent="0.3">
      <c r="L8" s="6">
        <f ca="1">SUM(L5:L7)</f>
        <v>109005.23695596473</v>
      </c>
      <c r="M8" s="6">
        <f ca="1">SUM(M5:M7)</f>
        <v>136057.00688029418</v>
      </c>
      <c r="N8" s="6">
        <f ca="1">SUM(N5:N7)</f>
        <v>-25664.51841208605</v>
      </c>
    </row>
  </sheetData>
  <hyperlinks>
    <hyperlink ref="A1" r:id="rId1" location="gamma-in-excel" display="https://www.macroption.com/option-greeks-excel/ - gamma-in-excel" xr:uid="{D4222B70-5B06-49FB-8012-2D9E3835BC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D941-F522-4891-A3F4-5247858A7AEF}">
  <dimension ref="A1:Y8"/>
  <sheetViews>
    <sheetView workbookViewId="0">
      <selection activeCell="D8" sqref="D8"/>
    </sheetView>
  </sheetViews>
  <sheetFormatPr defaultRowHeight="14.4" x14ac:dyDescent="0.3"/>
  <cols>
    <col min="1" max="1" width="36.88671875" bestFit="1" customWidth="1"/>
    <col min="2" max="2" width="11.33203125" bestFit="1" customWidth="1"/>
    <col min="3" max="3" width="9" bestFit="1" customWidth="1"/>
    <col min="4" max="4" width="14.77734375" bestFit="1" customWidth="1"/>
    <col min="5" max="5" width="7.5546875" bestFit="1" customWidth="1"/>
    <col min="6" max="6" width="10.109375" bestFit="1" customWidth="1"/>
    <col min="7" max="7" width="9.5546875" bestFit="1" customWidth="1"/>
    <col min="8" max="8" width="5.5546875" bestFit="1" customWidth="1"/>
    <col min="9" max="9" width="4.88671875" bestFit="1" customWidth="1"/>
    <col min="10" max="10" width="7.88671875" bestFit="1" customWidth="1"/>
    <col min="11" max="11" width="12" bestFit="1" customWidth="1"/>
    <col min="12" max="12" width="12.109375" bestFit="1" customWidth="1"/>
    <col min="13" max="14" width="12.6640625" bestFit="1" customWidth="1"/>
    <col min="15" max="15" width="5" bestFit="1" customWidth="1"/>
    <col min="16" max="16" width="5.6640625" bestFit="1" customWidth="1"/>
    <col min="17" max="17" width="4.21875" bestFit="1" customWidth="1"/>
    <col min="19" max="19" width="12.6640625" bestFit="1" customWidth="1"/>
    <col min="20" max="20" width="4.5546875" bestFit="1" customWidth="1"/>
    <col min="21" max="21" width="6.88671875" bestFit="1" customWidth="1"/>
    <col min="22" max="23" width="12.6640625" bestFit="1" customWidth="1"/>
    <col min="24" max="25" width="12" bestFit="1" customWidth="1"/>
  </cols>
  <sheetData>
    <row r="1" spans="1:25" x14ac:dyDescent="0.3">
      <c r="A1" s="1" t="s">
        <v>0</v>
      </c>
    </row>
    <row r="3" spans="1:25" x14ac:dyDescent="0.3">
      <c r="B3" t="s">
        <v>1</v>
      </c>
      <c r="C3">
        <f>'Base Info'!C3*(0.95)</f>
        <v>95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</row>
    <row r="5" spans="1:25" x14ac:dyDescent="0.3">
      <c r="D5" t="s">
        <v>22</v>
      </c>
      <c r="E5">
        <v>1000</v>
      </c>
      <c r="K5">
        <f>C3</f>
        <v>95</v>
      </c>
      <c r="L5" s="2">
        <f>E5*K5</f>
        <v>95000</v>
      </c>
      <c r="M5">
        <f>1*E5*C3</f>
        <v>95000</v>
      </c>
      <c r="N5">
        <v>0</v>
      </c>
    </row>
    <row r="6" spans="1:25" x14ac:dyDescent="0.3">
      <c r="D6" t="s">
        <v>37</v>
      </c>
      <c r="E6">
        <v>2000</v>
      </c>
      <c r="F6">
        <f>'Base Info'!F6</f>
        <v>0.2</v>
      </c>
      <c r="G6" s="3">
        <f ca="1">'Base Info'!G6</f>
        <v>46093</v>
      </c>
      <c r="H6">
        <f>'Base Info'!H6</f>
        <v>100</v>
      </c>
      <c r="I6" t="s">
        <v>23</v>
      </c>
      <c r="J6">
        <f>'Base Info'!J6</f>
        <v>0.05</v>
      </c>
      <c r="K6">
        <f ca="1">C3*X6-H6*EXP(-J6*T6)*Y6</f>
        <v>7.5108721783527059</v>
      </c>
      <c r="L6" s="2">
        <f t="shared" ref="L6" ca="1" si="0">E6*K6</f>
        <v>15021.744356705412</v>
      </c>
      <c r="M6" s="2">
        <f ca="1">X6*E6*C3</f>
        <v>102079.42708511796</v>
      </c>
      <c r="N6" s="2">
        <f ca="1">EXP(-1*POWER(V6,2)/2)/SQRT(2*PI())*E6*C3</f>
        <v>75468.192682921901</v>
      </c>
      <c r="S6">
        <f>LN(C3/H6)</f>
        <v>-5.1293294387550578E-2</v>
      </c>
      <c r="T6" s="4">
        <f ca="1">(G6-TODAY())/365</f>
        <v>1</v>
      </c>
      <c r="U6" s="5">
        <f>F6*F6/2</f>
        <v>2.0000000000000004E-2</v>
      </c>
      <c r="V6">
        <f ca="1">(S6+T6*(J6+U6))/(F6*SQRT(T6))</f>
        <v>9.3533528062247143E-2</v>
      </c>
      <c r="W6">
        <f ca="1">V6-F6*SQRT(T6)</f>
        <v>-0.10646647193775287</v>
      </c>
      <c r="X6">
        <f ca="1">_xlfn.NORM.S.DIST(V6,TRUE)</f>
        <v>0.53726014255325238</v>
      </c>
      <c r="Y6">
        <f ca="1">_xlfn.NORM.S.DIST(W6,TRUE)</f>
        <v>0.45760612784927152</v>
      </c>
    </row>
    <row r="7" spans="1:25" x14ac:dyDescent="0.3">
      <c r="D7" t="s">
        <v>37</v>
      </c>
      <c r="E7">
        <v>-3000</v>
      </c>
      <c r="F7">
        <f>'Base Info'!F7</f>
        <v>0.2</v>
      </c>
      <c r="G7" s="3">
        <f ca="1">'Base Info'!G7</f>
        <v>46093</v>
      </c>
      <c r="H7">
        <f>'Base Info'!H7</f>
        <v>120</v>
      </c>
      <c r="I7" t="s">
        <v>23</v>
      </c>
      <c r="J7">
        <f>'Base Info'!J7</f>
        <v>0.06</v>
      </c>
      <c r="K7">
        <f ca="1">C3*X7-H7*EXP(-J7*T7)*Y7</f>
        <v>2.1991787684221187</v>
      </c>
      <c r="L7" s="2">
        <f ca="1">E7*K7</f>
        <v>-6597.5363052663561</v>
      </c>
      <c r="M7" s="2">
        <f ca="1">X7*E7*C3</f>
        <v>-63048.137550420601</v>
      </c>
      <c r="N7" s="2">
        <f ca="1">EXP(-1*POWER(V7,2)/2)/SQRT(2*PI())*E7*C3</f>
        <v>-84654.783468857233</v>
      </c>
      <c r="S7">
        <f>LN(C3/H7)</f>
        <v>-0.23361485118150521</v>
      </c>
      <c r="T7" s="4">
        <f ca="1">(G7-TODAY())/365</f>
        <v>1</v>
      </c>
      <c r="U7" s="5">
        <f>F7*F7/2</f>
        <v>2.0000000000000004E-2</v>
      </c>
      <c r="V7">
        <f ca="1">(S7+T7*(J7+U7))/(F7*SQRT(T7))</f>
        <v>-0.76807425590752598</v>
      </c>
      <c r="W7">
        <f ca="1">V7-F7*SQRT(T7)</f>
        <v>-0.96807425590752594</v>
      </c>
      <c r="X7">
        <f ca="1">_xlfn.NORM.S.DIST(V7,TRUE)</f>
        <v>0.22122153526463367</v>
      </c>
      <c r="Y7">
        <f ca="1">_xlfn.NORM.S.DIST(W7,TRUE)</f>
        <v>0.16650364299045486</v>
      </c>
    </row>
    <row r="8" spans="1:25" x14ac:dyDescent="0.3">
      <c r="L8" s="6">
        <f ca="1">SUM(L5:L7)</f>
        <v>103424.20805143905</v>
      </c>
      <c r="M8" s="6">
        <f ca="1">SUM(M5:M7)</f>
        <v>134031.28953469737</v>
      </c>
      <c r="N8" s="6">
        <f ca="1">SUM(N5:N7)</f>
        <v>-9186.590785935332</v>
      </c>
    </row>
  </sheetData>
  <hyperlinks>
    <hyperlink ref="A1" r:id="rId1" location="gamma-in-excel" display="https://www.macroption.com/option-greeks-excel/ - gamma-in-excel" xr:uid="{0E2DB36A-B465-40BC-9C60-52253D6734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615C-62B5-4115-BA7C-37F4489C8118}">
  <dimension ref="A1:Y8"/>
  <sheetViews>
    <sheetView workbookViewId="0">
      <selection activeCell="D8" sqref="D8"/>
    </sheetView>
  </sheetViews>
  <sheetFormatPr defaultRowHeight="14.4" x14ac:dyDescent="0.3"/>
  <cols>
    <col min="1" max="1" width="36.88671875" bestFit="1" customWidth="1"/>
    <col min="2" max="2" width="11.33203125" bestFit="1" customWidth="1"/>
    <col min="3" max="3" width="7" bestFit="1" customWidth="1"/>
    <col min="4" max="4" width="14.77734375" bestFit="1" customWidth="1"/>
    <col min="5" max="5" width="7.5546875" bestFit="1" customWidth="1"/>
    <col min="6" max="6" width="10.109375" bestFit="1" customWidth="1"/>
    <col min="7" max="7" width="9.5546875" bestFit="1" customWidth="1"/>
    <col min="8" max="8" width="5.5546875" bestFit="1" customWidth="1"/>
    <col min="9" max="9" width="4.88671875" bestFit="1" customWidth="1"/>
    <col min="10" max="10" width="7.88671875" bestFit="1" customWidth="1"/>
    <col min="11" max="11" width="12" bestFit="1" customWidth="1"/>
    <col min="12" max="12" width="12.109375" bestFit="1" customWidth="1"/>
    <col min="13" max="14" width="12.6640625" bestFit="1" customWidth="1"/>
    <col min="15" max="15" width="5" bestFit="1" customWidth="1"/>
    <col min="16" max="16" width="5.6640625" bestFit="1" customWidth="1"/>
    <col min="17" max="17" width="4.21875" bestFit="1" customWidth="1"/>
    <col min="19" max="19" width="12.6640625" bestFit="1" customWidth="1"/>
    <col min="20" max="20" width="4.5546875" bestFit="1" customWidth="1"/>
    <col min="21" max="21" width="6.88671875" bestFit="1" customWidth="1"/>
    <col min="22" max="22" width="12" bestFit="1" customWidth="1"/>
    <col min="23" max="23" width="12.6640625" bestFit="1" customWidth="1"/>
    <col min="24" max="25" width="12" bestFit="1" customWidth="1"/>
  </cols>
  <sheetData>
    <row r="1" spans="1:25" x14ac:dyDescent="0.3">
      <c r="A1" s="1" t="s">
        <v>0</v>
      </c>
    </row>
    <row r="3" spans="1:25" x14ac:dyDescent="0.3">
      <c r="B3" t="s">
        <v>1</v>
      </c>
      <c r="C3">
        <f>'Base Info'!C3</f>
        <v>100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</row>
    <row r="5" spans="1:25" x14ac:dyDescent="0.3">
      <c r="D5" t="s">
        <v>22</v>
      </c>
      <c r="E5">
        <v>1000</v>
      </c>
      <c r="K5">
        <f>C3</f>
        <v>100</v>
      </c>
      <c r="L5" s="2">
        <f>E5*K5</f>
        <v>100000</v>
      </c>
      <c r="M5">
        <f>1*E5*C3</f>
        <v>100000</v>
      </c>
      <c r="N5">
        <v>0</v>
      </c>
    </row>
    <row r="6" spans="1:25" x14ac:dyDescent="0.3">
      <c r="D6" t="s">
        <v>37</v>
      </c>
      <c r="E6">
        <v>2000</v>
      </c>
      <c r="F6">
        <f>'Base Info'!F6+0.01</f>
        <v>0.21000000000000002</v>
      </c>
      <c r="G6" s="3">
        <f ca="1">'Base Info'!G6</f>
        <v>46093</v>
      </c>
      <c r="H6">
        <f>'Base Info'!H6</f>
        <v>100</v>
      </c>
      <c r="I6" t="s">
        <v>23</v>
      </c>
      <c r="J6">
        <f>'Base Info'!J6</f>
        <v>0.05</v>
      </c>
      <c r="K6">
        <f ca="1">C3*X6-H6*EXP(-J6*T6)*Y6</f>
        <v>10.826287314250699</v>
      </c>
      <c r="L6" s="2">
        <f t="shared" ref="L6" ca="1" si="0">E6*K6</f>
        <v>21652.574628501399</v>
      </c>
      <c r="M6" s="2">
        <f ca="1">X6*E6*C3</f>
        <v>126847.3186597654</v>
      </c>
      <c r="N6" s="2">
        <f ca="1">EXP(-1*POWER(V6,2)/2)/SQRT(2*PI())*E6*C3</f>
        <v>75227.86158525027</v>
      </c>
      <c r="S6">
        <f>LN(C3/H6)</f>
        <v>0</v>
      </c>
      <c r="T6" s="4">
        <f ca="1">(G6-TODAY())/365</f>
        <v>1</v>
      </c>
      <c r="U6" s="5">
        <f>F6*F6/2</f>
        <v>2.2050000000000004E-2</v>
      </c>
      <c r="V6">
        <f ca="1">(S6+T6*(J6+U6))/(F6*SQRT(T6))</f>
        <v>0.34309523809523806</v>
      </c>
      <c r="W6">
        <f ca="1">V6-F6*SQRT(T6)</f>
        <v>0.13309523809523804</v>
      </c>
      <c r="X6">
        <f ca="1">_xlfn.NORM.S.DIST(V6,TRUE)</f>
        <v>0.63423659329882698</v>
      </c>
      <c r="Y6">
        <f ca="1">_xlfn.NORM.S.DIST(W6,TRUE)</f>
        <v>0.55294096945371052</v>
      </c>
    </row>
    <row r="7" spans="1:25" x14ac:dyDescent="0.3">
      <c r="D7" t="s">
        <v>38</v>
      </c>
      <c r="E7">
        <v>-3000</v>
      </c>
      <c r="F7">
        <f>'Base Info'!F7+0.01</f>
        <v>0.21000000000000002</v>
      </c>
      <c r="G7" s="3">
        <f ca="1">'Base Info'!G7</f>
        <v>46093</v>
      </c>
      <c r="H7">
        <f>'Base Info'!H7</f>
        <v>120</v>
      </c>
      <c r="I7" t="s">
        <v>23</v>
      </c>
      <c r="J7">
        <f>'Base Info'!J7</f>
        <v>0.06</v>
      </c>
      <c r="K7">
        <f ca="1">C3*X7-H7*EXP(-J7*T7)*Y7</f>
        <v>3.8625432829893604</v>
      </c>
      <c r="L7" s="2">
        <f ca="1">E7*K7</f>
        <v>-11587.629848968081</v>
      </c>
      <c r="M7" s="2">
        <f ca="1">X7*E7*C3</f>
        <v>-94952.669044899609</v>
      </c>
      <c r="N7" s="2">
        <f ca="1">EXP(-1*POWER(V7,2)/2)/SQRT(2*PI())*E7*C3</f>
        <v>-106788.32942537204</v>
      </c>
      <c r="S7">
        <f>LN(C3/H7)</f>
        <v>-0.18232155679395459</v>
      </c>
      <c r="T7" s="4">
        <f ca="1">(G7-TODAY())/365</f>
        <v>1</v>
      </c>
      <c r="U7" s="5">
        <f>F7*F7/2</f>
        <v>2.2050000000000004E-2</v>
      </c>
      <c r="V7">
        <f ca="1">(S7+T7*(J7+U7))/(F7*SQRT(T7))</f>
        <v>-0.47748360378073612</v>
      </c>
      <c r="W7">
        <f ca="1">V7-F7*SQRT(T7)</f>
        <v>-0.68748360378073614</v>
      </c>
      <c r="X7">
        <f ca="1">_xlfn.NORM.S.DIST(V7,TRUE)</f>
        <v>0.31650889681633204</v>
      </c>
      <c r="Y7">
        <f ca="1">_xlfn.NORM.S.DIST(W7,TRUE)</f>
        <v>0.24588901478451797</v>
      </c>
    </row>
    <row r="8" spans="1:25" x14ac:dyDescent="0.3">
      <c r="L8" s="6">
        <f ca="1">SUM(L5:L7)</f>
        <v>110064.94477953333</v>
      </c>
      <c r="M8" s="6">
        <f ca="1">SUM(M5:M7)</f>
        <v>131894.6496148658</v>
      </c>
      <c r="N8" s="6">
        <f ca="1">SUM(N5:N7)</f>
        <v>-31560.467840121768</v>
      </c>
    </row>
  </sheetData>
  <hyperlinks>
    <hyperlink ref="A1" r:id="rId1" location="gamma-in-excel" display="https://www.macroption.com/option-greeks-excel/ - gamma-in-excel" xr:uid="{4C42E420-0887-43AF-9F73-73559CAD3BD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43EC-7492-4082-B586-E92CEE5D7F38}">
  <dimension ref="A1:Y8"/>
  <sheetViews>
    <sheetView workbookViewId="0">
      <selection activeCell="D22" sqref="D22"/>
    </sheetView>
  </sheetViews>
  <sheetFormatPr defaultRowHeight="14.4" x14ac:dyDescent="0.3"/>
  <cols>
    <col min="1" max="1" width="36.88671875" bestFit="1" customWidth="1"/>
    <col min="3" max="3" width="7" bestFit="1" customWidth="1"/>
    <col min="7" max="7" width="10.5546875" bestFit="1" customWidth="1"/>
    <col min="12" max="12" width="12.109375" bestFit="1" customWidth="1"/>
    <col min="13" max="14" width="12.6640625" bestFit="1" customWidth="1"/>
  </cols>
  <sheetData>
    <row r="1" spans="1:25" x14ac:dyDescent="0.3">
      <c r="A1" s="1" t="s">
        <v>0</v>
      </c>
    </row>
    <row r="3" spans="1:25" x14ac:dyDescent="0.3">
      <c r="B3" t="s">
        <v>1</v>
      </c>
      <c r="C3">
        <f>'Base Info'!C3*EXP(J6/365)</f>
        <v>100.01369956844218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</row>
    <row r="5" spans="1:25" x14ac:dyDescent="0.3">
      <c r="D5" t="s">
        <v>22</v>
      </c>
      <c r="E5">
        <v>1000</v>
      </c>
      <c r="K5">
        <f>C3</f>
        <v>100.01369956844218</v>
      </c>
      <c r="L5" s="2">
        <f>E5*K5</f>
        <v>100013.69956844217</v>
      </c>
      <c r="M5">
        <f>1*E5*C3</f>
        <v>100013.69956844217</v>
      </c>
      <c r="N5">
        <v>0</v>
      </c>
    </row>
    <row r="6" spans="1:25" x14ac:dyDescent="0.3">
      <c r="D6" t="s">
        <v>37</v>
      </c>
      <c r="E6">
        <v>2000</v>
      </c>
      <c r="F6" s="7">
        <v>0.22</v>
      </c>
      <c r="G6" s="9">
        <f ca="1">TODAY()+365-1</f>
        <v>46092</v>
      </c>
      <c r="H6" s="7">
        <v>106</v>
      </c>
      <c r="I6" t="s">
        <v>23</v>
      </c>
      <c r="J6">
        <f>'Base Info'!J6</f>
        <v>0.05</v>
      </c>
      <c r="K6">
        <f ca="1">C3*X6-H6*EXP(-J6*T6)*Y6</f>
        <v>8.35748690168802</v>
      </c>
      <c r="L6" s="2">
        <f t="shared" ref="L6" ca="1" si="0">E6*K6</f>
        <v>16714.97380337604</v>
      </c>
      <c r="M6" s="2">
        <f ca="1">X6*E6*C3</f>
        <v>105705.30400342873</v>
      </c>
      <c r="N6" s="2">
        <f ca="1">EXP(-1*POWER(V6,2)/2)/SQRT(2*PI())*E6*C3</f>
        <v>79596.326859675944</v>
      </c>
      <c r="S6">
        <f>LN(C3/H6)</f>
        <v>-5.8131921822605827E-2</v>
      </c>
      <c r="T6" s="4">
        <f ca="1">(G6-TODAY()-1)/365</f>
        <v>0.9945205479452055</v>
      </c>
      <c r="U6" s="5">
        <f>F6*F6/2</f>
        <v>2.4199999999999999E-2</v>
      </c>
      <c r="V6">
        <f ca="1">(S6+T6*(J6+U6))/(F6*SQRT(T6))</f>
        <v>7.1384491845980558E-2</v>
      </c>
      <c r="W6">
        <f ca="1">V6-F6*SQRT(T6)</f>
        <v>-0.14801194048724575</v>
      </c>
      <c r="X6">
        <f ca="1">_xlfn.NORM.S.DIST(V6,TRUE)</f>
        <v>0.5284541240827294</v>
      </c>
      <c r="Y6">
        <f ca="1">_xlfn.NORM.S.DIST(W6,TRUE)</f>
        <v>0.44116667244598995</v>
      </c>
    </row>
    <row r="7" spans="1:25" x14ac:dyDescent="0.3">
      <c r="D7" t="s">
        <v>37</v>
      </c>
      <c r="E7">
        <v>-3000</v>
      </c>
      <c r="F7" s="7">
        <v>0.2</v>
      </c>
      <c r="G7" s="9">
        <f ca="1">TODAY()+365-1</f>
        <v>46092</v>
      </c>
      <c r="H7" s="7">
        <v>120</v>
      </c>
      <c r="I7" t="s">
        <v>23</v>
      </c>
      <c r="J7">
        <f>'Base Info'!J7</f>
        <v>0.06</v>
      </c>
      <c r="K7">
        <f ca="1">C3*X7-H7*EXP(-J7*T7)*Y7</f>
        <v>3.4856219836985751</v>
      </c>
      <c r="L7" s="2">
        <f ca="1">E7*K7</f>
        <v>-10456.865951095726</v>
      </c>
      <c r="M7" s="2">
        <f ca="1">X7*E7*C3</f>
        <v>-91045.089995010931</v>
      </c>
      <c r="N7" s="2">
        <f ca="1">EXP(-1*POWER(V7,2)/2)/SQRT(2*PI())*E7*C3</f>
        <v>-104858.55080820719</v>
      </c>
      <c r="S7">
        <f>LN(C3/H7)</f>
        <v>-0.18218457049258474</v>
      </c>
      <c r="T7" s="4">
        <f ca="1">(G7-TODAY()-1)/365</f>
        <v>0.9945205479452055</v>
      </c>
      <c r="U7" s="5">
        <f>F7*F7/2</f>
        <v>2.0000000000000004E-2</v>
      </c>
      <c r="V7">
        <f ca="1">(S7+T7*(J7+U7))/(F7*SQRT(T7))</f>
        <v>-0.51452623054148594</v>
      </c>
      <c r="W7">
        <f ca="1">V7-F7*SQRT(T7)</f>
        <v>-0.71397753266260078</v>
      </c>
      <c r="X7">
        <f ca="1">_xlfn.NORM.S.DIST(V7,TRUE)</f>
        <v>0.30344206306359134</v>
      </c>
      <c r="Y7">
        <f ca="1">_xlfn.NORM.S.DIST(W7,TRUE)</f>
        <v>0.23762053620045839</v>
      </c>
    </row>
    <row r="8" spans="1:25" x14ac:dyDescent="0.3">
      <c r="L8" s="6">
        <f ca="1">SUM(L5:L7)</f>
        <v>106271.80742072249</v>
      </c>
      <c r="M8" s="6">
        <f ca="1">SUM(M5:M7)</f>
        <v>114673.91357685998</v>
      </c>
      <c r="N8" s="6">
        <f ca="1">SUM(N5:N7)</f>
        <v>-25262.223948531246</v>
      </c>
    </row>
  </sheetData>
  <hyperlinks>
    <hyperlink ref="A1" r:id="rId1" location="gamma-in-excel" display="https://www.macroption.com/option-greeks-excel/ - gamma-in-excel" xr:uid="{22F9223D-7D70-4E09-9006-4E6A5F5DC6D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E4BB-3F65-49C2-B9B3-3E8FB3E3088C}">
  <dimension ref="B2:Z9"/>
  <sheetViews>
    <sheetView workbookViewId="0">
      <selection activeCell="D5" sqref="D5"/>
    </sheetView>
  </sheetViews>
  <sheetFormatPr defaultColWidth="8.77734375" defaultRowHeight="14.4" x14ac:dyDescent="0.3"/>
  <cols>
    <col min="2" max="2" width="11.33203125" bestFit="1" customWidth="1"/>
    <col min="3" max="3" width="7" bestFit="1" customWidth="1"/>
    <col min="4" max="4" width="14.77734375" bestFit="1" customWidth="1"/>
    <col min="5" max="5" width="7.5546875" bestFit="1" customWidth="1"/>
    <col min="6" max="6" width="10.109375" bestFit="1" customWidth="1"/>
    <col min="7" max="7" width="9.5546875" bestFit="1" customWidth="1"/>
    <col min="8" max="8" width="5.5546875" bestFit="1" customWidth="1"/>
    <col min="9" max="9" width="4.88671875" bestFit="1" customWidth="1"/>
    <col min="10" max="10" width="7.88671875" bestFit="1" customWidth="1"/>
    <col min="11" max="11" width="12" bestFit="1" customWidth="1"/>
    <col min="12" max="17" width="12.6640625" bestFit="1" customWidth="1"/>
    <col min="19" max="19" width="12.6640625" bestFit="1" customWidth="1"/>
    <col min="20" max="20" width="4.5546875" bestFit="1" customWidth="1"/>
    <col min="21" max="21" width="6.88671875" bestFit="1" customWidth="1"/>
    <col min="22" max="22" width="12" bestFit="1" customWidth="1"/>
    <col min="23" max="23" width="12.6640625" bestFit="1" customWidth="1"/>
    <col min="24" max="26" width="12" bestFit="1" customWidth="1"/>
  </cols>
  <sheetData>
    <row r="2" spans="2:26" x14ac:dyDescent="0.3">
      <c r="B2" s="7" t="s">
        <v>1</v>
      </c>
      <c r="C2" s="7">
        <v>175.31</v>
      </c>
      <c r="D2" s="7"/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33</v>
      </c>
    </row>
    <row r="3" spans="2:26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2:26" x14ac:dyDescent="0.3">
      <c r="B4" s="7">
        <f>0.98*C2</f>
        <v>171.8038</v>
      </c>
      <c r="C4" s="7"/>
      <c r="D4" s="7" t="s">
        <v>22</v>
      </c>
      <c r="E4" s="7">
        <v>1000</v>
      </c>
      <c r="F4" s="7"/>
      <c r="G4" s="7"/>
      <c r="H4" s="7"/>
      <c r="I4" s="7"/>
      <c r="J4" s="7"/>
      <c r="K4" s="7">
        <f>C2</f>
        <v>175.31</v>
      </c>
      <c r="L4" s="8">
        <f>E4*K4</f>
        <v>175310</v>
      </c>
      <c r="M4" s="7">
        <f>1*E4*C2</f>
        <v>175310</v>
      </c>
      <c r="N4" s="7"/>
      <c r="O4" s="7"/>
      <c r="P4" s="7"/>
      <c r="Q4" s="7"/>
    </row>
    <row r="5" spans="2:26" x14ac:dyDescent="0.3">
      <c r="B5" s="7"/>
      <c r="C5" s="7"/>
      <c r="D5" s="7" t="s">
        <v>37</v>
      </c>
      <c r="E5" s="7">
        <v>2000</v>
      </c>
      <c r="F5" s="7">
        <f>'Base Info'!F6</f>
        <v>0.2</v>
      </c>
      <c r="G5" s="9">
        <f ca="1">'Base Info'!G6</f>
        <v>46093</v>
      </c>
      <c r="H5" s="7">
        <f>'Base Info'!H6</f>
        <v>100</v>
      </c>
      <c r="I5" s="7" t="s">
        <v>23</v>
      </c>
      <c r="J5" s="7">
        <f>'Base Info'!J6+0.0001</f>
        <v>5.0100000000000006E-2</v>
      </c>
      <c r="K5" s="7">
        <f ca="1">C2*X5-H5*EXP(-J5*T5)*Y5</f>
        <v>80.204580168296729</v>
      </c>
      <c r="L5" s="8">
        <f t="shared" ref="L5" ca="1" si="0">E5*K5</f>
        <v>160409.16033659346</v>
      </c>
      <c r="M5" s="7">
        <f ca="1">X5*E5*C2</f>
        <v>350340.96362554346</v>
      </c>
      <c r="N5" s="7">
        <f ca="1">((C2*F5*SQRT(T5))^-1)*Z5*E5</f>
        <v>0.15569900919426863</v>
      </c>
      <c r="O5" s="7">
        <f ca="1">(E5*C2/100)*SQRT(T5)*Z5</f>
        <v>9.5703809234936799</v>
      </c>
      <c r="P5" s="7">
        <f ca="1">E5*(1/T5)*(-(C2*F5)/(2*SQRT(T5))*Z5-J5*H5*EXP(-J5*T5)*Y5)/365</f>
        <v>-26.332293572633787</v>
      </c>
      <c r="Q5" s="7">
        <f ca="1">(H5/100)*T5*EXP(-J5*T5)*Y5*E5</f>
        <v>1899.3180328894998</v>
      </c>
      <c r="S5">
        <f>LN(C2/H5)</f>
        <v>0.56138564937769142</v>
      </c>
      <c r="T5" s="4">
        <f ca="1">(G5-TODAY())/365</f>
        <v>1</v>
      </c>
      <c r="U5" s="5">
        <f>F5*F5/2</f>
        <v>2.0000000000000004E-2</v>
      </c>
      <c r="V5">
        <f ca="1">(S5+T5*(J5+U5))/(F5*SQRT(T5))</f>
        <v>3.1574282468884571</v>
      </c>
      <c r="W5">
        <f ca="1">V5-F5*SQRT(T5)</f>
        <v>2.957428246888457</v>
      </c>
      <c r="X5">
        <f ca="1">_xlfn.NORM.S.DIST(V5,TRUE)</f>
        <v>0.99920416298426629</v>
      </c>
      <c r="Y5">
        <f ca="1">_xlfn.NORM.S.DIST(W5,TRUE)</f>
        <v>0.99844891530070079</v>
      </c>
      <c r="Z5">
        <f ca="1">(1/(SQRT(2*PI())))*EXP(-0.5*V5*V5)</f>
        <v>2.7295593301847241E-3</v>
      </c>
    </row>
    <row r="6" spans="2:26" x14ac:dyDescent="0.3">
      <c r="B6" s="7"/>
      <c r="C6" s="7"/>
      <c r="D6" s="7" t="s">
        <v>37</v>
      </c>
      <c r="E6" s="7">
        <v>-3000</v>
      </c>
      <c r="F6" s="7">
        <f>'Base Info'!F7</f>
        <v>0.2</v>
      </c>
      <c r="G6" s="9">
        <f ca="1">'Base Info'!G7</f>
        <v>46093</v>
      </c>
      <c r="H6" s="7">
        <f>'Base Info'!H7</f>
        <v>120</v>
      </c>
      <c r="I6" s="7" t="s">
        <v>23</v>
      </c>
      <c r="J6" s="7">
        <f>'Base Info'!J7+0.0001</f>
        <v>6.0100000000000001E-2</v>
      </c>
      <c r="K6" s="7">
        <f ca="1">C2*X6-H6*EXP(-J6*T6)*Y6</f>
        <v>62.448209001575833</v>
      </c>
      <c r="L6" s="8">
        <f ca="1">E6*K6</f>
        <v>-187344.62700472749</v>
      </c>
      <c r="M6" s="7">
        <f ca="1">X6*E6*C2</f>
        <v>-520227.30184744881</v>
      </c>
      <c r="N6" s="7">
        <f ca="1">((C2*F6*SQRT(T6))^-1)*Z6*E6</f>
        <v>-2.4471285395761417</v>
      </c>
      <c r="O6" s="7">
        <f ca="1">(E6*C2/100)*SQRT(T6)*Z6</f>
        <v>-150.41812028023205</v>
      </c>
      <c r="P6" s="7">
        <f ca="1">E6*(1/T6)*(-((C2*F6)/(2*SQRT(T6)))*(1/(SQRT(2*PI())))*EXP(-0.5*V5*V5)-J6*H6*EXP(-J6*T6)*Y6)/365</f>
        <v>55.204943758630002</v>
      </c>
      <c r="Q6" s="7">
        <f ca="1">(H6/100)*T6*EXP(-J6*T6)*Y6*E6</f>
        <v>-3328.8267484272128</v>
      </c>
      <c r="S6">
        <f>LN(C2/H6)</f>
        <v>0.37906409258373674</v>
      </c>
      <c r="T6" s="4">
        <f ca="1">(G6-TODAY())/365</f>
        <v>1</v>
      </c>
      <c r="U6" s="5">
        <f>F6*F6/2</f>
        <v>2.0000000000000004E-2</v>
      </c>
      <c r="V6">
        <f ca="1">(S6+T6*(J6+U6))/(F6*SQRT(T6))</f>
        <v>2.2958204629186838</v>
      </c>
      <c r="W6">
        <f ca="1">V6-F6*SQRT(T6)</f>
        <v>2.0958204629186836</v>
      </c>
      <c r="X6">
        <f ca="1">_xlfn.NORM.S.DIST(V6,TRUE)</f>
        <v>0.98915692553657097</v>
      </c>
      <c r="Y6">
        <f ca="1">_xlfn.NORM.S.DIST(W6,TRUE)</f>
        <v>0.98195093979488024</v>
      </c>
      <c r="Z6">
        <f ca="1">(1/(SQRT(2*PI())))*EXP(-0.5*V6*V6)</f>
        <v>2.8600406951539568E-2</v>
      </c>
    </row>
    <row r="7" spans="2:26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8">
        <f ca="1">SUM(L4:L6)</f>
        <v>148374.53333186597</v>
      </c>
      <c r="M7" s="8">
        <f ca="1">SUM(M4:M6)</f>
        <v>5423.6617780947126</v>
      </c>
      <c r="N7" s="8">
        <f ca="1">SUM(N4:N6)</f>
        <v>-2.291429530381873</v>
      </c>
      <c r="O7" s="8">
        <f ca="1">O5+O6</f>
        <v>-140.84773935673837</v>
      </c>
      <c r="P7" s="8">
        <f ca="1">P5+P6</f>
        <v>28.872650185996214</v>
      </c>
      <c r="Q7" s="8">
        <f t="shared" ref="Q7" ca="1" si="1">Q5+Q6</f>
        <v>-1429.508715537713</v>
      </c>
    </row>
    <row r="8" spans="2:2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2:2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 Info</vt:lpstr>
      <vt:lpstr>Greekish</vt:lpstr>
      <vt:lpstr>1% bump up</vt:lpstr>
      <vt:lpstr>1% bump down</vt:lpstr>
      <vt:lpstr>1-5% bump down </vt:lpstr>
      <vt:lpstr>1 vol pt up</vt:lpstr>
      <vt:lpstr>tomorrow</vt:lpstr>
      <vt:lpstr>Rate bump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Zwecher</dc:creator>
  <cp:lastModifiedBy>Mike Z</cp:lastModifiedBy>
  <dcterms:created xsi:type="dcterms:W3CDTF">2022-09-14T19:18:38Z</dcterms:created>
  <dcterms:modified xsi:type="dcterms:W3CDTF">2025-03-12T12:19:56Z</dcterms:modified>
</cp:coreProperties>
</file>