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/My Drive/iQRM/SubjectFiles/"/>
    </mc:Choice>
  </mc:AlternateContent>
  <xr:revisionPtr revIDLastSave="0" documentId="13_ncr:1_{0071F5E6-9550-EF47-B9DC-1480A3BF04D4}" xr6:coauthVersionLast="47" xr6:coauthVersionMax="47" xr10:uidLastSave="{00000000-0000-0000-0000-000000000000}"/>
  <bookViews>
    <workbookView xWindow="0" yWindow="500" windowWidth="28800" windowHeight="15800" tabRatio="885" xr2:uid="{00000000-000D-0000-FFFF-FFFF00000000}"/>
  </bookViews>
  <sheets>
    <sheet name="Regression" sheetId="37" r:id="rId1"/>
    <sheet name="Terminology" sheetId="19" r:id="rId2"/>
    <sheet name="Collinearity1" sheetId="41" r:id="rId3"/>
    <sheet name="Collinearity2" sheetId="40" r:id="rId4"/>
    <sheet name="Assumptions" sheetId="23" r:id="rId5"/>
    <sheet name="Linearity" sheetId="24" r:id="rId6"/>
    <sheet name="Linearity_OLS" sheetId="29" r:id="rId7"/>
    <sheet name="NormalErrors" sheetId="30" r:id="rId8"/>
    <sheet name="NormalErrors_MLE" sheetId="28" r:id="rId9"/>
    <sheet name="IndepErrors" sheetId="31" r:id="rId10"/>
    <sheet name="ConstVarErrors" sheetId="34" r:id="rId11"/>
    <sheet name="HowTo_SLR" sheetId="38" r:id="rId12"/>
    <sheet name="HowTo_MLR" sheetId="39" r:id="rId13"/>
    <sheet name="LINEST" sheetId="9" r:id="rId14"/>
    <sheet name="DegreesOfFreedom" sheetId="16" r:id="rId15"/>
    <sheet name="FTest" sheetId="17" r:id="rId16"/>
    <sheet name="QualityOfFit" sheetId="8" r:id="rId17"/>
    <sheet name="RSquareAdj" sheetId="22" r:id="rId18"/>
    <sheet name="NormalEquations" sheetId="10" r:id="rId19"/>
    <sheet name="LikelihoodCalcs" sheetId="21" r:id="rId20"/>
    <sheet name="OrdinaryLeastSquares" sheetId="12" r:id="rId21"/>
    <sheet name="MLE" sheetId="13" r:id="rId22"/>
  </sheets>
  <definedNames>
    <definedName name="_r2" localSheetId="4">#REF!</definedName>
    <definedName name="_r2" localSheetId="13">LINEST!#REF!</definedName>
    <definedName name="_r2" localSheetId="16">QualityOfFit!$K$31</definedName>
    <definedName name="_R2" localSheetId="17">RSquareAdj!#REF!</definedName>
    <definedName name="_r2">#REF!</definedName>
    <definedName name="_R2_new">RSquareAdj!$C$12</definedName>
    <definedName name="_R2_orig">RSquareAdj!$C$6</definedName>
    <definedName name="_xlchart.v1.0" hidden="1">Linearity!$I$6:$I$25</definedName>
    <definedName name="_xlchart.v1.1" hidden="1">Linearity!$G$6:$G$25</definedName>
    <definedName name="_xlchart.v1.2" hidden="1">Linearity!$C$6:$C$25</definedName>
    <definedName name="_xlchart.v1.3" hidden="1">Linearity!$E$6:$E$25</definedName>
    <definedName name="Advertising">IndepErrors!$C$7:$C$206</definedName>
    <definedName name="b" localSheetId="6">Linearity_OLS!$E$3</definedName>
    <definedName name="b" localSheetId="21">MLE!$E$3</definedName>
    <definedName name="b" localSheetId="7">NormalErrors!$E$3</definedName>
    <definedName name="b" localSheetId="8">NormalErrors_MLE!$E$3</definedName>
    <definedName name="b">OrdinaryLeastSquares!$E$3</definedName>
    <definedName name="b_1">Linearity_OLS!$E$3</definedName>
    <definedName name="b_2">Linearity_OLS!$F$3</definedName>
    <definedName name="b0" localSheetId="4">#REF!</definedName>
    <definedName name="b0" localSheetId="13">LINEST!#REF!</definedName>
    <definedName name="b0" localSheetId="16">QualityOfFit!$L$54</definedName>
    <definedName name="b0">#REF!</definedName>
    <definedName name="b1_" localSheetId="4">#REF!</definedName>
    <definedName name="b1_" localSheetId="13">LINEST!#REF!</definedName>
    <definedName name="b1_" localSheetId="16">QualityOfFit!$K$54</definedName>
    <definedName name="b1_">#REF!</definedName>
    <definedName name="b2_">#REF!</definedName>
    <definedName name="b3_">#REF!</definedName>
    <definedName name="beta" localSheetId="4">#REF!</definedName>
    <definedName name="beta" localSheetId="13">LINEST!$C$2</definedName>
    <definedName name="beta" localSheetId="16">QualityOfFit!$C$2</definedName>
    <definedName name="beta">#REF!</definedName>
    <definedName name="beta_1">Linearity!$C$3</definedName>
    <definedName name="beta_2">Linearity!$E$3</definedName>
    <definedName name="beta_3">Linearity!$G$3</definedName>
    <definedName name="beta0" localSheetId="4">#REF!</definedName>
    <definedName name="beta0">#REF!</definedName>
    <definedName name="beta1" localSheetId="4">#REF!</definedName>
    <definedName name="beta1">#REF!</definedName>
    <definedName name="beta2" localSheetId="4">#REF!</definedName>
    <definedName name="beta2">#REF!</definedName>
    <definedName name="bhat1">#REF!</definedName>
    <definedName name="bhat2">#REF!</definedName>
    <definedName name="bhat3">#REF!</definedName>
    <definedName name="c_" localSheetId="2">Collinearity1!$L$7</definedName>
    <definedName name="c_">Terminology!$L$14</definedName>
    <definedName name="data" localSheetId="4">#REF!</definedName>
    <definedName name="data">#REF!</definedName>
    <definedName name="df" localSheetId="4">#REF!</definedName>
    <definedName name="df" localSheetId="13">LINEST!#REF!</definedName>
    <definedName name="df" localSheetId="16">QualityOfFit!$L$32</definedName>
    <definedName name="df">#REF!</definedName>
    <definedName name="e" localSheetId="4">#REF!</definedName>
    <definedName name="e" localSheetId="13">LINEST!#REF!</definedName>
    <definedName name="e" localSheetId="16">QualityOfFit!$H$7:$H$56</definedName>
    <definedName name="e">#REF!</definedName>
    <definedName name="e_2" localSheetId="4">#REF!</definedName>
    <definedName name="e_2" localSheetId="13">LINEST!#REF!</definedName>
    <definedName name="e_2" localSheetId="16">QualityOfFit!$I$7:$I$56</definedName>
    <definedName name="e_2">#REF!</definedName>
    <definedName name="error" localSheetId="9">IndepErrors!$F$7:$F$206</definedName>
    <definedName name="error">NormalErrors!$F$6:$F$105</definedName>
    <definedName name="ErrorFraction">RSquareAdj!$C$7</definedName>
    <definedName name="Experience">ConstVarErrors!$B$6:$B$105</definedName>
    <definedName name="idx" localSheetId="4">#REF!</definedName>
    <definedName name="idx">#REF!</definedName>
    <definedName name="Income">ConstVarErrors!$D$6:$D$105</definedName>
    <definedName name="Inflator">RSquareAdj!$C$10</definedName>
    <definedName name="max">NormalErrors!$J$3</definedName>
    <definedName name="mean">IndepErrors!$H$2</definedName>
    <definedName name="min">NormalErrors!$J$2</definedName>
    <definedName name="n" localSheetId="4">#REF!</definedName>
    <definedName name="n" localSheetId="13">LINEST!#REF!</definedName>
    <definedName name="n" localSheetId="16">QualityOfFit!$K$42</definedName>
    <definedName name="n" localSheetId="17">RSquareAdj!$C$8</definedName>
    <definedName name="n">#REF!</definedName>
    <definedName name="NewError">RSquareAdj!$C$11</definedName>
    <definedName name="p">RSquareAdj!$C$9</definedName>
    <definedName name="range">NormalErrors!$J$4</definedName>
    <definedName name="RMSE">NormalErrors_MLE!$C$3</definedName>
    <definedName name="RSE" localSheetId="4">#REF!</definedName>
    <definedName name="RSE" localSheetId="13">LINEST!#REF!</definedName>
    <definedName name="RSE" localSheetId="16">QualityOfFit!$L$42</definedName>
    <definedName name="RSE">#REF!</definedName>
    <definedName name="RSS" localSheetId="4">RSquareAdj!#REF!</definedName>
    <definedName name="RSS">RSquareAdj!#REF!</definedName>
    <definedName name="Sales">IndepErrors!$D$7:$D$206</definedName>
    <definedName name="sd">IndepErrors!$H$3</definedName>
    <definedName name="sd_x" localSheetId="7">NormalErrors!$C$3</definedName>
    <definedName name="sd_x" localSheetId="8">NormalErrors_MLE!$C$3</definedName>
    <definedName name="sd_x">MLE!$C$3</definedName>
    <definedName name="SE0" localSheetId="4">#REF!</definedName>
    <definedName name="SE0">#REF!</definedName>
    <definedName name="SE1_" localSheetId="4">#REF!</definedName>
    <definedName name="SE1_">#REF!</definedName>
    <definedName name="SE2_" localSheetId="4">#REF!</definedName>
    <definedName name="SE2_">#REF!</definedName>
    <definedName name="SEy">QualityOfFit!$L$31</definedName>
    <definedName name="sigma" localSheetId="4">#REF!</definedName>
    <definedName name="sigma" localSheetId="13">LINEST!$C$3</definedName>
    <definedName name="sigma" localSheetId="16">QualityOfFit!$C$3</definedName>
    <definedName name="sigma">#REF!</definedName>
    <definedName name="Skill">ConstVarErrors!$C$6:$C$105</definedName>
    <definedName name="ssreg" localSheetId="4">#REF!</definedName>
    <definedName name="ssreg" localSheetId="13">LINEST!#REF!</definedName>
    <definedName name="ssreg" localSheetId="16">QualityOfFit!$K$33</definedName>
    <definedName name="ssreg">#REF!</definedName>
    <definedName name="ssresid" localSheetId="4">#REF!</definedName>
    <definedName name="ssresid" localSheetId="13">LINEST!#REF!</definedName>
    <definedName name="ssresid" localSheetId="16">QualityOfFit!$L$33</definedName>
    <definedName name="ssresid">#REF!</definedName>
    <definedName name="SST" localSheetId="4">#REF!</definedName>
    <definedName name="SST" localSheetId="13">LINEST!#REF!</definedName>
    <definedName name="SST" localSheetId="16">QualityOfFit!$K$43</definedName>
    <definedName name="SST">#REF!</definedName>
    <definedName name="SSx" localSheetId="4">#REF!</definedName>
    <definedName name="SSx" localSheetId="13">LINEST!#REF!</definedName>
    <definedName name="SSx" localSheetId="16">QualityOfFit!$L$43</definedName>
    <definedName name="SSx">#REF!</definedName>
    <definedName name="TSS" localSheetId="4">RSquareAdj!#REF!</definedName>
    <definedName name="TSS">RSquareAdj!#REF!</definedName>
    <definedName name="x" localSheetId="4">#REF!</definedName>
    <definedName name="x" localSheetId="13">LINEST!$B$7:$B$56</definedName>
    <definedName name="x" localSheetId="16">QualityOfFit!$B$7:$B$56</definedName>
    <definedName name="x">#REF!</definedName>
    <definedName name="x_draw" localSheetId="4">#REF!</definedName>
    <definedName name="x_draw">#REF!</definedName>
    <definedName name="x1_">Linearity!$C$6:$C$25</definedName>
    <definedName name="x2_">Linearity!$E$6:$E$25</definedName>
    <definedName name="x3_">Linearity!$G$6:$G$25</definedName>
    <definedName name="xbar" localSheetId="4">#REF!</definedName>
    <definedName name="xbar" localSheetId="13">LINEST!#REF!</definedName>
    <definedName name="xbar" localSheetId="16">QualityOfFit!$K$41</definedName>
    <definedName name="xbar">#REF!</definedName>
    <definedName name="y" localSheetId="4">#REF!</definedName>
    <definedName name="y" localSheetId="13">LINEST!$C$7:$C$56</definedName>
    <definedName name="y" localSheetId="16">QualityOfFit!$C$7:$C$56</definedName>
    <definedName name="y">#REF!</definedName>
    <definedName name="y_">Linearity!$I$6:$I$25</definedName>
    <definedName name="y_draw" localSheetId="4">#REF!</definedName>
    <definedName name="y_draw">#REF!</definedName>
    <definedName name="ybar" localSheetId="4">#REF!</definedName>
    <definedName name="ybar" localSheetId="13">LINEST!#REF!</definedName>
    <definedName name="ybar" localSheetId="16">QualityOfFit!$L$41</definedName>
    <definedName name="ybar">#REF!</definedName>
    <definedName name="yhat" localSheetId="4">#REF!</definedName>
    <definedName name="yhat" localSheetId="13">LINEST!#REF!</definedName>
    <definedName name="yhat" localSheetId="16">QualityOfFit!$F$7:$F$56</definedName>
    <definedName name="yhat">#REF!</definedName>
  </definedNames>
  <calcPr calcId="191029" iterate="1" iterateCount="100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2" i="41" l="1"/>
  <c r="Q12" i="41"/>
  <c r="R19" i="19"/>
  <c r="Q19" i="19"/>
  <c r="F7" i="34" l="1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67" i="34"/>
  <c r="F68" i="34"/>
  <c r="F69" i="34"/>
  <c r="F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F90" i="34"/>
  <c r="F91" i="34"/>
  <c r="F92" i="34"/>
  <c r="F93" i="34"/>
  <c r="F94" i="34"/>
  <c r="F95" i="34"/>
  <c r="F96" i="34"/>
  <c r="F97" i="34"/>
  <c r="F98" i="34"/>
  <c r="F99" i="34"/>
  <c r="F100" i="34"/>
  <c r="F101" i="34"/>
  <c r="F102" i="34"/>
  <c r="F103" i="34"/>
  <c r="F104" i="34"/>
  <c r="F105" i="34"/>
  <c r="F6" i="34"/>
  <c r="C23" i="39"/>
  <c r="C22" i="39"/>
  <c r="C21" i="39"/>
  <c r="C20" i="39"/>
  <c r="C19" i="39"/>
  <c r="C18" i="39"/>
  <c r="C17" i="39"/>
  <c r="C16" i="39"/>
  <c r="C15" i="39"/>
  <c r="C14" i="39"/>
  <c r="C13" i="39"/>
  <c r="C12" i="39"/>
  <c r="C11" i="39"/>
  <c r="C10" i="39"/>
  <c r="C9" i="39"/>
  <c r="C8" i="39"/>
  <c r="C7" i="39"/>
  <c r="C6" i="39"/>
  <c r="C5" i="39"/>
  <c r="C4" i="39"/>
  <c r="B23" i="39"/>
  <c r="B22" i="39"/>
  <c r="B21" i="39"/>
  <c r="B20" i="39"/>
  <c r="B19" i="39"/>
  <c r="B18" i="39"/>
  <c r="B17" i="39"/>
  <c r="B16" i="39"/>
  <c r="B15" i="39"/>
  <c r="B14" i="39"/>
  <c r="B13" i="39"/>
  <c r="B12" i="39"/>
  <c r="B11" i="39"/>
  <c r="B10" i="39"/>
  <c r="B9" i="39"/>
  <c r="B8" i="39"/>
  <c r="B7" i="39"/>
  <c r="B6" i="39"/>
  <c r="B5" i="39"/>
  <c r="B4" i="39"/>
  <c r="B5" i="38"/>
  <c r="B6" i="38"/>
  <c r="B7" i="38"/>
  <c r="B8" i="38"/>
  <c r="B9" i="38"/>
  <c r="B10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  <c r="B4" i="38"/>
  <c r="C4" i="38" s="1"/>
  <c r="C5" i="38" l="1"/>
  <c r="D5" i="39"/>
  <c r="D22" i="39"/>
  <c r="D18" i="39"/>
  <c r="D14" i="39"/>
  <c r="D10" i="39"/>
  <c r="D6" i="39"/>
  <c r="D20" i="39"/>
  <c r="D16" i="39"/>
  <c r="D12" i="39"/>
  <c r="D8" i="39"/>
  <c r="D23" i="39"/>
  <c r="D19" i="39"/>
  <c r="D15" i="39"/>
  <c r="D11" i="39"/>
  <c r="D7" i="39"/>
  <c r="D21" i="39"/>
  <c r="D17" i="39"/>
  <c r="D13" i="39"/>
  <c r="D9" i="39"/>
  <c r="C16" i="38"/>
  <c r="C12" i="38"/>
  <c r="C23" i="38"/>
  <c r="C19" i="38"/>
  <c r="C15" i="38"/>
  <c r="C11" i="38"/>
  <c r="C7" i="38"/>
  <c r="C22" i="38"/>
  <c r="C18" i="38"/>
  <c r="C14" i="38"/>
  <c r="C10" i="38"/>
  <c r="C6" i="38"/>
  <c r="C20" i="38"/>
  <c r="C8" i="38"/>
  <c r="C21" i="38"/>
  <c r="C17" i="38"/>
  <c r="C13" i="38"/>
  <c r="C9" i="38"/>
  <c r="E105" i="30"/>
  <c r="F105" i="30" s="1"/>
  <c r="E104" i="30"/>
  <c r="F104" i="30" s="1"/>
  <c r="E103" i="30"/>
  <c r="F103" i="30" s="1"/>
  <c r="E102" i="30"/>
  <c r="F102" i="30" s="1"/>
  <c r="E101" i="30"/>
  <c r="F101" i="30" s="1"/>
  <c r="E100" i="30"/>
  <c r="F100" i="30" s="1"/>
  <c r="E99" i="30"/>
  <c r="F99" i="30" s="1"/>
  <c r="E98" i="30"/>
  <c r="F98" i="30" s="1"/>
  <c r="E97" i="30"/>
  <c r="F97" i="30" s="1"/>
  <c r="E96" i="30"/>
  <c r="F96" i="30" s="1"/>
  <c r="E95" i="30"/>
  <c r="F95" i="30" s="1"/>
  <c r="E94" i="30"/>
  <c r="F94" i="30" s="1"/>
  <c r="E93" i="30"/>
  <c r="F93" i="30" s="1"/>
  <c r="E92" i="30"/>
  <c r="F92" i="30" s="1"/>
  <c r="E91" i="30"/>
  <c r="F91" i="30" s="1"/>
  <c r="E90" i="30"/>
  <c r="F90" i="30" s="1"/>
  <c r="E89" i="30"/>
  <c r="F89" i="30" s="1"/>
  <c r="E88" i="30"/>
  <c r="F88" i="30" s="1"/>
  <c r="E87" i="30"/>
  <c r="F87" i="30" s="1"/>
  <c r="E86" i="30"/>
  <c r="F86" i="30" s="1"/>
  <c r="E85" i="30"/>
  <c r="F85" i="30" s="1"/>
  <c r="E84" i="30"/>
  <c r="F84" i="30" s="1"/>
  <c r="E83" i="30"/>
  <c r="F83" i="30" s="1"/>
  <c r="E82" i="30"/>
  <c r="F82" i="30" s="1"/>
  <c r="E81" i="30"/>
  <c r="F81" i="30" s="1"/>
  <c r="E80" i="30"/>
  <c r="F80" i="30" s="1"/>
  <c r="E79" i="30"/>
  <c r="F79" i="30" s="1"/>
  <c r="E78" i="30"/>
  <c r="F78" i="30" s="1"/>
  <c r="E77" i="30"/>
  <c r="F77" i="30" s="1"/>
  <c r="E76" i="30"/>
  <c r="F76" i="30" s="1"/>
  <c r="E75" i="30"/>
  <c r="F75" i="30" s="1"/>
  <c r="E74" i="30"/>
  <c r="F74" i="30" s="1"/>
  <c r="E73" i="30"/>
  <c r="F73" i="30" s="1"/>
  <c r="E72" i="30"/>
  <c r="F72" i="30" s="1"/>
  <c r="E71" i="30"/>
  <c r="F71" i="30" s="1"/>
  <c r="E70" i="30"/>
  <c r="F70" i="30" s="1"/>
  <c r="E69" i="30"/>
  <c r="F69" i="30" s="1"/>
  <c r="E68" i="30"/>
  <c r="F68" i="30" s="1"/>
  <c r="E67" i="30"/>
  <c r="F67" i="30" s="1"/>
  <c r="E66" i="30"/>
  <c r="F66" i="30" s="1"/>
  <c r="E65" i="30"/>
  <c r="F65" i="30" s="1"/>
  <c r="E64" i="30"/>
  <c r="F64" i="30" s="1"/>
  <c r="E63" i="30"/>
  <c r="F63" i="30" s="1"/>
  <c r="E62" i="30"/>
  <c r="F62" i="30" s="1"/>
  <c r="E61" i="30"/>
  <c r="F61" i="30" s="1"/>
  <c r="E60" i="30"/>
  <c r="F60" i="30" s="1"/>
  <c r="E59" i="30"/>
  <c r="F59" i="30" s="1"/>
  <c r="E58" i="30"/>
  <c r="F58" i="30" s="1"/>
  <c r="E57" i="30"/>
  <c r="F57" i="30" s="1"/>
  <c r="E56" i="30"/>
  <c r="F56" i="30" s="1"/>
  <c r="E55" i="30"/>
  <c r="F55" i="30" s="1"/>
  <c r="E54" i="30"/>
  <c r="F54" i="30" s="1"/>
  <c r="E53" i="30"/>
  <c r="F53" i="30" s="1"/>
  <c r="E52" i="30"/>
  <c r="F52" i="30" s="1"/>
  <c r="E51" i="30"/>
  <c r="F51" i="30" s="1"/>
  <c r="E50" i="30"/>
  <c r="F50" i="30" s="1"/>
  <c r="E49" i="30"/>
  <c r="F49" i="30" s="1"/>
  <c r="E48" i="30"/>
  <c r="F48" i="30" s="1"/>
  <c r="E47" i="30"/>
  <c r="F47" i="30" s="1"/>
  <c r="E46" i="30"/>
  <c r="F46" i="30" s="1"/>
  <c r="E45" i="30"/>
  <c r="F45" i="30" s="1"/>
  <c r="E44" i="30"/>
  <c r="F44" i="30" s="1"/>
  <c r="E43" i="30"/>
  <c r="F43" i="30" s="1"/>
  <c r="E42" i="30"/>
  <c r="F42" i="30" s="1"/>
  <c r="E41" i="30"/>
  <c r="F41" i="30" s="1"/>
  <c r="E40" i="30"/>
  <c r="F40" i="30" s="1"/>
  <c r="E39" i="30"/>
  <c r="F39" i="30" s="1"/>
  <c r="E38" i="30"/>
  <c r="F38" i="30" s="1"/>
  <c r="E37" i="30"/>
  <c r="F37" i="30" s="1"/>
  <c r="E36" i="30"/>
  <c r="F36" i="30" s="1"/>
  <c r="E35" i="30"/>
  <c r="F35" i="30" s="1"/>
  <c r="E34" i="30"/>
  <c r="F34" i="30" s="1"/>
  <c r="E33" i="30"/>
  <c r="F33" i="30" s="1"/>
  <c r="E32" i="30"/>
  <c r="F32" i="30" s="1"/>
  <c r="E31" i="30"/>
  <c r="F31" i="30" s="1"/>
  <c r="E30" i="30"/>
  <c r="F30" i="30" s="1"/>
  <c r="E29" i="30"/>
  <c r="F29" i="30" s="1"/>
  <c r="E28" i="30"/>
  <c r="F28" i="30" s="1"/>
  <c r="E27" i="30"/>
  <c r="F27" i="30" s="1"/>
  <c r="E26" i="30"/>
  <c r="F26" i="30" s="1"/>
  <c r="E25" i="30"/>
  <c r="F25" i="30" s="1"/>
  <c r="E24" i="30"/>
  <c r="F24" i="30" s="1"/>
  <c r="E23" i="30"/>
  <c r="F23" i="30" s="1"/>
  <c r="E22" i="30"/>
  <c r="F22" i="30" s="1"/>
  <c r="E21" i="30"/>
  <c r="F21" i="30" s="1"/>
  <c r="E20" i="30"/>
  <c r="F20" i="30" s="1"/>
  <c r="E19" i="30"/>
  <c r="F19" i="30" s="1"/>
  <c r="E18" i="30"/>
  <c r="F18" i="30" s="1"/>
  <c r="E17" i="30"/>
  <c r="F17" i="30" s="1"/>
  <c r="E16" i="30"/>
  <c r="F16" i="30" s="1"/>
  <c r="E15" i="30"/>
  <c r="F15" i="30" s="1"/>
  <c r="E14" i="30"/>
  <c r="F14" i="30" s="1"/>
  <c r="E13" i="30"/>
  <c r="F13" i="30" s="1"/>
  <c r="E12" i="30"/>
  <c r="F12" i="30" s="1"/>
  <c r="E11" i="30"/>
  <c r="F11" i="30" s="1"/>
  <c r="E10" i="30"/>
  <c r="F10" i="30" s="1"/>
  <c r="E9" i="30"/>
  <c r="F9" i="30" s="1"/>
  <c r="E8" i="30"/>
  <c r="F8" i="30" s="1"/>
  <c r="E7" i="30"/>
  <c r="F7" i="30" s="1"/>
  <c r="E6" i="30"/>
  <c r="F6" i="30" s="1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6" i="29"/>
  <c r="E105" i="28"/>
  <c r="F105" i="28" s="1"/>
  <c r="E104" i="28"/>
  <c r="F104" i="28" s="1"/>
  <c r="E103" i="28"/>
  <c r="F103" i="28" s="1"/>
  <c r="E102" i="28"/>
  <c r="F102" i="28" s="1"/>
  <c r="E101" i="28"/>
  <c r="F101" i="28" s="1"/>
  <c r="E100" i="28"/>
  <c r="F100" i="28" s="1"/>
  <c r="E99" i="28"/>
  <c r="F99" i="28" s="1"/>
  <c r="E98" i="28"/>
  <c r="F98" i="28" s="1"/>
  <c r="E97" i="28"/>
  <c r="F97" i="28" s="1"/>
  <c r="E96" i="28"/>
  <c r="F96" i="28" s="1"/>
  <c r="E95" i="28"/>
  <c r="F95" i="28" s="1"/>
  <c r="E94" i="28"/>
  <c r="F94" i="28" s="1"/>
  <c r="E93" i="28"/>
  <c r="F93" i="28" s="1"/>
  <c r="E92" i="28"/>
  <c r="F92" i="28" s="1"/>
  <c r="E91" i="28"/>
  <c r="F91" i="28" s="1"/>
  <c r="E90" i="28"/>
  <c r="F90" i="28" s="1"/>
  <c r="E89" i="28"/>
  <c r="F89" i="28" s="1"/>
  <c r="E88" i="28"/>
  <c r="F88" i="28" s="1"/>
  <c r="E87" i="28"/>
  <c r="F87" i="28" s="1"/>
  <c r="E86" i="28"/>
  <c r="F86" i="28" s="1"/>
  <c r="E85" i="28"/>
  <c r="F85" i="28" s="1"/>
  <c r="E84" i="28"/>
  <c r="F84" i="28" s="1"/>
  <c r="E83" i="28"/>
  <c r="F83" i="28" s="1"/>
  <c r="E82" i="28"/>
  <c r="F82" i="28" s="1"/>
  <c r="E81" i="28"/>
  <c r="F81" i="28" s="1"/>
  <c r="E80" i="28"/>
  <c r="F80" i="28" s="1"/>
  <c r="E79" i="28"/>
  <c r="F79" i="28" s="1"/>
  <c r="E78" i="28"/>
  <c r="F78" i="28" s="1"/>
  <c r="E77" i="28"/>
  <c r="F77" i="28" s="1"/>
  <c r="E76" i="28"/>
  <c r="F76" i="28" s="1"/>
  <c r="E75" i="28"/>
  <c r="F75" i="28" s="1"/>
  <c r="E74" i="28"/>
  <c r="F74" i="28" s="1"/>
  <c r="E73" i="28"/>
  <c r="F73" i="28" s="1"/>
  <c r="E72" i="28"/>
  <c r="F72" i="28" s="1"/>
  <c r="E71" i="28"/>
  <c r="F71" i="28" s="1"/>
  <c r="E70" i="28"/>
  <c r="F70" i="28" s="1"/>
  <c r="E69" i="28"/>
  <c r="F69" i="28" s="1"/>
  <c r="E68" i="28"/>
  <c r="F68" i="28" s="1"/>
  <c r="E67" i="28"/>
  <c r="F67" i="28" s="1"/>
  <c r="E66" i="28"/>
  <c r="F66" i="28" s="1"/>
  <c r="E65" i="28"/>
  <c r="F65" i="28" s="1"/>
  <c r="E64" i="28"/>
  <c r="F64" i="28" s="1"/>
  <c r="E63" i="28"/>
  <c r="F63" i="28" s="1"/>
  <c r="E62" i="28"/>
  <c r="F62" i="28" s="1"/>
  <c r="E61" i="28"/>
  <c r="F61" i="28" s="1"/>
  <c r="E60" i="28"/>
  <c r="F60" i="28" s="1"/>
  <c r="E59" i="28"/>
  <c r="F59" i="28" s="1"/>
  <c r="E58" i="28"/>
  <c r="F58" i="28" s="1"/>
  <c r="E57" i="28"/>
  <c r="F57" i="28" s="1"/>
  <c r="E56" i="28"/>
  <c r="F56" i="28" s="1"/>
  <c r="E55" i="28"/>
  <c r="F55" i="28" s="1"/>
  <c r="E54" i="28"/>
  <c r="F54" i="28" s="1"/>
  <c r="E53" i="28"/>
  <c r="F53" i="28" s="1"/>
  <c r="E52" i="28"/>
  <c r="F52" i="28" s="1"/>
  <c r="E51" i="28"/>
  <c r="F51" i="28" s="1"/>
  <c r="E50" i="28"/>
  <c r="F50" i="28" s="1"/>
  <c r="E49" i="28"/>
  <c r="F49" i="28" s="1"/>
  <c r="E48" i="28"/>
  <c r="F48" i="28" s="1"/>
  <c r="E47" i="28"/>
  <c r="F47" i="28" s="1"/>
  <c r="E46" i="28"/>
  <c r="F46" i="28" s="1"/>
  <c r="E45" i="28"/>
  <c r="F45" i="28" s="1"/>
  <c r="E44" i="28"/>
  <c r="F44" i="28" s="1"/>
  <c r="E43" i="28"/>
  <c r="F43" i="28" s="1"/>
  <c r="E42" i="28"/>
  <c r="F42" i="28" s="1"/>
  <c r="E41" i="28"/>
  <c r="F41" i="28" s="1"/>
  <c r="E40" i="28"/>
  <c r="F40" i="28" s="1"/>
  <c r="E39" i="28"/>
  <c r="F39" i="28" s="1"/>
  <c r="E38" i="28"/>
  <c r="F38" i="28" s="1"/>
  <c r="E37" i="28"/>
  <c r="F37" i="28" s="1"/>
  <c r="E36" i="28"/>
  <c r="F36" i="28" s="1"/>
  <c r="E35" i="28"/>
  <c r="F35" i="28" s="1"/>
  <c r="E34" i="28"/>
  <c r="F34" i="28" s="1"/>
  <c r="E33" i="28"/>
  <c r="F33" i="28" s="1"/>
  <c r="E32" i="28"/>
  <c r="F32" i="28" s="1"/>
  <c r="E31" i="28"/>
  <c r="F31" i="28" s="1"/>
  <c r="E30" i="28"/>
  <c r="F30" i="28" s="1"/>
  <c r="E29" i="28"/>
  <c r="F29" i="28" s="1"/>
  <c r="E28" i="28"/>
  <c r="F28" i="28" s="1"/>
  <c r="E27" i="28"/>
  <c r="F27" i="28" s="1"/>
  <c r="E26" i="28"/>
  <c r="F26" i="28" s="1"/>
  <c r="E25" i="28"/>
  <c r="F25" i="28" s="1"/>
  <c r="E24" i="28"/>
  <c r="F24" i="28" s="1"/>
  <c r="E23" i="28"/>
  <c r="F23" i="28" s="1"/>
  <c r="E22" i="28"/>
  <c r="F22" i="28" s="1"/>
  <c r="E21" i="28"/>
  <c r="F21" i="28" s="1"/>
  <c r="E20" i="28"/>
  <c r="F20" i="28" s="1"/>
  <c r="E19" i="28"/>
  <c r="F19" i="28" s="1"/>
  <c r="E18" i="28"/>
  <c r="F18" i="28" s="1"/>
  <c r="E17" i="28"/>
  <c r="F17" i="28" s="1"/>
  <c r="E16" i="28"/>
  <c r="F16" i="28" s="1"/>
  <c r="E15" i="28"/>
  <c r="F15" i="28" s="1"/>
  <c r="E14" i="28"/>
  <c r="F14" i="28" s="1"/>
  <c r="E13" i="28"/>
  <c r="F13" i="28" s="1"/>
  <c r="E12" i="28"/>
  <c r="F12" i="28" s="1"/>
  <c r="E11" i="28"/>
  <c r="F11" i="28" s="1"/>
  <c r="E10" i="28"/>
  <c r="F10" i="28" s="1"/>
  <c r="E9" i="28"/>
  <c r="F9" i="28" s="1"/>
  <c r="E8" i="28"/>
  <c r="F8" i="28" s="1"/>
  <c r="E7" i="28"/>
  <c r="F7" i="28" s="1"/>
  <c r="E6" i="28"/>
  <c r="G3" i="28" l="1" a="1"/>
  <c r="F6" i="28"/>
  <c r="D4" i="39"/>
  <c r="J3" i="30"/>
  <c r="J2" i="30"/>
  <c r="F6" i="29"/>
  <c r="G6" i="29" s="1"/>
  <c r="F102" i="29"/>
  <c r="G102" i="29" s="1"/>
  <c r="F86" i="29"/>
  <c r="G86" i="29" s="1"/>
  <c r="F70" i="29"/>
  <c r="G70" i="29" s="1"/>
  <c r="F54" i="29"/>
  <c r="G54" i="29" s="1"/>
  <c r="F38" i="29"/>
  <c r="G38" i="29" s="1"/>
  <c r="F22" i="29"/>
  <c r="G22" i="29" s="1"/>
  <c r="F98" i="29"/>
  <c r="G98" i="29" s="1"/>
  <c r="F82" i="29"/>
  <c r="G82" i="29" s="1"/>
  <c r="F66" i="29"/>
  <c r="G66" i="29" s="1"/>
  <c r="F50" i="29"/>
  <c r="G50" i="29" s="1"/>
  <c r="F34" i="29"/>
  <c r="G34" i="29" s="1"/>
  <c r="F18" i="29"/>
  <c r="G18" i="29" s="1"/>
  <c r="F94" i="29"/>
  <c r="G94" i="29" s="1"/>
  <c r="F78" i="29"/>
  <c r="G78" i="29" s="1"/>
  <c r="F62" i="29"/>
  <c r="G62" i="29" s="1"/>
  <c r="F46" i="29"/>
  <c r="G46" i="29" s="1"/>
  <c r="F30" i="29"/>
  <c r="G30" i="29" s="1"/>
  <c r="F14" i="29"/>
  <c r="G14" i="29" s="1"/>
  <c r="F90" i="29"/>
  <c r="G90" i="29" s="1"/>
  <c r="F74" i="29"/>
  <c r="G74" i="29" s="1"/>
  <c r="F58" i="29"/>
  <c r="G58" i="29" s="1"/>
  <c r="F42" i="29"/>
  <c r="G42" i="29" s="1"/>
  <c r="F26" i="29"/>
  <c r="G26" i="29" s="1"/>
  <c r="F10" i="29"/>
  <c r="G10" i="29" s="1"/>
  <c r="F105" i="29"/>
  <c r="G105" i="29" s="1"/>
  <c r="F101" i="29"/>
  <c r="G101" i="29" s="1"/>
  <c r="F97" i="29"/>
  <c r="G97" i="29" s="1"/>
  <c r="F93" i="29"/>
  <c r="G93" i="29" s="1"/>
  <c r="F89" i="29"/>
  <c r="G89" i="29" s="1"/>
  <c r="F85" i="29"/>
  <c r="G85" i="29" s="1"/>
  <c r="F81" i="29"/>
  <c r="G81" i="29" s="1"/>
  <c r="F77" i="29"/>
  <c r="G77" i="29" s="1"/>
  <c r="F73" i="29"/>
  <c r="G73" i="29" s="1"/>
  <c r="F69" i="29"/>
  <c r="G69" i="29" s="1"/>
  <c r="F65" i="29"/>
  <c r="G65" i="29" s="1"/>
  <c r="F61" i="29"/>
  <c r="G61" i="29" s="1"/>
  <c r="F57" i="29"/>
  <c r="G57" i="29" s="1"/>
  <c r="F53" i="29"/>
  <c r="G53" i="29" s="1"/>
  <c r="F49" i="29"/>
  <c r="G49" i="29" s="1"/>
  <c r="F45" i="29"/>
  <c r="G45" i="29" s="1"/>
  <c r="F41" i="29"/>
  <c r="G41" i="29" s="1"/>
  <c r="F37" i="29"/>
  <c r="G37" i="29" s="1"/>
  <c r="F33" i="29"/>
  <c r="G33" i="29" s="1"/>
  <c r="F29" i="29"/>
  <c r="G29" i="29" s="1"/>
  <c r="F25" i="29"/>
  <c r="G25" i="29" s="1"/>
  <c r="F21" i="29"/>
  <c r="G21" i="29" s="1"/>
  <c r="F17" i="29"/>
  <c r="G17" i="29" s="1"/>
  <c r="F13" i="29"/>
  <c r="G13" i="29" s="1"/>
  <c r="F9" i="29"/>
  <c r="G9" i="29" s="1"/>
  <c r="F104" i="29"/>
  <c r="G104" i="29" s="1"/>
  <c r="F100" i="29"/>
  <c r="G100" i="29" s="1"/>
  <c r="F96" i="29"/>
  <c r="G96" i="29" s="1"/>
  <c r="F92" i="29"/>
  <c r="G92" i="29" s="1"/>
  <c r="F88" i="29"/>
  <c r="G88" i="29" s="1"/>
  <c r="F84" i="29"/>
  <c r="G84" i="29" s="1"/>
  <c r="F80" i="29"/>
  <c r="G80" i="29" s="1"/>
  <c r="F76" i="29"/>
  <c r="G76" i="29" s="1"/>
  <c r="F72" i="29"/>
  <c r="G72" i="29" s="1"/>
  <c r="F68" i="29"/>
  <c r="G68" i="29" s="1"/>
  <c r="F64" i="29"/>
  <c r="G64" i="29" s="1"/>
  <c r="F60" i="29"/>
  <c r="G60" i="29" s="1"/>
  <c r="F56" i="29"/>
  <c r="G56" i="29" s="1"/>
  <c r="F52" i="29"/>
  <c r="G52" i="29" s="1"/>
  <c r="F48" i="29"/>
  <c r="G48" i="29" s="1"/>
  <c r="F44" i="29"/>
  <c r="G44" i="29" s="1"/>
  <c r="F40" i="29"/>
  <c r="G40" i="29" s="1"/>
  <c r="F36" i="29"/>
  <c r="G36" i="29" s="1"/>
  <c r="F32" i="29"/>
  <c r="G32" i="29" s="1"/>
  <c r="F28" i="29"/>
  <c r="G28" i="29" s="1"/>
  <c r="F24" i="29"/>
  <c r="G24" i="29" s="1"/>
  <c r="F20" i="29"/>
  <c r="G20" i="29" s="1"/>
  <c r="F16" i="29"/>
  <c r="G16" i="29" s="1"/>
  <c r="F12" i="29"/>
  <c r="G12" i="29" s="1"/>
  <c r="F8" i="29"/>
  <c r="G8" i="29" s="1"/>
  <c r="F103" i="29"/>
  <c r="G103" i="29" s="1"/>
  <c r="F99" i="29"/>
  <c r="G99" i="29" s="1"/>
  <c r="F95" i="29"/>
  <c r="G95" i="29" s="1"/>
  <c r="F91" i="29"/>
  <c r="G91" i="29" s="1"/>
  <c r="F87" i="29"/>
  <c r="G87" i="29" s="1"/>
  <c r="F83" i="29"/>
  <c r="G83" i="29" s="1"/>
  <c r="F79" i="29"/>
  <c r="G79" i="29" s="1"/>
  <c r="F75" i="29"/>
  <c r="G75" i="29" s="1"/>
  <c r="F71" i="29"/>
  <c r="G71" i="29" s="1"/>
  <c r="F67" i="29"/>
  <c r="G67" i="29" s="1"/>
  <c r="F63" i="29"/>
  <c r="G63" i="29" s="1"/>
  <c r="F59" i="29"/>
  <c r="G59" i="29" s="1"/>
  <c r="F55" i="29"/>
  <c r="G55" i="29" s="1"/>
  <c r="F51" i="29"/>
  <c r="G51" i="29" s="1"/>
  <c r="F47" i="29"/>
  <c r="G47" i="29" s="1"/>
  <c r="F43" i="29"/>
  <c r="G43" i="29" s="1"/>
  <c r="F39" i="29"/>
  <c r="G39" i="29" s="1"/>
  <c r="F35" i="29"/>
  <c r="G35" i="29" s="1"/>
  <c r="F31" i="29"/>
  <c r="G31" i="29" s="1"/>
  <c r="F27" i="29"/>
  <c r="G27" i="29" s="1"/>
  <c r="F23" i="29"/>
  <c r="G23" i="29" s="1"/>
  <c r="F19" i="29"/>
  <c r="G19" i="29" s="1"/>
  <c r="F15" i="29"/>
  <c r="G15" i="29" s="1"/>
  <c r="F11" i="29"/>
  <c r="G11" i="29" s="1"/>
  <c r="F7" i="29"/>
  <c r="G7" i="29" s="1"/>
  <c r="C7" i="22"/>
  <c r="C10" i="22"/>
  <c r="C3" i="13"/>
  <c r="D7" i="21"/>
  <c r="D14" i="21" s="1"/>
  <c r="D8" i="21"/>
  <c r="D9" i="21"/>
  <c r="C38" i="21"/>
  <c r="C39" i="21"/>
  <c r="C40" i="21"/>
  <c r="C41" i="21"/>
  <c r="C42" i="21"/>
  <c r="C43" i="21"/>
  <c r="C44" i="21"/>
  <c r="C45" i="21"/>
  <c r="C46" i="21"/>
  <c r="C37" i="21"/>
  <c r="E6" i="12"/>
  <c r="F6" i="12" s="1"/>
  <c r="B7" i="8"/>
  <c r="C7" i="8" s="1"/>
  <c r="B8" i="8"/>
  <c r="C8" i="8" s="1"/>
  <c r="B9" i="8"/>
  <c r="C9" i="8" s="1"/>
  <c r="B10" i="8"/>
  <c r="C10" i="8" s="1"/>
  <c r="B11" i="8"/>
  <c r="C11" i="8" s="1"/>
  <c r="B12" i="8"/>
  <c r="C12" i="8" s="1"/>
  <c r="B13" i="8"/>
  <c r="C13" i="8" s="1"/>
  <c r="B14" i="8"/>
  <c r="C14" i="8" s="1"/>
  <c r="B15" i="8"/>
  <c r="C15" i="8" s="1"/>
  <c r="B16" i="8"/>
  <c r="C16" i="8" s="1"/>
  <c r="B17" i="8"/>
  <c r="C17" i="8" s="1"/>
  <c r="B18" i="8"/>
  <c r="C18" i="8" s="1"/>
  <c r="B19" i="8"/>
  <c r="C19" i="8" s="1"/>
  <c r="B20" i="8"/>
  <c r="C20" i="8" s="1"/>
  <c r="B21" i="8"/>
  <c r="C21" i="8" s="1"/>
  <c r="B22" i="8"/>
  <c r="C22" i="8" s="1"/>
  <c r="B23" i="8"/>
  <c r="C23" i="8" s="1"/>
  <c r="B24" i="8"/>
  <c r="C24" i="8" s="1"/>
  <c r="B25" i="8"/>
  <c r="C25" i="8" s="1"/>
  <c r="B26" i="8"/>
  <c r="C26" i="8" s="1"/>
  <c r="B27" i="8"/>
  <c r="C27" i="8" s="1"/>
  <c r="B28" i="8"/>
  <c r="C28" i="8" s="1"/>
  <c r="B29" i="8"/>
  <c r="C29" i="8" s="1"/>
  <c r="B30" i="8"/>
  <c r="C30" i="8" s="1"/>
  <c r="B31" i="8"/>
  <c r="C31" i="8" s="1"/>
  <c r="B32" i="8"/>
  <c r="C32" i="8" s="1"/>
  <c r="B33" i="8"/>
  <c r="C33" i="8" s="1"/>
  <c r="B34" i="8"/>
  <c r="C34" i="8" s="1"/>
  <c r="B35" i="8"/>
  <c r="C35" i="8" s="1"/>
  <c r="B36" i="8"/>
  <c r="C36" i="8" s="1"/>
  <c r="B37" i="8"/>
  <c r="C37" i="8" s="1"/>
  <c r="B38" i="8"/>
  <c r="C38" i="8" s="1"/>
  <c r="B39" i="8"/>
  <c r="C39" i="8" s="1"/>
  <c r="B40" i="8"/>
  <c r="C40" i="8" s="1"/>
  <c r="B41" i="8"/>
  <c r="C41" i="8" s="1"/>
  <c r="B42" i="8"/>
  <c r="C42" i="8" s="1"/>
  <c r="B43" i="8"/>
  <c r="C43" i="8" s="1"/>
  <c r="B44" i="8"/>
  <c r="C44" i="8" s="1"/>
  <c r="B45" i="8"/>
  <c r="C45" i="8" s="1"/>
  <c r="B46" i="8"/>
  <c r="C46" i="8" s="1"/>
  <c r="B47" i="8"/>
  <c r="C47" i="8" s="1"/>
  <c r="B48" i="8"/>
  <c r="C48" i="8" s="1"/>
  <c r="B49" i="8"/>
  <c r="C49" i="8" s="1"/>
  <c r="B50" i="8"/>
  <c r="C50" i="8" s="1"/>
  <c r="B51" i="8"/>
  <c r="C51" i="8" s="1"/>
  <c r="B52" i="8"/>
  <c r="C52" i="8" s="1"/>
  <c r="B53" i="8"/>
  <c r="C53" i="8" s="1"/>
  <c r="B54" i="8"/>
  <c r="C54" i="8" s="1"/>
  <c r="B55" i="8"/>
  <c r="C55" i="8" s="1"/>
  <c r="B56" i="8"/>
  <c r="C56" i="8" s="1"/>
  <c r="B7" i="9"/>
  <c r="C7" i="9" s="1"/>
  <c r="B8" i="9"/>
  <c r="C8" i="9" s="1"/>
  <c r="B9" i="9"/>
  <c r="C9" i="9" s="1"/>
  <c r="B10" i="9"/>
  <c r="C10" i="9" s="1"/>
  <c r="B11" i="9"/>
  <c r="C11" i="9" s="1"/>
  <c r="B12" i="9"/>
  <c r="C12" i="9" s="1"/>
  <c r="B13" i="9"/>
  <c r="C13" i="9" s="1"/>
  <c r="B14" i="9"/>
  <c r="C14" i="9" s="1"/>
  <c r="B15" i="9"/>
  <c r="C15" i="9" s="1"/>
  <c r="B16" i="9"/>
  <c r="C16" i="9" s="1"/>
  <c r="B17" i="9"/>
  <c r="C17" i="9" s="1"/>
  <c r="B18" i="9"/>
  <c r="C18" i="9" s="1"/>
  <c r="B19" i="9"/>
  <c r="C19" i="9" s="1"/>
  <c r="B20" i="9"/>
  <c r="C20" i="9" s="1"/>
  <c r="B21" i="9"/>
  <c r="C21" i="9" s="1"/>
  <c r="B22" i="9"/>
  <c r="C22" i="9" s="1"/>
  <c r="B23" i="9"/>
  <c r="C23" i="9" s="1"/>
  <c r="B24" i="9"/>
  <c r="C24" i="9" s="1"/>
  <c r="B25" i="9"/>
  <c r="C25" i="9" s="1"/>
  <c r="B26" i="9"/>
  <c r="C26" i="9" s="1"/>
  <c r="B27" i="9"/>
  <c r="C27" i="9" s="1"/>
  <c r="B28" i="9"/>
  <c r="C28" i="9" s="1"/>
  <c r="B29" i="9"/>
  <c r="C29" i="9" s="1"/>
  <c r="B30" i="9"/>
  <c r="C30" i="9" s="1"/>
  <c r="B31" i="9"/>
  <c r="C31" i="9" s="1"/>
  <c r="B32" i="9"/>
  <c r="C32" i="9" s="1"/>
  <c r="B33" i="9"/>
  <c r="C33" i="9" s="1"/>
  <c r="B34" i="9"/>
  <c r="C34" i="9" s="1"/>
  <c r="B35" i="9"/>
  <c r="C35" i="9" s="1"/>
  <c r="B36" i="9"/>
  <c r="C36" i="9" s="1"/>
  <c r="B37" i="9"/>
  <c r="C37" i="9" s="1"/>
  <c r="B38" i="9"/>
  <c r="C38" i="9" s="1"/>
  <c r="B39" i="9"/>
  <c r="C39" i="9" s="1"/>
  <c r="B40" i="9"/>
  <c r="C40" i="9" s="1"/>
  <c r="B41" i="9"/>
  <c r="C41" i="9" s="1"/>
  <c r="B42" i="9"/>
  <c r="C42" i="9" s="1"/>
  <c r="B43" i="9"/>
  <c r="C43" i="9" s="1"/>
  <c r="B44" i="9"/>
  <c r="C44" i="9" s="1"/>
  <c r="B45" i="9"/>
  <c r="C45" i="9" s="1"/>
  <c r="B46" i="9"/>
  <c r="C46" i="9" s="1"/>
  <c r="B47" i="9"/>
  <c r="C47" i="9" s="1"/>
  <c r="B48" i="9"/>
  <c r="C48" i="9" s="1"/>
  <c r="B49" i="9"/>
  <c r="C49" i="9" s="1"/>
  <c r="B50" i="9"/>
  <c r="C50" i="9" s="1"/>
  <c r="B51" i="9"/>
  <c r="C51" i="9" s="1"/>
  <c r="B52" i="9"/>
  <c r="C52" i="9" s="1"/>
  <c r="B53" i="9"/>
  <c r="C53" i="9" s="1"/>
  <c r="B54" i="9"/>
  <c r="C54" i="9" s="1"/>
  <c r="B55" i="9"/>
  <c r="C55" i="9" s="1"/>
  <c r="B56" i="9"/>
  <c r="C56" i="9" s="1"/>
  <c r="E6" i="13"/>
  <c r="E7" i="13"/>
  <c r="E8" i="13"/>
  <c r="F8" i="13" s="1"/>
  <c r="E9" i="13"/>
  <c r="F9" i="13" s="1"/>
  <c r="E10" i="13"/>
  <c r="E11" i="13"/>
  <c r="E12" i="13"/>
  <c r="F12" i="13" s="1"/>
  <c r="E13" i="13"/>
  <c r="F13" i="13" s="1"/>
  <c r="E14" i="13"/>
  <c r="E15" i="13"/>
  <c r="E16" i="13"/>
  <c r="F16" i="13" s="1"/>
  <c r="E17" i="13"/>
  <c r="F17" i="13" s="1"/>
  <c r="E18" i="13"/>
  <c r="E19" i="13"/>
  <c r="E20" i="13"/>
  <c r="F20" i="13" s="1"/>
  <c r="E21" i="13"/>
  <c r="F21" i="13" s="1"/>
  <c r="E22" i="13"/>
  <c r="E23" i="13"/>
  <c r="E24" i="13"/>
  <c r="F24" i="13" s="1"/>
  <c r="E25" i="13"/>
  <c r="F25" i="13" s="1"/>
  <c r="E26" i="13"/>
  <c r="E27" i="13"/>
  <c r="F27" i="13" s="1"/>
  <c r="E28" i="13"/>
  <c r="F28" i="13" s="1"/>
  <c r="E29" i="13"/>
  <c r="E30" i="13"/>
  <c r="F30" i="13" s="1"/>
  <c r="E31" i="13"/>
  <c r="E32" i="13"/>
  <c r="E33" i="13"/>
  <c r="F33" i="13" s="1"/>
  <c r="E34" i="13"/>
  <c r="F34" i="13" s="1"/>
  <c r="E35" i="13"/>
  <c r="E36" i="13"/>
  <c r="E37" i="13"/>
  <c r="F37" i="13" s="1"/>
  <c r="E38" i="13"/>
  <c r="F38" i="13" s="1"/>
  <c r="E39" i="13"/>
  <c r="E40" i="13"/>
  <c r="E41" i="13"/>
  <c r="F41" i="13" s="1"/>
  <c r="E42" i="13"/>
  <c r="F42" i="13" s="1"/>
  <c r="E43" i="13"/>
  <c r="E44" i="13"/>
  <c r="E45" i="13"/>
  <c r="F45" i="13" s="1"/>
  <c r="E46" i="13"/>
  <c r="F46" i="13" s="1"/>
  <c r="E47" i="13"/>
  <c r="E48" i="13"/>
  <c r="E49" i="13"/>
  <c r="F49" i="13" s="1"/>
  <c r="E50" i="13"/>
  <c r="F50" i="13" s="1"/>
  <c r="E51" i="13"/>
  <c r="E52" i="13"/>
  <c r="E53" i="13"/>
  <c r="F53" i="13" s="1"/>
  <c r="E54" i="13"/>
  <c r="F54" i="13" s="1"/>
  <c r="E55" i="13"/>
  <c r="E56" i="13"/>
  <c r="E57" i="13"/>
  <c r="F57" i="13" s="1"/>
  <c r="E58" i="13"/>
  <c r="E59" i="13"/>
  <c r="E60" i="13"/>
  <c r="F60" i="13" s="1"/>
  <c r="E61" i="13"/>
  <c r="E62" i="13"/>
  <c r="E63" i="13"/>
  <c r="F63" i="13" s="1"/>
  <c r="E64" i="13"/>
  <c r="F64" i="13" s="1"/>
  <c r="E65" i="13"/>
  <c r="E66" i="13"/>
  <c r="F66" i="13" s="1"/>
  <c r="E67" i="13"/>
  <c r="F67" i="13" s="1"/>
  <c r="E68" i="13"/>
  <c r="E69" i="13"/>
  <c r="E70" i="13"/>
  <c r="F70" i="13" s="1"/>
  <c r="E71" i="13"/>
  <c r="E72" i="13"/>
  <c r="E73" i="13"/>
  <c r="F73" i="13" s="1"/>
  <c r="E74" i="13"/>
  <c r="F74" i="13" s="1"/>
  <c r="E75" i="13"/>
  <c r="E76" i="13"/>
  <c r="E77" i="13"/>
  <c r="F77" i="13" s="1"/>
  <c r="E78" i="13"/>
  <c r="E79" i="13"/>
  <c r="E80" i="13"/>
  <c r="F80" i="13" s="1"/>
  <c r="E81" i="13"/>
  <c r="F81" i="13" s="1"/>
  <c r="E82" i="13"/>
  <c r="E83" i="13"/>
  <c r="E84" i="13"/>
  <c r="F84" i="13" s="1"/>
  <c r="E85" i="13"/>
  <c r="F85" i="13" s="1"/>
  <c r="E86" i="13"/>
  <c r="E87" i="13"/>
  <c r="E88" i="13"/>
  <c r="F88" i="13" s="1"/>
  <c r="E89" i="13"/>
  <c r="F89" i="13" s="1"/>
  <c r="E90" i="13"/>
  <c r="E91" i="13"/>
  <c r="F91" i="13" s="1"/>
  <c r="E92" i="13"/>
  <c r="E93" i="13"/>
  <c r="E94" i="13"/>
  <c r="F94" i="13" s="1"/>
  <c r="E95" i="13"/>
  <c r="F95" i="13" s="1"/>
  <c r="E96" i="13"/>
  <c r="E97" i="13"/>
  <c r="E98" i="13"/>
  <c r="F98" i="13" s="1"/>
  <c r="E99" i="13"/>
  <c r="E100" i="13"/>
  <c r="E101" i="13"/>
  <c r="F101" i="13" s="1"/>
  <c r="E102" i="13"/>
  <c r="E103" i="13"/>
  <c r="E104" i="13"/>
  <c r="F104" i="13" s="1"/>
  <c r="E105" i="13"/>
  <c r="F105" i="13" s="1"/>
  <c r="E7" i="12"/>
  <c r="F7" i="12" s="1"/>
  <c r="E8" i="12"/>
  <c r="F8" i="12" s="1"/>
  <c r="E9" i="12"/>
  <c r="F9" i="12" s="1"/>
  <c r="E10" i="12"/>
  <c r="F10" i="12" s="1"/>
  <c r="E11" i="12"/>
  <c r="F11" i="12" s="1"/>
  <c r="E12" i="12"/>
  <c r="F12" i="12" s="1"/>
  <c r="E13" i="12"/>
  <c r="F13" i="12" s="1"/>
  <c r="E14" i="12"/>
  <c r="F14" i="12" s="1"/>
  <c r="E15" i="12"/>
  <c r="F15" i="12" s="1"/>
  <c r="E16" i="12"/>
  <c r="F16" i="12" s="1"/>
  <c r="E17" i="12"/>
  <c r="F17" i="12" s="1"/>
  <c r="E18" i="12"/>
  <c r="F18" i="12" s="1"/>
  <c r="E19" i="12"/>
  <c r="F19" i="12" s="1"/>
  <c r="E20" i="12"/>
  <c r="F20" i="12" s="1"/>
  <c r="E21" i="12"/>
  <c r="F21" i="12" s="1"/>
  <c r="E22" i="12"/>
  <c r="F22" i="12" s="1"/>
  <c r="E23" i="12"/>
  <c r="F23" i="12" s="1"/>
  <c r="E24" i="12"/>
  <c r="F24" i="12" s="1"/>
  <c r="E25" i="12"/>
  <c r="F25" i="12" s="1"/>
  <c r="E26" i="12"/>
  <c r="F26" i="12" s="1"/>
  <c r="E27" i="12"/>
  <c r="F27" i="12" s="1"/>
  <c r="E28" i="12"/>
  <c r="F28" i="12" s="1"/>
  <c r="E29" i="12"/>
  <c r="F29" i="12" s="1"/>
  <c r="E30" i="12"/>
  <c r="F30" i="12" s="1"/>
  <c r="E31" i="12"/>
  <c r="F31" i="12" s="1"/>
  <c r="E32" i="12"/>
  <c r="F32" i="12" s="1"/>
  <c r="E33" i="12"/>
  <c r="F33" i="12" s="1"/>
  <c r="E34" i="12"/>
  <c r="F34" i="12" s="1"/>
  <c r="E35" i="12"/>
  <c r="F35" i="12" s="1"/>
  <c r="E36" i="12"/>
  <c r="F36" i="12" s="1"/>
  <c r="E37" i="12"/>
  <c r="F37" i="12" s="1"/>
  <c r="E38" i="12"/>
  <c r="F38" i="12" s="1"/>
  <c r="E39" i="12"/>
  <c r="F39" i="12" s="1"/>
  <c r="E40" i="12"/>
  <c r="F40" i="12" s="1"/>
  <c r="E41" i="12"/>
  <c r="F41" i="12" s="1"/>
  <c r="E42" i="12"/>
  <c r="F42" i="12" s="1"/>
  <c r="E43" i="12"/>
  <c r="F43" i="12" s="1"/>
  <c r="E44" i="12"/>
  <c r="F44" i="12" s="1"/>
  <c r="E45" i="12"/>
  <c r="F45" i="12" s="1"/>
  <c r="E46" i="12"/>
  <c r="F46" i="12" s="1"/>
  <c r="E47" i="12"/>
  <c r="F47" i="12" s="1"/>
  <c r="E48" i="12"/>
  <c r="F48" i="12" s="1"/>
  <c r="E49" i="12"/>
  <c r="F49" i="12" s="1"/>
  <c r="E50" i="12"/>
  <c r="F50" i="12" s="1"/>
  <c r="E51" i="12"/>
  <c r="F51" i="12" s="1"/>
  <c r="E52" i="12"/>
  <c r="F52" i="12" s="1"/>
  <c r="E53" i="12"/>
  <c r="F53" i="12" s="1"/>
  <c r="E54" i="12"/>
  <c r="F54" i="12" s="1"/>
  <c r="E55" i="12"/>
  <c r="F55" i="12" s="1"/>
  <c r="E56" i="12"/>
  <c r="F56" i="12" s="1"/>
  <c r="E57" i="12"/>
  <c r="F57" i="12" s="1"/>
  <c r="E58" i="12"/>
  <c r="F58" i="12" s="1"/>
  <c r="E59" i="12"/>
  <c r="F59" i="12" s="1"/>
  <c r="E60" i="12"/>
  <c r="F60" i="12" s="1"/>
  <c r="E61" i="12"/>
  <c r="F61" i="12" s="1"/>
  <c r="E62" i="12"/>
  <c r="F62" i="12" s="1"/>
  <c r="E63" i="12"/>
  <c r="F63" i="12" s="1"/>
  <c r="E64" i="12"/>
  <c r="F64" i="12" s="1"/>
  <c r="E65" i="12"/>
  <c r="F65" i="12" s="1"/>
  <c r="E66" i="12"/>
  <c r="F66" i="12" s="1"/>
  <c r="E67" i="12"/>
  <c r="F67" i="12" s="1"/>
  <c r="E68" i="12"/>
  <c r="F68" i="12" s="1"/>
  <c r="E69" i="12"/>
  <c r="F69" i="12" s="1"/>
  <c r="E70" i="12"/>
  <c r="F70" i="12" s="1"/>
  <c r="E71" i="12"/>
  <c r="F71" i="12" s="1"/>
  <c r="E72" i="12"/>
  <c r="F72" i="12" s="1"/>
  <c r="E73" i="12"/>
  <c r="F73" i="12" s="1"/>
  <c r="E74" i="12"/>
  <c r="F74" i="12" s="1"/>
  <c r="E75" i="12"/>
  <c r="F75" i="12" s="1"/>
  <c r="E76" i="12"/>
  <c r="F76" i="12" s="1"/>
  <c r="E77" i="12"/>
  <c r="F77" i="12" s="1"/>
  <c r="E78" i="12"/>
  <c r="F78" i="12" s="1"/>
  <c r="E79" i="12"/>
  <c r="F79" i="12" s="1"/>
  <c r="E80" i="12"/>
  <c r="F80" i="12" s="1"/>
  <c r="E81" i="12"/>
  <c r="F81" i="12" s="1"/>
  <c r="E82" i="12"/>
  <c r="F82" i="12" s="1"/>
  <c r="E83" i="12"/>
  <c r="F83" i="12" s="1"/>
  <c r="E84" i="12"/>
  <c r="F84" i="12" s="1"/>
  <c r="E85" i="12"/>
  <c r="F85" i="12" s="1"/>
  <c r="E86" i="12"/>
  <c r="F86" i="12" s="1"/>
  <c r="E87" i="12"/>
  <c r="F87" i="12" s="1"/>
  <c r="E88" i="12"/>
  <c r="F88" i="12" s="1"/>
  <c r="E89" i="12"/>
  <c r="F89" i="12" s="1"/>
  <c r="E90" i="12"/>
  <c r="F90" i="12" s="1"/>
  <c r="E91" i="12"/>
  <c r="F91" i="12" s="1"/>
  <c r="E92" i="12"/>
  <c r="F92" i="12" s="1"/>
  <c r="E93" i="12"/>
  <c r="F93" i="12" s="1"/>
  <c r="E94" i="12"/>
  <c r="F94" i="12" s="1"/>
  <c r="E95" i="12"/>
  <c r="F95" i="12" s="1"/>
  <c r="E96" i="12"/>
  <c r="F96" i="12" s="1"/>
  <c r="E97" i="12"/>
  <c r="F97" i="12" s="1"/>
  <c r="E98" i="12"/>
  <c r="F98" i="12" s="1"/>
  <c r="E99" i="12"/>
  <c r="F99" i="12" s="1"/>
  <c r="E100" i="12"/>
  <c r="F100" i="12" s="1"/>
  <c r="E101" i="12"/>
  <c r="F101" i="12" s="1"/>
  <c r="E102" i="12"/>
  <c r="F102" i="12" s="1"/>
  <c r="E103" i="12"/>
  <c r="F103" i="12" s="1"/>
  <c r="E104" i="12"/>
  <c r="F104" i="12" s="1"/>
  <c r="E105" i="12"/>
  <c r="F105" i="12" s="1"/>
  <c r="D29" i="21" a="1"/>
  <c r="D29" i="21" s="1"/>
  <c r="C3" i="28" l="1"/>
  <c r="F100" i="13"/>
  <c r="G100" i="13" s="1"/>
  <c r="F96" i="13"/>
  <c r="G96" i="13" s="1"/>
  <c r="F92" i="13"/>
  <c r="G92" i="13" s="1"/>
  <c r="F76" i="13"/>
  <c r="G76" i="13" s="1"/>
  <c r="F72" i="13"/>
  <c r="G72" i="13" s="1"/>
  <c r="F68" i="13"/>
  <c r="G68" i="13" s="1"/>
  <c r="F56" i="13"/>
  <c r="G56" i="13" s="1"/>
  <c r="F52" i="13"/>
  <c r="G52" i="13" s="1"/>
  <c r="F48" i="13"/>
  <c r="G48" i="13" s="1"/>
  <c r="F44" i="13"/>
  <c r="G44" i="13" s="1"/>
  <c r="F40" i="13"/>
  <c r="G40" i="13" s="1"/>
  <c r="F36" i="13"/>
  <c r="G36" i="13" s="1"/>
  <c r="F32" i="13"/>
  <c r="G32" i="13" s="1"/>
  <c r="F103" i="13"/>
  <c r="G103" i="13" s="1"/>
  <c r="F99" i="13"/>
  <c r="G99" i="13" s="1"/>
  <c r="F87" i="13"/>
  <c r="G87" i="13" s="1"/>
  <c r="F83" i="13"/>
  <c r="G83" i="13" s="1"/>
  <c r="F79" i="13"/>
  <c r="G79" i="13" s="1"/>
  <c r="F75" i="13"/>
  <c r="G75" i="13" s="1"/>
  <c r="F71" i="13"/>
  <c r="G71" i="13" s="1"/>
  <c r="F59" i="13"/>
  <c r="G59" i="13" s="1"/>
  <c r="F55" i="13"/>
  <c r="G55" i="13" s="1"/>
  <c r="F51" i="13"/>
  <c r="G51" i="13" s="1"/>
  <c r="F47" i="13"/>
  <c r="G47" i="13" s="1"/>
  <c r="F43" i="13"/>
  <c r="G43" i="13" s="1"/>
  <c r="F39" i="13"/>
  <c r="G39" i="13" s="1"/>
  <c r="F35" i="13"/>
  <c r="G35" i="13" s="1"/>
  <c r="F31" i="13"/>
  <c r="G31" i="13" s="1"/>
  <c r="F23" i="13"/>
  <c r="G23" i="13" s="1"/>
  <c r="F19" i="13"/>
  <c r="G19" i="13" s="1"/>
  <c r="F15" i="13"/>
  <c r="G15" i="13" s="1"/>
  <c r="F11" i="13"/>
  <c r="G11" i="13" s="1"/>
  <c r="F7" i="13"/>
  <c r="G7" i="13" s="1"/>
  <c r="F102" i="13"/>
  <c r="G102" i="13" s="1"/>
  <c r="F90" i="13"/>
  <c r="G90" i="13" s="1"/>
  <c r="F86" i="13"/>
  <c r="G86" i="13" s="1"/>
  <c r="F82" i="13"/>
  <c r="G82" i="13" s="1"/>
  <c r="F78" i="13"/>
  <c r="G78" i="13" s="1"/>
  <c r="F62" i="13"/>
  <c r="G62" i="13" s="1"/>
  <c r="F58" i="13"/>
  <c r="G58" i="13" s="1"/>
  <c r="F26" i="13"/>
  <c r="G26" i="13" s="1"/>
  <c r="F22" i="13"/>
  <c r="G22" i="13" s="1"/>
  <c r="G18" i="13"/>
  <c r="F18" i="13"/>
  <c r="F14" i="13"/>
  <c r="G14" i="13" s="1"/>
  <c r="F10" i="13"/>
  <c r="G10" i="13" s="1"/>
  <c r="F97" i="13"/>
  <c r="G97" i="13" s="1"/>
  <c r="F93" i="13"/>
  <c r="G93" i="13" s="1"/>
  <c r="F69" i="13"/>
  <c r="G69" i="13" s="1"/>
  <c r="F65" i="13"/>
  <c r="G65" i="13" s="1"/>
  <c r="F61" i="13"/>
  <c r="G61" i="13" s="1"/>
  <c r="F29" i="13"/>
  <c r="G29" i="13" s="1"/>
  <c r="F6" i="13"/>
  <c r="G6" i="13" s="1"/>
  <c r="J4" i="30"/>
  <c r="J14" i="30" s="1"/>
  <c r="G3" i="29"/>
  <c r="G105" i="13"/>
  <c r="G98" i="13"/>
  <c r="G95" i="13"/>
  <c r="G91" i="13"/>
  <c r="G89" i="13"/>
  <c r="G85" i="13"/>
  <c r="G81" i="13"/>
  <c r="G77" i="13"/>
  <c r="G74" i="13"/>
  <c r="G70" i="13"/>
  <c r="G67" i="13"/>
  <c r="G64" i="13"/>
  <c r="G60" i="13"/>
  <c r="G54" i="13"/>
  <c r="G50" i="13"/>
  <c r="G46" i="13"/>
  <c r="G42" i="13"/>
  <c r="G38" i="13"/>
  <c r="G34" i="13"/>
  <c r="G30" i="13"/>
  <c r="G28" i="13"/>
  <c r="G25" i="13"/>
  <c r="G21" i="13"/>
  <c r="G17" i="13"/>
  <c r="G13" i="13"/>
  <c r="G9" i="13"/>
  <c r="G104" i="13"/>
  <c r="G101" i="13"/>
  <c r="G94" i="13"/>
  <c r="G88" i="13"/>
  <c r="G84" i="13"/>
  <c r="G80" i="13"/>
  <c r="G73" i="13"/>
  <c r="G66" i="13"/>
  <c r="G63" i="13"/>
  <c r="G57" i="13"/>
  <c r="G53" i="13"/>
  <c r="G49" i="13"/>
  <c r="G45" i="13"/>
  <c r="G41" i="13"/>
  <c r="G37" i="13"/>
  <c r="G33" i="13"/>
  <c r="G27" i="13"/>
  <c r="G24" i="13"/>
  <c r="G20" i="13"/>
  <c r="G16" i="13"/>
  <c r="G12" i="13"/>
  <c r="G8" i="13"/>
  <c r="C11" i="22"/>
  <c r="C12" i="22" s="1"/>
  <c r="K41" i="8"/>
  <c r="L43" i="8" s="1" a="1"/>
  <c r="L43" i="8" s="1"/>
  <c r="G3" i="13" a="1"/>
  <c r="K7" i="8" a="1"/>
  <c r="E7" i="8" a="1"/>
  <c r="L50" i="8"/>
  <c r="K46" i="8"/>
  <c r="K50" i="8"/>
  <c r="E7" i="9" a="1"/>
  <c r="K42" i="8"/>
  <c r="L32" i="8" s="1"/>
  <c r="F3" i="12"/>
  <c r="I5" i="12" s="1"/>
  <c r="L41" i="8"/>
  <c r="K54" i="8"/>
  <c r="J21" i="30" l="1"/>
  <c r="J20" i="30"/>
  <c r="J16" i="30"/>
  <c r="J17" i="30"/>
  <c r="J8" i="30"/>
  <c r="J24" i="30"/>
  <c r="J25" i="30"/>
  <c r="J6" i="30"/>
  <c r="J9" i="30"/>
  <c r="J12" i="30"/>
  <c r="J23" i="30"/>
  <c r="J11" i="30"/>
  <c r="J7" i="30"/>
  <c r="J19" i="30"/>
  <c r="J13" i="30"/>
  <c r="J15" i="30"/>
  <c r="J26" i="30"/>
  <c r="J22" i="30"/>
  <c r="J10" i="30"/>
  <c r="J18" i="30"/>
  <c r="G3" i="13"/>
  <c r="J6" i="13" s="1"/>
  <c r="E8" i="9"/>
  <c r="F9" i="9"/>
  <c r="F10" i="9"/>
  <c r="E11" i="9"/>
  <c r="F7" i="9"/>
  <c r="F8" i="9"/>
  <c r="E9" i="9"/>
  <c r="F11" i="9"/>
  <c r="E10" i="9"/>
  <c r="E7" i="9"/>
  <c r="E25" i="8"/>
  <c r="E36" i="8"/>
  <c r="E37" i="8"/>
  <c r="E11" i="8"/>
  <c r="E49" i="8"/>
  <c r="E42" i="8"/>
  <c r="E56" i="8"/>
  <c r="E53" i="8"/>
  <c r="E30" i="8"/>
  <c r="E44" i="8"/>
  <c r="E17" i="8"/>
  <c r="E34" i="8"/>
  <c r="E48" i="8"/>
  <c r="E55" i="8"/>
  <c r="E35" i="8"/>
  <c r="E22" i="8"/>
  <c r="E54" i="8"/>
  <c r="E13" i="8"/>
  <c r="E10" i="8"/>
  <c r="E24" i="8"/>
  <c r="E51" i="8"/>
  <c r="E39" i="8"/>
  <c r="E12" i="8"/>
  <c r="E9" i="8"/>
  <c r="E47" i="8"/>
  <c r="E16" i="8"/>
  <c r="E23" i="8"/>
  <c r="E33" i="8"/>
  <c r="E52" i="8"/>
  <c r="E45" i="8"/>
  <c r="E26" i="8"/>
  <c r="E40" i="8"/>
  <c r="E21" i="8"/>
  <c r="E14" i="8"/>
  <c r="E28" i="8"/>
  <c r="E29" i="8"/>
  <c r="E18" i="8"/>
  <c r="E32" i="8"/>
  <c r="E20" i="8"/>
  <c r="E31" i="8"/>
  <c r="E46" i="8"/>
  <c r="E43" i="8"/>
  <c r="E41" i="8"/>
  <c r="E8" i="8"/>
  <c r="E27" i="8"/>
  <c r="E7" i="8"/>
  <c r="E50" i="8"/>
  <c r="E38" i="8"/>
  <c r="E19" i="8"/>
  <c r="E15" i="8"/>
  <c r="L54" i="8"/>
  <c r="K29" i="8" a="1"/>
  <c r="K29" i="8" s="1"/>
  <c r="K43" i="8" a="1"/>
  <c r="K43" i="8" s="1"/>
  <c r="L29" i="8"/>
  <c r="K10" i="8"/>
  <c r="K11" i="8"/>
  <c r="L8" i="8"/>
  <c r="L7" i="8"/>
  <c r="K9" i="8"/>
  <c r="L10" i="8"/>
  <c r="L9" i="8"/>
  <c r="K8" i="8"/>
  <c r="L11" i="8"/>
  <c r="K7" i="8"/>
  <c r="G3" i="28" l="1"/>
  <c r="L2" i="30"/>
  <c r="K6" i="30" a="1"/>
  <c r="K6" i="30" s="1"/>
  <c r="F7" i="8"/>
  <c r="F11" i="8"/>
  <c r="H11" i="8" s="1"/>
  <c r="I11" i="8" s="1"/>
  <c r="F15" i="8"/>
  <c r="H15" i="8" s="1"/>
  <c r="I15" i="8" s="1"/>
  <c r="F19" i="8"/>
  <c r="H19" i="8" s="1"/>
  <c r="I19" i="8" s="1"/>
  <c r="F23" i="8"/>
  <c r="H23" i="8" s="1"/>
  <c r="I23" i="8" s="1"/>
  <c r="F27" i="8"/>
  <c r="H27" i="8" s="1"/>
  <c r="I27" i="8" s="1"/>
  <c r="F31" i="8"/>
  <c r="H31" i="8" s="1"/>
  <c r="I31" i="8" s="1"/>
  <c r="F35" i="8"/>
  <c r="H35" i="8" s="1"/>
  <c r="I35" i="8" s="1"/>
  <c r="F39" i="8"/>
  <c r="H39" i="8" s="1"/>
  <c r="I39" i="8" s="1"/>
  <c r="F43" i="8"/>
  <c r="H43" i="8" s="1"/>
  <c r="I43" i="8" s="1"/>
  <c r="F47" i="8"/>
  <c r="H47" i="8" s="1"/>
  <c r="I47" i="8" s="1"/>
  <c r="F51" i="8"/>
  <c r="H51" i="8" s="1"/>
  <c r="I51" i="8" s="1"/>
  <c r="F55" i="8"/>
  <c r="H55" i="8" s="1"/>
  <c r="I55" i="8" s="1"/>
  <c r="F12" i="8"/>
  <c r="H12" i="8" s="1"/>
  <c r="I12" i="8" s="1"/>
  <c r="F14" i="8"/>
  <c r="H14" i="8" s="1"/>
  <c r="I14" i="8" s="1"/>
  <c r="F21" i="8"/>
  <c r="H21" i="8" s="1"/>
  <c r="I21" i="8" s="1"/>
  <c r="F28" i="8"/>
  <c r="H28" i="8" s="1"/>
  <c r="I28" i="8" s="1"/>
  <c r="F30" i="8"/>
  <c r="H30" i="8" s="1"/>
  <c r="I30" i="8" s="1"/>
  <c r="F37" i="8"/>
  <c r="H37" i="8" s="1"/>
  <c r="I37" i="8" s="1"/>
  <c r="F44" i="8"/>
  <c r="H44" i="8" s="1"/>
  <c r="I44" i="8" s="1"/>
  <c r="F46" i="8"/>
  <c r="H46" i="8" s="1"/>
  <c r="I46" i="8" s="1"/>
  <c r="F53" i="8"/>
  <c r="H53" i="8" s="1"/>
  <c r="I53" i="8" s="1"/>
  <c r="F9" i="8"/>
  <c r="H9" i="8" s="1"/>
  <c r="I9" i="8" s="1"/>
  <c r="F16" i="8"/>
  <c r="H16" i="8" s="1"/>
  <c r="I16" i="8" s="1"/>
  <c r="F18" i="8"/>
  <c r="H18" i="8" s="1"/>
  <c r="I18" i="8" s="1"/>
  <c r="F25" i="8"/>
  <c r="H25" i="8" s="1"/>
  <c r="I25" i="8" s="1"/>
  <c r="F32" i="8"/>
  <c r="H32" i="8" s="1"/>
  <c r="I32" i="8" s="1"/>
  <c r="F34" i="8"/>
  <c r="H34" i="8" s="1"/>
  <c r="I34" i="8" s="1"/>
  <c r="F41" i="8"/>
  <c r="H41" i="8" s="1"/>
  <c r="I41" i="8" s="1"/>
  <c r="F48" i="8"/>
  <c r="H48" i="8" s="1"/>
  <c r="I48" i="8" s="1"/>
  <c r="F50" i="8"/>
  <c r="H50" i="8" s="1"/>
  <c r="I50" i="8" s="1"/>
  <c r="F13" i="8"/>
  <c r="H13" i="8" s="1"/>
  <c r="I13" i="8" s="1"/>
  <c r="F20" i="8"/>
  <c r="H20" i="8" s="1"/>
  <c r="I20" i="8" s="1"/>
  <c r="F22" i="8"/>
  <c r="H22" i="8" s="1"/>
  <c r="I22" i="8" s="1"/>
  <c r="F29" i="8"/>
  <c r="H29" i="8" s="1"/>
  <c r="I29" i="8" s="1"/>
  <c r="F36" i="8"/>
  <c r="H36" i="8" s="1"/>
  <c r="I36" i="8" s="1"/>
  <c r="F38" i="8"/>
  <c r="H38" i="8" s="1"/>
  <c r="I38" i="8" s="1"/>
  <c r="F45" i="8"/>
  <c r="H45" i="8" s="1"/>
  <c r="I45" i="8" s="1"/>
  <c r="F52" i="8"/>
  <c r="H52" i="8" s="1"/>
  <c r="I52" i="8" s="1"/>
  <c r="F54" i="8"/>
  <c r="H54" i="8" s="1"/>
  <c r="I54" i="8" s="1"/>
  <c r="F8" i="8"/>
  <c r="H8" i="8" s="1"/>
  <c r="I8" i="8" s="1"/>
  <c r="F10" i="8"/>
  <c r="H10" i="8" s="1"/>
  <c r="I10" i="8" s="1"/>
  <c r="F17" i="8"/>
  <c r="H17" i="8" s="1"/>
  <c r="I17" i="8" s="1"/>
  <c r="F24" i="8"/>
  <c r="H24" i="8" s="1"/>
  <c r="I24" i="8" s="1"/>
  <c r="F26" i="8"/>
  <c r="H26" i="8" s="1"/>
  <c r="I26" i="8" s="1"/>
  <c r="F33" i="8"/>
  <c r="H33" i="8" s="1"/>
  <c r="I33" i="8" s="1"/>
  <c r="F40" i="8"/>
  <c r="H40" i="8" s="1"/>
  <c r="I40" i="8" s="1"/>
  <c r="F42" i="8"/>
  <c r="H42" i="8" s="1"/>
  <c r="I42" i="8" s="1"/>
  <c r="F49" i="8"/>
  <c r="H49" i="8" s="1"/>
  <c r="I49" i="8" s="1"/>
  <c r="F56" i="8"/>
  <c r="H56" i="8" s="1"/>
  <c r="I56" i="8" s="1"/>
  <c r="H7" i="8" l="1"/>
  <c r="I7" i="8" s="1"/>
  <c r="L33" i="8" s="1"/>
  <c r="L7" i="30"/>
  <c r="L22" i="30"/>
  <c r="L13" i="30"/>
  <c r="L12" i="30"/>
  <c r="L9" i="30"/>
  <c r="L8" i="30"/>
  <c r="L18" i="30"/>
  <c r="L6" i="30"/>
  <c r="L23" i="30"/>
  <c r="L25" i="30"/>
  <c r="L24" i="30"/>
  <c r="L19" i="30"/>
  <c r="L21" i="30"/>
  <c r="L26" i="30"/>
  <c r="L20" i="30"/>
  <c r="L10" i="30"/>
  <c r="L15" i="30"/>
  <c r="L17" i="30"/>
  <c r="L14" i="30"/>
  <c r="L16" i="30"/>
  <c r="L27" i="30"/>
  <c r="L11" i="30"/>
  <c r="L42" i="8" l="1"/>
  <c r="L31" i="8"/>
  <c r="K31" i="8"/>
  <c r="L46" i="8" s="1"/>
  <c r="K33" i="8"/>
  <c r="K32" i="8" s="1"/>
  <c r="K30" i="8" l="1"/>
  <c r="L3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<sst xmlns="http://schemas.openxmlformats.org/spreadsheetml/2006/main" count="310" uniqueCount="191">
  <si>
    <t>x</t>
  </si>
  <si>
    <t>y</t>
  </si>
  <si>
    <t>sigma</t>
  </si>
  <si>
    <t>beta</t>
  </si>
  <si>
    <t>n</t>
  </si>
  <si>
    <t>yhat</t>
  </si>
  <si>
    <t>b1</t>
  </si>
  <si>
    <t>b0</t>
  </si>
  <si>
    <t>F</t>
  </si>
  <si>
    <t>df</t>
  </si>
  <si>
    <t>xbar</t>
  </si>
  <si>
    <t>ybar</t>
  </si>
  <si>
    <r>
      <t>ss</t>
    </r>
    <r>
      <rPr>
        <vertAlign val="subscript"/>
        <sz val="11"/>
        <color theme="1"/>
        <rFont val="Calibri"/>
        <family val="2"/>
        <scheme val="minor"/>
      </rPr>
      <t>reg</t>
    </r>
  </si>
  <si>
    <r>
      <t>ss</t>
    </r>
    <r>
      <rPr>
        <vertAlign val="subscript"/>
        <sz val="11"/>
        <color theme="1"/>
        <rFont val="Calibri"/>
        <family val="2"/>
        <scheme val="minor"/>
      </rPr>
      <t>resid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</si>
  <si>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</si>
  <si>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se</t>
    </r>
    <r>
      <rPr>
        <vertAlign val="subscript"/>
        <sz val="11"/>
        <color theme="1"/>
        <rFont val="Calibri"/>
        <family val="2"/>
        <scheme val="minor"/>
      </rPr>
      <t>y</t>
    </r>
  </si>
  <si>
    <r>
      <t>se</t>
    </r>
    <r>
      <rPr>
        <vertAlign val="subscript"/>
        <sz val="11"/>
        <color theme="1"/>
        <rFont val="Calibri"/>
        <family val="2"/>
        <scheme val="minor"/>
      </rPr>
      <t>0</t>
    </r>
  </si>
  <si>
    <r>
      <t>se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</si>
  <si>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</si>
  <si>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</si>
  <si>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t>Retreive Individual Elements</t>
  </si>
  <si>
    <t>Thematic Calculation</t>
  </si>
  <si>
    <t>Direct Calculation</t>
  </si>
  <si>
    <t>You are taking a linear combination of predictors.</t>
  </si>
  <si>
    <t>The predictors themselves don't need to be linear (otherwise you'd just get straight lines).</t>
  </si>
  <si>
    <t>How do you get the best fit?</t>
  </si>
  <si>
    <t>For Ordinary Least Squares (OLS) minimize squared errors.</t>
  </si>
  <si>
    <t>sum((y-yhat)*(y-yhat))</t>
  </si>
  <si>
    <t>Define how you model yhat.</t>
  </si>
  <si>
    <t>Use calculus to solve for b0 and b1 such that the cost is minimized.</t>
  </si>
  <si>
    <t>e</t>
  </si>
  <si>
    <t>e^2</t>
  </si>
  <si>
    <t>RSE</t>
  </si>
  <si>
    <r>
      <t>SS</t>
    </r>
    <r>
      <rPr>
        <vertAlign val="subscript"/>
        <sz val="11"/>
        <color theme="1"/>
        <rFont val="Calibri"/>
        <family val="2"/>
        <scheme val="minor"/>
      </rPr>
      <t>x</t>
    </r>
  </si>
  <si>
    <t>trend</t>
  </si>
  <si>
    <t>Linest Output</t>
  </si>
  <si>
    <r>
      <t>SS</t>
    </r>
    <r>
      <rPr>
        <vertAlign val="subscript"/>
        <sz val="11"/>
        <color theme="1"/>
        <rFont val="Calibri"/>
        <family val="2"/>
        <scheme val="minor"/>
      </rPr>
      <t>T</t>
    </r>
  </si>
  <si>
    <t>These equations give you the expected values, yhat.</t>
  </si>
  <si>
    <t>From those expected values, you can calculated the variance of your beta's.</t>
  </si>
  <si>
    <t>Correlation</t>
  </si>
  <si>
    <t>sqrt(rSq)</t>
  </si>
  <si>
    <r>
      <t>For OLS, yhat = b</t>
    </r>
    <r>
      <rPr>
        <vertAlign val="subscript"/>
        <sz val="20"/>
        <color theme="1"/>
        <rFont val="Calibri"/>
        <family val="2"/>
        <scheme val="minor"/>
      </rPr>
      <t>0</t>
    </r>
    <r>
      <rPr>
        <sz val="20"/>
        <color theme="1"/>
        <rFont val="Calibri"/>
        <family val="2"/>
        <scheme val="minor"/>
      </rPr>
      <t xml:space="preserve"> + b</t>
    </r>
    <r>
      <rPr>
        <vertAlign val="subscript"/>
        <sz val="20"/>
        <color theme="1"/>
        <rFont val="Calibri"/>
        <family val="2"/>
        <scheme val="minor"/>
      </rPr>
      <t>1</t>
    </r>
    <r>
      <rPr>
        <sz val="20"/>
        <color theme="1"/>
        <rFont val="Calibri"/>
        <family val="2"/>
        <scheme val="minor"/>
      </rPr>
      <t>x</t>
    </r>
  </si>
  <si>
    <t>You are trying to find a line of best fit.</t>
  </si>
  <si>
    <t>The variance of your beta's tells you how reliable your prediction is.</t>
  </si>
  <si>
    <t>The variability of those errors and the consequential error is called Parameter Risk.</t>
  </si>
  <si>
    <t>In contrast the real risk of the process you are modeling is called Process Risk.</t>
  </si>
  <si>
    <t>When you model both together, you have modeled "Total Risk".</t>
  </si>
  <si>
    <t>Risk Terminology:</t>
  </si>
  <si>
    <t>https://en.wikipedia.org/wiki/Coefficient_of_determination</t>
  </si>
  <si>
    <t>https://support.office.com/en-US/article/LINEST-function-84D7D0D9-6E50-4101-977A-FA7ABF772B6D</t>
  </si>
  <si>
    <t>Understanding linear regression without doing the calculations:</t>
  </si>
  <si>
    <t>Define a cost function to minimize or goals to optimize.</t>
  </si>
  <si>
    <t>These beta's are called parameters.</t>
  </si>
  <si>
    <t>b</t>
  </si>
  <si>
    <t>s</t>
  </si>
  <si>
    <t>L</t>
  </si>
  <si>
    <t>obs</t>
  </si>
  <si>
    <t>light yellow</t>
  </si>
  <si>
    <t>dark yellow</t>
  </si>
  <si>
    <t>light blue</t>
  </si>
  <si>
    <t>dark blue</t>
  </si>
  <si>
    <t>F Distribution is ratio of variances</t>
  </si>
  <si>
    <t>In regression analysis an Ftest measures:</t>
  </si>
  <si>
    <r>
      <t xml:space="preserve">Good Variance / </t>
    </r>
    <r>
      <rPr>
        <sz val="20"/>
        <color theme="1"/>
        <rFont val="Calibri (Body)"/>
      </rPr>
      <t>Bad Variance</t>
    </r>
  </si>
  <si>
    <t>Bad variance = Noise Variance</t>
  </si>
  <si>
    <t>So you can ask, 'is the good variance satistically significantly greater than the bad variance'.</t>
  </si>
  <si>
    <t>This is a one tailed F test.</t>
  </si>
  <si>
    <t>(Recall the the F distribution comes from the normal.  That's why normality assumption is such a big deal.)</t>
  </si>
  <si>
    <t>Total variance is the variance of your target variable, y.</t>
  </si>
  <si>
    <r>
      <t xml:space="preserve">Bad variance is the error variance: </t>
    </r>
    <r>
      <rPr>
        <sz val="20"/>
        <color theme="1"/>
        <rFont val="Symbol"/>
        <charset val="2"/>
      </rPr>
      <t>S</t>
    </r>
    <r>
      <rPr>
        <sz val="20"/>
        <color theme="1"/>
        <rFont val="Calibri"/>
        <family val="2"/>
        <scheme val="minor"/>
      </rPr>
      <t xml:space="preserve"> (y - yhat)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 xml:space="preserve"> / (n-p)</t>
    </r>
  </si>
  <si>
    <t>Linear Combination</t>
  </si>
  <si>
    <t>A linear combination of x, y, and z:</t>
  </si>
  <si>
    <t>ax + by + cz</t>
  </si>
  <si>
    <t>Multicollinearity</t>
  </si>
  <si>
    <t>The probability of a data set occuring is the probability of each point times the probability of every other point.</t>
  </si>
  <si>
    <r>
      <t>So if the following data about peoples height is distributed N(68,2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) then we can determine the probability of each point.</t>
    </r>
  </si>
  <si>
    <t>Height</t>
  </si>
  <si>
    <t>Probability</t>
  </si>
  <si>
    <t>The likelihood is the probability of all these points.  And, that is their product.</t>
  </si>
  <si>
    <t>Likelihood</t>
  </si>
  <si>
    <t>If we did not know mu and sigma, we could look for the mu and sigma which make this product as large as possible.</t>
  </si>
  <si>
    <t>But, a mechanical problem emerges …</t>
  </si>
  <si>
    <t>The product of probabilities gets small really fast …</t>
  </si>
  <si>
    <t>So fast, that a computer can't represent the small values and do the calculation.</t>
  </si>
  <si>
    <t>For this reason, instead we maximize the log of the values.</t>
  </si>
  <si>
    <t>We can do this because as the log(x) increase, x also increases.</t>
  </si>
  <si>
    <t>So we maximize the log of the likelihood.</t>
  </si>
  <si>
    <t>Since the log of the product is the sum of the log, we end up summing the logs of the probabilities.</t>
  </si>
  <si>
    <t>LogLikelihood</t>
  </si>
  <si>
    <t>Recall the the log of a number between 0 and 1 will be negative.</t>
  </si>
  <si>
    <t>1,1</t>
  </si>
  <si>
    <t>0,0</t>
  </si>
  <si>
    <t>10,10</t>
  </si>
  <si>
    <t>(SS/df)/(SS/df)</t>
  </si>
  <si>
    <t>Good Variance = Total Variance - Bad Variance =Explained Variance</t>
  </si>
  <si>
    <t>SSE</t>
  </si>
  <si>
    <t>log(x)</t>
  </si>
  <si>
    <t>Note that we can do this because if log(x+dx) &gt; log(x) then x+dx &gt; x</t>
  </si>
  <si>
    <t>That is, log() is a strictly increasing monotonic function.</t>
  </si>
  <si>
    <t>LogLiklihood</t>
  </si>
  <si>
    <t>R2_orig</t>
  </si>
  <si>
    <t>ErrorFraction</t>
  </si>
  <si>
    <t>p</t>
  </si>
  <si>
    <t>Inflator</t>
  </si>
  <si>
    <t>NewError</t>
  </si>
  <si>
    <t>R2_new</t>
  </si>
  <si>
    <r>
      <t>R</t>
    </r>
    <r>
      <rPr>
        <vertAlign val="superscript"/>
        <sz val="20"/>
        <color theme="1"/>
        <rFont val="Calibri (Body)"/>
      </rPr>
      <t>2</t>
    </r>
    <r>
      <rPr>
        <vertAlign val="subscript"/>
        <sz val="20"/>
        <color theme="1"/>
        <rFont val="Calibri (Body)"/>
      </rPr>
      <t>adj</t>
    </r>
  </si>
  <si>
    <r>
      <t>1-(1-R</t>
    </r>
    <r>
      <rPr>
        <vertAlign val="superscript"/>
        <sz val="20"/>
        <color theme="1"/>
        <rFont val="Calibri (Body)"/>
      </rPr>
      <t>2</t>
    </r>
    <r>
      <rPr>
        <sz val="20"/>
        <color theme="1"/>
        <rFont val="Calibri"/>
        <family val="2"/>
        <scheme val="minor"/>
      </rPr>
      <t>)*(n-1)/(n-p)</t>
    </r>
  </si>
  <si>
    <t>Assumptions of Linear Regression</t>
  </si>
  <si>
    <t>Linearity</t>
  </si>
  <si>
    <t>Normal errors</t>
  </si>
  <si>
    <t>Constant variance errors</t>
  </si>
  <si>
    <t>Un-correlated predictors</t>
  </si>
  <si>
    <t>Terminology</t>
  </si>
  <si>
    <t>Normal Equations</t>
  </si>
  <si>
    <t>Excel Output</t>
  </si>
  <si>
    <t>Degrees of Freedom</t>
  </si>
  <si>
    <t>F Test</t>
  </si>
  <si>
    <t>Quality of Fit</t>
  </si>
  <si>
    <t>OLS</t>
  </si>
  <si>
    <t>MLE</t>
  </si>
  <si>
    <t>The resulting equations are called The Normal Equations.</t>
  </si>
  <si>
    <t>Independent errors</t>
  </si>
  <si>
    <t>AssumptionsOfLinReg</t>
  </si>
  <si>
    <t>x1</t>
  </si>
  <si>
    <t>x2</t>
  </si>
  <si>
    <t>x3</t>
  </si>
  <si>
    <r>
      <rPr>
        <sz val="16"/>
        <color theme="1"/>
        <rFont val="Symbol"/>
        <charset val="2"/>
      </rPr>
      <t>b</t>
    </r>
    <r>
      <rPr>
        <sz val="16"/>
        <color theme="1"/>
        <rFont val="Calibri"/>
        <family val="2"/>
        <scheme val="minor"/>
      </rPr>
      <t>1</t>
    </r>
  </si>
  <si>
    <r>
      <rPr>
        <sz val="16"/>
        <color theme="1"/>
        <rFont val="Symbol"/>
        <charset val="2"/>
      </rPr>
      <t>b</t>
    </r>
    <r>
      <rPr>
        <sz val="16"/>
        <color theme="1"/>
        <rFont val="Calibri"/>
        <family val="2"/>
        <charset val="2"/>
        <scheme val="minor"/>
      </rPr>
      <t>3</t>
    </r>
  </si>
  <si>
    <r>
      <rPr>
        <sz val="16"/>
        <color theme="1"/>
        <rFont val="Symbol"/>
        <charset val="2"/>
      </rPr>
      <t>b</t>
    </r>
    <r>
      <rPr>
        <sz val="16"/>
        <color theme="1"/>
        <rFont val="Calibri"/>
        <family val="2"/>
        <charset val="2"/>
        <scheme val="minor"/>
      </rPr>
      <t>2</t>
    </r>
  </si>
  <si>
    <t>y_</t>
  </si>
  <si>
    <t>b_1</t>
  </si>
  <si>
    <t>b_2</t>
  </si>
  <si>
    <t>min</t>
  </si>
  <si>
    <t>max</t>
  </si>
  <si>
    <t>range</t>
  </si>
  <si>
    <t>error</t>
  </si>
  <si>
    <t>Assumptions</t>
  </si>
  <si>
    <t>Back to Assumptions</t>
  </si>
  <si>
    <t>Advertising</t>
  </si>
  <si>
    <t>Sales</t>
  </si>
  <si>
    <t>mean</t>
  </si>
  <si>
    <t>sd</t>
  </si>
  <si>
    <t>errorSim</t>
  </si>
  <si>
    <t>Experience</t>
  </si>
  <si>
    <t>Skill</t>
  </si>
  <si>
    <t>Income</t>
  </si>
  <si>
    <t>c</t>
  </si>
  <si>
    <t>Collinear variables are rescaled versions of the same information.</t>
  </si>
  <si>
    <t>Build the data table below and then use conditional  formatting to find smallest SSE.</t>
  </si>
  <si>
    <r>
      <t xml:space="preserve">Find the value of </t>
    </r>
    <r>
      <rPr>
        <sz val="16"/>
        <color rgb="FFFFFF00"/>
        <rFont val="Symbol"/>
        <charset val="2"/>
      </rPr>
      <t>b</t>
    </r>
    <r>
      <rPr>
        <sz val="16"/>
        <color theme="0"/>
        <rFont val="Calibri"/>
        <family val="2"/>
        <scheme val="minor"/>
      </rPr>
      <t xml:space="preserve"> resulting in the most normal looking histogram below centered at 0.</t>
    </r>
  </si>
  <si>
    <r>
      <t xml:space="preserve">Populate the </t>
    </r>
    <r>
      <rPr>
        <sz val="20"/>
        <color theme="8" tint="0.79998168889431442"/>
        <rFont val="Calibri (Body)"/>
      </rPr>
      <t>log'd probabilities</t>
    </r>
    <r>
      <rPr>
        <sz val="20"/>
        <color theme="0" tint="-4.9989318521683403E-2"/>
        <rFont val="Calibri"/>
        <family val="2"/>
        <scheme val="minor"/>
      </rPr>
      <t xml:space="preserve"> under N(0,</t>
    </r>
    <r>
      <rPr>
        <sz val="20"/>
        <color theme="0" tint="-4.9989318521683403E-2"/>
        <rFont val="Symbol"/>
        <charset val="2"/>
      </rPr>
      <t>s</t>
    </r>
    <r>
      <rPr>
        <sz val="20"/>
        <color theme="0" tint="-4.9989318521683403E-2"/>
        <rFont val="Calibri"/>
        <family val="2"/>
        <scheme val="minor"/>
      </rPr>
      <t xml:space="preserve">) where </t>
    </r>
    <r>
      <rPr>
        <sz val="20"/>
        <color theme="0" tint="-4.9989318521683403E-2"/>
        <rFont val="Symbol"/>
        <charset val="2"/>
      </rPr>
      <t>s</t>
    </r>
    <r>
      <rPr>
        <sz val="20"/>
        <color theme="0" tint="-4.9989318521683403E-2"/>
        <rFont val="Calibri"/>
        <family val="2"/>
        <scheme val="minor"/>
      </rPr>
      <t xml:space="preserve"> = stdev(x).</t>
    </r>
  </si>
  <si>
    <r>
      <t xml:space="preserve">Create a </t>
    </r>
    <r>
      <rPr>
        <sz val="20"/>
        <color theme="9" tint="0.79998168889431442"/>
        <rFont val="Calibri (Body)"/>
      </rPr>
      <t>datatable</t>
    </r>
    <r>
      <rPr>
        <sz val="20"/>
        <color theme="0" tint="-4.9989318521683403E-2"/>
        <rFont val="Calibri"/>
        <family val="2"/>
        <scheme val="minor"/>
      </rPr>
      <t xml:space="preserve"> to find the highest LogLikelihood.</t>
    </r>
  </si>
  <si>
    <t>What is a more direct way to compare the distributions?</t>
  </si>
  <si>
    <t>What differences do you see in the plot below?</t>
  </si>
  <si>
    <r>
      <t xml:space="preserve">Calculate the </t>
    </r>
    <r>
      <rPr>
        <sz val="12"/>
        <color theme="8" tint="0.79998168889431442"/>
        <rFont val="Calibri (Body)"/>
      </rPr>
      <t>mean and standard deviation of the errors</t>
    </r>
    <r>
      <rPr>
        <sz val="12"/>
        <color theme="0" tint="-4.9989318521683403E-2"/>
        <rFont val="Calibri"/>
        <family val="2"/>
        <scheme val="minor"/>
      </rPr>
      <t xml:space="preserve"> and and </t>
    </r>
    <r>
      <rPr>
        <sz val="12"/>
        <color theme="9" tint="0.79998168889431442"/>
        <rFont val="Calibri (Body)"/>
      </rPr>
      <t>simulate normally distributed values centered at 0</t>
    </r>
    <r>
      <rPr>
        <sz val="12"/>
        <color theme="0" tint="-4.9989318521683403E-2"/>
        <rFont val="Calibri"/>
        <family val="2"/>
        <scheme val="minor"/>
      </rPr>
      <t xml:space="preserve"> below.</t>
    </r>
  </si>
  <si>
    <t>Observe the variance.</t>
  </si>
  <si>
    <t>Sort the data by yhat.</t>
  </si>
  <si>
    <t>Regression</t>
  </si>
  <si>
    <t>How-to</t>
  </si>
  <si>
    <t>Theory</t>
  </si>
  <si>
    <t>forecast.linear</t>
  </si>
  <si>
    <t>Linest</t>
  </si>
  <si>
    <t>Manual</t>
  </si>
  <si>
    <t>Use LINEST.</t>
  </si>
  <si>
    <t>Create yhats.</t>
  </si>
  <si>
    <t>Plot the errors as a scatter plot.</t>
  </si>
  <si>
    <t>SLR</t>
  </si>
  <si>
    <t>MLR</t>
  </si>
  <si>
    <t>Calculus</t>
  </si>
  <si>
    <t xml:space="preserve"> </t>
  </si>
  <si>
    <t>Linearity OLS</t>
  </si>
  <si>
    <t>Normal Errors</t>
  </si>
  <si>
    <t>Normal MLE</t>
  </si>
  <si>
    <t>Indendent Errors</t>
  </si>
  <si>
    <t>p1</t>
  </si>
  <si>
    <t>p2</t>
  </si>
  <si>
    <t>Small Sized Buckets of green paint</t>
  </si>
  <si>
    <t>Medium bucket recipe = 1 small yellow + 1 small blue</t>
  </si>
  <si>
    <t>Large bucket recipe = 2 small yellow + 2 small blue</t>
  </si>
  <si>
    <t>Small buckets recipe = 1/2 Medium bucket recipe</t>
  </si>
  <si>
    <t>Small buckets recipe = 1/4 Medium bucket recipe</t>
  </si>
  <si>
    <t>Small = 0.5 Medium + 0.00 Large</t>
  </si>
  <si>
    <t>Small = 0.0 Medium + 0.25 Large</t>
  </si>
  <si>
    <t>Small = 0.1 Medium + 0.20 Large</t>
  </si>
  <si>
    <t>Small = 0.2 Medium + 0.15 Large</t>
  </si>
  <si>
    <t>Small = 0.3 Medium + 0.10 Large</t>
  </si>
  <si>
    <t>Small = 0.4 Medium + 0.05 Large</t>
  </si>
  <si>
    <r>
      <t xml:space="preserve">Small = </t>
    </r>
    <r>
      <rPr>
        <sz val="13"/>
        <color rgb="FF92D050"/>
        <rFont val="Symbol"/>
        <charset val="2"/>
      </rPr>
      <t>b</t>
    </r>
    <r>
      <rPr>
        <vertAlign val="subscript"/>
        <sz val="13"/>
        <color rgb="FF92D050"/>
        <rFont val="Helvetica Neue"/>
        <family val="2"/>
      </rPr>
      <t>1</t>
    </r>
    <r>
      <rPr>
        <sz val="13"/>
        <color rgb="FF92D050"/>
        <rFont val="Helvetica Neue"/>
        <family val="2"/>
      </rPr>
      <t xml:space="preserve"> Medium + </t>
    </r>
    <r>
      <rPr>
        <sz val="13"/>
        <color rgb="FF92D050"/>
        <rFont val="Symbol"/>
        <charset val="2"/>
      </rPr>
      <t>b</t>
    </r>
    <r>
      <rPr>
        <vertAlign val="subscript"/>
        <sz val="13"/>
        <color rgb="FF92D050"/>
        <rFont val="Helvetica Neue"/>
        <family val="2"/>
      </rPr>
      <t>2</t>
    </r>
    <r>
      <rPr>
        <sz val="13"/>
        <color rgb="FF92D050"/>
        <rFont val="Helvetica Neue"/>
        <family val="2"/>
      </rPr>
      <t xml:space="preserve"> Large</t>
    </r>
  </si>
  <si>
    <t>Too many possibilities!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</si>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</sst>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_(&quot;$&quot;* #,##0_);_(&quot;$&quot;* \(#,##0\);_(&quot;$&quot;* &quot;-&quot;??_);_(@_)"/>
  </numFmts>
  <fonts count="4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Symbol"/>
      <charset val="2"/>
    </font>
    <font>
      <u/>
      <sz val="20"/>
      <color theme="1"/>
      <name val="Calibri"/>
      <family val="2"/>
      <scheme val="minor"/>
    </font>
    <font>
      <sz val="20"/>
      <color theme="1"/>
      <name val="Calibri (Body)"/>
    </font>
    <font>
      <vertAlign val="superscript"/>
      <sz val="20"/>
      <color theme="1"/>
      <name val="Calibri (Body)"/>
    </font>
    <font>
      <u/>
      <sz val="11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vertAlign val="subscript"/>
      <sz val="20"/>
      <color theme="1"/>
      <name val="Calibri (Body)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Symbol"/>
      <charset val="2"/>
    </font>
    <font>
      <sz val="16"/>
      <color theme="1"/>
      <name val="Calibri"/>
      <family val="2"/>
      <charset val="2"/>
      <scheme val="minor"/>
    </font>
    <font>
      <u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rgb="FFFFFF00"/>
      <name val="Symbol"/>
      <charset val="2"/>
    </font>
    <font>
      <sz val="20"/>
      <color theme="0" tint="-4.9989318521683403E-2"/>
      <name val="Calibri"/>
      <family val="2"/>
      <scheme val="minor"/>
    </font>
    <font>
      <sz val="20"/>
      <color theme="0" tint="-4.9989318521683403E-2"/>
      <name val="Symbol"/>
      <charset val="2"/>
    </font>
    <font>
      <sz val="20"/>
      <color theme="8" tint="0.79998168889431442"/>
      <name val="Calibri (Body)"/>
    </font>
    <font>
      <sz val="20"/>
      <color theme="9" tint="0.79998168889431442"/>
      <name val="Calibri"/>
      <family val="2"/>
      <scheme val="minor"/>
    </font>
    <font>
      <sz val="20"/>
      <color theme="9" tint="0.79998168889431442"/>
      <name val="Calibri (Body)"/>
    </font>
    <font>
      <sz val="20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2"/>
      <color theme="8" tint="0.79998168889431442"/>
      <name val="Calibri (Body)"/>
    </font>
    <font>
      <sz val="12"/>
      <color theme="9" tint="0.79998168889431442"/>
      <name val="Calibri (Body)"/>
    </font>
    <font>
      <u/>
      <sz val="20"/>
      <color theme="10"/>
      <name val="Calibri"/>
      <family val="2"/>
      <scheme val="minor"/>
    </font>
    <font>
      <sz val="13"/>
      <color rgb="FF92D050"/>
      <name val="Helvetica Neue"/>
      <family val="2"/>
    </font>
    <font>
      <sz val="20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sz val="36"/>
      <color rgb="FF92D050"/>
      <name val="Helvetica Neue"/>
      <family val="2"/>
    </font>
    <font>
      <sz val="13"/>
      <color rgb="FF92D050"/>
      <name val="Symbol"/>
      <charset val="2"/>
    </font>
    <font>
      <vertAlign val="subscript"/>
      <sz val="13"/>
      <color rgb="FF92D050"/>
      <name val="Helvetica Neue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EC01"/>
        <bgColor indexed="64"/>
      </patternFill>
    </fill>
    <fill>
      <patternFill patternType="solid">
        <fgColor rgb="FFD5D4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4E5"/>
        <bgColor indexed="64"/>
      </patternFill>
    </fill>
    <fill>
      <patternFill patternType="solid">
        <fgColor rgb="FF004E8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441F"/>
        <bgColor indexed="64"/>
      </patternFill>
    </fill>
    <fill>
      <patternFill patternType="solid">
        <fgColor rgb="FF00E56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" fillId="0" borderId="0"/>
    <xf numFmtId="9" fontId="16" fillId="0" borderId="0" applyFont="0" applyFill="0" applyBorder="0" applyAlignment="0" applyProtection="0"/>
  </cellStyleXfs>
  <cellXfs count="92">
    <xf numFmtId="0" fontId="0" fillId="0" borderId="0" xfId="0"/>
    <xf numFmtId="0" fontId="6" fillId="2" borderId="0" xfId="2" applyFont="1" applyFill="1"/>
    <xf numFmtId="0" fontId="6" fillId="2" borderId="0" xfId="2" applyFont="1" applyFill="1" applyAlignment="1">
      <alignment horizontal="right"/>
    </xf>
    <xf numFmtId="0" fontId="9" fillId="2" borderId="0" xfId="2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8" fillId="2" borderId="0" xfId="1" applyFill="1" applyAlignment="1">
      <alignment horizontal="left"/>
    </xf>
    <xf numFmtId="0" fontId="6" fillId="2" borderId="0" xfId="0" applyFont="1" applyFill="1"/>
    <xf numFmtId="0" fontId="6" fillId="3" borderId="0" xfId="2" applyFont="1" applyFill="1"/>
    <xf numFmtId="0" fontId="6" fillId="4" borderId="0" xfId="2" applyFont="1" applyFill="1"/>
    <xf numFmtId="0" fontId="6" fillId="5" borderId="0" xfId="2" applyFont="1" applyFill="1"/>
    <xf numFmtId="0" fontId="6" fillId="6" borderId="0" xfId="2" applyFont="1" applyFill="1"/>
    <xf numFmtId="0" fontId="6" fillId="7" borderId="0" xfId="2" applyFont="1" applyFill="1"/>
    <xf numFmtId="0" fontId="6" fillId="8" borderId="0" xfId="2" applyFont="1" applyFill="1"/>
    <xf numFmtId="0" fontId="6" fillId="9" borderId="0" xfId="2" applyFont="1" applyFill="1"/>
    <xf numFmtId="0" fontId="6" fillId="10" borderId="0" xfId="2" applyFont="1" applyFill="1"/>
    <xf numFmtId="0" fontId="6" fillId="11" borderId="0" xfId="2" applyFont="1" applyFill="1"/>
    <xf numFmtId="0" fontId="6" fillId="12" borderId="0" xfId="2" applyFont="1" applyFill="1"/>
    <xf numFmtId="0" fontId="6" fillId="13" borderId="0" xfId="2" applyFont="1" applyFill="1"/>
    <xf numFmtId="0" fontId="10" fillId="2" borderId="0" xfId="2" applyFont="1" applyFill="1"/>
    <xf numFmtId="0" fontId="6" fillId="2" borderId="0" xfId="2" applyFont="1" applyFill="1" applyAlignment="1"/>
    <xf numFmtId="0" fontId="14" fillId="14" borderId="0" xfId="0" applyFont="1" applyFill="1"/>
    <xf numFmtId="0" fontId="6" fillId="2" borderId="0" xfId="16" applyFont="1" applyFill="1"/>
    <xf numFmtId="10" fontId="6" fillId="2" borderId="0" xfId="17" applyNumberFormat="1" applyFont="1" applyFill="1"/>
    <xf numFmtId="9" fontId="6" fillId="3" borderId="0" xfId="16" applyNumberFormat="1" applyFont="1" applyFill="1"/>
    <xf numFmtId="0" fontId="6" fillId="3" borderId="0" xfId="16" applyFont="1" applyFill="1"/>
    <xf numFmtId="0" fontId="8" fillId="2" borderId="0" xfId="1" applyFill="1"/>
    <xf numFmtId="0" fontId="6" fillId="15" borderId="0" xfId="19" applyFont="1" applyFill="1"/>
    <xf numFmtId="0" fontId="6" fillId="15" borderId="0" xfId="19" applyFont="1" applyFill="1" applyAlignment="1">
      <alignment horizontal="right"/>
    </xf>
    <xf numFmtId="0" fontId="17" fillId="15" borderId="0" xfId="19" applyFont="1" applyFill="1" applyAlignment="1">
      <alignment horizontal="right"/>
    </xf>
    <xf numFmtId="0" fontId="17" fillId="15" borderId="0" xfId="19" applyFont="1" applyFill="1"/>
    <xf numFmtId="0" fontId="17" fillId="3" borderId="0" xfId="19" applyFont="1" applyFill="1" applyAlignment="1">
      <alignment horizontal="right"/>
    </xf>
    <xf numFmtId="0" fontId="20" fillId="15" borderId="0" xfId="19" applyFont="1" applyFill="1" applyAlignment="1">
      <alignment horizontal="right"/>
    </xf>
    <xf numFmtId="0" fontId="21" fillId="15" borderId="0" xfId="19" applyFont="1" applyFill="1" applyAlignment="1">
      <alignment horizontal="right"/>
    </xf>
    <xf numFmtId="0" fontId="6" fillId="16" borderId="0" xfId="2" applyFont="1" applyFill="1"/>
    <xf numFmtId="0" fontId="17" fillId="2" borderId="0" xfId="2" applyFont="1" applyFill="1"/>
    <xf numFmtId="0" fontId="17" fillId="2" borderId="0" xfId="2" applyFont="1" applyFill="1" applyAlignment="1">
      <alignment horizontal="right"/>
    </xf>
    <xf numFmtId="0" fontId="19" fillId="2" borderId="0" xfId="2" applyFont="1" applyFill="1" applyAlignment="1">
      <alignment horizontal="right"/>
    </xf>
    <xf numFmtId="0" fontId="17" fillId="2" borderId="0" xfId="2" applyFont="1" applyFill="1" applyAlignment="1">
      <alignment horizontal="left"/>
    </xf>
    <xf numFmtId="0" fontId="17" fillId="3" borderId="0" xfId="2" applyFont="1" applyFill="1"/>
    <xf numFmtId="164" fontId="17" fillId="2" borderId="0" xfId="2" applyNumberFormat="1" applyFont="1" applyFill="1"/>
    <xf numFmtId="0" fontId="8" fillId="15" borderId="0" xfId="1" applyFill="1"/>
    <xf numFmtId="0" fontId="1" fillId="15" borderId="0" xfId="19" applyFont="1" applyFill="1"/>
    <xf numFmtId="44" fontId="6" fillId="15" borderId="0" xfId="18" applyFont="1" applyFill="1"/>
    <xf numFmtId="165" fontId="6" fillId="15" borderId="0" xfId="18" applyNumberFormat="1" applyFont="1" applyFill="1"/>
    <xf numFmtId="165" fontId="6" fillId="15" borderId="0" xfId="19" applyNumberFormat="1" applyFont="1" applyFill="1"/>
    <xf numFmtId="0" fontId="6" fillId="2" borderId="0" xfId="2" applyFont="1" applyFill="1" applyAlignment="1">
      <alignment horizontal="center"/>
    </xf>
    <xf numFmtId="0" fontId="6" fillId="3" borderId="0" xfId="2" applyFont="1" applyFill="1" applyAlignment="1">
      <alignment horizontal="center"/>
    </xf>
    <xf numFmtId="0" fontId="23" fillId="17" borderId="0" xfId="2" applyFont="1" applyFill="1" applyAlignment="1">
      <alignment horizontal="left"/>
    </xf>
    <xf numFmtId="0" fontId="23" fillId="17" borderId="0" xfId="2" applyFont="1" applyFill="1" applyAlignment="1">
      <alignment horizontal="right"/>
    </xf>
    <xf numFmtId="0" fontId="22" fillId="17" borderId="0" xfId="2" applyFont="1" applyFill="1"/>
    <xf numFmtId="0" fontId="17" fillId="17" borderId="0" xfId="2" applyFont="1" applyFill="1"/>
    <xf numFmtId="0" fontId="24" fillId="2" borderId="0" xfId="2" applyFont="1" applyFill="1" applyAlignment="1">
      <alignment horizontal="right"/>
    </xf>
    <xf numFmtId="0" fontId="26" fillId="17" borderId="0" xfId="2" applyFont="1" applyFill="1"/>
    <xf numFmtId="0" fontId="26" fillId="17" borderId="0" xfId="2" applyFont="1" applyFill="1" applyAlignment="1">
      <alignment horizontal="right"/>
    </xf>
    <xf numFmtId="0" fontId="26" fillId="17" borderId="0" xfId="2" applyFont="1" applyFill="1" applyAlignment="1">
      <alignment horizontal="left"/>
    </xf>
    <xf numFmtId="0" fontId="31" fillId="18" borderId="0" xfId="2" applyFont="1" applyFill="1" applyAlignment="1">
      <alignment horizontal="right"/>
    </xf>
    <xf numFmtId="1" fontId="1" fillId="16" borderId="0" xfId="19" applyNumberFormat="1" applyFont="1" applyFill="1"/>
    <xf numFmtId="0" fontId="1" fillId="18" borderId="0" xfId="19" applyFont="1" applyFill="1"/>
    <xf numFmtId="0" fontId="32" fillId="17" borderId="0" xfId="19" applyFont="1" applyFill="1"/>
    <xf numFmtId="0" fontId="29" fillId="17" borderId="0" xfId="19" applyFont="1" applyFill="1" applyAlignment="1">
      <alignment horizontal="left"/>
    </xf>
    <xf numFmtId="0" fontId="26" fillId="17" borderId="0" xfId="19" applyFont="1" applyFill="1" applyAlignment="1">
      <alignment horizontal="left"/>
    </xf>
    <xf numFmtId="0" fontId="6" fillId="15" borderId="0" xfId="19" applyFont="1" applyFill="1" applyAlignment="1">
      <alignment horizontal="center"/>
    </xf>
    <xf numFmtId="0" fontId="6" fillId="15" borderId="1" xfId="19" applyFont="1" applyFill="1" applyBorder="1"/>
    <xf numFmtId="0" fontId="6" fillId="15" borderId="2" xfId="19" applyFont="1" applyFill="1" applyBorder="1"/>
    <xf numFmtId="0" fontId="6" fillId="15" borderId="3" xfId="19" applyFont="1" applyFill="1" applyBorder="1"/>
    <xf numFmtId="0" fontId="6" fillId="15" borderId="4" xfId="19" applyFont="1" applyFill="1" applyBorder="1"/>
    <xf numFmtId="0" fontId="6" fillId="15" borderId="5" xfId="19" applyFont="1" applyFill="1" applyBorder="1"/>
    <xf numFmtId="0" fontId="6" fillId="15" borderId="6" xfId="19" applyFont="1" applyFill="1" applyBorder="1"/>
    <xf numFmtId="0" fontId="31" fillId="16" borderId="0" xfId="19" applyFont="1" applyFill="1" applyAlignment="1">
      <alignment horizontal="center"/>
    </xf>
    <xf numFmtId="2" fontId="31" fillId="16" borderId="0" xfId="19" applyNumberFormat="1" applyFont="1" applyFill="1" applyAlignment="1">
      <alignment horizontal="center"/>
    </xf>
    <xf numFmtId="0" fontId="35" fillId="2" borderId="0" xfId="1" applyFont="1" applyFill="1"/>
    <xf numFmtId="0" fontId="35" fillId="15" borderId="0" xfId="1" applyFont="1" applyFill="1"/>
    <xf numFmtId="0" fontId="6" fillId="15" borderId="0" xfId="2" applyFont="1" applyFill="1"/>
    <xf numFmtId="0" fontId="6" fillId="15" borderId="7" xfId="19" applyFont="1" applyFill="1" applyBorder="1"/>
    <xf numFmtId="0" fontId="6" fillId="15" borderId="0" xfId="19" applyFont="1" applyFill="1" applyBorder="1"/>
    <xf numFmtId="0" fontId="6" fillId="15" borderId="8" xfId="19" applyFont="1" applyFill="1" applyBorder="1"/>
    <xf numFmtId="0" fontId="8" fillId="15" borderId="0" xfId="1" applyFill="1" applyAlignment="1">
      <alignment horizontal="right"/>
    </xf>
    <xf numFmtId="0" fontId="6" fillId="19" borderId="0" xfId="2" applyFont="1" applyFill="1"/>
    <xf numFmtId="0" fontId="36" fillId="17" borderId="0" xfId="0" applyFont="1" applyFill="1"/>
    <xf numFmtId="0" fontId="37" fillId="17" borderId="0" xfId="0" applyFont="1" applyFill="1"/>
    <xf numFmtId="0" fontId="38" fillId="17" borderId="0" xfId="0" applyFont="1" applyFill="1"/>
    <xf numFmtId="0" fontId="39" fillId="17" borderId="0" xfId="0" applyFont="1" applyFill="1"/>
    <xf numFmtId="9" fontId="17" fillId="2" borderId="0" xfId="20" applyFont="1" applyFill="1"/>
    <xf numFmtId="0" fontId="1" fillId="15" borderId="0" xfId="19" applyFont="1" applyFill="1" applyAlignment="1">
      <alignment horizontal="right"/>
    </xf>
  </cellXfs>
  <cellStyles count="21">
    <cellStyle name="Currency" xfId="18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  <cellStyle name="Normal 2" xfId="2" xr:uid="{00000000-0005-0000-0000-00000F000000}"/>
    <cellStyle name="Normal 3" xfId="16" xr:uid="{00000000-0005-0000-0000-000010000000}"/>
    <cellStyle name="Normal 4" xfId="19" xr:uid="{FA75D443-D1AC-7642-8F18-918EDB90BAD1}"/>
    <cellStyle name="Percent" xfId="20" builtinId="5"/>
    <cellStyle name="Percent 2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63500">
                <a:solidFill>
                  <a:srgbClr val="FF0000"/>
                </a:solidFill>
              </a:ln>
              <a:effectLst/>
            </c:spPr>
          </c:marker>
          <c:xVal>
            <c:numRef>
              <c:f>Terminology!$M$18:$M$19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Terminology!$N$18:$N$19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C-0B42-B3CC-62ECC4EEE7C4}"/>
            </c:ext>
          </c:extLst>
        </c:ser>
        <c:ser>
          <c:idx val="1"/>
          <c:order val="1"/>
          <c:spPr>
            <a:ln w="19050" cap="rnd">
              <a:solidFill>
                <a:srgbClr val="00B0F0">
                  <a:alpha val="5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27000">
                <a:solidFill>
                  <a:srgbClr val="00B0F0"/>
                </a:solidFill>
              </a:ln>
              <a:effectLst/>
            </c:spPr>
          </c:marker>
          <c:dPt>
            <c:idx val="0"/>
            <c:marker>
              <c:symbol val="square"/>
              <c:size val="5"/>
              <c:spPr>
                <a:solidFill>
                  <a:srgbClr val="00B0F0"/>
                </a:solidFill>
                <a:ln w="127000">
                  <a:solidFill>
                    <a:srgbClr val="00B0F0">
                      <a:alpha val="50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049-EB45-9ABC-55405424E017}"/>
              </c:ext>
            </c:extLst>
          </c:dPt>
          <c:dPt>
            <c:idx val="1"/>
            <c:marker>
              <c:symbol val="square"/>
              <c:size val="5"/>
              <c:spPr>
                <a:solidFill>
                  <a:srgbClr val="00B0F0"/>
                </a:solidFill>
                <a:ln w="127000">
                  <a:solidFill>
                    <a:srgbClr val="00B0F0">
                      <a:alpha val="50000"/>
                    </a:srgbClr>
                  </a:solidFill>
                </a:ln>
                <a:effectLst/>
              </c:spPr>
            </c:marker>
            <c:bubble3D val="0"/>
            <c:spPr>
              <a:ln w="127000" cap="rnd">
                <a:solidFill>
                  <a:srgbClr val="00B0F0">
                    <a:alpha val="30000"/>
                  </a:srgb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49-EB45-9ABC-55405424E017}"/>
              </c:ext>
            </c:extLst>
          </c:dPt>
          <c:xVal>
            <c:numRef>
              <c:f>Terminology!$Q$18:$Q$19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Terminology!$R$18:$R$19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6C-0B42-B3CC-62ECC4EEE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076127"/>
        <c:axId val="1956738495"/>
      </c:scatterChart>
      <c:valAx>
        <c:axId val="195707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738495"/>
        <c:crosses val="autoZero"/>
        <c:crossBetween val="midCat"/>
      </c:valAx>
      <c:valAx>
        <c:axId val="195673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07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63500">
                <a:solidFill>
                  <a:srgbClr val="FF0000"/>
                </a:solidFill>
              </a:ln>
              <a:effectLst/>
            </c:spPr>
          </c:marker>
          <c:xVal>
            <c:numRef>
              <c:f>Collinearity1!$M$11:$M$12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Collinearity1!$N$11:$N$12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67-2B42-A9C7-474BAED509AD}"/>
            </c:ext>
          </c:extLst>
        </c:ser>
        <c:ser>
          <c:idx val="1"/>
          <c:order val="1"/>
          <c:spPr>
            <a:ln w="19050" cap="rnd">
              <a:solidFill>
                <a:srgbClr val="00B0F0">
                  <a:alpha val="5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127000">
                <a:solidFill>
                  <a:srgbClr val="00B0F0"/>
                </a:solidFill>
              </a:ln>
              <a:effectLst/>
            </c:spPr>
          </c:marker>
          <c:dPt>
            <c:idx val="0"/>
            <c:marker>
              <c:symbol val="square"/>
              <c:size val="5"/>
              <c:spPr>
                <a:solidFill>
                  <a:srgbClr val="00B0F0"/>
                </a:solidFill>
                <a:ln w="127000">
                  <a:solidFill>
                    <a:srgbClr val="00B0F0">
                      <a:alpha val="50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367-2B42-A9C7-474BAED509AD}"/>
              </c:ext>
            </c:extLst>
          </c:dPt>
          <c:dPt>
            <c:idx val="1"/>
            <c:marker>
              <c:symbol val="square"/>
              <c:size val="5"/>
              <c:spPr>
                <a:solidFill>
                  <a:srgbClr val="00B0F0"/>
                </a:solidFill>
                <a:ln w="127000">
                  <a:solidFill>
                    <a:srgbClr val="00B0F0">
                      <a:alpha val="50000"/>
                    </a:srgbClr>
                  </a:solidFill>
                </a:ln>
                <a:effectLst/>
              </c:spPr>
            </c:marker>
            <c:bubble3D val="0"/>
            <c:spPr>
              <a:ln w="127000" cap="rnd">
                <a:solidFill>
                  <a:srgbClr val="00B0F0">
                    <a:alpha val="30000"/>
                  </a:srgb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67-2B42-A9C7-474BAED509AD}"/>
              </c:ext>
            </c:extLst>
          </c:dPt>
          <c:xVal>
            <c:numRef>
              <c:f>Collinearity1!$Q$11:$Q$12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Collinearity1!$R$11:$R$12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67-2B42-A9C7-474BAED50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076127"/>
        <c:axId val="1956738495"/>
      </c:scatterChart>
      <c:valAx>
        <c:axId val="195707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738495"/>
        <c:crosses val="autoZero"/>
        <c:crossBetween val="midCat"/>
      </c:valAx>
      <c:valAx>
        <c:axId val="195673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07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NormalErrors!$J$6:$J$26</c:f>
              <c:numCache>
                <c:formatCode>0.0</c:formatCode>
                <c:ptCount val="21"/>
                <c:pt idx="0">
                  <c:v>-1.1426648798679477</c:v>
                </c:pt>
                <c:pt idx="1">
                  <c:v>-3.1142619937806648E-2</c:v>
                </c:pt>
                <c:pt idx="2">
                  <c:v>1.0803796399923344</c:v>
                </c:pt>
                <c:pt idx="3">
                  <c:v>2.1919018999224757</c:v>
                </c:pt>
                <c:pt idx="4">
                  <c:v>3.3034241598526166</c:v>
                </c:pt>
                <c:pt idx="5">
                  <c:v>4.4149464197827584</c:v>
                </c:pt>
                <c:pt idx="6">
                  <c:v>5.5264686797128988</c:v>
                </c:pt>
                <c:pt idx="7">
                  <c:v>6.6379909396430392</c:v>
                </c:pt>
                <c:pt idx="8">
                  <c:v>7.7495131995731814</c:v>
                </c:pt>
                <c:pt idx="9">
                  <c:v>8.8610354595033236</c:v>
                </c:pt>
                <c:pt idx="10">
                  <c:v>9.972557719433464</c:v>
                </c:pt>
                <c:pt idx="11">
                  <c:v>11.084079979363606</c:v>
                </c:pt>
                <c:pt idx="12">
                  <c:v>12.195602239293747</c:v>
                </c:pt>
                <c:pt idx="13">
                  <c:v>13.307124499223887</c:v>
                </c:pt>
                <c:pt idx="14">
                  <c:v>14.418646759154027</c:v>
                </c:pt>
                <c:pt idx="15">
                  <c:v>15.53016901908417</c:v>
                </c:pt>
                <c:pt idx="16">
                  <c:v>16.64169127901431</c:v>
                </c:pt>
                <c:pt idx="17">
                  <c:v>17.753213538944451</c:v>
                </c:pt>
                <c:pt idx="18">
                  <c:v>18.864735798874595</c:v>
                </c:pt>
                <c:pt idx="19">
                  <c:v>19.976258058804735</c:v>
                </c:pt>
                <c:pt idx="20">
                  <c:v>21.087780318734875</c:v>
                </c:pt>
              </c:numCache>
            </c:numRef>
          </c:cat>
          <c:val>
            <c:numRef>
              <c:f>NormalErrors!$K$6:$K$26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  <c:pt idx="6">
                  <c:v>2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12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C-E444-B4D2-4ED3889E249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NormalErrors!$J$6:$J$26</c:f>
              <c:numCache>
                <c:formatCode>0.0</c:formatCode>
                <c:ptCount val="21"/>
                <c:pt idx="0">
                  <c:v>-1.1426648798679477</c:v>
                </c:pt>
                <c:pt idx="1">
                  <c:v>-3.1142619937806648E-2</c:v>
                </c:pt>
                <c:pt idx="2">
                  <c:v>1.0803796399923344</c:v>
                </c:pt>
                <c:pt idx="3">
                  <c:v>2.1919018999224757</c:v>
                </c:pt>
                <c:pt idx="4">
                  <c:v>3.3034241598526166</c:v>
                </c:pt>
                <c:pt idx="5">
                  <c:v>4.4149464197827584</c:v>
                </c:pt>
                <c:pt idx="6">
                  <c:v>5.5264686797128988</c:v>
                </c:pt>
                <c:pt idx="7">
                  <c:v>6.6379909396430392</c:v>
                </c:pt>
                <c:pt idx="8">
                  <c:v>7.7495131995731814</c:v>
                </c:pt>
                <c:pt idx="9">
                  <c:v>8.8610354595033236</c:v>
                </c:pt>
                <c:pt idx="10">
                  <c:v>9.972557719433464</c:v>
                </c:pt>
                <c:pt idx="11">
                  <c:v>11.084079979363606</c:v>
                </c:pt>
                <c:pt idx="12">
                  <c:v>12.195602239293747</c:v>
                </c:pt>
                <c:pt idx="13">
                  <c:v>13.307124499223887</c:v>
                </c:pt>
                <c:pt idx="14">
                  <c:v>14.418646759154027</c:v>
                </c:pt>
                <c:pt idx="15">
                  <c:v>15.53016901908417</c:v>
                </c:pt>
                <c:pt idx="16">
                  <c:v>16.64169127901431</c:v>
                </c:pt>
                <c:pt idx="17">
                  <c:v>17.753213538944451</c:v>
                </c:pt>
                <c:pt idx="18">
                  <c:v>18.864735798874595</c:v>
                </c:pt>
                <c:pt idx="19">
                  <c:v>19.976258058804735</c:v>
                </c:pt>
                <c:pt idx="20">
                  <c:v>21.087780318734875</c:v>
                </c:pt>
              </c:numCache>
            </c:numRef>
          </c:cat>
          <c:val>
            <c:numRef>
              <c:f>NormalErrors!$L$6:$L$26</c:f>
              <c:numCache>
                <c:formatCode>General</c:formatCode>
                <c:ptCount val="2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1C-E444-B4D2-4ED3889E2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4204479"/>
        <c:axId val="1944776639"/>
      </c:barChart>
      <c:catAx>
        <c:axId val="194420447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776639"/>
        <c:crosses val="autoZero"/>
        <c:auto val="1"/>
        <c:lblAlgn val="ctr"/>
        <c:lblOffset val="100"/>
        <c:noMultiLvlLbl val="0"/>
      </c:catAx>
      <c:valAx>
        <c:axId val="19447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0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IndepErrors!$F$6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IndepErrors!$F$7:$F$206</c:f>
              <c:numCache>
                <c:formatCode>General</c:formatCode>
                <c:ptCount val="200"/>
                <c:pt idx="0">
                  <c:v>-3805.7121987166211</c:v>
                </c:pt>
                <c:pt idx="1">
                  <c:v>-2333.8709213329712</c:v>
                </c:pt>
                <c:pt idx="2">
                  <c:v>-2505.1791260598802</c:v>
                </c:pt>
                <c:pt idx="3">
                  <c:v>-1941.2835931486861</c:v>
                </c:pt>
                <c:pt idx="4">
                  <c:v>-5704.6315238226261</c:v>
                </c:pt>
                <c:pt idx="5">
                  <c:v>-901.39480707589428</c:v>
                </c:pt>
                <c:pt idx="6">
                  <c:v>-1603.8233502410676</c:v>
                </c:pt>
                <c:pt idx="7">
                  <c:v>-5782.9031955233895</c:v>
                </c:pt>
                <c:pt idx="8">
                  <c:v>-2417.620817579189</c:v>
                </c:pt>
                <c:pt idx="9">
                  <c:v>-3824.4639765137654</c:v>
                </c:pt>
                <c:pt idx="10">
                  <c:v>-776.03748802144582</c:v>
                </c:pt>
                <c:pt idx="11">
                  <c:v>-1724.4758700149459</c:v>
                </c:pt>
                <c:pt idx="12">
                  <c:v>1136.7414436048875</c:v>
                </c:pt>
                <c:pt idx="13">
                  <c:v>-119.36390379130535</c:v>
                </c:pt>
                <c:pt idx="14">
                  <c:v>-2746.2983007407365</c:v>
                </c:pt>
                <c:pt idx="15">
                  <c:v>-2030.5933726481653</c:v>
                </c:pt>
                <c:pt idx="16">
                  <c:v>8965.9107645027325</c:v>
                </c:pt>
                <c:pt idx="17">
                  <c:v>13354.011466056982</c:v>
                </c:pt>
                <c:pt idx="18">
                  <c:v>12165.783975308663</c:v>
                </c:pt>
                <c:pt idx="19">
                  <c:v>423.72287678309658</c:v>
                </c:pt>
                <c:pt idx="20">
                  <c:v>-2312.7615740942219</c:v>
                </c:pt>
                <c:pt idx="21">
                  <c:v>-1687.4065914555276</c:v>
                </c:pt>
                <c:pt idx="22">
                  <c:v>-338.88112416441891</c:v>
                </c:pt>
                <c:pt idx="23">
                  <c:v>4684.167471248029</c:v>
                </c:pt>
                <c:pt idx="24">
                  <c:v>-2609.031167510705</c:v>
                </c:pt>
                <c:pt idx="25">
                  <c:v>-4052.4563528751332</c:v>
                </c:pt>
                <c:pt idx="26">
                  <c:v>-2916.6823430645645</c:v>
                </c:pt>
                <c:pt idx="27">
                  <c:v>-219.63865323956998</c:v>
                </c:pt>
                <c:pt idx="28">
                  <c:v>-1377.6616441840997</c:v>
                </c:pt>
                <c:pt idx="29">
                  <c:v>-4987.0681049197738</c:v>
                </c:pt>
                <c:pt idx="30">
                  <c:v>-4092.3686402474805</c:v>
                </c:pt>
                <c:pt idx="31">
                  <c:v>-1656.9944154701861</c:v>
                </c:pt>
                <c:pt idx="32">
                  <c:v>-610.39084115323931</c:v>
                </c:pt>
                <c:pt idx="33">
                  <c:v>-3477.0841595403917</c:v>
                </c:pt>
                <c:pt idx="34">
                  <c:v>-663.55882425679192</c:v>
                </c:pt>
                <c:pt idx="35">
                  <c:v>275.05285947401717</c:v>
                </c:pt>
                <c:pt idx="36">
                  <c:v>-2678.7108475037562</c:v>
                </c:pt>
                <c:pt idx="37">
                  <c:v>3204.0353532812705</c:v>
                </c:pt>
                <c:pt idx="38">
                  <c:v>-210.95421286476994</c:v>
                </c:pt>
                <c:pt idx="39">
                  <c:v>386.10914291100562</c:v>
                </c:pt>
                <c:pt idx="40">
                  <c:v>-17.517160646076263</c:v>
                </c:pt>
                <c:pt idx="41">
                  <c:v>-2345.2309291639522</c:v>
                </c:pt>
                <c:pt idx="42">
                  <c:v>-2059.0489538997017</c:v>
                </c:pt>
                <c:pt idx="43">
                  <c:v>706.84447995262781</c:v>
                </c:pt>
                <c:pt idx="44">
                  <c:v>-1872.6081427368072</c:v>
                </c:pt>
                <c:pt idx="45">
                  <c:v>533.97611805318593</c:v>
                </c:pt>
                <c:pt idx="46">
                  <c:v>4209.0632826546325</c:v>
                </c:pt>
                <c:pt idx="47">
                  <c:v>-2508.2490549442928</c:v>
                </c:pt>
                <c:pt idx="48">
                  <c:v>-941.63584367238218</c:v>
                </c:pt>
                <c:pt idx="49">
                  <c:v>-2764.4619414015951</c:v>
                </c:pt>
                <c:pt idx="50">
                  <c:v>-1295.4120060712921</c:v>
                </c:pt>
                <c:pt idx="51">
                  <c:v>-3240.0008599707235</c:v>
                </c:pt>
                <c:pt idx="52">
                  <c:v>-3776.6593714317169</c:v>
                </c:pt>
                <c:pt idx="53">
                  <c:v>7744.7367309129768</c:v>
                </c:pt>
                <c:pt idx="54">
                  <c:v>14314.762700661786</c:v>
                </c:pt>
                <c:pt idx="55">
                  <c:v>11625.491005564763</c:v>
                </c:pt>
                <c:pt idx="56">
                  <c:v>-562.27194895917455</c:v>
                </c:pt>
                <c:pt idx="57">
                  <c:v>17.710569548929925</c:v>
                </c:pt>
                <c:pt idx="58">
                  <c:v>-4619.9977885025983</c:v>
                </c:pt>
                <c:pt idx="59">
                  <c:v>-2060.045031360125</c:v>
                </c:pt>
                <c:pt idx="60">
                  <c:v>-1897.3340377093127</c:v>
                </c:pt>
                <c:pt idx="61">
                  <c:v>-1357.3666923791225</c:v>
                </c:pt>
                <c:pt idx="62">
                  <c:v>-1112.3605055716998</c:v>
                </c:pt>
                <c:pt idx="63">
                  <c:v>-629.7408704838017</c:v>
                </c:pt>
                <c:pt idx="64">
                  <c:v>-3658.000214882838</c:v>
                </c:pt>
                <c:pt idx="65">
                  <c:v>-1050.3501758406383</c:v>
                </c:pt>
                <c:pt idx="66">
                  <c:v>-1442.6678775668934</c:v>
                </c:pt>
                <c:pt idx="67">
                  <c:v>-2980.801283622066</c:v>
                </c:pt>
                <c:pt idx="68">
                  <c:v>-153.03302859247196</c:v>
                </c:pt>
                <c:pt idx="69">
                  <c:v>-404.25526108270606</c:v>
                </c:pt>
                <c:pt idx="70">
                  <c:v>-2408.2797693908751</c:v>
                </c:pt>
                <c:pt idx="71">
                  <c:v>-1211.3338721723385</c:v>
                </c:pt>
                <c:pt idx="72">
                  <c:v>4091.6853755759344</c:v>
                </c:pt>
                <c:pt idx="73">
                  <c:v>4873.9812947870651</c:v>
                </c:pt>
                <c:pt idx="74">
                  <c:v>13655.589748430817</c:v>
                </c:pt>
                <c:pt idx="75">
                  <c:v>2233.084329850617</c:v>
                </c:pt>
                <c:pt idx="76">
                  <c:v>-3452.9016824866085</c:v>
                </c:pt>
                <c:pt idx="77">
                  <c:v>871.5591777257614</c:v>
                </c:pt>
                <c:pt idx="78">
                  <c:v>-523.45533471777344</c:v>
                </c:pt>
                <c:pt idx="79">
                  <c:v>-6385.7477343606915</c:v>
                </c:pt>
                <c:pt idx="80">
                  <c:v>-8899.6042649075862</c:v>
                </c:pt>
                <c:pt idx="81">
                  <c:v>-4411.4766660496771</c:v>
                </c:pt>
                <c:pt idx="82">
                  <c:v>-3447.3286779410118</c:v>
                </c:pt>
                <c:pt idx="83">
                  <c:v>-4128.8764809649456</c:v>
                </c:pt>
                <c:pt idx="84">
                  <c:v>-5188.5065951963861</c:v>
                </c:pt>
                <c:pt idx="85">
                  <c:v>-4808.0823875975238</c:v>
                </c:pt>
                <c:pt idx="86">
                  <c:v>-808.33768424392656</c:v>
                </c:pt>
                <c:pt idx="87">
                  <c:v>-1592.4665948941765</c:v>
                </c:pt>
                <c:pt idx="88">
                  <c:v>-79.003322141070385</c:v>
                </c:pt>
                <c:pt idx="89">
                  <c:v>4892.8539165451293</c:v>
                </c:pt>
                <c:pt idx="90">
                  <c:v>-2235.2251790558148</c:v>
                </c:pt>
                <c:pt idx="91">
                  <c:v>-4683.580013260118</c:v>
                </c:pt>
                <c:pt idx="92">
                  <c:v>-260.33680617010668</c:v>
                </c:pt>
                <c:pt idx="93">
                  <c:v>4515.0065370673128</c:v>
                </c:pt>
                <c:pt idx="94">
                  <c:v>-2223.8241349865011</c:v>
                </c:pt>
                <c:pt idx="95">
                  <c:v>5100.4747202257486</c:v>
                </c:pt>
                <c:pt idx="96">
                  <c:v>17845.158712834134</c:v>
                </c:pt>
                <c:pt idx="97">
                  <c:v>-3286.5427970354795</c:v>
                </c:pt>
                <c:pt idx="98">
                  <c:v>-757.72435319300166</c:v>
                </c:pt>
                <c:pt idx="99">
                  <c:v>-2640.9150592425758</c:v>
                </c:pt>
                <c:pt idx="100">
                  <c:v>-3004.9026219146053</c:v>
                </c:pt>
                <c:pt idx="101">
                  <c:v>-2914.3986622754292</c:v>
                </c:pt>
                <c:pt idx="102">
                  <c:v>139.21906666580526</c:v>
                </c:pt>
                <c:pt idx="103">
                  <c:v>9103.4099028866767</c:v>
                </c:pt>
                <c:pt idx="104">
                  <c:v>4638.2219559091627</c:v>
                </c:pt>
                <c:pt idx="105">
                  <c:v>-3722.1754407273811</c:v>
                </c:pt>
                <c:pt idx="106">
                  <c:v>-834.64299119218595</c:v>
                </c:pt>
                <c:pt idx="107">
                  <c:v>217.89113762070338</c:v>
                </c:pt>
                <c:pt idx="108">
                  <c:v>2113.8095191442881</c:v>
                </c:pt>
                <c:pt idx="109">
                  <c:v>-2419.0151315285034</c:v>
                </c:pt>
                <c:pt idx="110">
                  <c:v>1448.1426094480576</c:v>
                </c:pt>
                <c:pt idx="111">
                  <c:v>1141.8392548249994</c:v>
                </c:pt>
                <c:pt idx="112">
                  <c:v>-762.68964992957808</c:v>
                </c:pt>
                <c:pt idx="113">
                  <c:v>-2364.0357943601666</c:v>
                </c:pt>
                <c:pt idx="114">
                  <c:v>-3115.0558245355596</c:v>
                </c:pt>
                <c:pt idx="115">
                  <c:v>1089.370120495365</c:v>
                </c:pt>
                <c:pt idx="116">
                  <c:v>-4470.0264309170343</c:v>
                </c:pt>
                <c:pt idx="117">
                  <c:v>-3506.7686381623098</c:v>
                </c:pt>
                <c:pt idx="118">
                  <c:v>3891.5115996834793</c:v>
                </c:pt>
                <c:pt idx="119">
                  <c:v>-2149.4090565959377</c:v>
                </c:pt>
                <c:pt idx="120">
                  <c:v>1868.1554845623996</c:v>
                </c:pt>
                <c:pt idx="121">
                  <c:v>4289.1374568256542</c:v>
                </c:pt>
                <c:pt idx="122">
                  <c:v>18743.831288350346</c:v>
                </c:pt>
                <c:pt idx="123">
                  <c:v>11736.380795147037</c:v>
                </c:pt>
                <c:pt idx="124">
                  <c:v>-684.83510390577521</c:v>
                </c:pt>
                <c:pt idx="125">
                  <c:v>157.70275221787142</c:v>
                </c:pt>
                <c:pt idx="126">
                  <c:v>484.13095859763098</c:v>
                </c:pt>
                <c:pt idx="127">
                  <c:v>6956.1417287364256</c:v>
                </c:pt>
                <c:pt idx="128">
                  <c:v>4988.0131887744592</c:v>
                </c:pt>
                <c:pt idx="129">
                  <c:v>-4618.7324500072191</c:v>
                </c:pt>
                <c:pt idx="130">
                  <c:v>-2740.9791353232094</c:v>
                </c:pt>
                <c:pt idx="131">
                  <c:v>746.19788238404362</c:v>
                </c:pt>
                <c:pt idx="132">
                  <c:v>6317.7896137229327</c:v>
                </c:pt>
                <c:pt idx="133">
                  <c:v>18855.86279826699</c:v>
                </c:pt>
                <c:pt idx="134">
                  <c:v>9054.5021966505919</c:v>
                </c:pt>
                <c:pt idx="135">
                  <c:v>277.94827605480896</c:v>
                </c:pt>
                <c:pt idx="136">
                  <c:v>3682.3957784493377</c:v>
                </c:pt>
                <c:pt idx="137">
                  <c:v>-3614.3113533574615</c:v>
                </c:pt>
                <c:pt idx="138">
                  <c:v>-964.07130417627559</c:v>
                </c:pt>
                <c:pt idx="139">
                  <c:v>-3274.1432767303595</c:v>
                </c:pt>
                <c:pt idx="140">
                  <c:v>-2283.7291995872674</c:v>
                </c:pt>
                <c:pt idx="141">
                  <c:v>5724.2178527760361</c:v>
                </c:pt>
                <c:pt idx="142">
                  <c:v>-17.795786817589033</c:v>
                </c:pt>
                <c:pt idx="143">
                  <c:v>-1724.7843380773184</c:v>
                </c:pt>
                <c:pt idx="144">
                  <c:v>1960.9322697980451</c:v>
                </c:pt>
                <c:pt idx="145">
                  <c:v>-585.69252804518874</c:v>
                </c:pt>
                <c:pt idx="146">
                  <c:v>-4032.192590792356</c:v>
                </c:pt>
                <c:pt idx="147">
                  <c:v>-1989.8993327514372</c:v>
                </c:pt>
                <c:pt idx="148">
                  <c:v>4010.8265237033793</c:v>
                </c:pt>
                <c:pt idx="149">
                  <c:v>-1033.6271173313016</c:v>
                </c:pt>
                <c:pt idx="150">
                  <c:v>-3457.6479982220699</c:v>
                </c:pt>
                <c:pt idx="151">
                  <c:v>-2173.6717470925378</c:v>
                </c:pt>
                <c:pt idx="152">
                  <c:v>-756.75147026997638</c:v>
                </c:pt>
                <c:pt idx="153">
                  <c:v>3500.7169024470968</c:v>
                </c:pt>
                <c:pt idx="154">
                  <c:v>1331.6552929832224</c:v>
                </c:pt>
                <c:pt idx="155">
                  <c:v>-2551.0543848804891</c:v>
                </c:pt>
                <c:pt idx="156">
                  <c:v>513.0775176616462</c:v>
                </c:pt>
                <c:pt idx="157">
                  <c:v>-1012.0480564363061</c:v>
                </c:pt>
                <c:pt idx="158">
                  <c:v>-2666.9437378370239</c:v>
                </c:pt>
                <c:pt idx="159">
                  <c:v>-3721.7063715604418</c:v>
                </c:pt>
                <c:pt idx="160">
                  <c:v>-3392.4580823796714</c:v>
                </c:pt>
                <c:pt idx="161">
                  <c:v>1441.0290845429081</c:v>
                </c:pt>
                <c:pt idx="162">
                  <c:v>2137.6134761959838</c:v>
                </c:pt>
                <c:pt idx="163">
                  <c:v>-4972.5424749059257</c:v>
                </c:pt>
                <c:pt idx="164">
                  <c:v>-2214.7285367876111</c:v>
                </c:pt>
                <c:pt idx="165">
                  <c:v>537.88580447653203</c:v>
                </c:pt>
                <c:pt idx="166">
                  <c:v>1374.3634058656035</c:v>
                </c:pt>
                <c:pt idx="167">
                  <c:v>953.38477453569794</c:v>
                </c:pt>
                <c:pt idx="168">
                  <c:v>-378.87495931574995</c:v>
                </c:pt>
                <c:pt idx="169">
                  <c:v>-5212.2309130550184</c:v>
                </c:pt>
                <c:pt idx="170">
                  <c:v>-1638.1814455780641</c:v>
                </c:pt>
                <c:pt idx="171">
                  <c:v>3612.0738008608541</c:v>
                </c:pt>
                <c:pt idx="172">
                  <c:v>13729.907888074888</c:v>
                </c:pt>
                <c:pt idx="173">
                  <c:v>15519.225301725304</c:v>
                </c:pt>
                <c:pt idx="174">
                  <c:v>-406.17361646261907</c:v>
                </c:pt>
                <c:pt idx="175">
                  <c:v>843.03033903243158</c:v>
                </c:pt>
                <c:pt idx="176">
                  <c:v>-1264.4088138509069</c:v>
                </c:pt>
                <c:pt idx="177">
                  <c:v>-2414.0188223173245</c:v>
                </c:pt>
                <c:pt idx="178">
                  <c:v>-1904.5399132619295</c:v>
                </c:pt>
                <c:pt idx="179">
                  <c:v>-2120.32472870528</c:v>
                </c:pt>
                <c:pt idx="180">
                  <c:v>-3045.510209478829</c:v>
                </c:pt>
                <c:pt idx="181">
                  <c:v>-5033.3376018870185</c:v>
                </c:pt>
                <c:pt idx="182">
                  <c:v>-1573.9295342003643</c:v>
                </c:pt>
                <c:pt idx="183">
                  <c:v>-340.3320936013406</c:v>
                </c:pt>
                <c:pt idx="184">
                  <c:v>-1412.7810797329348</c:v>
                </c:pt>
                <c:pt idx="185">
                  <c:v>-2656.7161312609151</c:v>
                </c:pt>
                <c:pt idx="186">
                  <c:v>-3449.4057761013964</c:v>
                </c:pt>
                <c:pt idx="187">
                  <c:v>-2813.4652640407003</c:v>
                </c:pt>
                <c:pt idx="188">
                  <c:v>-23.297818412900597</c:v>
                </c:pt>
                <c:pt idx="189">
                  <c:v>2380.1450255626632</c:v>
                </c:pt>
                <c:pt idx="190">
                  <c:v>-1125.3161088085744</c:v>
                </c:pt>
                <c:pt idx="191">
                  <c:v>-675.48891417138384</c:v>
                </c:pt>
                <c:pt idx="192">
                  <c:v>2557.1173512824007</c:v>
                </c:pt>
                <c:pt idx="193">
                  <c:v>1579.5343274901879</c:v>
                </c:pt>
                <c:pt idx="194">
                  <c:v>-3376.0814247503258</c:v>
                </c:pt>
                <c:pt idx="195">
                  <c:v>-2397.4197080103404</c:v>
                </c:pt>
                <c:pt idx="196">
                  <c:v>-3800.2404024313746</c:v>
                </c:pt>
                <c:pt idx="197">
                  <c:v>-3792.6754898395975</c:v>
                </c:pt>
                <c:pt idx="198">
                  <c:v>-3514.0956515537991</c:v>
                </c:pt>
                <c:pt idx="199">
                  <c:v>-1067.6429854786056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6-2642-A41F-2BB0FC0BE52F}"/>
            </c:ext>
          </c:extLst>
        </c:ser>
        <c:ser>
          <c:idx val="1"/>
          <c:order val="1"/>
          <c:tx>
            <c:strRef>
              <c:f>IndepErrors!$G$6</c:f>
              <c:strCache>
                <c:ptCount val="1"/>
                <c:pt idx="0">
                  <c:v>errorSim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IndepErrors!$G$7:$G$206</c:f>
              <c:numCache>
                <c:formatCode>General</c:formatCode>
                <c:ptCount val="2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C6-2642-A41F-2BB0FC0BE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339631"/>
        <c:axId val="1944341279"/>
      </c:lineChart>
      <c:catAx>
        <c:axId val="194433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341279"/>
        <c:crosses val="autoZero"/>
        <c:auto val="1"/>
        <c:lblAlgn val="ctr"/>
        <c:lblOffset val="100"/>
        <c:noMultiLvlLbl val="0"/>
      </c:catAx>
      <c:valAx>
        <c:axId val="194434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33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HowTo_SLR!$C$3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HowTo_SLR!$B$4:$B$23</c:f>
              <c:numCache>
                <c:formatCode>General</c:formatCode>
                <c:ptCount val="20"/>
                <c:pt idx="0">
                  <c:v>9.4380990006811754</c:v>
                </c:pt>
                <c:pt idx="1">
                  <c:v>2.5023281421339085</c:v>
                </c:pt>
                <c:pt idx="2">
                  <c:v>4.901416415107569</c:v>
                </c:pt>
                <c:pt idx="3">
                  <c:v>2.7787382071884759</c:v>
                </c:pt>
                <c:pt idx="4">
                  <c:v>4.5864353310198211</c:v>
                </c:pt>
                <c:pt idx="5">
                  <c:v>4.9334477386405755</c:v>
                </c:pt>
                <c:pt idx="6">
                  <c:v>9.6480624544268174</c:v>
                </c:pt>
                <c:pt idx="7">
                  <c:v>3.0812577721865231</c:v>
                </c:pt>
                <c:pt idx="8">
                  <c:v>9.7841587507771912</c:v>
                </c:pt>
                <c:pt idx="9">
                  <c:v>2.2459434312610851</c:v>
                </c:pt>
                <c:pt idx="10">
                  <c:v>2.7346646756396753</c:v>
                </c:pt>
                <c:pt idx="11">
                  <c:v>8.3562867419478675</c:v>
                </c:pt>
                <c:pt idx="12">
                  <c:v>0.87845451459495183</c:v>
                </c:pt>
                <c:pt idx="13">
                  <c:v>5.4092004334553128</c:v>
                </c:pt>
                <c:pt idx="14">
                  <c:v>4.767470518963548</c:v>
                </c:pt>
                <c:pt idx="15">
                  <c:v>5.0261014447661569</c:v>
                </c:pt>
                <c:pt idx="16">
                  <c:v>1.9745019085523807</c:v>
                </c:pt>
                <c:pt idx="17">
                  <c:v>2.3276069813145939</c:v>
                </c:pt>
                <c:pt idx="18">
                  <c:v>1.4392451049857968</c:v>
                </c:pt>
                <c:pt idx="19">
                  <c:v>2.7794220810994377</c:v>
                </c:pt>
              </c:numCache>
            </c:numRef>
          </c:xVal>
          <c:yVal>
            <c:numRef>
              <c:f>HowTo_SLR!$C$4:$C$23</c:f>
              <c:numCache>
                <c:formatCode>General</c:formatCode>
                <c:ptCount val="20"/>
                <c:pt idx="0">
                  <c:v>21.823579356364064</c:v>
                </c:pt>
                <c:pt idx="1">
                  <c:v>9.3338838662598143</c:v>
                </c:pt>
                <c:pt idx="2">
                  <c:v>15.389324806692162</c:v>
                </c:pt>
                <c:pt idx="3">
                  <c:v>11.153177582434799</c:v>
                </c:pt>
                <c:pt idx="4">
                  <c:v>15.57142509250798</c:v>
                </c:pt>
                <c:pt idx="5">
                  <c:v>17.356692021795055</c:v>
                </c:pt>
                <c:pt idx="6">
                  <c:v>22.974968091920708</c:v>
                </c:pt>
                <c:pt idx="7">
                  <c:v>11.761938818935661</c:v>
                </c:pt>
                <c:pt idx="8">
                  <c:v>27.034500405267281</c:v>
                </c:pt>
                <c:pt idx="9">
                  <c:v>10.204970105143691</c:v>
                </c:pt>
                <c:pt idx="10">
                  <c:v>11.810039888275384</c:v>
                </c:pt>
                <c:pt idx="11">
                  <c:v>26.773968633752169</c:v>
                </c:pt>
                <c:pt idx="12">
                  <c:v>6.667394545244572</c:v>
                </c:pt>
                <c:pt idx="13">
                  <c:v>17.250073350839877</c:v>
                </c:pt>
                <c:pt idx="14">
                  <c:v>14.30496316718623</c:v>
                </c:pt>
                <c:pt idx="15">
                  <c:v>15.222413842804855</c:v>
                </c:pt>
                <c:pt idx="16">
                  <c:v>10.851159929151663</c:v>
                </c:pt>
                <c:pt idx="17">
                  <c:v>11.301991217734546</c:v>
                </c:pt>
                <c:pt idx="18">
                  <c:v>8.2061228070552659</c:v>
                </c:pt>
                <c:pt idx="19">
                  <c:v>9.6142140777032488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91-874A-BDA6-D705E2E05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899631"/>
        <c:axId val="1945212927"/>
      </c:scatterChart>
      <c:valAx>
        <c:axId val="194589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12927"/>
        <c:crosses val="autoZero"/>
        <c:crossBetween val="midCat"/>
      </c:valAx>
      <c:valAx>
        <c:axId val="194521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89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HowTo_MLR!$D$3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HowTo_MLR!$B$4:$B$23</c:f>
              <c:numCache>
                <c:formatCode>General</c:formatCode>
                <c:ptCount val="20"/>
                <c:pt idx="0">
                  <c:v>1.9856443788019529</c:v>
                </c:pt>
                <c:pt idx="1">
                  <c:v>4.8884162091856762</c:v>
                </c:pt>
                <c:pt idx="2">
                  <c:v>5.6839407884192479</c:v>
                </c:pt>
                <c:pt idx="3">
                  <c:v>4.8034826680463771</c:v>
                </c:pt>
                <c:pt idx="4">
                  <c:v>5.7817519680329301</c:v>
                </c:pt>
                <c:pt idx="5">
                  <c:v>7.3050925823228932</c:v>
                </c:pt>
                <c:pt idx="6">
                  <c:v>8.9807260795973178</c:v>
                </c:pt>
                <c:pt idx="7">
                  <c:v>4.1409108668044041</c:v>
                </c:pt>
                <c:pt idx="8">
                  <c:v>2.5603073556250768</c:v>
                </c:pt>
                <c:pt idx="9">
                  <c:v>3.8096514174410059</c:v>
                </c:pt>
                <c:pt idx="10">
                  <c:v>1.8190965660677105</c:v>
                </c:pt>
                <c:pt idx="11">
                  <c:v>5.7913684867449717</c:v>
                </c:pt>
                <c:pt idx="12">
                  <c:v>1.8953885986995089</c:v>
                </c:pt>
                <c:pt idx="13">
                  <c:v>6.7300967980489474</c:v>
                </c:pt>
                <c:pt idx="14">
                  <c:v>7.6702372881745546</c:v>
                </c:pt>
                <c:pt idx="15">
                  <c:v>2.1882296793954992</c:v>
                </c:pt>
                <c:pt idx="16">
                  <c:v>7.5134997747218737</c:v>
                </c:pt>
                <c:pt idx="17">
                  <c:v>4.0736403278149709</c:v>
                </c:pt>
                <c:pt idx="18">
                  <c:v>1.552339274903255</c:v>
                </c:pt>
                <c:pt idx="19">
                  <c:v>7.4422988644045684</c:v>
                </c:pt>
              </c:numCache>
            </c:numRef>
          </c:xVal>
          <c:yVal>
            <c:numRef>
              <c:f>HowTo_MLR!$D$4:$D$23</c:f>
              <c:numCache>
                <c:formatCode>General</c:formatCode>
                <c:ptCount val="20"/>
                <c:pt idx="0">
                  <c:v>36.719947260697325</c:v>
                </c:pt>
                <c:pt idx="1">
                  <c:v>33.480956459499403</c:v>
                </c:pt>
                <c:pt idx="2">
                  <c:v>44.629851931257029</c:v>
                </c:pt>
                <c:pt idx="3">
                  <c:v>43.329479427588055</c:v>
                </c:pt>
                <c:pt idx="4">
                  <c:v>45.926219842434357</c:v>
                </c:pt>
                <c:pt idx="5">
                  <c:v>42.849748073052858</c:v>
                </c:pt>
                <c:pt idx="6">
                  <c:v>29.251814741482182</c:v>
                </c:pt>
                <c:pt idx="7">
                  <c:v>40.195914249879095</c:v>
                </c:pt>
                <c:pt idx="8">
                  <c:v>16.467921772599226</c:v>
                </c:pt>
                <c:pt idx="9">
                  <c:v>25.425713337038342</c:v>
                </c:pt>
                <c:pt idx="10">
                  <c:v>43.638890831512327</c:v>
                </c:pt>
                <c:pt idx="11">
                  <c:v>21.754221608927846</c:v>
                </c:pt>
                <c:pt idx="12">
                  <c:v>18.943938302897877</c:v>
                </c:pt>
                <c:pt idx="13">
                  <c:v>35.330016451897137</c:v>
                </c:pt>
                <c:pt idx="14">
                  <c:v>34.767719091832738</c:v>
                </c:pt>
                <c:pt idx="15">
                  <c:v>41.437431770228578</c:v>
                </c:pt>
                <c:pt idx="16">
                  <c:v>22.633287415763139</c:v>
                </c:pt>
                <c:pt idx="17">
                  <c:v>39.722555172146848</c:v>
                </c:pt>
                <c:pt idx="18">
                  <c:v>33.553001733550708</c:v>
                </c:pt>
                <c:pt idx="19">
                  <c:v>42.707046903543961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0-4D40-AB9D-5B59F0E4D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899631"/>
        <c:axId val="1945212927"/>
      </c:scatterChart>
      <c:valAx>
        <c:axId val="194589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12927"/>
        <c:crosses val="autoZero"/>
        <c:crossBetween val="midCat"/>
      </c:valAx>
      <c:valAx>
        <c:axId val="194521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89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LINEST!$B$7:$B$56</c:f>
              <c:numCache>
                <c:formatCode>General</c:formatCode>
                <c:ptCount val="50"/>
                <c:pt idx="0">
                  <c:v>0.91493732368240066</c:v>
                </c:pt>
                <c:pt idx="1">
                  <c:v>0.94714671051374655</c:v>
                </c:pt>
                <c:pt idx="2">
                  <c:v>0.39113688900332855</c:v>
                </c:pt>
                <c:pt idx="3">
                  <c:v>0.25520866739984271</c:v>
                </c:pt>
                <c:pt idx="4">
                  <c:v>0.42218617327365382</c:v>
                </c:pt>
                <c:pt idx="5">
                  <c:v>0.79885430027205961</c:v>
                </c:pt>
                <c:pt idx="6">
                  <c:v>0.48547498170219705</c:v>
                </c:pt>
                <c:pt idx="7">
                  <c:v>0.14733950070779767</c:v>
                </c:pt>
                <c:pt idx="8">
                  <c:v>0.60350751380576695</c:v>
                </c:pt>
                <c:pt idx="9">
                  <c:v>0.5123618032479158</c:v>
                </c:pt>
                <c:pt idx="10">
                  <c:v>0.15970082895117288</c:v>
                </c:pt>
                <c:pt idx="11">
                  <c:v>0.56797564670705625</c:v>
                </c:pt>
                <c:pt idx="12">
                  <c:v>0.91063239720994704</c:v>
                </c:pt>
                <c:pt idx="13">
                  <c:v>0.64880276529236236</c:v>
                </c:pt>
                <c:pt idx="14">
                  <c:v>0.43903713386013588</c:v>
                </c:pt>
                <c:pt idx="15">
                  <c:v>0.94300162658895714</c:v>
                </c:pt>
                <c:pt idx="16">
                  <c:v>0.20122624259447652</c:v>
                </c:pt>
                <c:pt idx="17">
                  <c:v>0.71240758624812361</c:v>
                </c:pt>
                <c:pt idx="18">
                  <c:v>0.38836616901204857</c:v>
                </c:pt>
                <c:pt idx="19">
                  <c:v>0.2962931038547012</c:v>
                </c:pt>
                <c:pt idx="20">
                  <c:v>0.24830192733786849</c:v>
                </c:pt>
                <c:pt idx="21">
                  <c:v>0.59258559149234147</c:v>
                </c:pt>
                <c:pt idx="22">
                  <c:v>8.4121662512370854E-4</c:v>
                </c:pt>
                <c:pt idx="23">
                  <c:v>0.63965822298296127</c:v>
                </c:pt>
                <c:pt idx="24">
                  <c:v>0.38630686352653354</c:v>
                </c:pt>
                <c:pt idx="25">
                  <c:v>0.41243612952164643</c:v>
                </c:pt>
                <c:pt idx="26">
                  <c:v>0.80033170363687389</c:v>
                </c:pt>
                <c:pt idx="27">
                  <c:v>0.29138501538356398</c:v>
                </c:pt>
                <c:pt idx="28">
                  <c:v>0.28886866730385352</c:v>
                </c:pt>
                <c:pt idx="29">
                  <c:v>0.44157426860895876</c:v>
                </c:pt>
                <c:pt idx="30">
                  <c:v>7.9712358791307225E-2</c:v>
                </c:pt>
                <c:pt idx="31">
                  <c:v>0.15817621105037272</c:v>
                </c:pt>
                <c:pt idx="32">
                  <c:v>0.67371254024065563</c:v>
                </c:pt>
                <c:pt idx="33">
                  <c:v>0.9417273812794118</c:v>
                </c:pt>
                <c:pt idx="34">
                  <c:v>0.24352996873556809</c:v>
                </c:pt>
                <c:pt idx="35">
                  <c:v>0.15051350066901248</c:v>
                </c:pt>
                <c:pt idx="36">
                  <c:v>0.32085202552985592</c:v>
                </c:pt>
                <c:pt idx="37">
                  <c:v>0.14160805992469672</c:v>
                </c:pt>
                <c:pt idx="38">
                  <c:v>1.3966720632425988E-2</c:v>
                </c:pt>
                <c:pt idx="39">
                  <c:v>0.41766701996422795</c:v>
                </c:pt>
                <c:pt idx="40">
                  <c:v>0.12346534360756345</c:v>
                </c:pt>
                <c:pt idx="41">
                  <c:v>5.9594067527525163E-2</c:v>
                </c:pt>
                <c:pt idx="42">
                  <c:v>0.65941076934870901</c:v>
                </c:pt>
                <c:pt idx="43">
                  <c:v>0.26789642173292494</c:v>
                </c:pt>
                <c:pt idx="44">
                  <c:v>7.1643793629244557E-2</c:v>
                </c:pt>
                <c:pt idx="45">
                  <c:v>0.4762079652471255</c:v>
                </c:pt>
                <c:pt idx="46">
                  <c:v>0.42069132018409727</c:v>
                </c:pt>
                <c:pt idx="47">
                  <c:v>6.9788589811099588E-2</c:v>
                </c:pt>
                <c:pt idx="48">
                  <c:v>0.12303598602793464</c:v>
                </c:pt>
                <c:pt idx="49">
                  <c:v>0.74179413181748333</c:v>
                </c:pt>
              </c:numCache>
            </c:numRef>
          </c:xVal>
          <c:yVal>
            <c:numRef>
              <c:f>LINEST!$C$7:$C$56</c:f>
              <c:numCache>
                <c:formatCode>General</c:formatCode>
                <c:ptCount val="50"/>
                <c:pt idx="0">
                  <c:v>6.7610392409457569</c:v>
                </c:pt>
                <c:pt idx="1">
                  <c:v>15.795509242198687</c:v>
                </c:pt>
                <c:pt idx="2">
                  <c:v>3.4871836217861012</c:v>
                </c:pt>
                <c:pt idx="3">
                  <c:v>-5.2627208418262956</c:v>
                </c:pt>
                <c:pt idx="4">
                  <c:v>16.113446169924266</c:v>
                </c:pt>
                <c:pt idx="5">
                  <c:v>-0.20122888369384118</c:v>
                </c:pt>
                <c:pt idx="6">
                  <c:v>0.43717635622009254</c:v>
                </c:pt>
                <c:pt idx="7">
                  <c:v>4.9274771994623032</c:v>
                </c:pt>
                <c:pt idx="8">
                  <c:v>-3.4267573189892691</c:v>
                </c:pt>
                <c:pt idx="9">
                  <c:v>16.466056375754906</c:v>
                </c:pt>
                <c:pt idx="10">
                  <c:v>13.293807136936106</c:v>
                </c:pt>
                <c:pt idx="11">
                  <c:v>2.9144638437600672</c:v>
                </c:pt>
                <c:pt idx="12">
                  <c:v>8.9262793298163974</c:v>
                </c:pt>
                <c:pt idx="13">
                  <c:v>1.8842695605526654</c:v>
                </c:pt>
                <c:pt idx="14">
                  <c:v>-3.053445133356175</c:v>
                </c:pt>
                <c:pt idx="15">
                  <c:v>4.4016110729513604</c:v>
                </c:pt>
                <c:pt idx="16">
                  <c:v>-5.9542301390296819</c:v>
                </c:pt>
                <c:pt idx="17">
                  <c:v>14.667529926193724</c:v>
                </c:pt>
                <c:pt idx="18">
                  <c:v>6.5493114111511037</c:v>
                </c:pt>
                <c:pt idx="19">
                  <c:v>6.6960657468276406</c:v>
                </c:pt>
                <c:pt idx="20">
                  <c:v>-0.35436008473833258</c:v>
                </c:pt>
                <c:pt idx="21">
                  <c:v>1.752154862801893</c:v>
                </c:pt>
                <c:pt idx="22">
                  <c:v>3.5961529082553789</c:v>
                </c:pt>
                <c:pt idx="23">
                  <c:v>11.85888530071856</c:v>
                </c:pt>
                <c:pt idx="24">
                  <c:v>6.7951146503503237</c:v>
                </c:pt>
                <c:pt idx="25">
                  <c:v>-3.15267446144657</c:v>
                </c:pt>
                <c:pt idx="26">
                  <c:v>2.0129294395898505</c:v>
                </c:pt>
                <c:pt idx="27">
                  <c:v>-4.7575532563673448</c:v>
                </c:pt>
                <c:pt idx="28">
                  <c:v>3.3005534933249483</c:v>
                </c:pt>
                <c:pt idx="29">
                  <c:v>1.4213777054544021</c:v>
                </c:pt>
                <c:pt idx="30">
                  <c:v>-4.2705085791874264E-2</c:v>
                </c:pt>
                <c:pt idx="31">
                  <c:v>3.5101081198910706</c:v>
                </c:pt>
                <c:pt idx="32">
                  <c:v>-5.346108653481112</c:v>
                </c:pt>
                <c:pt idx="33">
                  <c:v>9.8423354325816739</c:v>
                </c:pt>
                <c:pt idx="34">
                  <c:v>9.5878184414814847</c:v>
                </c:pt>
                <c:pt idx="35">
                  <c:v>-5.6593714163355298</c:v>
                </c:pt>
                <c:pt idx="36">
                  <c:v>0.89695076304109156</c:v>
                </c:pt>
                <c:pt idx="37">
                  <c:v>3.4099743144248409</c:v>
                </c:pt>
                <c:pt idx="38">
                  <c:v>9.1997563994894307</c:v>
                </c:pt>
                <c:pt idx="39">
                  <c:v>-0.67296462993459105</c:v>
                </c:pt>
                <c:pt idx="40">
                  <c:v>-3.2539746606471938</c:v>
                </c:pt>
                <c:pt idx="41">
                  <c:v>5.9974281652456707</c:v>
                </c:pt>
                <c:pt idx="42">
                  <c:v>16.993935360075799</c:v>
                </c:pt>
                <c:pt idx="43">
                  <c:v>-3.5319885512134528</c:v>
                </c:pt>
                <c:pt idx="44">
                  <c:v>9.8569257344605123</c:v>
                </c:pt>
                <c:pt idx="45">
                  <c:v>1.6673238972837305</c:v>
                </c:pt>
                <c:pt idx="46">
                  <c:v>5.5406970913777593</c:v>
                </c:pt>
                <c:pt idx="47">
                  <c:v>1.1066077497394775</c:v>
                </c:pt>
                <c:pt idx="48">
                  <c:v>5.2788765878822836</c:v>
                </c:pt>
                <c:pt idx="49">
                  <c:v>13.206216739833877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4-4672-A4E9-B7C42A40A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825024"/>
        <c:axId val="739263792"/>
      </c:scatterChart>
      <c:valAx>
        <c:axId val="6508250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263792"/>
        <c:crosses val="autoZero"/>
        <c:crossBetween val="midCat"/>
      </c:valAx>
      <c:valAx>
        <c:axId val="7392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LINEST!$B$7:$B$56</c:f>
              <c:numCache>
                <c:formatCode>General</c:formatCode>
                <c:ptCount val="50"/>
                <c:pt idx="0">
                  <c:v>0.91493732368240066</c:v>
                </c:pt>
                <c:pt idx="1">
                  <c:v>0.94714671051374655</c:v>
                </c:pt>
                <c:pt idx="2">
                  <c:v>0.39113688900332855</c:v>
                </c:pt>
                <c:pt idx="3">
                  <c:v>0.25520866739984271</c:v>
                </c:pt>
                <c:pt idx="4">
                  <c:v>0.42218617327365382</c:v>
                </c:pt>
                <c:pt idx="5">
                  <c:v>0.79885430027205961</c:v>
                </c:pt>
                <c:pt idx="6">
                  <c:v>0.48547498170219705</c:v>
                </c:pt>
                <c:pt idx="7">
                  <c:v>0.14733950070779767</c:v>
                </c:pt>
                <c:pt idx="8">
                  <c:v>0.60350751380576695</c:v>
                </c:pt>
                <c:pt idx="9">
                  <c:v>0.5123618032479158</c:v>
                </c:pt>
                <c:pt idx="10">
                  <c:v>0.15970082895117288</c:v>
                </c:pt>
                <c:pt idx="11">
                  <c:v>0.56797564670705625</c:v>
                </c:pt>
                <c:pt idx="12">
                  <c:v>0.91063239720994704</c:v>
                </c:pt>
                <c:pt idx="13">
                  <c:v>0.64880276529236236</c:v>
                </c:pt>
                <c:pt idx="14">
                  <c:v>0.43903713386013588</c:v>
                </c:pt>
                <c:pt idx="15">
                  <c:v>0.94300162658895714</c:v>
                </c:pt>
                <c:pt idx="16">
                  <c:v>0.20122624259447652</c:v>
                </c:pt>
                <c:pt idx="17">
                  <c:v>0.71240758624812361</c:v>
                </c:pt>
                <c:pt idx="18">
                  <c:v>0.38836616901204857</c:v>
                </c:pt>
                <c:pt idx="19">
                  <c:v>0.2962931038547012</c:v>
                </c:pt>
                <c:pt idx="20">
                  <c:v>0.24830192733786849</c:v>
                </c:pt>
                <c:pt idx="21">
                  <c:v>0.59258559149234147</c:v>
                </c:pt>
                <c:pt idx="22">
                  <c:v>8.4121662512370854E-4</c:v>
                </c:pt>
                <c:pt idx="23">
                  <c:v>0.63965822298296127</c:v>
                </c:pt>
                <c:pt idx="24">
                  <c:v>0.38630686352653354</c:v>
                </c:pt>
                <c:pt idx="25">
                  <c:v>0.41243612952164643</c:v>
                </c:pt>
                <c:pt idx="26">
                  <c:v>0.80033170363687389</c:v>
                </c:pt>
                <c:pt idx="27">
                  <c:v>0.29138501538356398</c:v>
                </c:pt>
                <c:pt idx="28">
                  <c:v>0.28886866730385352</c:v>
                </c:pt>
                <c:pt idx="29">
                  <c:v>0.44157426860895876</c:v>
                </c:pt>
                <c:pt idx="30">
                  <c:v>7.9712358791307225E-2</c:v>
                </c:pt>
                <c:pt idx="31">
                  <c:v>0.15817621105037272</c:v>
                </c:pt>
                <c:pt idx="32">
                  <c:v>0.67371254024065563</c:v>
                </c:pt>
                <c:pt idx="33">
                  <c:v>0.9417273812794118</c:v>
                </c:pt>
                <c:pt idx="34">
                  <c:v>0.24352996873556809</c:v>
                </c:pt>
                <c:pt idx="35">
                  <c:v>0.15051350066901248</c:v>
                </c:pt>
                <c:pt idx="36">
                  <c:v>0.32085202552985592</c:v>
                </c:pt>
                <c:pt idx="37">
                  <c:v>0.14160805992469672</c:v>
                </c:pt>
                <c:pt idx="38">
                  <c:v>1.3966720632425988E-2</c:v>
                </c:pt>
                <c:pt idx="39">
                  <c:v>0.41766701996422795</c:v>
                </c:pt>
                <c:pt idx="40">
                  <c:v>0.12346534360756345</c:v>
                </c:pt>
                <c:pt idx="41">
                  <c:v>5.9594067527525163E-2</c:v>
                </c:pt>
                <c:pt idx="42">
                  <c:v>0.65941076934870901</c:v>
                </c:pt>
                <c:pt idx="43">
                  <c:v>0.26789642173292494</c:v>
                </c:pt>
                <c:pt idx="44">
                  <c:v>7.1643793629244557E-2</c:v>
                </c:pt>
                <c:pt idx="45">
                  <c:v>0.4762079652471255</c:v>
                </c:pt>
                <c:pt idx="46">
                  <c:v>0.42069132018409727</c:v>
                </c:pt>
                <c:pt idx="47">
                  <c:v>6.9788589811099588E-2</c:v>
                </c:pt>
                <c:pt idx="48">
                  <c:v>0.12303598602793464</c:v>
                </c:pt>
                <c:pt idx="49">
                  <c:v>0.74179413181748333</c:v>
                </c:pt>
              </c:numCache>
            </c:numRef>
          </c:xVal>
          <c:yVal>
            <c:numRef>
              <c:f>LINEST!$C$7:$C$56</c:f>
              <c:numCache>
                <c:formatCode>General</c:formatCode>
                <c:ptCount val="50"/>
                <c:pt idx="0">
                  <c:v>6.7610392409457569</c:v>
                </c:pt>
                <c:pt idx="1">
                  <c:v>15.795509242198687</c:v>
                </c:pt>
                <c:pt idx="2">
                  <c:v>3.4871836217861012</c:v>
                </c:pt>
                <c:pt idx="3">
                  <c:v>-5.2627208418262956</c:v>
                </c:pt>
                <c:pt idx="4">
                  <c:v>16.113446169924266</c:v>
                </c:pt>
                <c:pt idx="5">
                  <c:v>-0.20122888369384118</c:v>
                </c:pt>
                <c:pt idx="6">
                  <c:v>0.43717635622009254</c:v>
                </c:pt>
                <c:pt idx="7">
                  <c:v>4.9274771994623032</c:v>
                </c:pt>
                <c:pt idx="8">
                  <c:v>-3.4267573189892691</c:v>
                </c:pt>
                <c:pt idx="9">
                  <c:v>16.466056375754906</c:v>
                </c:pt>
                <c:pt idx="10">
                  <c:v>13.293807136936106</c:v>
                </c:pt>
                <c:pt idx="11">
                  <c:v>2.9144638437600672</c:v>
                </c:pt>
                <c:pt idx="12">
                  <c:v>8.9262793298163974</c:v>
                </c:pt>
                <c:pt idx="13">
                  <c:v>1.8842695605526654</c:v>
                </c:pt>
                <c:pt idx="14">
                  <c:v>-3.053445133356175</c:v>
                </c:pt>
                <c:pt idx="15">
                  <c:v>4.4016110729513604</c:v>
                </c:pt>
                <c:pt idx="16">
                  <c:v>-5.9542301390296819</c:v>
                </c:pt>
                <c:pt idx="17">
                  <c:v>14.667529926193724</c:v>
                </c:pt>
                <c:pt idx="18">
                  <c:v>6.5493114111511037</c:v>
                </c:pt>
                <c:pt idx="19">
                  <c:v>6.6960657468276406</c:v>
                </c:pt>
                <c:pt idx="20">
                  <c:v>-0.35436008473833258</c:v>
                </c:pt>
                <c:pt idx="21">
                  <c:v>1.752154862801893</c:v>
                </c:pt>
                <c:pt idx="22">
                  <c:v>3.5961529082553789</c:v>
                </c:pt>
                <c:pt idx="23">
                  <c:v>11.85888530071856</c:v>
                </c:pt>
                <c:pt idx="24">
                  <c:v>6.7951146503503237</c:v>
                </c:pt>
                <c:pt idx="25">
                  <c:v>-3.15267446144657</c:v>
                </c:pt>
                <c:pt idx="26">
                  <c:v>2.0129294395898505</c:v>
                </c:pt>
                <c:pt idx="27">
                  <c:v>-4.7575532563673448</c:v>
                </c:pt>
                <c:pt idx="28">
                  <c:v>3.3005534933249483</c:v>
                </c:pt>
                <c:pt idx="29">
                  <c:v>1.4213777054544021</c:v>
                </c:pt>
                <c:pt idx="30">
                  <c:v>-4.2705085791874264E-2</c:v>
                </c:pt>
                <c:pt idx="31">
                  <c:v>3.5101081198910706</c:v>
                </c:pt>
                <c:pt idx="32">
                  <c:v>-5.346108653481112</c:v>
                </c:pt>
                <c:pt idx="33">
                  <c:v>9.8423354325816739</c:v>
                </c:pt>
                <c:pt idx="34">
                  <c:v>9.5878184414814847</c:v>
                </c:pt>
                <c:pt idx="35">
                  <c:v>-5.6593714163355298</c:v>
                </c:pt>
                <c:pt idx="36">
                  <c:v>0.89695076304109156</c:v>
                </c:pt>
                <c:pt idx="37">
                  <c:v>3.4099743144248409</c:v>
                </c:pt>
                <c:pt idx="38">
                  <c:v>9.1997563994894307</c:v>
                </c:pt>
                <c:pt idx="39">
                  <c:v>-0.67296462993459105</c:v>
                </c:pt>
                <c:pt idx="40">
                  <c:v>-3.2539746606471938</c:v>
                </c:pt>
                <c:pt idx="41">
                  <c:v>5.9974281652456707</c:v>
                </c:pt>
                <c:pt idx="42">
                  <c:v>16.993935360075799</c:v>
                </c:pt>
                <c:pt idx="43">
                  <c:v>-3.5319885512134528</c:v>
                </c:pt>
                <c:pt idx="44">
                  <c:v>9.8569257344605123</c:v>
                </c:pt>
                <c:pt idx="45">
                  <c:v>1.6673238972837305</c:v>
                </c:pt>
                <c:pt idx="46">
                  <c:v>5.5406970913777593</c:v>
                </c:pt>
                <c:pt idx="47">
                  <c:v>1.1066077497394775</c:v>
                </c:pt>
                <c:pt idx="48">
                  <c:v>5.2788765878822836</c:v>
                </c:pt>
                <c:pt idx="49">
                  <c:v>13.206216739833877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4-4672-A4E9-B7C42A40A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630016"/>
        <c:axId val="740272608"/>
      </c:scatterChart>
      <c:valAx>
        <c:axId val="71263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272608"/>
        <c:crosses val="autoZero"/>
        <c:crossBetween val="midCat"/>
      </c:valAx>
      <c:valAx>
        <c:axId val="74027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63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LikelihoodCalcs!$C$36</c:f>
              <c:strCache>
                <c:ptCount val="1"/>
                <c:pt idx="0">
                  <c:v>log(x)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LikelihoodCalcs!$B$37:$B$46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LikelihoodCalcs!$C$37:$C$46</c:f>
              <c:numCache>
                <c:formatCode>General</c:formatCode>
                <c:ptCount val="10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  <c:pt idx="7">
                  <c:v>2.0794415416798357</c:v>
                </c:pt>
                <c:pt idx="8">
                  <c:v>2.1972245773362196</c:v>
                </c:pt>
                <c:pt idx="9">
                  <c:v>2.3025850929940459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B-F145-BB34-A9CB3252B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585792"/>
        <c:axId val="774700976"/>
      </c:scatterChart>
      <c:valAx>
        <c:axId val="77458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00976"/>
        <c:crosses val="autoZero"/>
        <c:crossBetween val="midCat"/>
      </c:valAx>
      <c:valAx>
        <c:axId val="77470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8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391179FD-6B1F-994C-84B5-CE64C8404FB0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27AE1A72-EFA6-E747-9C9F-BE9F0E8E17E4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6A0C5923-1845-904E-8863-97D4417FF3BB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99F7058B-7DC9-7843-BDB0-2415697B5B75}"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11</xdr:row>
      <xdr:rowOff>209550</xdr:rowOff>
    </xdr:from>
    <xdr:to>
      <xdr:col>9</xdr:col>
      <xdr:colOff>673100</xdr:colOff>
      <xdr:row>19</xdr:row>
      <xdr:rowOff>311150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4B612BC-F700-5341-80F1-4BCE75624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4</xdr:row>
      <xdr:rowOff>209550</xdr:rowOff>
    </xdr:from>
    <xdr:to>
      <xdr:col>9</xdr:col>
      <xdr:colOff>673100</xdr:colOff>
      <xdr:row>12</xdr:row>
      <xdr:rowOff>311150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773F5E-40DC-5741-81EF-19C4F1FB6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50800</xdr:colOff>
      <xdr:row>0</xdr:row>
      <xdr:rowOff>0</xdr:rowOff>
    </xdr:from>
    <xdr:to>
      <xdr:col>42</xdr:col>
      <xdr:colOff>431800</xdr:colOff>
      <xdr:row>53</xdr:row>
      <xdr:rowOff>304800</xdr:rowOff>
    </xdr:to>
    <xdr:pic>
      <xdr:nvPicPr>
        <xdr:cNvPr id="3" name="Picture 2" descr="Explore 6 Different Ways of Mixing Greens">
          <a:extLst>
            <a:ext uri="{FF2B5EF4-FFF2-40B4-BE49-F238E27FC236}">
              <a16:creationId xmlns:a16="http://schemas.microsoft.com/office/drawing/2014/main" id="{2BB093F3-1484-1440-8B9B-C1D15A5F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0"/>
          <a:ext cx="26797000" cy="1804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781050</xdr:colOff>
      <xdr:row>26</xdr:row>
      <xdr:rowOff>101600</xdr:rowOff>
    </xdr:from>
    <xdr:to>
      <xdr:col>3</xdr:col>
      <xdr:colOff>0</xdr:colOff>
      <xdr:row>28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D1B56F4-6222-724F-ADE8-A04B0C9EFB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6550" y="7035800"/>
              <a:ext cx="869950" cy="55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31750</xdr:colOff>
      <xdr:row>26</xdr:row>
      <xdr:rowOff>88900</xdr:rowOff>
    </xdr:from>
    <xdr:to>
      <xdr:col>5</xdr:col>
      <xdr:colOff>76200</xdr:colOff>
      <xdr:row>28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9C70BF0-B8D9-F449-B9D0-EF1A8F0ACC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0" y="7023100"/>
              <a:ext cx="869950" cy="55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57150</xdr:colOff>
      <xdr:row>26</xdr:row>
      <xdr:rowOff>88900</xdr:rowOff>
    </xdr:from>
    <xdr:to>
      <xdr:col>7</xdr:col>
      <xdr:colOff>101600</xdr:colOff>
      <xdr:row>28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880559C-4754-F343-BCA6-DA1290A6AA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0150" y="7023100"/>
              <a:ext cx="869950" cy="55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812800</xdr:colOff>
      <xdr:row>26</xdr:row>
      <xdr:rowOff>76200</xdr:rowOff>
    </xdr:from>
    <xdr:to>
      <xdr:col>9</xdr:col>
      <xdr:colOff>31750</xdr:colOff>
      <xdr:row>28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FFF9A56-41F1-EF44-8CC5-9AA38FF1F3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300" y="7010400"/>
              <a:ext cx="869950" cy="55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215900</xdr:colOff>
      <xdr:row>4</xdr:row>
      <xdr:rowOff>241300</xdr:rowOff>
    </xdr:from>
    <xdr:to>
      <xdr:col>20</xdr:col>
      <xdr:colOff>228600</xdr:colOff>
      <xdr:row>26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B7B0C5-B603-ED46-8C4E-ABC8F051E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25400</xdr:rowOff>
    </xdr:from>
    <xdr:to>
      <xdr:col>20</xdr:col>
      <xdr:colOff>800100</xdr:colOff>
      <xdr:row>35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7A3EA3-1366-284B-9FD7-6526E95D4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10</xdr:col>
      <xdr:colOff>444500</xdr:colOff>
      <xdr:row>11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E62781-9FCF-7342-A414-5F803DB2D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10</xdr:col>
      <xdr:colOff>444500</xdr:colOff>
      <xdr:row>11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F04A8D-FAD1-544F-A80F-7C989C968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6</xdr:row>
      <xdr:rowOff>9525</xdr:rowOff>
    </xdr:from>
    <xdr:to>
      <xdr:col>17</xdr:col>
      <xdr:colOff>171450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520700</xdr:colOff>
      <xdr:row>1</xdr:row>
      <xdr:rowOff>0</xdr:rowOff>
    </xdr:from>
    <xdr:ext cx="1648477" cy="357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EA6E64-7E7A-C74A-84EE-F9881531BADE}"/>
                </a:ext>
              </a:extLst>
            </xdr:cNvPr>
            <xdr:cNvSpPr txBox="1"/>
          </xdr:nvSpPr>
          <xdr:spPr>
            <a:xfrm>
              <a:off x="2540000" y="190500"/>
              <a:ext cx="1648477" cy="357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</m:acc>
                    <m:r>
                      <a:rPr lang="en-US" sz="14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en-US" sz="1400" b="1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en-US" sz="1400" b="1" i="1"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EA6E64-7E7A-C74A-84EE-F9881531BADE}"/>
                </a:ext>
              </a:extLst>
            </xdr:cNvPr>
            <xdr:cNvSpPr txBox="1"/>
          </xdr:nvSpPr>
          <xdr:spPr>
            <a:xfrm>
              <a:off x="2540000" y="190500"/>
              <a:ext cx="1648477" cy="357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𝒚 ̂=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en-US" sz="1400" b="1" i="0">
                  <a:latin typeface="Cambria Math" panose="02040503050406030204" pitchFamily="18" charset="0"/>
                </a:rPr>
                <a:t>𝟎+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en-US" sz="1400" b="1" i="0">
                  <a:latin typeface="Cambria Math" panose="02040503050406030204" pitchFamily="18" charset="0"/>
                </a:rPr>
                <a:t>𝟏 𝒙</a:t>
              </a:r>
              <a:endParaRPr lang="en-US" sz="1400" b="1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7</xdr:row>
      <xdr:rowOff>203200</xdr:rowOff>
    </xdr:from>
    <xdr:to>
      <xdr:col>9</xdr:col>
      <xdr:colOff>723900</xdr:colOff>
      <xdr:row>7</xdr:row>
      <xdr:rowOff>203200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5549900" y="25146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21</xdr:row>
      <xdr:rowOff>203200</xdr:rowOff>
    </xdr:from>
    <xdr:to>
      <xdr:col>9</xdr:col>
      <xdr:colOff>723900</xdr:colOff>
      <xdr:row>21</xdr:row>
      <xdr:rowOff>203200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5549900" y="71374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17</xdr:row>
      <xdr:rowOff>203200</xdr:rowOff>
    </xdr:from>
    <xdr:to>
      <xdr:col>9</xdr:col>
      <xdr:colOff>723900</xdr:colOff>
      <xdr:row>17</xdr:row>
      <xdr:rowOff>203200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5549900" y="58166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38</xdr:row>
      <xdr:rowOff>203200</xdr:rowOff>
    </xdr:from>
    <xdr:to>
      <xdr:col>9</xdr:col>
      <xdr:colOff>723900</xdr:colOff>
      <xdr:row>38</xdr:row>
      <xdr:rowOff>203200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5549900" y="127508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30</xdr:row>
      <xdr:rowOff>50800</xdr:rowOff>
    </xdr:from>
    <xdr:to>
      <xdr:col>5</xdr:col>
      <xdr:colOff>304800</xdr:colOff>
      <xdr:row>36</xdr:row>
      <xdr:rowOff>241300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H="1">
          <a:off x="4419600" y="9956800"/>
          <a:ext cx="12700" cy="2171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203200</xdr:colOff>
      <xdr:row>1</xdr:row>
      <xdr:rowOff>88900</xdr:rowOff>
    </xdr:from>
    <xdr:to>
      <xdr:col>28</xdr:col>
      <xdr:colOff>609600</xdr:colOff>
      <xdr:row>22</xdr:row>
      <xdr:rowOff>279400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35</xdr:row>
      <xdr:rowOff>317500</xdr:rowOff>
    </xdr:from>
    <xdr:to>
      <xdr:col>9</xdr:col>
      <xdr:colOff>660400</xdr:colOff>
      <xdr:row>45</xdr:row>
      <xdr:rowOff>304800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w-rVW6y48b41bkB7emyX2RosDCVZOuq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TpldTZWCM7unvb_iI-zI_IHopnT3meu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file/d/1doHr2sn_l0hptd50kfpzijh7YwPHcrJE/view?usp=shar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9Jh1oicxmgWt9t-hE-Pcr6j3oDL1mZf1/view?usp=shari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rive.google.com/file/d/1rZVWxMbXrGjkkp6T-MikNsjgo0FRXDZC/view?usp=shari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4m2g1K3DYZ_irEILM6dYaLLJm0UDSlrr/view?usp=sharin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drive.google.com/file/d/1dIqxVR4z2YDz-cwdV-bD4rOmZaDJO5gG/view?usp=shari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T70fLz7jE80aIk-5acnsuZFyVLH2LmI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drive.google.com/open?id=1labpC4R7yLRhgIFddegrXKqy4nUvq3U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IOnl_NhuHmuf3CYv6-BJGaQqgrcNQ1o5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n5aDFulqOT4OO4tYDaLDJGKSn68VKOjB" TargetMode="External"/><Relationship Id="rId2" Type="http://schemas.openxmlformats.org/officeDocument/2006/relationships/hyperlink" Target="https://support.office.com/en-US/article/LINEST-function-84D7D0D9-6E50-4101-977A-FA7ABF772B6D" TargetMode="External"/><Relationship Id="rId1" Type="http://schemas.openxmlformats.org/officeDocument/2006/relationships/hyperlink" Target="https://en.wikipedia.org/wiki/Coefficient_of_determination" TargetMode="External"/><Relationship Id="rId4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drive.google.com/open?id=12wg8HSq5J2kEbumSaG21_3QDluT89s4D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drive.google.com/open?id=1BZ7UTQDIiCcUzmyS_p-aGVU6yRwOkLQK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bPL2HY4yb3mG6C8TU6f7MpPNsJC1fE4A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FMDB3FdTZyLnh-gOWqyewzNX21-AfZ_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49AA-845B-804D-ABE7-BC40277A2259}">
  <sheetPr>
    <tabColor rgb="FF002060"/>
  </sheetPr>
  <dimension ref="B2:L25"/>
  <sheetViews>
    <sheetView tabSelected="1" workbookViewId="0"/>
  </sheetViews>
  <sheetFormatPr baseColWidth="10" defaultRowHeight="26" x14ac:dyDescent="0.3"/>
  <cols>
    <col min="1" max="16384" width="10.83203125" style="34"/>
  </cols>
  <sheetData>
    <row r="2" spans="2:3" x14ac:dyDescent="0.3">
      <c r="B2" s="34" t="s">
        <v>158</v>
      </c>
    </row>
    <row r="3" spans="2:3" x14ac:dyDescent="0.3">
      <c r="B3" s="34" t="s">
        <v>113</v>
      </c>
    </row>
    <row r="4" spans="2:3" x14ac:dyDescent="0.3">
      <c r="B4" s="34" t="s">
        <v>137</v>
      </c>
    </row>
    <row r="5" spans="2:3" x14ac:dyDescent="0.3">
      <c r="C5" s="79" t="s">
        <v>109</v>
      </c>
    </row>
    <row r="6" spans="2:3" x14ac:dyDescent="0.3">
      <c r="C6" s="79" t="s">
        <v>110</v>
      </c>
    </row>
    <row r="7" spans="2:3" x14ac:dyDescent="0.3">
      <c r="C7" s="79" t="s">
        <v>122</v>
      </c>
    </row>
    <row r="8" spans="2:3" x14ac:dyDescent="0.3">
      <c r="C8" s="79" t="s">
        <v>111</v>
      </c>
    </row>
    <row r="9" spans="2:3" x14ac:dyDescent="0.3">
      <c r="C9" s="80" t="s">
        <v>112</v>
      </c>
    </row>
    <row r="10" spans="2:3" x14ac:dyDescent="0.3">
      <c r="B10" s="34" t="s">
        <v>159</v>
      </c>
    </row>
    <row r="11" spans="2:3" x14ac:dyDescent="0.3">
      <c r="C11" s="79" t="s">
        <v>167</v>
      </c>
    </row>
    <row r="12" spans="2:3" x14ac:dyDescent="0.3">
      <c r="C12" s="79" t="s">
        <v>168</v>
      </c>
    </row>
    <row r="13" spans="2:3" x14ac:dyDescent="0.3">
      <c r="B13" s="34" t="s">
        <v>160</v>
      </c>
    </row>
    <row r="14" spans="2:3" x14ac:dyDescent="0.3">
      <c r="C14" s="34" t="s">
        <v>169</v>
      </c>
    </row>
    <row r="15" spans="2:3" x14ac:dyDescent="0.3">
      <c r="C15" s="79" t="s">
        <v>116</v>
      </c>
    </row>
    <row r="25" spans="12:12" x14ac:dyDescent="0.3">
      <c r="L25" s="34" t="s">
        <v>170</v>
      </c>
    </row>
  </sheetData>
  <hyperlinks>
    <hyperlink ref="C5" location="Linearity!A1" display="Linearity" xr:uid="{CA36A852-7920-2B45-AF46-F4D3A537DC29}"/>
    <hyperlink ref="C6" location="NormalErrors!A1" display="Normal errors" xr:uid="{8DF08ED0-3400-EE4D-B360-660D78E7AA46}"/>
    <hyperlink ref="C7" location="IndepErrors!A1" display="Independent errors" xr:uid="{BE2A9919-CAF1-6E49-8C42-1EC7030E6412}"/>
    <hyperlink ref="C8" location="ConstVarErrors!A1" display="Constant variance errors" xr:uid="{745FA849-B41A-B842-95BE-17E097E1B068}"/>
    <hyperlink ref="C11" location="HowTo_SLR!A1" display="SLR" xr:uid="{B7EB050B-05D9-5D41-ADE5-67E797CEDB77}"/>
    <hyperlink ref="C12" location="HowTo_MLR!A1" display="MLR" xr:uid="{6864F43C-C167-1A43-A732-6FBAC209417A}"/>
    <hyperlink ref="C15" location="DegreesOfFreedom!A1" display="Degrees of Freedom" xr:uid="{0278552C-D8BE-3B48-A099-56723627E1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19"/>
  <sheetViews>
    <sheetView workbookViewId="0"/>
  </sheetViews>
  <sheetFormatPr baseColWidth="10" defaultRowHeight="26" x14ac:dyDescent="0.3"/>
  <cols>
    <col min="1" max="11" width="10.83203125" style="1"/>
    <col min="12" max="12" width="5" style="1" bestFit="1" customWidth="1"/>
    <col min="13" max="14" width="3.1640625" style="1" bestFit="1" customWidth="1"/>
    <col min="15" max="15" width="10.83203125" style="1"/>
    <col min="16" max="16" width="5" style="1" bestFit="1" customWidth="1"/>
    <col min="17" max="18" width="3.1640625" style="1" bestFit="1" customWidth="1"/>
    <col min="19" max="16384" width="10.83203125" style="1"/>
  </cols>
  <sheetData>
    <row r="1" spans="1:12" x14ac:dyDescent="0.3">
      <c r="A1" s="33" t="s">
        <v>113</v>
      </c>
    </row>
    <row r="2" spans="1:12" x14ac:dyDescent="0.3">
      <c r="B2" s="1" t="s">
        <v>70</v>
      </c>
    </row>
    <row r="4" spans="1:12" x14ac:dyDescent="0.3">
      <c r="C4" s="1" t="s">
        <v>71</v>
      </c>
    </row>
    <row r="6" spans="1:12" x14ac:dyDescent="0.3">
      <c r="D6" s="1" t="s">
        <v>72</v>
      </c>
    </row>
    <row r="9" spans="1:12" x14ac:dyDescent="0.3">
      <c r="B9" s="1" t="s">
        <v>73</v>
      </c>
    </row>
    <row r="11" spans="1:12" x14ac:dyDescent="0.3">
      <c r="C11" s="1" t="s">
        <v>148</v>
      </c>
    </row>
    <row r="13" spans="1:12" x14ac:dyDescent="0.3">
      <c r="L13" s="53" t="s">
        <v>147</v>
      </c>
    </row>
    <row r="14" spans="1:12" x14ac:dyDescent="0.3">
      <c r="L14" s="54">
        <v>2</v>
      </c>
    </row>
    <row r="17" spans="12:18" x14ac:dyDescent="0.3">
      <c r="M17" s="2" t="s">
        <v>0</v>
      </c>
      <c r="N17" s="2" t="s">
        <v>1</v>
      </c>
      <c r="Q17" s="2" t="s">
        <v>0</v>
      </c>
      <c r="R17" s="2" t="s">
        <v>1</v>
      </c>
    </row>
    <row r="18" spans="12:18" x14ac:dyDescent="0.3">
      <c r="L18" s="1" t="s">
        <v>175</v>
      </c>
      <c r="M18" s="25">
        <v>0</v>
      </c>
      <c r="N18" s="25">
        <v>0</v>
      </c>
      <c r="P18" s="1" t="s">
        <v>175</v>
      </c>
      <c r="Q18" s="85">
        <v>0</v>
      </c>
      <c r="R18" s="85">
        <v>0</v>
      </c>
    </row>
    <row r="19" spans="12:18" x14ac:dyDescent="0.3">
      <c r="L19" s="1" t="s">
        <v>176</v>
      </c>
      <c r="M19" s="25">
        <v>2</v>
      </c>
      <c r="N19" s="25">
        <v>4</v>
      </c>
      <c r="P19" s="1" t="s">
        <v>176</v>
      </c>
      <c r="Q19" s="85">
        <f>M19*c_</f>
        <v>4</v>
      </c>
      <c r="R19" s="85">
        <f>N19*c_</f>
        <v>8</v>
      </c>
    </row>
  </sheetData>
  <hyperlinks>
    <hyperlink ref="A1" r:id="rId1" xr:uid="{D249C969-6165-914B-B3C5-69E6C282E9E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93E2-C9F9-864E-AED0-1BECA814E1C8}">
  <sheetPr>
    <tabColor rgb="FFFF0000"/>
  </sheetPr>
  <dimension ref="B2:R12"/>
  <sheetViews>
    <sheetView workbookViewId="0"/>
  </sheetViews>
  <sheetFormatPr baseColWidth="10" defaultRowHeight="26" x14ac:dyDescent="0.3"/>
  <cols>
    <col min="1" max="11" width="10.83203125" style="1"/>
    <col min="12" max="12" width="5" style="1" bestFit="1" customWidth="1"/>
    <col min="13" max="14" width="3.1640625" style="1" bestFit="1" customWidth="1"/>
    <col min="15" max="15" width="10.83203125" style="1"/>
    <col min="16" max="16" width="5" style="1" bestFit="1" customWidth="1"/>
    <col min="17" max="18" width="3.1640625" style="1" bestFit="1" customWidth="1"/>
    <col min="19" max="16384" width="10.83203125" style="1"/>
  </cols>
  <sheetData>
    <row r="2" spans="2:18" x14ac:dyDescent="0.3">
      <c r="B2" s="1" t="s">
        <v>73</v>
      </c>
    </row>
    <row r="4" spans="2:18" x14ac:dyDescent="0.3">
      <c r="C4" s="1" t="s">
        <v>148</v>
      </c>
    </row>
    <row r="6" spans="2:18" x14ac:dyDescent="0.3">
      <c r="L6" s="53" t="s">
        <v>147</v>
      </c>
    </row>
    <row r="7" spans="2:18" x14ac:dyDescent="0.3">
      <c r="L7" s="54">
        <v>2</v>
      </c>
    </row>
    <row r="10" spans="2:18" x14ac:dyDescent="0.3">
      <c r="M10" s="2" t="s">
        <v>0</v>
      </c>
      <c r="N10" s="2" t="s">
        <v>1</v>
      </c>
      <c r="Q10" s="2" t="s">
        <v>0</v>
      </c>
      <c r="R10" s="2" t="s">
        <v>1</v>
      </c>
    </row>
    <row r="11" spans="2:18" x14ac:dyDescent="0.3">
      <c r="L11" s="1" t="s">
        <v>175</v>
      </c>
      <c r="M11" s="25">
        <v>0</v>
      </c>
      <c r="N11" s="25">
        <v>0</v>
      </c>
      <c r="P11" s="1" t="s">
        <v>175</v>
      </c>
      <c r="Q11" s="85">
        <v>0</v>
      </c>
      <c r="R11" s="85">
        <v>0</v>
      </c>
    </row>
    <row r="12" spans="2:18" x14ac:dyDescent="0.3">
      <c r="L12" s="1" t="s">
        <v>176</v>
      </c>
      <c r="M12" s="25">
        <v>2</v>
      </c>
      <c r="N12" s="25">
        <v>4</v>
      </c>
      <c r="P12" s="1" t="s">
        <v>176</v>
      </c>
      <c r="Q12" s="85">
        <f>M12*c_</f>
        <v>4</v>
      </c>
      <c r="R12" s="85">
        <f>N12*c_</f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363F-D43B-1740-9E34-D6D63F46351E}">
  <sheetPr>
    <tabColor rgb="FFFF0000"/>
  </sheetPr>
  <dimension ref="B2:J17"/>
  <sheetViews>
    <sheetView workbookViewId="0"/>
  </sheetViews>
  <sheetFormatPr baseColWidth="10" defaultRowHeight="26" x14ac:dyDescent="0.3"/>
  <cols>
    <col min="1" max="16384" width="10.83203125" style="87"/>
  </cols>
  <sheetData>
    <row r="2" spans="2:10" ht="45" x14ac:dyDescent="0.45">
      <c r="B2" s="89" t="s">
        <v>177</v>
      </c>
    </row>
    <row r="3" spans="2:10" x14ac:dyDescent="0.3">
      <c r="B3" s="88"/>
    </row>
    <row r="4" spans="2:10" x14ac:dyDescent="0.3">
      <c r="B4" s="86" t="s">
        <v>178</v>
      </c>
      <c r="J4" s="88"/>
    </row>
    <row r="5" spans="2:10" x14ac:dyDescent="0.3">
      <c r="B5" s="86" t="s">
        <v>179</v>
      </c>
    </row>
    <row r="6" spans="2:10" x14ac:dyDescent="0.3">
      <c r="B6" s="86" t="s">
        <v>180</v>
      </c>
    </row>
    <row r="7" spans="2:10" x14ac:dyDescent="0.3">
      <c r="B7" s="86" t="s">
        <v>181</v>
      </c>
    </row>
    <row r="8" spans="2:10" x14ac:dyDescent="0.3">
      <c r="B8" s="88"/>
    </row>
    <row r="9" spans="2:10" x14ac:dyDescent="0.3">
      <c r="B9" s="88" t="s">
        <v>189</v>
      </c>
    </row>
    <row r="10" spans="2:10" x14ac:dyDescent="0.3">
      <c r="B10" s="86" t="s">
        <v>188</v>
      </c>
    </row>
    <row r="12" spans="2:10" x14ac:dyDescent="0.3">
      <c r="B12" s="86" t="s">
        <v>182</v>
      </c>
    </row>
    <row r="13" spans="2:10" x14ac:dyDescent="0.3">
      <c r="B13" s="86" t="s">
        <v>183</v>
      </c>
    </row>
    <row r="14" spans="2:10" x14ac:dyDescent="0.3">
      <c r="B14" s="86" t="s">
        <v>184</v>
      </c>
    </row>
    <row r="15" spans="2:10" x14ac:dyDescent="0.3">
      <c r="B15" s="86" t="s">
        <v>185</v>
      </c>
    </row>
    <row r="16" spans="2:10" x14ac:dyDescent="0.3">
      <c r="B16" s="86" t="s">
        <v>186</v>
      </c>
    </row>
    <row r="17" spans="2:2" x14ac:dyDescent="0.3">
      <c r="B17" s="86" t="s">
        <v>187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1A8C-7F08-9240-8332-09E69CCE4473}">
  <sheetPr>
    <tabColor rgb="FFFF0000"/>
  </sheetPr>
  <dimension ref="A1:C7"/>
  <sheetViews>
    <sheetView workbookViewId="0"/>
  </sheetViews>
  <sheetFormatPr baseColWidth="10" defaultRowHeight="26" x14ac:dyDescent="0.3"/>
  <cols>
    <col min="1" max="16384" width="10.83203125" style="1"/>
  </cols>
  <sheetData>
    <row r="1" spans="1:3" x14ac:dyDescent="0.3">
      <c r="A1" s="33" t="s">
        <v>123</v>
      </c>
    </row>
    <row r="2" spans="1:3" x14ac:dyDescent="0.3">
      <c r="B2" s="1" t="s">
        <v>108</v>
      </c>
    </row>
    <row r="3" spans="1:3" x14ac:dyDescent="0.3">
      <c r="C3" s="78" t="s">
        <v>109</v>
      </c>
    </row>
    <row r="4" spans="1:3" x14ac:dyDescent="0.3">
      <c r="C4" s="78" t="s">
        <v>110</v>
      </c>
    </row>
    <row r="5" spans="1:3" x14ac:dyDescent="0.3">
      <c r="C5" s="78" t="s">
        <v>122</v>
      </c>
    </row>
    <row r="6" spans="1:3" x14ac:dyDescent="0.3">
      <c r="C6" s="78" t="s">
        <v>111</v>
      </c>
    </row>
    <row r="7" spans="1:3" x14ac:dyDescent="0.3">
      <c r="C7" s="1" t="s">
        <v>112</v>
      </c>
    </row>
  </sheetData>
  <hyperlinks>
    <hyperlink ref="A1" r:id="rId1" xr:uid="{FDD6498D-FBF8-0C40-916C-9BE541494B29}"/>
    <hyperlink ref="C3" location="Linearity!A1" display="Linearity" xr:uid="{334CF481-C6D5-124F-AEE5-AC88A228E183}"/>
    <hyperlink ref="C4" location="NormalErrors!A1" display="Normal errors" xr:uid="{8BF63ACB-3122-FD49-BE09-643E4FAC2E16}"/>
    <hyperlink ref="C5" location="IndepErrors!A1" display="Independent errors" xr:uid="{D012A5E6-D6A3-F549-B7E1-30B1E37729DF}"/>
    <hyperlink ref="C6" location="ConstVarErrors!A1" display="Constant variance errors" xr:uid="{5F55B35C-A7AE-514A-8F3E-11815FDD939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FEE6-D9B3-E741-9646-29E8EC3F304B}">
  <sheetPr>
    <tabColor rgb="FFFF0000"/>
  </sheetPr>
  <dimension ref="A1:I25"/>
  <sheetViews>
    <sheetView workbookViewId="0"/>
  </sheetViews>
  <sheetFormatPr baseColWidth="10" defaultRowHeight="21" x14ac:dyDescent="0.25"/>
  <cols>
    <col min="1" max="16384" width="10.83203125" style="37"/>
  </cols>
  <sheetData>
    <row r="1" spans="1:9" x14ac:dyDescent="0.25">
      <c r="A1" s="48" t="s">
        <v>138</v>
      </c>
    </row>
    <row r="2" spans="1:9" s="36" customFormat="1" x14ac:dyDescent="0.25">
      <c r="C2" s="39" t="s">
        <v>127</v>
      </c>
      <c r="E2" s="39" t="s">
        <v>129</v>
      </c>
      <c r="F2" s="37"/>
      <c r="G2" s="39" t="s">
        <v>128</v>
      </c>
      <c r="I2" s="36" t="s">
        <v>1</v>
      </c>
    </row>
    <row r="3" spans="1:9" s="36" customFormat="1" x14ac:dyDescent="0.25">
      <c r="A3" s="84" t="s">
        <v>109</v>
      </c>
      <c r="C3" s="38">
        <v>1</v>
      </c>
      <c r="E3" s="38">
        <v>2</v>
      </c>
      <c r="G3" s="38">
        <v>3</v>
      </c>
    </row>
    <row r="4" spans="1:9" s="36" customFormat="1" x14ac:dyDescent="0.25"/>
    <row r="5" spans="1:9" s="36" customFormat="1" x14ac:dyDescent="0.25">
      <c r="C5" s="40" t="s">
        <v>124</v>
      </c>
      <c r="D5" s="40"/>
      <c r="E5" s="40" t="s">
        <v>125</v>
      </c>
      <c r="F5" s="40"/>
      <c r="G5" s="40" t="s">
        <v>126</v>
      </c>
      <c r="I5" s="36" t="s">
        <v>130</v>
      </c>
    </row>
    <row r="6" spans="1:9" x14ac:dyDescent="0.25">
      <c r="C6" s="37">
        <v>810</v>
      </c>
      <c r="E6" s="37">
        <v>1</v>
      </c>
      <c r="G6" s="37">
        <v>100</v>
      </c>
      <c r="I6" s="37">
        <v>1112</v>
      </c>
    </row>
    <row r="7" spans="1:9" x14ac:dyDescent="0.25">
      <c r="C7" s="37">
        <v>640</v>
      </c>
      <c r="E7" s="37">
        <v>8</v>
      </c>
      <c r="G7" s="37">
        <v>200</v>
      </c>
      <c r="I7" s="37">
        <v>1256</v>
      </c>
    </row>
    <row r="8" spans="1:9" x14ac:dyDescent="0.25">
      <c r="C8" s="37">
        <v>490</v>
      </c>
      <c r="E8" s="37">
        <v>27</v>
      </c>
      <c r="G8" s="37">
        <v>300</v>
      </c>
      <c r="I8" s="37">
        <v>1444</v>
      </c>
    </row>
    <row r="9" spans="1:9" x14ac:dyDescent="0.25">
      <c r="C9" s="37">
        <v>360</v>
      </c>
      <c r="E9" s="37">
        <v>64</v>
      </c>
      <c r="G9" s="37">
        <v>400</v>
      </c>
      <c r="I9" s="37">
        <v>1688</v>
      </c>
    </row>
    <row r="10" spans="1:9" x14ac:dyDescent="0.25">
      <c r="C10" s="37">
        <v>250</v>
      </c>
      <c r="E10" s="37">
        <v>125</v>
      </c>
      <c r="G10" s="37">
        <v>500</v>
      </c>
      <c r="I10" s="37">
        <v>2000</v>
      </c>
    </row>
    <row r="11" spans="1:9" x14ac:dyDescent="0.25">
      <c r="C11" s="37">
        <v>160</v>
      </c>
      <c r="E11" s="37">
        <v>216</v>
      </c>
      <c r="G11" s="37">
        <v>600</v>
      </c>
      <c r="I11" s="37">
        <v>2392</v>
      </c>
    </row>
    <row r="12" spans="1:9" x14ac:dyDescent="0.25">
      <c r="C12" s="37">
        <v>90</v>
      </c>
      <c r="E12" s="37">
        <v>343</v>
      </c>
      <c r="G12" s="37">
        <v>700</v>
      </c>
      <c r="I12" s="37">
        <v>2876</v>
      </c>
    </row>
    <row r="13" spans="1:9" x14ac:dyDescent="0.25">
      <c r="C13" s="37">
        <v>40</v>
      </c>
      <c r="E13" s="37">
        <v>512</v>
      </c>
      <c r="G13" s="37">
        <v>800</v>
      </c>
      <c r="I13" s="37">
        <v>3464</v>
      </c>
    </row>
    <row r="14" spans="1:9" x14ac:dyDescent="0.25">
      <c r="C14" s="37">
        <v>10</v>
      </c>
      <c r="E14" s="37">
        <v>729</v>
      </c>
      <c r="G14" s="37">
        <v>900</v>
      </c>
      <c r="I14" s="37">
        <v>4168</v>
      </c>
    </row>
    <row r="15" spans="1:9" x14ac:dyDescent="0.25">
      <c r="C15" s="37">
        <v>0</v>
      </c>
      <c r="E15" s="37">
        <v>1000</v>
      </c>
      <c r="G15" s="37">
        <v>1000</v>
      </c>
      <c r="I15" s="37">
        <v>5000</v>
      </c>
    </row>
    <row r="16" spans="1:9" x14ac:dyDescent="0.25">
      <c r="C16" s="37">
        <v>10</v>
      </c>
      <c r="E16" s="37">
        <v>1331</v>
      </c>
      <c r="G16" s="37">
        <v>1100</v>
      </c>
      <c r="I16" s="37">
        <v>5972</v>
      </c>
    </row>
    <row r="17" spans="3:9" x14ac:dyDescent="0.25">
      <c r="C17" s="37">
        <v>40</v>
      </c>
      <c r="E17" s="37">
        <v>1728</v>
      </c>
      <c r="G17" s="37">
        <v>1200</v>
      </c>
      <c r="I17" s="37">
        <v>7096</v>
      </c>
    </row>
    <row r="18" spans="3:9" x14ac:dyDescent="0.25">
      <c r="C18" s="37">
        <v>90</v>
      </c>
      <c r="E18" s="37">
        <v>2197</v>
      </c>
      <c r="G18" s="37">
        <v>1300</v>
      </c>
      <c r="I18" s="37">
        <v>8384</v>
      </c>
    </row>
    <row r="19" spans="3:9" x14ac:dyDescent="0.25">
      <c r="C19" s="37">
        <v>160</v>
      </c>
      <c r="E19" s="37">
        <v>2744</v>
      </c>
      <c r="G19" s="37">
        <v>1400</v>
      </c>
      <c r="I19" s="37">
        <v>9848</v>
      </c>
    </row>
    <row r="20" spans="3:9" x14ac:dyDescent="0.25">
      <c r="C20" s="37">
        <v>250</v>
      </c>
      <c r="E20" s="37">
        <v>3375</v>
      </c>
      <c r="G20" s="37">
        <v>1500</v>
      </c>
      <c r="I20" s="37">
        <v>11500</v>
      </c>
    </row>
    <row r="21" spans="3:9" x14ac:dyDescent="0.25">
      <c r="C21" s="37">
        <v>360</v>
      </c>
      <c r="E21" s="37">
        <v>4096</v>
      </c>
      <c r="G21" s="37">
        <v>1600</v>
      </c>
      <c r="I21" s="37">
        <v>13352</v>
      </c>
    </row>
    <row r="22" spans="3:9" x14ac:dyDescent="0.25">
      <c r="C22" s="37">
        <v>490</v>
      </c>
      <c r="E22" s="37">
        <v>4913</v>
      </c>
      <c r="G22" s="37">
        <v>1700</v>
      </c>
      <c r="I22" s="37">
        <v>15416</v>
      </c>
    </row>
    <row r="23" spans="3:9" x14ac:dyDescent="0.25">
      <c r="C23" s="37">
        <v>640</v>
      </c>
      <c r="E23" s="37">
        <v>5832</v>
      </c>
      <c r="G23" s="37">
        <v>1800</v>
      </c>
      <c r="I23" s="37">
        <v>17704</v>
      </c>
    </row>
    <row r="24" spans="3:9" x14ac:dyDescent="0.25">
      <c r="C24" s="37">
        <v>810</v>
      </c>
      <c r="E24" s="37">
        <v>6859</v>
      </c>
      <c r="G24" s="37">
        <v>1900</v>
      </c>
      <c r="I24" s="37">
        <v>20228</v>
      </c>
    </row>
    <row r="25" spans="3:9" x14ac:dyDescent="0.25">
      <c r="C25" s="37">
        <v>1000</v>
      </c>
      <c r="E25" s="37">
        <v>8000</v>
      </c>
      <c r="G25" s="37">
        <v>2000</v>
      </c>
      <c r="I25" s="37">
        <v>23000</v>
      </c>
    </row>
  </sheetData>
  <phoneticPr fontId="18" type="noConversion"/>
  <hyperlinks>
    <hyperlink ref="A1" location="Assumptions!A1" display="Back to Assumptions" xr:uid="{F2B8D662-5BF8-1C49-84A6-6F4CE3430E46}"/>
    <hyperlink ref="A3" r:id="rId1" xr:uid="{8DDC9581-0EEE-A64E-9F57-5B77736E305A}"/>
  </hyperlinks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B1FCCC7-F7A9-8E4F-9A31-E6783BE1F1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Linearity!I6:I25</xm:f>
              <xm:sqref>I26</xm:sqref>
            </x14:sparkline>
          </x14:sparklines>
        </x14:sparklineGroup>
        <x14:sparklineGroup type="column" displayEmptyCellsAs="gap" xr2:uid="{697C79DA-9DEE-B747-8AA1-790EC570B2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Linearity!G6:G25</xm:f>
              <xm:sqref>G26</xm:sqref>
            </x14:sparkline>
          </x14:sparklines>
        </x14:sparklineGroup>
        <x14:sparklineGroup type="column" displayEmptyCellsAs="gap" xr2:uid="{E522426A-8B9E-4F4C-A4C9-FDCB873D104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Linearity!E6:E25</xm:f>
              <xm:sqref>E26</xm:sqref>
            </x14:sparkline>
          </x14:sparklines>
        </x14:sparklineGroup>
        <x14:sparklineGroup type="column" displayEmptyCellsAs="gap" xr2:uid="{212771A2-1B3E-2941-8322-E1521FB156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Linearity!C6:C25</xm:f>
              <xm:sqref>C26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FF2A-0663-5141-B058-60DF2C7806FA}">
  <sheetPr>
    <tabColor rgb="FFFFC000"/>
  </sheetPr>
  <dimension ref="A1:V105"/>
  <sheetViews>
    <sheetView workbookViewId="0"/>
  </sheetViews>
  <sheetFormatPr baseColWidth="10" defaultRowHeight="26" x14ac:dyDescent="0.3"/>
  <cols>
    <col min="1" max="5" width="10.83203125" style="1"/>
    <col min="6" max="6" width="13.1640625" style="1" bestFit="1" customWidth="1"/>
    <col min="7" max="7" width="11.5" style="1" bestFit="1" customWidth="1"/>
    <col min="8" max="16384" width="10.83203125" style="1"/>
  </cols>
  <sheetData>
    <row r="1" spans="1:22" x14ac:dyDescent="0.3">
      <c r="A1" s="33" t="s">
        <v>138</v>
      </c>
    </row>
    <row r="2" spans="1:22" s="2" customFormat="1" x14ac:dyDescent="0.3">
      <c r="E2" s="53" t="s">
        <v>131</v>
      </c>
      <c r="F2" s="53" t="s">
        <v>132</v>
      </c>
      <c r="G2" s="53" t="s">
        <v>190</v>
      </c>
      <c r="K2" s="55" t="s">
        <v>149</v>
      </c>
      <c r="L2" s="56"/>
      <c r="M2" s="56"/>
      <c r="N2" s="56"/>
      <c r="O2" s="56"/>
      <c r="P2" s="56"/>
      <c r="Q2" s="56"/>
      <c r="R2" s="56"/>
      <c r="S2" s="56"/>
      <c r="T2" s="56"/>
      <c r="U2" s="56"/>
      <c r="V2" s="1"/>
    </row>
    <row r="3" spans="1:22" x14ac:dyDescent="0.3">
      <c r="A3" s="33" t="s">
        <v>171</v>
      </c>
      <c r="E3" s="15"/>
      <c r="F3" s="15"/>
      <c r="G3" s="1">
        <f>SUMSQ(G6:G105)</f>
        <v>3123.0649891284443</v>
      </c>
    </row>
    <row r="4" spans="1:22" x14ac:dyDescent="0.3">
      <c r="K4" s="2" t="s">
        <v>132</v>
      </c>
    </row>
    <row r="5" spans="1:22" x14ac:dyDescent="0.3">
      <c r="C5" s="2" t="s">
        <v>124</v>
      </c>
      <c r="D5" s="2" t="s">
        <v>125</v>
      </c>
      <c r="E5" s="2" t="s">
        <v>1</v>
      </c>
      <c r="F5" s="2" t="s">
        <v>5</v>
      </c>
      <c r="G5" s="2" t="s">
        <v>30</v>
      </c>
      <c r="K5" s="1">
        <v>1</v>
      </c>
      <c r="L5" s="1">
        <v>2</v>
      </c>
      <c r="M5" s="1">
        <v>3</v>
      </c>
      <c r="N5" s="1">
        <v>4</v>
      </c>
      <c r="O5" s="1">
        <v>5</v>
      </c>
      <c r="P5" s="1">
        <v>6</v>
      </c>
      <c r="Q5" s="1">
        <v>7</v>
      </c>
      <c r="R5" s="1">
        <v>8</v>
      </c>
      <c r="S5" s="1">
        <v>9</v>
      </c>
      <c r="T5" s="1">
        <v>10</v>
      </c>
    </row>
    <row r="6" spans="1:22" x14ac:dyDescent="0.3">
      <c r="C6" s="1">
        <v>0.3158137863815903</v>
      </c>
      <c r="D6" s="1">
        <v>0.77068153088781233</v>
      </c>
      <c r="E6" s="1">
        <f>C6*4+D6*6</f>
        <v>5.8873443308532352</v>
      </c>
      <c r="F6" s="1">
        <f t="shared" ref="F6:F37" si="0">C6*b_1+D6*b_2</f>
        <v>0</v>
      </c>
      <c r="G6" s="1">
        <f>E6-F6</f>
        <v>5.8873443308532352</v>
      </c>
      <c r="I6" s="2" t="s">
        <v>131</v>
      </c>
      <c r="J6" s="1">
        <v>1</v>
      </c>
    </row>
    <row r="7" spans="1:22" x14ac:dyDescent="0.3">
      <c r="C7" s="1">
        <v>0.76263354692278296</v>
      </c>
      <c r="D7" s="1">
        <v>0.30901349464137362</v>
      </c>
      <c r="E7" s="1">
        <f t="shared" ref="E7:E70" si="1">C7*4+D7*6</f>
        <v>4.9046151555393731</v>
      </c>
      <c r="F7" s="1">
        <f t="shared" si="0"/>
        <v>0</v>
      </c>
      <c r="G7" s="1">
        <f t="shared" ref="G7:G70" si="2">E7-F7</f>
        <v>4.9046151555393731</v>
      </c>
      <c r="J7" s="1">
        <v>2</v>
      </c>
    </row>
    <row r="8" spans="1:22" x14ac:dyDescent="0.3">
      <c r="C8" s="1">
        <v>0.42369667597783478</v>
      </c>
      <c r="D8" s="1">
        <v>7.7314984270218656E-2</v>
      </c>
      <c r="E8" s="1">
        <f t="shared" si="1"/>
        <v>2.1586766095326508</v>
      </c>
      <c r="F8" s="1">
        <f t="shared" si="0"/>
        <v>0</v>
      </c>
      <c r="G8" s="1">
        <f t="shared" si="2"/>
        <v>2.1586766095326508</v>
      </c>
      <c r="J8" s="1">
        <v>3</v>
      </c>
    </row>
    <row r="9" spans="1:22" x14ac:dyDescent="0.3">
      <c r="C9" s="1">
        <v>0.76372722513324909</v>
      </c>
      <c r="D9" s="1">
        <v>0.53800877200292807</v>
      </c>
      <c r="E9" s="1">
        <f t="shared" si="1"/>
        <v>6.2829615325505648</v>
      </c>
      <c r="F9" s="1">
        <f t="shared" si="0"/>
        <v>0</v>
      </c>
      <c r="G9" s="1">
        <f t="shared" si="2"/>
        <v>6.2829615325505648</v>
      </c>
      <c r="J9" s="1">
        <v>4</v>
      </c>
    </row>
    <row r="10" spans="1:22" x14ac:dyDescent="0.3">
      <c r="C10" s="1">
        <v>0.11479403430799784</v>
      </c>
      <c r="D10" s="1">
        <v>0.40567289037860488</v>
      </c>
      <c r="E10" s="1">
        <f t="shared" si="1"/>
        <v>2.8932134795036206</v>
      </c>
      <c r="F10" s="1">
        <f t="shared" si="0"/>
        <v>0</v>
      </c>
      <c r="G10" s="1">
        <f t="shared" si="2"/>
        <v>2.8932134795036206</v>
      </c>
      <c r="J10" s="1">
        <v>5</v>
      </c>
    </row>
    <row r="11" spans="1:22" x14ac:dyDescent="0.3">
      <c r="C11" s="1">
        <v>0.59399167558767574</v>
      </c>
      <c r="D11" s="1">
        <v>0.49196400505857862</v>
      </c>
      <c r="E11" s="1">
        <f t="shared" si="1"/>
        <v>5.3277507327021745</v>
      </c>
      <c r="F11" s="1">
        <f t="shared" si="0"/>
        <v>0</v>
      </c>
      <c r="G11" s="1">
        <f t="shared" si="2"/>
        <v>5.3277507327021745</v>
      </c>
      <c r="J11" s="1">
        <v>6</v>
      </c>
    </row>
    <row r="12" spans="1:22" x14ac:dyDescent="0.3">
      <c r="C12" s="1">
        <v>0.81947679475484303</v>
      </c>
      <c r="D12" s="1">
        <v>0.81092675510493295</v>
      </c>
      <c r="E12" s="1">
        <f t="shared" si="1"/>
        <v>8.14346770964897</v>
      </c>
      <c r="F12" s="1">
        <f t="shared" si="0"/>
        <v>0</v>
      </c>
      <c r="G12" s="1">
        <f t="shared" si="2"/>
        <v>8.14346770964897</v>
      </c>
      <c r="J12" s="1">
        <v>7</v>
      </c>
    </row>
    <row r="13" spans="1:22" x14ac:dyDescent="0.3">
      <c r="C13" s="1">
        <v>3.6775538246711648E-2</v>
      </c>
      <c r="D13" s="1">
        <v>0.64709298006111859</v>
      </c>
      <c r="E13" s="1">
        <f t="shared" si="1"/>
        <v>4.0296600333535579</v>
      </c>
      <c r="F13" s="1">
        <f t="shared" si="0"/>
        <v>0</v>
      </c>
      <c r="G13" s="1">
        <f t="shared" si="2"/>
        <v>4.0296600333535579</v>
      </c>
      <c r="J13" s="1">
        <v>8</v>
      </c>
    </row>
    <row r="14" spans="1:22" x14ac:dyDescent="0.3">
      <c r="C14" s="1">
        <v>0.95980839299210774</v>
      </c>
      <c r="D14" s="1">
        <v>0.58762741759086323</v>
      </c>
      <c r="E14" s="1">
        <f t="shared" si="1"/>
        <v>7.3649980775136106</v>
      </c>
      <c r="F14" s="1">
        <f t="shared" si="0"/>
        <v>0</v>
      </c>
      <c r="G14" s="1">
        <f t="shared" si="2"/>
        <v>7.3649980775136106</v>
      </c>
      <c r="J14" s="1">
        <v>9</v>
      </c>
    </row>
    <row r="15" spans="1:22" x14ac:dyDescent="0.3">
      <c r="C15" s="1">
        <v>0.28644361304398236</v>
      </c>
      <c r="D15" s="1">
        <v>0.39179779708033735</v>
      </c>
      <c r="E15" s="1">
        <f t="shared" si="1"/>
        <v>3.4965612346579538</v>
      </c>
      <c r="F15" s="1">
        <f t="shared" si="0"/>
        <v>0</v>
      </c>
      <c r="G15" s="1">
        <f t="shared" si="2"/>
        <v>3.4965612346579538</v>
      </c>
      <c r="J15" s="1">
        <v>10</v>
      </c>
    </row>
    <row r="16" spans="1:22" x14ac:dyDescent="0.3">
      <c r="C16" s="1">
        <v>0.13595774921755643</v>
      </c>
      <c r="D16" s="1">
        <v>0.73977370116329122</v>
      </c>
      <c r="E16" s="1">
        <f t="shared" si="1"/>
        <v>4.9824732038499722</v>
      </c>
      <c r="F16" s="1">
        <f t="shared" si="0"/>
        <v>0</v>
      </c>
      <c r="G16" s="1">
        <f t="shared" si="2"/>
        <v>4.9824732038499722</v>
      </c>
    </row>
    <row r="17" spans="3:7" x14ac:dyDescent="0.3">
      <c r="C17" s="1">
        <v>0.44631949019745698</v>
      </c>
      <c r="D17" s="1">
        <v>0.75691401242955658</v>
      </c>
      <c r="E17" s="1">
        <f t="shared" si="1"/>
        <v>6.3267620353671674</v>
      </c>
      <c r="F17" s="1">
        <f t="shared" si="0"/>
        <v>0</v>
      </c>
      <c r="G17" s="1">
        <f t="shared" si="2"/>
        <v>6.3267620353671674</v>
      </c>
    </row>
    <row r="18" spans="3:7" x14ac:dyDescent="0.3">
      <c r="C18" s="1">
        <v>0.15653597274455455</v>
      </c>
      <c r="D18" s="1">
        <v>0.99367531366462925</v>
      </c>
      <c r="E18" s="1">
        <f t="shared" si="1"/>
        <v>6.5881957729659941</v>
      </c>
      <c r="F18" s="1">
        <f t="shared" si="0"/>
        <v>0</v>
      </c>
      <c r="G18" s="1">
        <f t="shared" si="2"/>
        <v>6.5881957729659941</v>
      </c>
    </row>
    <row r="19" spans="3:7" x14ac:dyDescent="0.3">
      <c r="C19" s="1">
        <v>3.9990474081860183E-2</v>
      </c>
      <c r="D19" s="1">
        <v>0.71461977433584267</v>
      </c>
      <c r="E19" s="1">
        <f t="shared" si="1"/>
        <v>4.4476805423424972</v>
      </c>
      <c r="F19" s="1">
        <f t="shared" si="0"/>
        <v>0</v>
      </c>
      <c r="G19" s="1">
        <f t="shared" si="2"/>
        <v>4.4476805423424972</v>
      </c>
    </row>
    <row r="20" spans="3:7" x14ac:dyDescent="0.3">
      <c r="C20" s="1">
        <v>0.45886863275160183</v>
      </c>
      <c r="D20" s="1">
        <v>0.77197492027752745</v>
      </c>
      <c r="E20" s="1">
        <f t="shared" si="1"/>
        <v>6.4673240526715725</v>
      </c>
      <c r="F20" s="1">
        <f t="shared" si="0"/>
        <v>0</v>
      </c>
      <c r="G20" s="1">
        <f t="shared" si="2"/>
        <v>6.4673240526715725</v>
      </c>
    </row>
    <row r="21" spans="3:7" x14ac:dyDescent="0.3">
      <c r="C21" s="1">
        <v>0.82816886965392178</v>
      </c>
      <c r="D21" s="1">
        <v>0.72903768344959974</v>
      </c>
      <c r="E21" s="1">
        <f t="shared" si="1"/>
        <v>7.6869015793132851</v>
      </c>
      <c r="F21" s="1">
        <f t="shared" si="0"/>
        <v>0</v>
      </c>
      <c r="G21" s="1">
        <f t="shared" si="2"/>
        <v>7.6869015793132851</v>
      </c>
    </row>
    <row r="22" spans="3:7" x14ac:dyDescent="0.3">
      <c r="C22" s="1">
        <v>0.98768835023462576</v>
      </c>
      <c r="D22" s="1">
        <v>0.8577801304696997</v>
      </c>
      <c r="E22" s="1">
        <f t="shared" si="1"/>
        <v>9.0974341837567003</v>
      </c>
      <c r="F22" s="1">
        <f t="shared" si="0"/>
        <v>0</v>
      </c>
      <c r="G22" s="1">
        <f t="shared" si="2"/>
        <v>9.0974341837567003</v>
      </c>
    </row>
    <row r="23" spans="3:7" x14ac:dyDescent="0.3">
      <c r="C23" s="1">
        <v>9.1571880950929607E-2</v>
      </c>
      <c r="D23" s="1">
        <v>0.85108800559533671</v>
      </c>
      <c r="E23" s="1">
        <f t="shared" si="1"/>
        <v>5.4728155573757391</v>
      </c>
      <c r="F23" s="1">
        <f t="shared" si="0"/>
        <v>0</v>
      </c>
      <c r="G23" s="1">
        <f t="shared" si="2"/>
        <v>5.4728155573757391</v>
      </c>
    </row>
    <row r="24" spans="3:7" x14ac:dyDescent="0.3">
      <c r="C24" s="1">
        <v>0.98777621824345985</v>
      </c>
      <c r="D24" s="1">
        <v>0.90491822507127551</v>
      </c>
      <c r="E24" s="1">
        <f t="shared" si="1"/>
        <v>9.3806142234014924</v>
      </c>
      <c r="F24" s="1">
        <f t="shared" si="0"/>
        <v>0</v>
      </c>
      <c r="G24" s="1">
        <f t="shared" si="2"/>
        <v>9.3806142234014924</v>
      </c>
    </row>
    <row r="25" spans="3:7" x14ac:dyDescent="0.3">
      <c r="C25" s="1">
        <v>0.49515938019898798</v>
      </c>
      <c r="D25" s="1">
        <v>0.49439886372864872</v>
      </c>
      <c r="E25" s="1">
        <f t="shared" si="1"/>
        <v>4.9470307031678438</v>
      </c>
      <c r="F25" s="1">
        <f t="shared" si="0"/>
        <v>0</v>
      </c>
      <c r="G25" s="1">
        <f t="shared" si="2"/>
        <v>4.9470307031678438</v>
      </c>
    </row>
    <row r="26" spans="3:7" x14ac:dyDescent="0.3">
      <c r="C26" s="1">
        <v>0.17702321522843911</v>
      </c>
      <c r="D26" s="1">
        <v>0.84410870925968817</v>
      </c>
      <c r="E26" s="1">
        <f t="shared" si="1"/>
        <v>5.772745116471885</v>
      </c>
      <c r="F26" s="1">
        <f t="shared" si="0"/>
        <v>0</v>
      </c>
      <c r="G26" s="1">
        <f t="shared" si="2"/>
        <v>5.772745116471885</v>
      </c>
    </row>
    <row r="27" spans="3:7" x14ac:dyDescent="0.3">
      <c r="C27" s="1">
        <v>0.6932639696631917</v>
      </c>
      <c r="D27" s="1">
        <v>0.94684839950182764</v>
      </c>
      <c r="E27" s="1">
        <f t="shared" si="1"/>
        <v>8.4541462756637316</v>
      </c>
      <c r="F27" s="1">
        <f t="shared" si="0"/>
        <v>0</v>
      </c>
      <c r="G27" s="1">
        <f t="shared" si="2"/>
        <v>8.4541462756637316</v>
      </c>
    </row>
    <row r="28" spans="3:7" x14ac:dyDescent="0.3">
      <c r="C28" s="1">
        <v>0.36491921806183947</v>
      </c>
      <c r="D28" s="1">
        <v>0.18543173429842219</v>
      </c>
      <c r="E28" s="1">
        <f t="shared" si="1"/>
        <v>2.572267278037891</v>
      </c>
      <c r="F28" s="1">
        <f t="shared" si="0"/>
        <v>0</v>
      </c>
      <c r="G28" s="1">
        <f t="shared" si="2"/>
        <v>2.572267278037891</v>
      </c>
    </row>
    <row r="29" spans="3:7" x14ac:dyDescent="0.3">
      <c r="C29" s="1">
        <v>0.63660415849418794</v>
      </c>
      <c r="D29" s="1">
        <v>0.45485618334087397</v>
      </c>
      <c r="E29" s="1">
        <f t="shared" si="1"/>
        <v>5.2755537340219956</v>
      </c>
      <c r="F29" s="1">
        <f t="shared" si="0"/>
        <v>0</v>
      </c>
      <c r="G29" s="1">
        <f t="shared" si="2"/>
        <v>5.2755537340219956</v>
      </c>
    </row>
    <row r="30" spans="3:7" x14ac:dyDescent="0.3">
      <c r="C30" s="1">
        <v>0.3507916607449767</v>
      </c>
      <c r="D30" s="1">
        <v>0.22432359254414824</v>
      </c>
      <c r="E30" s="1">
        <f t="shared" si="1"/>
        <v>2.7491081982447962</v>
      </c>
      <c r="F30" s="1">
        <f t="shared" si="0"/>
        <v>0</v>
      </c>
      <c r="G30" s="1">
        <f t="shared" si="2"/>
        <v>2.7491081982447962</v>
      </c>
    </row>
    <row r="31" spans="3:7" x14ac:dyDescent="0.3">
      <c r="C31" s="1">
        <v>0.28593374121900483</v>
      </c>
      <c r="D31" s="1">
        <v>0.90002612924237269</v>
      </c>
      <c r="E31" s="1">
        <f t="shared" si="1"/>
        <v>6.5438917403302552</v>
      </c>
      <c r="F31" s="1">
        <f t="shared" si="0"/>
        <v>0</v>
      </c>
      <c r="G31" s="1">
        <f t="shared" si="2"/>
        <v>6.5438917403302552</v>
      </c>
    </row>
    <row r="32" spans="3:7" x14ac:dyDescent="0.3">
      <c r="C32" s="1">
        <v>0.59891964822158239</v>
      </c>
      <c r="D32" s="1">
        <v>7.1468563946581964E-2</v>
      </c>
      <c r="E32" s="1">
        <f t="shared" si="1"/>
        <v>2.8244899765658213</v>
      </c>
      <c r="F32" s="1">
        <f t="shared" si="0"/>
        <v>0</v>
      </c>
      <c r="G32" s="1">
        <f t="shared" si="2"/>
        <v>2.8244899765658213</v>
      </c>
    </row>
    <row r="33" spans="3:7" x14ac:dyDescent="0.3">
      <c r="C33" s="1">
        <v>0.94472254616145701</v>
      </c>
      <c r="D33" s="1">
        <v>0.15827430058405689</v>
      </c>
      <c r="E33" s="1">
        <f t="shared" si="1"/>
        <v>4.7285359881501696</v>
      </c>
      <c r="F33" s="1">
        <f t="shared" si="0"/>
        <v>0</v>
      </c>
      <c r="G33" s="1">
        <f t="shared" si="2"/>
        <v>4.7285359881501696</v>
      </c>
    </row>
    <row r="34" spans="3:7" x14ac:dyDescent="0.3">
      <c r="C34" s="1">
        <v>0.64051024490191588</v>
      </c>
      <c r="D34" s="1">
        <v>0.84553680751263183</v>
      </c>
      <c r="E34" s="1">
        <f t="shared" si="1"/>
        <v>7.6352618246834538</v>
      </c>
      <c r="F34" s="1">
        <f t="shared" si="0"/>
        <v>0</v>
      </c>
      <c r="G34" s="1">
        <f t="shared" si="2"/>
        <v>7.6352618246834538</v>
      </c>
    </row>
    <row r="35" spans="3:7" x14ac:dyDescent="0.3">
      <c r="C35" s="1">
        <v>0.13416993390210696</v>
      </c>
      <c r="D35" s="1">
        <v>0.73634178274466855</v>
      </c>
      <c r="E35" s="1">
        <f t="shared" si="1"/>
        <v>4.9547304320764392</v>
      </c>
      <c r="F35" s="1">
        <f t="shared" si="0"/>
        <v>0</v>
      </c>
      <c r="G35" s="1">
        <f t="shared" si="2"/>
        <v>4.9547304320764392</v>
      </c>
    </row>
    <row r="36" spans="3:7" x14ac:dyDescent="0.3">
      <c r="C36" s="1">
        <v>0.47694686558001109</v>
      </c>
      <c r="D36" s="1">
        <v>0.70936889981987039</v>
      </c>
      <c r="E36" s="1">
        <f t="shared" si="1"/>
        <v>6.1640008612392663</v>
      </c>
      <c r="F36" s="1">
        <f t="shared" si="0"/>
        <v>0</v>
      </c>
      <c r="G36" s="1">
        <f t="shared" si="2"/>
        <v>6.1640008612392663</v>
      </c>
    </row>
    <row r="37" spans="3:7" x14ac:dyDescent="0.3">
      <c r="C37" s="1">
        <v>0.65405167556618626</v>
      </c>
      <c r="D37" s="1">
        <v>0.89298589706245679</v>
      </c>
      <c r="E37" s="1">
        <f t="shared" si="1"/>
        <v>7.974122084639486</v>
      </c>
      <c r="F37" s="1">
        <f t="shared" si="0"/>
        <v>0</v>
      </c>
      <c r="G37" s="1">
        <f t="shared" si="2"/>
        <v>7.974122084639486</v>
      </c>
    </row>
    <row r="38" spans="3:7" x14ac:dyDescent="0.3">
      <c r="C38" s="1">
        <v>0.3682246954047077</v>
      </c>
      <c r="D38" s="1">
        <v>0.53397413534835425</v>
      </c>
      <c r="E38" s="1">
        <f t="shared" si="1"/>
        <v>4.6767435937089559</v>
      </c>
      <c r="F38" s="1">
        <f t="shared" ref="F38:F69" si="3">C38*b_1+D38*b_2</f>
        <v>0</v>
      </c>
      <c r="G38" s="1">
        <f t="shared" si="2"/>
        <v>4.6767435937089559</v>
      </c>
    </row>
    <row r="39" spans="3:7" x14ac:dyDescent="0.3">
      <c r="C39" s="1">
        <v>0.16928375593868195</v>
      </c>
      <c r="D39" s="1">
        <v>0.44612266753694685</v>
      </c>
      <c r="E39" s="1">
        <f t="shared" si="1"/>
        <v>3.3538710289764087</v>
      </c>
      <c r="F39" s="1">
        <f t="shared" si="3"/>
        <v>0</v>
      </c>
      <c r="G39" s="1">
        <f t="shared" si="2"/>
        <v>3.3538710289764087</v>
      </c>
    </row>
    <row r="40" spans="3:7" x14ac:dyDescent="0.3">
      <c r="C40" s="1">
        <v>0.97653339563318176</v>
      </c>
      <c r="D40" s="1">
        <v>0.49324431090335352</v>
      </c>
      <c r="E40" s="1">
        <f t="shared" si="1"/>
        <v>6.8655994479528477</v>
      </c>
      <c r="F40" s="1">
        <f t="shared" si="3"/>
        <v>0</v>
      </c>
      <c r="G40" s="1">
        <f t="shared" si="2"/>
        <v>6.8655994479528477</v>
      </c>
    </row>
    <row r="41" spans="3:7" x14ac:dyDescent="0.3">
      <c r="C41" s="1">
        <v>0.27140286286204585</v>
      </c>
      <c r="D41" s="1">
        <v>0.40118378287223444</v>
      </c>
      <c r="E41" s="1">
        <f t="shared" si="1"/>
        <v>3.49271414868159</v>
      </c>
      <c r="F41" s="1">
        <f t="shared" si="3"/>
        <v>0</v>
      </c>
      <c r="G41" s="1">
        <f t="shared" si="2"/>
        <v>3.49271414868159</v>
      </c>
    </row>
    <row r="42" spans="3:7" x14ac:dyDescent="0.3">
      <c r="C42" s="1">
        <v>0.31989061126938201</v>
      </c>
      <c r="D42" s="1">
        <v>9.0848539393930894E-2</v>
      </c>
      <c r="E42" s="1">
        <f t="shared" si="1"/>
        <v>1.8246536814411134</v>
      </c>
      <c r="F42" s="1">
        <f t="shared" si="3"/>
        <v>0</v>
      </c>
      <c r="G42" s="1">
        <f t="shared" si="2"/>
        <v>1.8246536814411134</v>
      </c>
    </row>
    <row r="43" spans="3:7" x14ac:dyDescent="0.3">
      <c r="C43" s="1">
        <v>0.20313824447787088</v>
      </c>
      <c r="D43" s="1">
        <v>0.79513944749476062</v>
      </c>
      <c r="E43" s="1">
        <f t="shared" si="1"/>
        <v>5.5833896628800472</v>
      </c>
      <c r="F43" s="1">
        <f t="shared" si="3"/>
        <v>0</v>
      </c>
      <c r="G43" s="1">
        <f t="shared" si="2"/>
        <v>5.5833896628800472</v>
      </c>
    </row>
    <row r="44" spans="3:7" x14ac:dyDescent="0.3">
      <c r="C44" s="1">
        <v>0.96198831928460005</v>
      </c>
      <c r="D44" s="1">
        <v>0.4839233525361355</v>
      </c>
      <c r="E44" s="1">
        <f t="shared" si="1"/>
        <v>6.7514933923552132</v>
      </c>
      <c r="F44" s="1">
        <f t="shared" si="3"/>
        <v>0</v>
      </c>
      <c r="G44" s="1">
        <f t="shared" si="2"/>
        <v>6.7514933923552132</v>
      </c>
    </row>
    <row r="45" spans="3:7" x14ac:dyDescent="0.3">
      <c r="C45" s="1">
        <v>0.38442443982165664</v>
      </c>
      <c r="D45" s="1">
        <v>0.13398115481039041</v>
      </c>
      <c r="E45" s="1">
        <f t="shared" si="1"/>
        <v>2.341584688148969</v>
      </c>
      <c r="F45" s="1">
        <f t="shared" si="3"/>
        <v>0</v>
      </c>
      <c r="G45" s="1">
        <f t="shared" si="2"/>
        <v>2.341584688148969</v>
      </c>
    </row>
    <row r="46" spans="3:7" x14ac:dyDescent="0.3">
      <c r="C46" s="1">
        <v>0.81621864806108124</v>
      </c>
      <c r="D46" s="1">
        <v>0.14801907417985494</v>
      </c>
      <c r="E46" s="1">
        <f t="shared" si="1"/>
        <v>4.1529890373234544</v>
      </c>
      <c r="F46" s="1">
        <f t="shared" si="3"/>
        <v>0</v>
      </c>
      <c r="G46" s="1">
        <f t="shared" si="2"/>
        <v>4.1529890373234544</v>
      </c>
    </row>
    <row r="47" spans="3:7" x14ac:dyDescent="0.3">
      <c r="C47" s="1">
        <v>1.6989630401742839E-2</v>
      </c>
      <c r="D47" s="1">
        <v>0.9411048253379144</v>
      </c>
      <c r="E47" s="1">
        <f t="shared" si="1"/>
        <v>5.7145874736344577</v>
      </c>
      <c r="F47" s="1">
        <f t="shared" si="3"/>
        <v>0</v>
      </c>
      <c r="G47" s="1">
        <f t="shared" si="2"/>
        <v>5.7145874736344577</v>
      </c>
    </row>
    <row r="48" spans="3:7" x14ac:dyDescent="0.3">
      <c r="C48" s="1">
        <v>0.8759994581057502</v>
      </c>
      <c r="D48" s="1">
        <v>0.46120232156976859</v>
      </c>
      <c r="E48" s="1">
        <f t="shared" si="1"/>
        <v>6.2712117618416121</v>
      </c>
      <c r="F48" s="1">
        <f t="shared" si="3"/>
        <v>0</v>
      </c>
      <c r="G48" s="1">
        <f t="shared" si="2"/>
        <v>6.2712117618416121</v>
      </c>
    </row>
    <row r="49" spans="3:7" x14ac:dyDescent="0.3">
      <c r="C49" s="1">
        <v>0.90026811422676956</v>
      </c>
      <c r="D49" s="1">
        <v>0.60769390467928974</v>
      </c>
      <c r="E49" s="1">
        <f t="shared" si="1"/>
        <v>7.2472358849828167</v>
      </c>
      <c r="F49" s="1">
        <f t="shared" si="3"/>
        <v>0</v>
      </c>
      <c r="G49" s="1">
        <f t="shared" si="2"/>
        <v>7.2472358849828167</v>
      </c>
    </row>
    <row r="50" spans="3:7" x14ac:dyDescent="0.3">
      <c r="C50" s="1">
        <v>0.51216821263489609</v>
      </c>
      <c r="D50" s="1">
        <v>0.8360434781385816</v>
      </c>
      <c r="E50" s="1">
        <f t="shared" si="1"/>
        <v>7.0649337193710737</v>
      </c>
      <c r="F50" s="1">
        <f t="shared" si="3"/>
        <v>0</v>
      </c>
      <c r="G50" s="1">
        <f t="shared" si="2"/>
        <v>7.0649337193710737</v>
      </c>
    </row>
    <row r="51" spans="3:7" x14ac:dyDescent="0.3">
      <c r="C51" s="1">
        <v>0.84131731819739419</v>
      </c>
      <c r="D51" s="1">
        <v>0.83759166908843408</v>
      </c>
      <c r="E51" s="1">
        <f t="shared" si="1"/>
        <v>8.3908192873201806</v>
      </c>
      <c r="F51" s="1">
        <f t="shared" si="3"/>
        <v>0</v>
      </c>
      <c r="G51" s="1">
        <f t="shared" si="2"/>
        <v>8.3908192873201806</v>
      </c>
    </row>
    <row r="52" spans="3:7" x14ac:dyDescent="0.3">
      <c r="C52" s="1">
        <v>0.37150317924375753</v>
      </c>
      <c r="D52" s="1">
        <v>0.28247115545535795</v>
      </c>
      <c r="E52" s="1">
        <f t="shared" si="1"/>
        <v>3.1808396497071776</v>
      </c>
      <c r="F52" s="1">
        <f t="shared" si="3"/>
        <v>0</v>
      </c>
      <c r="G52" s="1">
        <f t="shared" si="2"/>
        <v>3.1808396497071776</v>
      </c>
    </row>
    <row r="53" spans="3:7" x14ac:dyDescent="0.3">
      <c r="C53" s="1">
        <v>0.16172382408047237</v>
      </c>
      <c r="D53" s="1">
        <v>0.31590815327784194</v>
      </c>
      <c r="E53" s="1">
        <f t="shared" si="1"/>
        <v>2.5423442159889413</v>
      </c>
      <c r="F53" s="1">
        <f t="shared" si="3"/>
        <v>0</v>
      </c>
      <c r="G53" s="1">
        <f t="shared" si="2"/>
        <v>2.5423442159889413</v>
      </c>
    </row>
    <row r="54" spans="3:7" x14ac:dyDescent="0.3">
      <c r="C54" s="1">
        <v>0.77062609063401089</v>
      </c>
      <c r="D54" s="1">
        <v>0.75747845396554225</v>
      </c>
      <c r="E54" s="1">
        <f t="shared" si="1"/>
        <v>7.6273750863292964</v>
      </c>
      <c r="F54" s="1">
        <f t="shared" si="3"/>
        <v>0</v>
      </c>
      <c r="G54" s="1">
        <f t="shared" si="2"/>
        <v>7.6273750863292964</v>
      </c>
    </row>
    <row r="55" spans="3:7" x14ac:dyDescent="0.3">
      <c r="C55" s="1">
        <v>0.92767094917324933</v>
      </c>
      <c r="D55" s="1">
        <v>0.46084558884061932</v>
      </c>
      <c r="E55" s="1">
        <f t="shared" si="1"/>
        <v>6.4757573297367133</v>
      </c>
      <c r="F55" s="1">
        <f t="shared" si="3"/>
        <v>0</v>
      </c>
      <c r="G55" s="1">
        <f t="shared" si="2"/>
        <v>6.4757573297367133</v>
      </c>
    </row>
    <row r="56" spans="3:7" x14ac:dyDescent="0.3">
      <c r="C56" s="1">
        <v>0.76160447204083692</v>
      </c>
      <c r="D56" s="1">
        <v>0.55521877929567887</v>
      </c>
      <c r="E56" s="1">
        <f t="shared" si="1"/>
        <v>6.3777305639374209</v>
      </c>
      <c r="F56" s="1">
        <f t="shared" si="3"/>
        <v>0</v>
      </c>
      <c r="G56" s="1">
        <f t="shared" si="2"/>
        <v>6.3777305639374209</v>
      </c>
    </row>
    <row r="57" spans="3:7" x14ac:dyDescent="0.3">
      <c r="C57" s="1">
        <v>0.64420576056392553</v>
      </c>
      <c r="D57" s="1">
        <v>3.5523655145407451E-2</v>
      </c>
      <c r="E57" s="1">
        <f t="shared" si="1"/>
        <v>2.7899649731281468</v>
      </c>
      <c r="F57" s="1">
        <f t="shared" si="3"/>
        <v>0</v>
      </c>
      <c r="G57" s="1">
        <f t="shared" si="2"/>
        <v>2.7899649731281468</v>
      </c>
    </row>
    <row r="58" spans="3:7" x14ac:dyDescent="0.3">
      <c r="C58" s="1">
        <v>0.16338613744510122</v>
      </c>
      <c r="D58" s="1">
        <v>0.44943227320588597</v>
      </c>
      <c r="E58" s="1">
        <f t="shared" si="1"/>
        <v>3.3501381890157207</v>
      </c>
      <c r="F58" s="1">
        <f t="shared" si="3"/>
        <v>0</v>
      </c>
      <c r="G58" s="1">
        <f t="shared" si="2"/>
        <v>3.3501381890157207</v>
      </c>
    </row>
    <row r="59" spans="3:7" x14ac:dyDescent="0.3">
      <c r="C59" s="1">
        <v>0.24691029629467698</v>
      </c>
      <c r="D59" s="1">
        <v>5.3646606272402808E-3</v>
      </c>
      <c r="E59" s="1">
        <f t="shared" si="1"/>
        <v>1.0198291489421496</v>
      </c>
      <c r="F59" s="1">
        <f t="shared" si="3"/>
        <v>0</v>
      </c>
      <c r="G59" s="1">
        <f t="shared" si="2"/>
        <v>1.0198291489421496</v>
      </c>
    </row>
    <row r="60" spans="3:7" x14ac:dyDescent="0.3">
      <c r="C60" s="1">
        <v>0.27494853345907799</v>
      </c>
      <c r="D60" s="1">
        <v>0.43955322144098541</v>
      </c>
      <c r="E60" s="1">
        <f t="shared" si="1"/>
        <v>3.7371134624822244</v>
      </c>
      <c r="F60" s="1">
        <f t="shared" si="3"/>
        <v>0</v>
      </c>
      <c r="G60" s="1">
        <f t="shared" si="2"/>
        <v>3.7371134624822244</v>
      </c>
    </row>
    <row r="61" spans="3:7" x14ac:dyDescent="0.3">
      <c r="C61" s="1">
        <v>0.46042511850385959</v>
      </c>
      <c r="D61" s="1">
        <v>0.93964563475680563</v>
      </c>
      <c r="E61" s="1">
        <f t="shared" si="1"/>
        <v>7.4795742825562712</v>
      </c>
      <c r="F61" s="1">
        <f t="shared" si="3"/>
        <v>0</v>
      </c>
      <c r="G61" s="1">
        <f t="shared" si="2"/>
        <v>7.4795742825562712</v>
      </c>
    </row>
    <row r="62" spans="3:7" x14ac:dyDescent="0.3">
      <c r="C62" s="1">
        <v>0.30815447206508972</v>
      </c>
      <c r="D62" s="1">
        <v>0.15694039946438632</v>
      </c>
      <c r="E62" s="1">
        <f t="shared" si="1"/>
        <v>2.1742602850466768</v>
      </c>
      <c r="F62" s="1">
        <f t="shared" si="3"/>
        <v>0</v>
      </c>
      <c r="G62" s="1">
        <f t="shared" si="2"/>
        <v>2.1742602850466768</v>
      </c>
    </row>
    <row r="63" spans="3:7" x14ac:dyDescent="0.3">
      <c r="C63" s="1">
        <v>0.2301844170280003</v>
      </c>
      <c r="D63" s="1">
        <v>0.10834333004081942</v>
      </c>
      <c r="E63" s="1">
        <f t="shared" si="1"/>
        <v>1.5707976483569177</v>
      </c>
      <c r="F63" s="1">
        <f t="shared" si="3"/>
        <v>0</v>
      </c>
      <c r="G63" s="1">
        <f t="shared" si="2"/>
        <v>1.5707976483569177</v>
      </c>
    </row>
    <row r="64" spans="3:7" x14ac:dyDescent="0.3">
      <c r="C64" s="1">
        <v>0.10432668397968214</v>
      </c>
      <c r="D64" s="1">
        <v>7.0357280630668484E-3</v>
      </c>
      <c r="E64" s="1">
        <f t="shared" si="1"/>
        <v>0.45952110429712967</v>
      </c>
      <c r="F64" s="1">
        <f t="shared" si="3"/>
        <v>0</v>
      </c>
      <c r="G64" s="1">
        <f t="shared" si="2"/>
        <v>0.45952110429712967</v>
      </c>
    </row>
    <row r="65" spans="3:7" x14ac:dyDescent="0.3">
      <c r="C65" s="1">
        <v>0.13051469456915499</v>
      </c>
      <c r="D65" s="1">
        <v>0.31468609522319446</v>
      </c>
      <c r="E65" s="1">
        <f t="shared" si="1"/>
        <v>2.4101753496157867</v>
      </c>
      <c r="F65" s="1">
        <f t="shared" si="3"/>
        <v>0</v>
      </c>
      <c r="G65" s="1">
        <f t="shared" si="2"/>
        <v>2.4101753496157867</v>
      </c>
    </row>
    <row r="66" spans="3:7" x14ac:dyDescent="0.3">
      <c r="C66" s="1">
        <v>0.86341317111470106</v>
      </c>
      <c r="D66" s="1">
        <v>0.31603223418400039</v>
      </c>
      <c r="E66" s="1">
        <f t="shared" si="1"/>
        <v>5.3498460895628064</v>
      </c>
      <c r="F66" s="1">
        <f t="shared" si="3"/>
        <v>0</v>
      </c>
      <c r="G66" s="1">
        <f t="shared" si="2"/>
        <v>5.3498460895628064</v>
      </c>
    </row>
    <row r="67" spans="3:7" x14ac:dyDescent="0.3">
      <c r="C67" s="1">
        <v>0.190305675329829</v>
      </c>
      <c r="D67" s="1">
        <v>0.79912602009048617</v>
      </c>
      <c r="E67" s="1">
        <f t="shared" si="1"/>
        <v>5.555978821862233</v>
      </c>
      <c r="F67" s="1">
        <f t="shared" si="3"/>
        <v>0</v>
      </c>
      <c r="G67" s="1">
        <f t="shared" si="2"/>
        <v>5.555978821862233</v>
      </c>
    </row>
    <row r="68" spans="3:7" x14ac:dyDescent="0.3">
      <c r="C68" s="1">
        <v>0.14399529933665045</v>
      </c>
      <c r="D68" s="1">
        <v>0.85010456577421434</v>
      </c>
      <c r="E68" s="1">
        <f t="shared" si="1"/>
        <v>5.6766085919918883</v>
      </c>
      <c r="F68" s="1">
        <f t="shared" si="3"/>
        <v>0</v>
      </c>
      <c r="G68" s="1">
        <f t="shared" si="2"/>
        <v>5.6766085919918883</v>
      </c>
    </row>
    <row r="69" spans="3:7" x14ac:dyDescent="0.3">
      <c r="C69" s="1">
        <v>0.96317805575926385</v>
      </c>
      <c r="D69" s="1">
        <v>0.87023710021919298</v>
      </c>
      <c r="E69" s="1">
        <f t="shared" si="1"/>
        <v>9.074134824352214</v>
      </c>
      <c r="F69" s="1">
        <f t="shared" si="3"/>
        <v>0</v>
      </c>
      <c r="G69" s="1">
        <f t="shared" si="2"/>
        <v>9.074134824352214</v>
      </c>
    </row>
    <row r="70" spans="3:7" x14ac:dyDescent="0.3">
      <c r="C70" s="1">
        <v>0.72952350065407545</v>
      </c>
      <c r="D70" s="1">
        <v>0.67377252461976123</v>
      </c>
      <c r="E70" s="1">
        <f t="shared" si="1"/>
        <v>6.9607291503348687</v>
      </c>
      <c r="F70" s="1">
        <f t="shared" ref="F70:F105" si="4">C70*b_1+D70*b_2</f>
        <v>0</v>
      </c>
      <c r="G70" s="1">
        <f t="shared" si="2"/>
        <v>6.9607291503348687</v>
      </c>
    </row>
    <row r="71" spans="3:7" x14ac:dyDescent="0.3">
      <c r="C71" s="1">
        <v>0.37800472135727603</v>
      </c>
      <c r="D71" s="1">
        <v>5.0538511253668372E-2</v>
      </c>
      <c r="E71" s="1">
        <f t="shared" ref="E71:E105" si="5">C71*4+D71*6</f>
        <v>1.8152499529511144</v>
      </c>
      <c r="F71" s="1">
        <f t="shared" si="4"/>
        <v>0</v>
      </c>
      <c r="G71" s="1">
        <f t="shared" ref="G71:G105" si="6">E71-F71</f>
        <v>1.8152499529511144</v>
      </c>
    </row>
    <row r="72" spans="3:7" x14ac:dyDescent="0.3">
      <c r="C72" s="1">
        <v>0.68162541639260277</v>
      </c>
      <c r="D72" s="1">
        <v>2.2261240398649518E-2</v>
      </c>
      <c r="E72" s="1">
        <f t="shared" si="5"/>
        <v>2.8600691079623082</v>
      </c>
      <c r="F72" s="1">
        <f t="shared" si="4"/>
        <v>0</v>
      </c>
      <c r="G72" s="1">
        <f t="shared" si="6"/>
        <v>2.8600691079623082</v>
      </c>
    </row>
    <row r="73" spans="3:7" x14ac:dyDescent="0.3">
      <c r="C73" s="1">
        <v>0.88870508943553173</v>
      </c>
      <c r="D73" s="1">
        <v>0.35996225145474769</v>
      </c>
      <c r="E73" s="1">
        <f t="shared" si="5"/>
        <v>5.7145938664706133</v>
      </c>
      <c r="F73" s="1">
        <f t="shared" si="4"/>
        <v>0</v>
      </c>
      <c r="G73" s="1">
        <f t="shared" si="6"/>
        <v>5.7145938664706133</v>
      </c>
    </row>
    <row r="74" spans="3:7" x14ac:dyDescent="0.3">
      <c r="C74" s="1">
        <v>0.96198235615447392</v>
      </c>
      <c r="D74" s="1">
        <v>0.71953748227817282</v>
      </c>
      <c r="E74" s="1">
        <f t="shared" si="5"/>
        <v>8.1651543182869322</v>
      </c>
      <c r="F74" s="1">
        <f t="shared" si="4"/>
        <v>0</v>
      </c>
      <c r="G74" s="1">
        <f t="shared" si="6"/>
        <v>8.1651543182869322</v>
      </c>
    </row>
    <row r="75" spans="3:7" x14ac:dyDescent="0.3">
      <c r="C75" s="1">
        <v>4.3754096392935038E-2</v>
      </c>
      <c r="D75" s="1">
        <v>0.28768979094721847</v>
      </c>
      <c r="E75" s="1">
        <f t="shared" si="5"/>
        <v>1.901155131255051</v>
      </c>
      <c r="F75" s="1">
        <f t="shared" si="4"/>
        <v>0</v>
      </c>
      <c r="G75" s="1">
        <f t="shared" si="6"/>
        <v>1.901155131255051</v>
      </c>
    </row>
    <row r="76" spans="3:7" x14ac:dyDescent="0.3">
      <c r="C76" s="1">
        <v>0.70671570522183813</v>
      </c>
      <c r="D76" s="1">
        <v>0.22971980748104659</v>
      </c>
      <c r="E76" s="1">
        <f t="shared" si="5"/>
        <v>4.2051816657736323</v>
      </c>
      <c r="F76" s="1">
        <f t="shared" si="4"/>
        <v>0</v>
      </c>
      <c r="G76" s="1">
        <f t="shared" si="6"/>
        <v>4.2051816657736323</v>
      </c>
    </row>
    <row r="77" spans="3:7" x14ac:dyDescent="0.3">
      <c r="C77" s="1">
        <v>0.42436196245429136</v>
      </c>
      <c r="D77" s="1">
        <v>0.70453554556958986</v>
      </c>
      <c r="E77" s="1">
        <f t="shared" si="5"/>
        <v>5.9246611232347046</v>
      </c>
      <c r="F77" s="1">
        <f t="shared" si="4"/>
        <v>0</v>
      </c>
      <c r="G77" s="1">
        <f t="shared" si="6"/>
        <v>5.9246611232347046</v>
      </c>
    </row>
    <row r="78" spans="3:7" x14ac:dyDescent="0.3">
      <c r="C78" s="1">
        <v>0.72053783720885123</v>
      </c>
      <c r="D78" s="1">
        <v>0.62591241199353775</v>
      </c>
      <c r="E78" s="1">
        <f t="shared" si="5"/>
        <v>6.6376258207966314</v>
      </c>
      <c r="F78" s="1">
        <f t="shared" si="4"/>
        <v>0</v>
      </c>
      <c r="G78" s="1">
        <f t="shared" si="6"/>
        <v>6.6376258207966314</v>
      </c>
    </row>
    <row r="79" spans="3:7" x14ac:dyDescent="0.3">
      <c r="C79" s="1">
        <v>0.60726784060861483</v>
      </c>
      <c r="D79" s="1">
        <v>0.13952293962230311</v>
      </c>
      <c r="E79" s="1">
        <f t="shared" si="5"/>
        <v>3.2662090001682778</v>
      </c>
      <c r="F79" s="1">
        <f t="shared" si="4"/>
        <v>0</v>
      </c>
      <c r="G79" s="1">
        <f t="shared" si="6"/>
        <v>3.2662090001682778</v>
      </c>
    </row>
    <row r="80" spans="3:7" x14ac:dyDescent="0.3">
      <c r="C80" s="1">
        <v>2.5657088841268827E-2</v>
      </c>
      <c r="D80" s="1">
        <v>4.0025848063629743E-2</v>
      </c>
      <c r="E80" s="1">
        <f t="shared" si="5"/>
        <v>0.34278344374685377</v>
      </c>
      <c r="F80" s="1">
        <f t="shared" si="4"/>
        <v>0</v>
      </c>
      <c r="G80" s="1">
        <f t="shared" si="6"/>
        <v>0.34278344374685377</v>
      </c>
    </row>
    <row r="81" spans="3:7" x14ac:dyDescent="0.3">
      <c r="C81" s="1">
        <v>0.69511739555633989</v>
      </c>
      <c r="D81" s="1">
        <v>0.89619980574277858</v>
      </c>
      <c r="E81" s="1">
        <f t="shared" si="5"/>
        <v>8.1576684166820321</v>
      </c>
      <c r="F81" s="1">
        <f t="shared" si="4"/>
        <v>0</v>
      </c>
      <c r="G81" s="1">
        <f t="shared" si="6"/>
        <v>8.1576684166820321</v>
      </c>
    </row>
    <row r="82" spans="3:7" x14ac:dyDescent="0.3">
      <c r="C82" s="1">
        <v>0.22650640016109602</v>
      </c>
      <c r="D82" s="1">
        <v>0.31866279505086703</v>
      </c>
      <c r="E82" s="1">
        <f t="shared" si="5"/>
        <v>2.8180023709495865</v>
      </c>
      <c r="F82" s="1">
        <f t="shared" si="4"/>
        <v>0</v>
      </c>
      <c r="G82" s="1">
        <f t="shared" si="6"/>
        <v>2.8180023709495865</v>
      </c>
    </row>
    <row r="83" spans="3:7" x14ac:dyDescent="0.3">
      <c r="C83" s="1">
        <v>0.87756107167696618</v>
      </c>
      <c r="D83" s="1">
        <v>0.50085542013444573</v>
      </c>
      <c r="E83" s="1">
        <f t="shared" si="5"/>
        <v>6.5153768075145386</v>
      </c>
      <c r="F83" s="1">
        <f t="shared" si="4"/>
        <v>0</v>
      </c>
      <c r="G83" s="1">
        <f t="shared" si="6"/>
        <v>6.5153768075145386</v>
      </c>
    </row>
    <row r="84" spans="3:7" x14ac:dyDescent="0.3">
      <c r="C84" s="1">
        <v>0.62985693362364181</v>
      </c>
      <c r="D84" s="1">
        <v>0.51639229284456778</v>
      </c>
      <c r="E84" s="1">
        <f t="shared" si="5"/>
        <v>5.6177814915619741</v>
      </c>
      <c r="F84" s="1">
        <f t="shared" si="4"/>
        <v>0</v>
      </c>
      <c r="G84" s="1">
        <f t="shared" si="6"/>
        <v>5.6177814915619741</v>
      </c>
    </row>
    <row r="85" spans="3:7" x14ac:dyDescent="0.3">
      <c r="C85" s="1">
        <v>0.69024666739468687</v>
      </c>
      <c r="D85" s="1">
        <v>0.45200778968445465</v>
      </c>
      <c r="E85" s="1">
        <f t="shared" si="5"/>
        <v>5.4730334076854756</v>
      </c>
      <c r="F85" s="1">
        <f t="shared" si="4"/>
        <v>0</v>
      </c>
      <c r="G85" s="1">
        <f t="shared" si="6"/>
        <v>5.4730334076854756</v>
      </c>
    </row>
    <row r="86" spans="3:7" x14ac:dyDescent="0.3">
      <c r="C86" s="1">
        <v>0.86583404653050866</v>
      </c>
      <c r="D86" s="1">
        <v>0.50821935143094432</v>
      </c>
      <c r="E86" s="1">
        <f t="shared" si="5"/>
        <v>6.512652294707701</v>
      </c>
      <c r="F86" s="1">
        <f t="shared" si="4"/>
        <v>0</v>
      </c>
      <c r="G86" s="1">
        <f t="shared" si="6"/>
        <v>6.512652294707701</v>
      </c>
    </row>
    <row r="87" spans="3:7" x14ac:dyDescent="0.3">
      <c r="C87" s="1">
        <v>0.55043408422514639</v>
      </c>
      <c r="D87" s="1">
        <v>0.35491752701888002</v>
      </c>
      <c r="E87" s="1">
        <f t="shared" si="5"/>
        <v>4.3312414990138652</v>
      </c>
      <c r="F87" s="1">
        <f t="shared" si="4"/>
        <v>0</v>
      </c>
      <c r="G87" s="1">
        <f t="shared" si="6"/>
        <v>4.3312414990138652</v>
      </c>
    </row>
    <row r="88" spans="3:7" x14ac:dyDescent="0.3">
      <c r="C88" s="1">
        <v>0.46262657849883759</v>
      </c>
      <c r="D88" s="1">
        <v>0.96180492327331757</v>
      </c>
      <c r="E88" s="1">
        <f t="shared" si="5"/>
        <v>7.6213358536352551</v>
      </c>
      <c r="F88" s="1">
        <f t="shared" si="4"/>
        <v>0</v>
      </c>
      <c r="G88" s="1">
        <f t="shared" si="6"/>
        <v>7.6213358536352551</v>
      </c>
    </row>
    <row r="89" spans="3:7" x14ac:dyDescent="0.3">
      <c r="C89" s="1">
        <v>0.13971125016762886</v>
      </c>
      <c r="D89" s="1">
        <v>0.84484542500392568</v>
      </c>
      <c r="E89" s="1">
        <f t="shared" si="5"/>
        <v>5.62791755069407</v>
      </c>
      <c r="F89" s="1">
        <f t="shared" si="4"/>
        <v>0</v>
      </c>
      <c r="G89" s="1">
        <f t="shared" si="6"/>
        <v>5.62791755069407</v>
      </c>
    </row>
    <row r="90" spans="3:7" x14ac:dyDescent="0.3">
      <c r="C90" s="1">
        <v>0.79496569043528431</v>
      </c>
      <c r="D90" s="1">
        <v>0.87933030537974566</v>
      </c>
      <c r="E90" s="1">
        <f t="shared" si="5"/>
        <v>8.4558445940196112</v>
      </c>
      <c r="F90" s="1">
        <f t="shared" si="4"/>
        <v>0</v>
      </c>
      <c r="G90" s="1">
        <f t="shared" si="6"/>
        <v>8.4558445940196112</v>
      </c>
    </row>
    <row r="91" spans="3:7" x14ac:dyDescent="0.3">
      <c r="C91" s="1">
        <v>0.95597547189815801</v>
      </c>
      <c r="D91" s="1">
        <v>0.33252124960023921</v>
      </c>
      <c r="E91" s="1">
        <f t="shared" si="5"/>
        <v>5.8190293851940673</v>
      </c>
      <c r="F91" s="1">
        <f t="shared" si="4"/>
        <v>0</v>
      </c>
      <c r="G91" s="1">
        <f t="shared" si="6"/>
        <v>5.8190293851940673</v>
      </c>
    </row>
    <row r="92" spans="3:7" x14ac:dyDescent="0.3">
      <c r="C92" s="1">
        <v>0.76848027454120404</v>
      </c>
      <c r="D92" s="1">
        <v>0.1557513208703234</v>
      </c>
      <c r="E92" s="1">
        <f t="shared" si="5"/>
        <v>4.008429023386757</v>
      </c>
      <c r="F92" s="1">
        <f t="shared" si="4"/>
        <v>0</v>
      </c>
      <c r="G92" s="1">
        <f t="shared" si="6"/>
        <v>4.008429023386757</v>
      </c>
    </row>
    <row r="93" spans="3:7" x14ac:dyDescent="0.3">
      <c r="C93" s="1">
        <v>0.18707087699342639</v>
      </c>
      <c r="D93" s="1">
        <v>5.2144429678800286E-2</v>
      </c>
      <c r="E93" s="1">
        <f t="shared" si="5"/>
        <v>1.0611500860465073</v>
      </c>
      <c r="F93" s="1">
        <f t="shared" si="4"/>
        <v>0</v>
      </c>
      <c r="G93" s="1">
        <f t="shared" si="6"/>
        <v>1.0611500860465073</v>
      </c>
    </row>
    <row r="94" spans="3:7" x14ac:dyDescent="0.3">
      <c r="C94" s="1">
        <v>0.3337376358573193</v>
      </c>
      <c r="D94" s="1">
        <v>0.98736839847988755</v>
      </c>
      <c r="E94" s="1">
        <f t="shared" si="5"/>
        <v>7.2591609343086034</v>
      </c>
      <c r="F94" s="1">
        <f t="shared" si="4"/>
        <v>0</v>
      </c>
      <c r="G94" s="1">
        <f t="shared" si="6"/>
        <v>7.2591609343086034</v>
      </c>
    </row>
    <row r="95" spans="3:7" x14ac:dyDescent="0.3">
      <c r="C95" s="1">
        <v>0.17869200377202954</v>
      </c>
      <c r="D95" s="1">
        <v>0.4949997492461865</v>
      </c>
      <c r="E95" s="1">
        <f t="shared" si="5"/>
        <v>3.6847665105652374</v>
      </c>
      <c r="F95" s="1">
        <f t="shared" si="4"/>
        <v>0</v>
      </c>
      <c r="G95" s="1">
        <f t="shared" si="6"/>
        <v>3.6847665105652374</v>
      </c>
    </row>
    <row r="96" spans="3:7" x14ac:dyDescent="0.3">
      <c r="C96" s="1">
        <v>0.94420018545929951</v>
      </c>
      <c r="D96" s="1">
        <v>0.74459670029359759</v>
      </c>
      <c r="E96" s="1">
        <f t="shared" si="5"/>
        <v>8.2443809435987827</v>
      </c>
      <c r="F96" s="1">
        <f t="shared" si="4"/>
        <v>0</v>
      </c>
      <c r="G96" s="1">
        <f t="shared" si="6"/>
        <v>8.2443809435987827</v>
      </c>
    </row>
    <row r="97" spans="3:7" x14ac:dyDescent="0.3">
      <c r="C97" s="1">
        <v>0.78594754882087425</v>
      </c>
      <c r="D97" s="1">
        <v>4.7229837762759908E-2</v>
      </c>
      <c r="E97" s="1">
        <f t="shared" si="5"/>
        <v>3.4271692218600567</v>
      </c>
      <c r="F97" s="1">
        <f t="shared" si="4"/>
        <v>0</v>
      </c>
      <c r="G97" s="1">
        <f t="shared" si="6"/>
        <v>3.4271692218600567</v>
      </c>
    </row>
    <row r="98" spans="3:7" x14ac:dyDescent="0.3">
      <c r="C98" s="1">
        <v>0.36115726140738991</v>
      </c>
      <c r="D98" s="1">
        <v>0.12114901008219747</v>
      </c>
      <c r="E98" s="1">
        <f t="shared" si="5"/>
        <v>2.1715231061227445</v>
      </c>
      <c r="F98" s="1">
        <f t="shared" si="4"/>
        <v>0</v>
      </c>
      <c r="G98" s="1">
        <f t="shared" si="6"/>
        <v>2.1715231061227445</v>
      </c>
    </row>
    <row r="99" spans="3:7" x14ac:dyDescent="0.3">
      <c r="C99" s="1">
        <v>0.67762611380870386</v>
      </c>
      <c r="D99" s="1">
        <v>0.86030766360336675</v>
      </c>
      <c r="E99" s="1">
        <f t="shared" si="5"/>
        <v>7.8723504368550161</v>
      </c>
      <c r="F99" s="1">
        <f t="shared" si="4"/>
        <v>0</v>
      </c>
      <c r="G99" s="1">
        <f t="shared" si="6"/>
        <v>7.8723504368550161</v>
      </c>
    </row>
    <row r="100" spans="3:7" x14ac:dyDescent="0.3">
      <c r="C100" s="1">
        <v>0.52232855393336397</v>
      </c>
      <c r="D100" s="1">
        <v>0.36313500846853608</v>
      </c>
      <c r="E100" s="1">
        <f t="shared" si="5"/>
        <v>4.2681242665446728</v>
      </c>
      <c r="F100" s="1">
        <f t="shared" si="4"/>
        <v>0</v>
      </c>
      <c r="G100" s="1">
        <f t="shared" si="6"/>
        <v>4.2681242665446728</v>
      </c>
    </row>
    <row r="101" spans="3:7" x14ac:dyDescent="0.3">
      <c r="C101" s="1">
        <v>0.28731383490320195</v>
      </c>
      <c r="D101" s="1">
        <v>0.74059677299324111</v>
      </c>
      <c r="E101" s="1">
        <f t="shared" si="5"/>
        <v>5.5928359775722551</v>
      </c>
      <c r="F101" s="1">
        <f t="shared" si="4"/>
        <v>0</v>
      </c>
      <c r="G101" s="1">
        <f t="shared" si="6"/>
        <v>5.5928359775722551</v>
      </c>
    </row>
    <row r="102" spans="3:7" x14ac:dyDescent="0.3">
      <c r="C102" s="1">
        <v>0.46088277513205944</v>
      </c>
      <c r="D102" s="1">
        <v>0.76115782801150045</v>
      </c>
      <c r="E102" s="1">
        <f t="shared" si="5"/>
        <v>6.4104780685972402</v>
      </c>
      <c r="F102" s="1">
        <f t="shared" si="4"/>
        <v>0</v>
      </c>
      <c r="G102" s="1">
        <f t="shared" si="6"/>
        <v>6.4104780685972402</v>
      </c>
    </row>
    <row r="103" spans="3:7" x14ac:dyDescent="0.3">
      <c r="C103" s="1">
        <v>0.56594277809100613</v>
      </c>
      <c r="D103" s="1">
        <v>0.94835993360881277</v>
      </c>
      <c r="E103" s="1">
        <f t="shared" si="5"/>
        <v>7.9539307140169004</v>
      </c>
      <c r="F103" s="1">
        <f t="shared" si="4"/>
        <v>0</v>
      </c>
      <c r="G103" s="1">
        <f t="shared" si="6"/>
        <v>7.9539307140169004</v>
      </c>
    </row>
    <row r="104" spans="3:7" x14ac:dyDescent="0.3">
      <c r="C104" s="1">
        <v>0.57671173705517165</v>
      </c>
      <c r="D104" s="1">
        <v>0.19481593972270961</v>
      </c>
      <c r="E104" s="1">
        <f t="shared" si="5"/>
        <v>3.4757425865569442</v>
      </c>
      <c r="F104" s="1">
        <f t="shared" si="4"/>
        <v>0</v>
      </c>
      <c r="G104" s="1">
        <f t="shared" si="6"/>
        <v>3.4757425865569442</v>
      </c>
    </row>
    <row r="105" spans="3:7" x14ac:dyDescent="0.3">
      <c r="C105" s="1">
        <v>2.1457374222922265E-2</v>
      </c>
      <c r="D105" s="1">
        <v>5.2581993312952435E-2</v>
      </c>
      <c r="E105" s="1">
        <f t="shared" si="5"/>
        <v>0.40132145676940367</v>
      </c>
      <c r="F105" s="1">
        <f t="shared" si="4"/>
        <v>0</v>
      </c>
      <c r="G105" s="1">
        <f t="shared" si="6"/>
        <v>0.40132145676940367</v>
      </c>
    </row>
  </sheetData>
  <phoneticPr fontId="18" type="noConversion"/>
  <hyperlinks>
    <hyperlink ref="A1" location="Assumptions!A1" display="Back to Assumptions" xr:uid="{B400D172-015B-CD4C-9636-29C448FE081E}"/>
    <hyperlink ref="A3" r:id="rId1" xr:uid="{0DA45DC2-9CAF-F042-A392-58788A7BC8C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5693-DA47-264B-A359-5FB5B744D9E2}">
  <sheetPr>
    <tabColor rgb="FFFFC000"/>
  </sheetPr>
  <dimension ref="A1:T105"/>
  <sheetViews>
    <sheetView workbookViewId="0"/>
  </sheetViews>
  <sheetFormatPr baseColWidth="10" defaultRowHeight="21" x14ac:dyDescent="0.25"/>
  <cols>
    <col min="1" max="4" width="10.83203125" style="42"/>
    <col min="5" max="5" width="13.1640625" style="42" bestFit="1" customWidth="1"/>
    <col min="6" max="6" width="17.33203125" style="42" customWidth="1"/>
    <col min="7" max="16384" width="10.83203125" style="42"/>
  </cols>
  <sheetData>
    <row r="1" spans="1:20" x14ac:dyDescent="0.25">
      <c r="A1" s="33" t="s">
        <v>138</v>
      </c>
    </row>
    <row r="2" spans="1:20" s="43" customFormat="1" x14ac:dyDescent="0.25">
      <c r="C2" s="42"/>
      <c r="E2" s="44" t="s">
        <v>53</v>
      </c>
      <c r="I2" s="45" t="s">
        <v>133</v>
      </c>
      <c r="J2" s="43">
        <f>MIN(error)</f>
        <v>-1.1426648798679477</v>
      </c>
      <c r="L2" s="59">
        <f>_xlfn.XLOOKUP(0,J6:J26,H6:H26,"",-1)</f>
        <v>2</v>
      </c>
    </row>
    <row r="3" spans="1:20" x14ac:dyDescent="0.25">
      <c r="A3" s="33" t="s">
        <v>172</v>
      </c>
      <c r="E3" s="46">
        <v>0</v>
      </c>
      <c r="I3" s="42" t="s">
        <v>134</v>
      </c>
      <c r="J3" s="42">
        <f>MAX(error)</f>
        <v>21.087780318734875</v>
      </c>
      <c r="L3" s="57" t="s">
        <v>150</v>
      </c>
      <c r="M3" s="58"/>
      <c r="N3" s="58"/>
      <c r="O3" s="58"/>
      <c r="P3" s="58"/>
      <c r="Q3" s="58"/>
      <c r="R3" s="58"/>
      <c r="S3" s="58"/>
      <c r="T3" s="58"/>
    </row>
    <row r="4" spans="1:20" x14ac:dyDescent="0.25">
      <c r="I4" s="42" t="s">
        <v>135</v>
      </c>
      <c r="J4" s="42">
        <f>max-min</f>
        <v>22.230445198602823</v>
      </c>
    </row>
    <row r="5" spans="1:20" x14ac:dyDescent="0.25">
      <c r="C5" s="43" t="s">
        <v>0</v>
      </c>
      <c r="D5" s="43" t="s">
        <v>1</v>
      </c>
      <c r="E5" s="43" t="s">
        <v>5</v>
      </c>
      <c r="F5" s="43" t="s">
        <v>136</v>
      </c>
    </row>
    <row r="6" spans="1:20" x14ac:dyDescent="0.25">
      <c r="C6" s="42">
        <v>0.58818950933738789</v>
      </c>
      <c r="D6" s="42">
        <v>11.804231880998334</v>
      </c>
      <c r="E6" s="42">
        <f t="shared" ref="E6:E37" si="0">C6*b</f>
        <v>0</v>
      </c>
      <c r="F6" s="42">
        <f>D6-E6</f>
        <v>11.804231880998334</v>
      </c>
      <c r="H6" s="42">
        <v>1</v>
      </c>
      <c r="I6" s="90">
        <v>0</v>
      </c>
      <c r="J6" s="47">
        <f t="shared" ref="J6:J26" si="1">min+range*I6</f>
        <v>-1.1426648798679477</v>
      </c>
      <c r="K6" s="42" cm="1">
        <f t="array" ref="K6:K27">FREQUENCY(error,J6:J26)</f>
        <v>1</v>
      </c>
      <c r="L6" s="42" t="str">
        <f>IF(H6=$L$2,MAX(K:K),"")</f>
        <v/>
      </c>
    </row>
    <row r="7" spans="1:20" x14ac:dyDescent="0.25">
      <c r="C7" s="42">
        <v>1.6986682268579356E-2</v>
      </c>
      <c r="D7" s="42">
        <v>-1.1426648798679477</v>
      </c>
      <c r="E7" s="42">
        <f t="shared" si="0"/>
        <v>0</v>
      </c>
      <c r="F7" s="42">
        <f t="shared" ref="F7:F70" si="2">D7-E7</f>
        <v>-1.1426648798679477</v>
      </c>
      <c r="H7" s="42">
        <v>2</v>
      </c>
      <c r="I7" s="90">
        <v>0.05</v>
      </c>
      <c r="J7" s="47">
        <f t="shared" si="1"/>
        <v>-3.1142619937806648E-2</v>
      </c>
      <c r="K7" s="42">
        <v>0</v>
      </c>
      <c r="L7" s="42">
        <f t="shared" ref="L7:L27" si="3">IF(H7=$L$2,MAX(K:K),"")</f>
        <v>12</v>
      </c>
    </row>
    <row r="8" spans="1:20" x14ac:dyDescent="0.25">
      <c r="C8" s="42">
        <v>0.53113977359533349</v>
      </c>
      <c r="D8" s="42">
        <v>12.646164430270861</v>
      </c>
      <c r="E8" s="42">
        <f t="shared" si="0"/>
        <v>0</v>
      </c>
      <c r="F8" s="42">
        <f t="shared" si="2"/>
        <v>12.646164430270861</v>
      </c>
      <c r="H8" s="42">
        <v>3</v>
      </c>
      <c r="I8" s="90">
        <v>0.1</v>
      </c>
      <c r="J8" s="47">
        <f t="shared" si="1"/>
        <v>1.0803796399923344</v>
      </c>
      <c r="K8" s="42">
        <v>3</v>
      </c>
      <c r="L8" s="42" t="str">
        <f t="shared" si="3"/>
        <v/>
      </c>
    </row>
    <row r="9" spans="1:20" x14ac:dyDescent="0.25">
      <c r="C9" s="42">
        <v>0.61761469323860685</v>
      </c>
      <c r="D9" s="42">
        <v>11.60110424186859</v>
      </c>
      <c r="E9" s="42">
        <f t="shared" si="0"/>
        <v>0</v>
      </c>
      <c r="F9" s="42">
        <f t="shared" si="2"/>
        <v>11.60110424186859</v>
      </c>
      <c r="H9" s="42">
        <v>4</v>
      </c>
      <c r="I9" s="90">
        <v>0.15</v>
      </c>
      <c r="J9" s="47">
        <f t="shared" si="1"/>
        <v>2.1919018999224757</v>
      </c>
      <c r="K9" s="42">
        <v>3</v>
      </c>
      <c r="L9" s="42" t="str">
        <f t="shared" si="3"/>
        <v/>
      </c>
    </row>
    <row r="10" spans="1:20" x14ac:dyDescent="0.25">
      <c r="C10" s="42">
        <v>0.11756427568939665</v>
      </c>
      <c r="D10" s="42">
        <v>2.6658797244398591</v>
      </c>
      <c r="E10" s="42">
        <f t="shared" si="0"/>
        <v>0</v>
      </c>
      <c r="F10" s="42">
        <f t="shared" si="2"/>
        <v>2.6658797244398591</v>
      </c>
      <c r="H10" s="42">
        <v>5</v>
      </c>
      <c r="I10" s="90">
        <v>0.2</v>
      </c>
      <c r="J10" s="47">
        <f t="shared" si="1"/>
        <v>3.3034241598526166</v>
      </c>
      <c r="K10" s="42">
        <v>7</v>
      </c>
      <c r="L10" s="42" t="str">
        <f t="shared" si="3"/>
        <v/>
      </c>
    </row>
    <row r="11" spans="1:20" x14ac:dyDescent="0.25">
      <c r="C11" s="42">
        <v>0.6879027369874563</v>
      </c>
      <c r="D11" s="42">
        <v>14.048158432708902</v>
      </c>
      <c r="E11" s="42">
        <f t="shared" si="0"/>
        <v>0</v>
      </c>
      <c r="F11" s="42">
        <f t="shared" si="2"/>
        <v>14.048158432708902</v>
      </c>
      <c r="H11" s="42">
        <v>6</v>
      </c>
      <c r="I11" s="90">
        <v>0.25</v>
      </c>
      <c r="J11" s="47">
        <f t="shared" si="1"/>
        <v>4.4149464197827584</v>
      </c>
      <c r="K11" s="42">
        <v>10</v>
      </c>
      <c r="L11" s="42" t="str">
        <f t="shared" si="3"/>
        <v/>
      </c>
    </row>
    <row r="12" spans="1:20" x14ac:dyDescent="0.25">
      <c r="C12" s="42">
        <v>0.92932488131491664</v>
      </c>
      <c r="D12" s="42">
        <v>18.26370180959243</v>
      </c>
      <c r="E12" s="42">
        <f t="shared" si="0"/>
        <v>0</v>
      </c>
      <c r="F12" s="42">
        <f t="shared" si="2"/>
        <v>18.26370180959243</v>
      </c>
      <c r="H12" s="42">
        <v>7</v>
      </c>
      <c r="I12" s="90">
        <v>0.3</v>
      </c>
      <c r="J12" s="47">
        <f t="shared" si="1"/>
        <v>5.5264686797128988</v>
      </c>
      <c r="K12" s="42">
        <v>2</v>
      </c>
      <c r="L12" s="42" t="str">
        <f t="shared" si="3"/>
        <v/>
      </c>
    </row>
    <row r="13" spans="1:20" x14ac:dyDescent="0.25">
      <c r="C13" s="42">
        <v>0.19170842591627391</v>
      </c>
      <c r="D13" s="42">
        <v>4.3583301301299571</v>
      </c>
      <c r="E13" s="42">
        <f t="shared" si="0"/>
        <v>0</v>
      </c>
      <c r="F13" s="42">
        <f t="shared" si="2"/>
        <v>4.3583301301299571</v>
      </c>
      <c r="H13" s="42">
        <v>8</v>
      </c>
      <c r="I13" s="90">
        <v>0.35</v>
      </c>
      <c r="J13" s="47">
        <f t="shared" si="1"/>
        <v>6.6379909396430392</v>
      </c>
      <c r="K13" s="42">
        <v>5</v>
      </c>
      <c r="L13" s="42" t="str">
        <f t="shared" si="3"/>
        <v/>
      </c>
    </row>
    <row r="14" spans="1:20" x14ac:dyDescent="0.25">
      <c r="C14" s="42">
        <v>0.85600753369165639</v>
      </c>
      <c r="D14" s="42">
        <v>16.882721290131197</v>
      </c>
      <c r="E14" s="42">
        <f t="shared" si="0"/>
        <v>0</v>
      </c>
      <c r="F14" s="42">
        <f t="shared" si="2"/>
        <v>16.882721290131197</v>
      </c>
      <c r="H14" s="42">
        <v>9</v>
      </c>
      <c r="I14" s="90">
        <v>0.4</v>
      </c>
      <c r="J14" s="47">
        <f t="shared" si="1"/>
        <v>7.7495131995731814</v>
      </c>
      <c r="K14" s="42">
        <v>6</v>
      </c>
      <c r="L14" s="42" t="str">
        <f t="shared" si="3"/>
        <v/>
      </c>
    </row>
    <row r="15" spans="1:20" x14ac:dyDescent="0.25">
      <c r="C15" s="42">
        <v>0.38465490938110325</v>
      </c>
      <c r="D15" s="42">
        <v>7.5754797851080893</v>
      </c>
      <c r="E15" s="42">
        <f t="shared" si="0"/>
        <v>0</v>
      </c>
      <c r="F15" s="42">
        <f t="shared" si="2"/>
        <v>7.5754797851080893</v>
      </c>
      <c r="H15" s="42">
        <v>10</v>
      </c>
      <c r="I15" s="90">
        <v>0.45</v>
      </c>
      <c r="J15" s="47">
        <f t="shared" si="1"/>
        <v>8.8610354595033236</v>
      </c>
      <c r="K15" s="42">
        <v>5</v>
      </c>
      <c r="L15" s="42" t="str">
        <f t="shared" si="3"/>
        <v/>
      </c>
    </row>
    <row r="16" spans="1:20" x14ac:dyDescent="0.25">
      <c r="C16" s="42">
        <v>0.52546251179600201</v>
      </c>
      <c r="D16" s="42">
        <v>12.065042110660789</v>
      </c>
      <c r="E16" s="42">
        <f t="shared" si="0"/>
        <v>0</v>
      </c>
      <c r="F16" s="42">
        <f t="shared" si="2"/>
        <v>12.065042110660789</v>
      </c>
      <c r="H16" s="42">
        <v>11</v>
      </c>
      <c r="I16" s="90">
        <v>0.5</v>
      </c>
      <c r="J16" s="47">
        <f t="shared" si="1"/>
        <v>9.972557719433464</v>
      </c>
      <c r="K16" s="42">
        <v>3</v>
      </c>
      <c r="L16" s="42" t="str">
        <f t="shared" si="3"/>
        <v/>
      </c>
    </row>
    <row r="17" spans="3:12" x14ac:dyDescent="0.25">
      <c r="C17" s="42">
        <v>0.49460822417774364</v>
      </c>
      <c r="D17" s="42">
        <v>10.027060877630145</v>
      </c>
      <c r="E17" s="42">
        <f t="shared" si="0"/>
        <v>0</v>
      </c>
      <c r="F17" s="42">
        <f t="shared" si="2"/>
        <v>10.027060877630145</v>
      </c>
      <c r="H17" s="42">
        <v>12</v>
      </c>
      <c r="I17" s="90">
        <v>0.55000000000000004</v>
      </c>
      <c r="J17" s="47">
        <f t="shared" si="1"/>
        <v>11.084079979363606</v>
      </c>
      <c r="K17" s="42">
        <v>5</v>
      </c>
      <c r="L17" s="42" t="str">
        <f t="shared" si="3"/>
        <v/>
      </c>
    </row>
    <row r="18" spans="3:12" x14ac:dyDescent="0.25">
      <c r="C18" s="42">
        <v>0.60166049809332578</v>
      </c>
      <c r="D18" s="42">
        <v>12.16809807905876</v>
      </c>
      <c r="E18" s="42">
        <f t="shared" si="0"/>
        <v>0</v>
      </c>
      <c r="F18" s="42">
        <f t="shared" si="2"/>
        <v>12.16809807905876</v>
      </c>
      <c r="H18" s="42">
        <v>13</v>
      </c>
      <c r="I18" s="90">
        <v>0.6</v>
      </c>
      <c r="J18" s="47">
        <f t="shared" si="1"/>
        <v>12.195602239293747</v>
      </c>
      <c r="K18" s="42">
        <v>6</v>
      </c>
      <c r="L18" s="42" t="str">
        <f t="shared" si="3"/>
        <v/>
      </c>
    </row>
    <row r="19" spans="3:12" x14ac:dyDescent="0.25">
      <c r="C19" s="42">
        <v>0.76600626723966236</v>
      </c>
      <c r="D19" s="42">
        <v>13.526296925209877</v>
      </c>
      <c r="E19" s="42">
        <f t="shared" si="0"/>
        <v>0</v>
      </c>
      <c r="F19" s="42">
        <f t="shared" si="2"/>
        <v>13.526296925209877</v>
      </c>
      <c r="H19" s="42">
        <v>14</v>
      </c>
      <c r="I19" s="90">
        <v>0.65</v>
      </c>
      <c r="J19" s="47">
        <f t="shared" si="1"/>
        <v>13.307124499223887</v>
      </c>
      <c r="K19" s="42">
        <v>7</v>
      </c>
      <c r="L19" s="42" t="str">
        <f t="shared" si="3"/>
        <v/>
      </c>
    </row>
    <row r="20" spans="3:12" x14ac:dyDescent="0.25">
      <c r="C20" s="42">
        <v>0.21243638227785167</v>
      </c>
      <c r="D20" s="42">
        <v>3.283190103551985</v>
      </c>
      <c r="E20" s="42">
        <f t="shared" si="0"/>
        <v>0</v>
      </c>
      <c r="F20" s="42">
        <f t="shared" si="2"/>
        <v>3.283190103551985</v>
      </c>
      <c r="H20" s="42">
        <v>15</v>
      </c>
      <c r="I20" s="90">
        <v>0.7</v>
      </c>
      <c r="J20" s="47">
        <f t="shared" si="1"/>
        <v>14.418646759154027</v>
      </c>
      <c r="K20" s="42">
        <v>12</v>
      </c>
      <c r="L20" s="42" t="str">
        <f t="shared" si="3"/>
        <v/>
      </c>
    </row>
    <row r="21" spans="3:12" x14ac:dyDescent="0.25">
      <c r="C21" s="42">
        <v>0.30245649354922211</v>
      </c>
      <c r="D21" s="42">
        <v>6.6356938737602027</v>
      </c>
      <c r="E21" s="42">
        <f t="shared" si="0"/>
        <v>0</v>
      </c>
      <c r="F21" s="42">
        <f t="shared" si="2"/>
        <v>6.6356938737602027</v>
      </c>
      <c r="H21" s="42">
        <v>16</v>
      </c>
      <c r="I21" s="90">
        <v>0.75</v>
      </c>
      <c r="J21" s="47">
        <f t="shared" si="1"/>
        <v>15.53016901908417</v>
      </c>
      <c r="K21" s="42">
        <v>5</v>
      </c>
      <c r="L21" s="42" t="str">
        <f t="shared" si="3"/>
        <v/>
      </c>
    </row>
    <row r="22" spans="3:12" x14ac:dyDescent="0.25">
      <c r="C22" s="42">
        <v>0.45206672337575782</v>
      </c>
      <c r="D22" s="42">
        <v>9.7856551640079648</v>
      </c>
      <c r="E22" s="42">
        <f t="shared" si="0"/>
        <v>0</v>
      </c>
      <c r="F22" s="42">
        <f t="shared" si="2"/>
        <v>9.7856551640079648</v>
      </c>
      <c r="H22" s="42">
        <v>17</v>
      </c>
      <c r="I22" s="90">
        <v>0.8</v>
      </c>
      <c r="J22" s="47">
        <f t="shared" si="1"/>
        <v>16.64169127901431</v>
      </c>
      <c r="K22" s="42">
        <v>5</v>
      </c>
      <c r="L22" s="42" t="str">
        <f t="shared" si="3"/>
        <v/>
      </c>
    </row>
    <row r="23" spans="3:12" x14ac:dyDescent="0.25">
      <c r="C23" s="42">
        <v>0.20737932579622564</v>
      </c>
      <c r="D23" s="42">
        <v>3.5327682298116816</v>
      </c>
      <c r="E23" s="42">
        <f t="shared" si="0"/>
        <v>0</v>
      </c>
      <c r="F23" s="42">
        <f t="shared" si="2"/>
        <v>3.5327682298116816</v>
      </c>
      <c r="H23" s="42">
        <v>18</v>
      </c>
      <c r="I23" s="90">
        <v>0.85</v>
      </c>
      <c r="J23" s="47">
        <f t="shared" si="1"/>
        <v>17.753213538944451</v>
      </c>
      <c r="K23" s="42">
        <v>6</v>
      </c>
      <c r="L23" s="42" t="str">
        <f t="shared" si="3"/>
        <v/>
      </c>
    </row>
    <row r="24" spans="3:12" x14ac:dyDescent="0.25">
      <c r="C24" s="42">
        <v>0.41616098321769968</v>
      </c>
      <c r="D24" s="42">
        <v>7.8552360085329207</v>
      </c>
      <c r="E24" s="42">
        <f t="shared" si="0"/>
        <v>0</v>
      </c>
      <c r="F24" s="42">
        <f t="shared" si="2"/>
        <v>7.8552360085329207</v>
      </c>
      <c r="H24" s="42">
        <v>19</v>
      </c>
      <c r="I24" s="90">
        <v>0.9</v>
      </c>
      <c r="J24" s="47">
        <f t="shared" si="1"/>
        <v>18.864735798874595</v>
      </c>
      <c r="K24" s="42">
        <v>4</v>
      </c>
      <c r="L24" s="42" t="str">
        <f t="shared" si="3"/>
        <v/>
      </c>
    </row>
    <row r="25" spans="3:12" x14ac:dyDescent="0.25">
      <c r="C25" s="42">
        <v>0.63083625356975637</v>
      </c>
      <c r="D25" s="42">
        <v>12.34404675798549</v>
      </c>
      <c r="E25" s="42">
        <f t="shared" si="0"/>
        <v>0</v>
      </c>
      <c r="F25" s="42">
        <f t="shared" si="2"/>
        <v>12.34404675798549</v>
      </c>
      <c r="H25" s="42">
        <v>20</v>
      </c>
      <c r="I25" s="90">
        <v>0.95</v>
      </c>
      <c r="J25" s="47">
        <f t="shared" si="1"/>
        <v>19.976258058804735</v>
      </c>
      <c r="K25" s="42">
        <v>3</v>
      </c>
      <c r="L25" s="42" t="str">
        <f t="shared" si="3"/>
        <v/>
      </c>
    </row>
    <row r="26" spans="3:12" x14ac:dyDescent="0.25">
      <c r="C26" s="42">
        <v>0.18358847309704474</v>
      </c>
      <c r="D26" s="42">
        <v>2.8293372761758495</v>
      </c>
      <c r="E26" s="42">
        <f t="shared" si="0"/>
        <v>0</v>
      </c>
      <c r="F26" s="42">
        <f t="shared" si="2"/>
        <v>2.8293372761758495</v>
      </c>
      <c r="H26" s="42">
        <v>21</v>
      </c>
      <c r="I26" s="90">
        <v>1</v>
      </c>
      <c r="J26" s="47">
        <f t="shared" si="1"/>
        <v>21.087780318734875</v>
      </c>
      <c r="K26" s="42">
        <v>2</v>
      </c>
      <c r="L26" s="42" t="str">
        <f t="shared" si="3"/>
        <v/>
      </c>
    </row>
    <row r="27" spans="3:12" x14ac:dyDescent="0.25">
      <c r="C27" s="42">
        <v>0.65520521017462008</v>
      </c>
      <c r="D27" s="42">
        <v>14.021879797645322</v>
      </c>
      <c r="E27" s="42">
        <f t="shared" si="0"/>
        <v>0</v>
      </c>
      <c r="F27" s="42">
        <f t="shared" si="2"/>
        <v>14.021879797645322</v>
      </c>
      <c r="H27" s="42">
        <v>22</v>
      </c>
      <c r="K27" s="42">
        <v>0</v>
      </c>
      <c r="L27" s="42" t="str">
        <f t="shared" si="3"/>
        <v/>
      </c>
    </row>
    <row r="28" spans="3:12" x14ac:dyDescent="0.25">
      <c r="C28" s="42">
        <v>0.76996882700039659</v>
      </c>
      <c r="D28" s="42">
        <v>14.278066096572314</v>
      </c>
      <c r="E28" s="42">
        <f t="shared" si="0"/>
        <v>0</v>
      </c>
      <c r="F28" s="42">
        <f t="shared" si="2"/>
        <v>14.278066096572314</v>
      </c>
    </row>
    <row r="29" spans="3:12" x14ac:dyDescent="0.25">
      <c r="C29" s="42">
        <v>0.51559562686951099</v>
      </c>
      <c r="D29" s="42">
        <v>11.605695381938883</v>
      </c>
      <c r="E29" s="42">
        <f t="shared" si="0"/>
        <v>0</v>
      </c>
      <c r="F29" s="42">
        <f t="shared" si="2"/>
        <v>11.605695381938883</v>
      </c>
    </row>
    <row r="30" spans="3:12" x14ac:dyDescent="0.25">
      <c r="C30" s="42">
        <v>5.3162482015925328E-2</v>
      </c>
      <c r="D30" s="42">
        <v>1.9246205706286856</v>
      </c>
      <c r="E30" s="42">
        <f t="shared" si="0"/>
        <v>0</v>
      </c>
      <c r="F30" s="42">
        <f t="shared" si="2"/>
        <v>1.9246205706286856</v>
      </c>
    </row>
    <row r="31" spans="3:12" x14ac:dyDescent="0.25">
      <c r="C31" s="42">
        <v>0.5664237294594241</v>
      </c>
      <c r="D31" s="42">
        <v>10.146638376667001</v>
      </c>
      <c r="E31" s="42">
        <f t="shared" si="0"/>
        <v>0</v>
      </c>
      <c r="F31" s="42">
        <f t="shared" si="2"/>
        <v>10.146638376667001</v>
      </c>
    </row>
    <row r="32" spans="3:12" x14ac:dyDescent="0.25">
      <c r="C32" s="42">
        <v>0.7207530847995548</v>
      </c>
      <c r="D32" s="42">
        <v>14.304573553231874</v>
      </c>
      <c r="E32" s="42">
        <f t="shared" si="0"/>
        <v>0</v>
      </c>
      <c r="F32" s="42">
        <f t="shared" si="2"/>
        <v>14.304573553231874</v>
      </c>
    </row>
    <row r="33" spans="3:6" x14ac:dyDescent="0.25">
      <c r="C33" s="42">
        <v>0.90596593615365673</v>
      </c>
      <c r="D33" s="42">
        <v>17.484967139523285</v>
      </c>
      <c r="E33" s="42">
        <f t="shared" si="0"/>
        <v>0</v>
      </c>
      <c r="F33" s="42">
        <f t="shared" si="2"/>
        <v>17.484967139523285</v>
      </c>
    </row>
    <row r="34" spans="3:6" x14ac:dyDescent="0.25">
      <c r="C34" s="42">
        <v>4.4384223432258896E-3</v>
      </c>
      <c r="D34" s="42">
        <v>0.80049736004577199</v>
      </c>
      <c r="E34" s="42">
        <f t="shared" si="0"/>
        <v>0</v>
      </c>
      <c r="F34" s="42">
        <f t="shared" si="2"/>
        <v>0.80049736004577199</v>
      </c>
    </row>
    <row r="35" spans="3:6" x14ac:dyDescent="0.25">
      <c r="C35" s="42">
        <v>0.17815700716011373</v>
      </c>
      <c r="D35" s="42">
        <v>4.6448741221170833</v>
      </c>
      <c r="E35" s="42">
        <f t="shared" si="0"/>
        <v>0</v>
      </c>
      <c r="F35" s="42">
        <f t="shared" si="2"/>
        <v>4.6448741221170833</v>
      </c>
    </row>
    <row r="36" spans="3:6" x14ac:dyDescent="0.25">
      <c r="C36" s="42">
        <v>7.5130177590292169E-2</v>
      </c>
      <c r="D36" s="42">
        <v>0.76516865447589077</v>
      </c>
      <c r="E36" s="42">
        <f t="shared" si="0"/>
        <v>0</v>
      </c>
      <c r="F36" s="42">
        <f t="shared" si="2"/>
        <v>0.76516865447589077</v>
      </c>
    </row>
    <row r="37" spans="3:6" x14ac:dyDescent="0.25">
      <c r="C37" s="42">
        <v>0.79984020244131659</v>
      </c>
      <c r="D37" s="42">
        <v>15.577180588990071</v>
      </c>
      <c r="E37" s="42">
        <f t="shared" si="0"/>
        <v>0</v>
      </c>
      <c r="F37" s="42">
        <f t="shared" si="2"/>
        <v>15.577180588990071</v>
      </c>
    </row>
    <row r="38" spans="3:6" x14ac:dyDescent="0.25">
      <c r="C38" s="42">
        <v>3.8565931492289596E-2</v>
      </c>
      <c r="D38" s="42">
        <v>3.2539443937074166</v>
      </c>
      <c r="E38" s="42">
        <f t="shared" ref="E38:E69" si="4">C38*b</f>
        <v>0</v>
      </c>
      <c r="F38" s="42">
        <f t="shared" si="2"/>
        <v>3.2539443937074166</v>
      </c>
    </row>
    <row r="39" spans="3:6" x14ac:dyDescent="0.25">
      <c r="C39" s="42">
        <v>0.36167296616229561</v>
      </c>
      <c r="D39" s="42">
        <v>7.6686906060931284</v>
      </c>
      <c r="E39" s="42">
        <f t="shared" si="4"/>
        <v>0</v>
      </c>
      <c r="F39" s="42">
        <f t="shared" si="2"/>
        <v>7.6686906060931284</v>
      </c>
    </row>
    <row r="40" spans="3:6" x14ac:dyDescent="0.25">
      <c r="C40" s="42">
        <v>0.74107669194407289</v>
      </c>
      <c r="D40" s="42">
        <v>16.627084816822872</v>
      </c>
      <c r="E40" s="42">
        <f t="shared" si="4"/>
        <v>0</v>
      </c>
      <c r="F40" s="42">
        <f t="shared" si="2"/>
        <v>16.627084816822872</v>
      </c>
    </row>
    <row r="41" spans="3:6" x14ac:dyDescent="0.25">
      <c r="C41" s="42">
        <v>0.62799217827226994</v>
      </c>
      <c r="D41" s="42">
        <v>11.657898324524432</v>
      </c>
      <c r="E41" s="42">
        <f t="shared" si="4"/>
        <v>0</v>
      </c>
      <c r="F41" s="42">
        <f t="shared" si="2"/>
        <v>11.657898324524432</v>
      </c>
    </row>
    <row r="42" spans="3:6" x14ac:dyDescent="0.25">
      <c r="C42" s="42">
        <v>0.27356870011466017</v>
      </c>
      <c r="D42" s="42">
        <v>6.8134795977052498</v>
      </c>
      <c r="E42" s="42">
        <f t="shared" si="4"/>
        <v>0</v>
      </c>
      <c r="F42" s="42">
        <f t="shared" si="2"/>
        <v>6.8134795977052498</v>
      </c>
    </row>
    <row r="43" spans="3:6" x14ac:dyDescent="0.25">
      <c r="C43" s="42">
        <v>0.99335878306136505</v>
      </c>
      <c r="D43" s="42">
        <v>21.087780318734875</v>
      </c>
      <c r="E43" s="42">
        <f t="shared" si="4"/>
        <v>0</v>
      </c>
      <c r="F43" s="42">
        <f t="shared" si="2"/>
        <v>21.087780318734875</v>
      </c>
    </row>
    <row r="44" spans="3:6" x14ac:dyDescent="0.25">
      <c r="C44" s="42">
        <v>0.88997823671109033</v>
      </c>
      <c r="D44" s="42">
        <v>16.312509945328127</v>
      </c>
      <c r="E44" s="42">
        <f t="shared" si="4"/>
        <v>0</v>
      </c>
      <c r="F44" s="42">
        <f t="shared" si="2"/>
        <v>16.312509945328127</v>
      </c>
    </row>
    <row r="45" spans="3:6" x14ac:dyDescent="0.25">
      <c r="C45" s="42">
        <v>9.4889766142462917E-2</v>
      </c>
      <c r="D45" s="42">
        <v>3.3638809832285741</v>
      </c>
      <c r="E45" s="42">
        <f t="shared" si="4"/>
        <v>0</v>
      </c>
      <c r="F45" s="42">
        <f t="shared" si="2"/>
        <v>3.3638809832285741</v>
      </c>
    </row>
    <row r="46" spans="3:6" x14ac:dyDescent="0.25">
      <c r="C46" s="42">
        <v>0.96815563515745773</v>
      </c>
      <c r="D46" s="42">
        <v>18.77375803848599</v>
      </c>
      <c r="E46" s="42">
        <f t="shared" si="4"/>
        <v>0</v>
      </c>
      <c r="F46" s="42">
        <f t="shared" si="2"/>
        <v>18.77375803848599</v>
      </c>
    </row>
    <row r="47" spans="3:6" x14ac:dyDescent="0.25">
      <c r="C47" s="42">
        <v>0.31029116278075597</v>
      </c>
      <c r="D47" s="42">
        <v>5.7581023050168385</v>
      </c>
      <c r="E47" s="42">
        <f t="shared" si="4"/>
        <v>0</v>
      </c>
      <c r="F47" s="42">
        <f t="shared" si="2"/>
        <v>5.7581023050168385</v>
      </c>
    </row>
    <row r="48" spans="3:6" x14ac:dyDescent="0.25">
      <c r="C48" s="42">
        <v>0.6907556511455053</v>
      </c>
      <c r="D48" s="42">
        <v>13.548853160601338</v>
      </c>
      <c r="E48" s="42">
        <f t="shared" si="4"/>
        <v>0</v>
      </c>
      <c r="F48" s="42">
        <f t="shared" si="2"/>
        <v>13.548853160601338</v>
      </c>
    </row>
    <row r="49" spans="3:6" x14ac:dyDescent="0.25">
      <c r="C49" s="42">
        <v>0.61818130113250047</v>
      </c>
      <c r="D49" s="42">
        <v>12.314174891973147</v>
      </c>
      <c r="E49" s="42">
        <f t="shared" si="4"/>
        <v>0</v>
      </c>
      <c r="F49" s="42">
        <f t="shared" si="2"/>
        <v>12.314174891973147</v>
      </c>
    </row>
    <row r="50" spans="3:6" x14ac:dyDescent="0.25">
      <c r="C50" s="42">
        <v>0.1465668604557816</v>
      </c>
      <c r="D50" s="42">
        <v>3.6017880031549652</v>
      </c>
      <c r="E50" s="42">
        <f t="shared" si="4"/>
        <v>0</v>
      </c>
      <c r="F50" s="42">
        <f t="shared" si="2"/>
        <v>3.6017880031549652</v>
      </c>
    </row>
    <row r="51" spans="3:6" x14ac:dyDescent="0.25">
      <c r="C51" s="42">
        <v>0.2103156987256255</v>
      </c>
      <c r="D51" s="42">
        <v>4.1241649215300651</v>
      </c>
      <c r="E51" s="42">
        <f t="shared" si="4"/>
        <v>0</v>
      </c>
      <c r="F51" s="42">
        <f t="shared" si="2"/>
        <v>4.1241649215300651</v>
      </c>
    </row>
    <row r="52" spans="3:6" x14ac:dyDescent="0.25">
      <c r="C52" s="42">
        <v>0.19805323237018713</v>
      </c>
      <c r="D52" s="42">
        <v>3.5426930929065037</v>
      </c>
      <c r="E52" s="42">
        <f t="shared" si="4"/>
        <v>0</v>
      </c>
      <c r="F52" s="42">
        <f t="shared" si="2"/>
        <v>3.5426930929065037</v>
      </c>
    </row>
    <row r="53" spans="3:6" x14ac:dyDescent="0.25">
      <c r="C53" s="42">
        <v>7.8577575982490711E-2</v>
      </c>
      <c r="D53" s="42">
        <v>2.3999202771717361</v>
      </c>
      <c r="E53" s="42">
        <f t="shared" si="4"/>
        <v>0</v>
      </c>
      <c r="F53" s="42">
        <f t="shared" si="2"/>
        <v>2.3999202771717361</v>
      </c>
    </row>
    <row r="54" spans="3:6" x14ac:dyDescent="0.25">
      <c r="C54" s="42">
        <v>0.4854292228195799</v>
      </c>
      <c r="D54" s="42">
        <v>7.4471211139922957</v>
      </c>
      <c r="E54" s="42">
        <f t="shared" si="4"/>
        <v>0</v>
      </c>
      <c r="F54" s="42">
        <f t="shared" si="2"/>
        <v>7.4471211139922957</v>
      </c>
    </row>
    <row r="55" spans="3:6" x14ac:dyDescent="0.25">
      <c r="C55" s="42">
        <v>0.82819925964942176</v>
      </c>
      <c r="D55" s="42">
        <v>17.594570042286612</v>
      </c>
      <c r="E55" s="42">
        <f t="shared" si="4"/>
        <v>0</v>
      </c>
      <c r="F55" s="42">
        <f t="shared" si="2"/>
        <v>17.594570042286612</v>
      </c>
    </row>
    <row r="56" spans="3:6" x14ac:dyDescent="0.25">
      <c r="C56" s="42">
        <v>0.54347323518873314</v>
      </c>
      <c r="D56" s="42">
        <v>8.8015636665249453</v>
      </c>
      <c r="E56" s="42">
        <f t="shared" si="4"/>
        <v>0</v>
      </c>
      <c r="F56" s="42">
        <f t="shared" si="2"/>
        <v>8.8015636665249453</v>
      </c>
    </row>
    <row r="57" spans="3:6" x14ac:dyDescent="0.25">
      <c r="C57" s="42">
        <v>0.48361090905650461</v>
      </c>
      <c r="D57" s="42">
        <v>10.388862340133327</v>
      </c>
      <c r="E57" s="42">
        <f t="shared" si="4"/>
        <v>0</v>
      </c>
      <c r="F57" s="42">
        <f t="shared" si="2"/>
        <v>10.388862340133327</v>
      </c>
    </row>
    <row r="58" spans="3:6" x14ac:dyDescent="0.25">
      <c r="C58" s="42">
        <v>0.6648188748724615</v>
      </c>
      <c r="D58" s="42">
        <v>14.324643925900737</v>
      </c>
      <c r="E58" s="42">
        <f t="shared" si="4"/>
        <v>0</v>
      </c>
      <c r="F58" s="42">
        <f t="shared" si="2"/>
        <v>14.324643925900737</v>
      </c>
    </row>
    <row r="59" spans="3:6" x14ac:dyDescent="0.25">
      <c r="C59" s="42">
        <v>0.10153902496882705</v>
      </c>
      <c r="D59" s="42">
        <v>3.1138863253601903</v>
      </c>
      <c r="E59" s="42">
        <f t="shared" si="4"/>
        <v>0</v>
      </c>
      <c r="F59" s="42">
        <f t="shared" si="2"/>
        <v>3.1138863253601903</v>
      </c>
    </row>
    <row r="60" spans="3:6" x14ac:dyDescent="0.25">
      <c r="C60" s="42">
        <v>0.11021610286671635</v>
      </c>
      <c r="D60" s="42">
        <v>3.2525034715814254</v>
      </c>
      <c r="E60" s="42">
        <f t="shared" si="4"/>
        <v>0</v>
      </c>
      <c r="F60" s="42">
        <f t="shared" si="2"/>
        <v>3.2525034715814254</v>
      </c>
    </row>
    <row r="61" spans="3:6" x14ac:dyDescent="0.25">
      <c r="C61" s="42">
        <v>0.82354723015543618</v>
      </c>
      <c r="D61" s="42">
        <v>16.704696733829564</v>
      </c>
      <c r="E61" s="42">
        <f t="shared" si="4"/>
        <v>0</v>
      </c>
      <c r="F61" s="42">
        <f t="shared" si="2"/>
        <v>16.704696733829564</v>
      </c>
    </row>
    <row r="62" spans="3:6" x14ac:dyDescent="0.25">
      <c r="C62" s="42">
        <v>0.14762700270533879</v>
      </c>
      <c r="D62" s="42">
        <v>3.3935035654119265</v>
      </c>
      <c r="E62" s="42">
        <f t="shared" si="4"/>
        <v>0</v>
      </c>
      <c r="F62" s="42">
        <f t="shared" si="2"/>
        <v>3.3935035654119265</v>
      </c>
    </row>
    <row r="63" spans="3:6" x14ac:dyDescent="0.25">
      <c r="C63" s="42">
        <v>0.74801215081887662</v>
      </c>
      <c r="D63" s="42">
        <v>14.772019910457303</v>
      </c>
      <c r="E63" s="42">
        <f t="shared" si="4"/>
        <v>0</v>
      </c>
      <c r="F63" s="42">
        <f t="shared" si="2"/>
        <v>14.772019910457303</v>
      </c>
    </row>
    <row r="64" spans="3:6" x14ac:dyDescent="0.25">
      <c r="C64" s="42">
        <v>0.49905488591335401</v>
      </c>
      <c r="D64" s="42">
        <v>9.8335257060026695</v>
      </c>
      <c r="E64" s="42">
        <f t="shared" si="4"/>
        <v>0</v>
      </c>
      <c r="F64" s="42">
        <f t="shared" si="2"/>
        <v>9.8335257060026695</v>
      </c>
    </row>
    <row r="65" spans="3:6" x14ac:dyDescent="0.25">
      <c r="C65" s="42">
        <v>0.61731418787516201</v>
      </c>
      <c r="D65" s="42">
        <v>12.306308651383414</v>
      </c>
      <c r="E65" s="42">
        <f t="shared" si="4"/>
        <v>0</v>
      </c>
      <c r="F65" s="42">
        <f t="shared" si="2"/>
        <v>12.306308651383414</v>
      </c>
    </row>
    <row r="66" spans="3:6" x14ac:dyDescent="0.25">
      <c r="C66" s="42">
        <v>0.32161492273448899</v>
      </c>
      <c r="D66" s="42">
        <v>6.0906360699360169</v>
      </c>
      <c r="E66" s="42">
        <f t="shared" si="4"/>
        <v>0</v>
      </c>
      <c r="F66" s="42">
        <f t="shared" si="2"/>
        <v>6.0906360699360169</v>
      </c>
    </row>
    <row r="67" spans="3:6" x14ac:dyDescent="0.25">
      <c r="C67" s="42">
        <v>0.98902174101337692</v>
      </c>
      <c r="D67" s="42">
        <v>21.008058447564988</v>
      </c>
      <c r="E67" s="42">
        <f t="shared" si="4"/>
        <v>0</v>
      </c>
      <c r="F67" s="42">
        <f t="shared" si="2"/>
        <v>21.008058447564988</v>
      </c>
    </row>
    <row r="68" spans="3:6" x14ac:dyDescent="0.25">
      <c r="C68" s="42">
        <v>8.6105450560647667E-2</v>
      </c>
      <c r="D68" s="42">
        <v>1.316473206360858</v>
      </c>
      <c r="E68" s="42">
        <f t="shared" si="4"/>
        <v>0</v>
      </c>
      <c r="F68" s="42">
        <f t="shared" si="2"/>
        <v>1.316473206360858</v>
      </c>
    </row>
    <row r="69" spans="3:6" x14ac:dyDescent="0.25">
      <c r="C69" s="42">
        <v>0.98623511412963327</v>
      </c>
      <c r="D69" s="42">
        <v>19.045129777040046</v>
      </c>
      <c r="E69" s="42">
        <f t="shared" si="4"/>
        <v>0</v>
      </c>
      <c r="F69" s="42">
        <f t="shared" si="2"/>
        <v>19.045129777040046</v>
      </c>
    </row>
    <row r="70" spans="3:6" x14ac:dyDescent="0.25">
      <c r="C70" s="42">
        <v>0.26997900934275842</v>
      </c>
      <c r="D70" s="42">
        <v>6.9955765409101147</v>
      </c>
      <c r="E70" s="42">
        <f t="shared" ref="E70:E105" si="5">C70*b</f>
        <v>0</v>
      </c>
      <c r="F70" s="42">
        <f t="shared" si="2"/>
        <v>6.9955765409101147</v>
      </c>
    </row>
    <row r="71" spans="3:6" x14ac:dyDescent="0.25">
      <c r="C71" s="42">
        <v>0.91584888713852819</v>
      </c>
      <c r="D71" s="42">
        <v>18.990777799439311</v>
      </c>
      <c r="E71" s="42">
        <f t="shared" si="5"/>
        <v>0</v>
      </c>
      <c r="F71" s="42">
        <f t="shared" ref="F71:F105" si="6">D71-E71</f>
        <v>18.990777799439311</v>
      </c>
    </row>
    <row r="72" spans="3:6" x14ac:dyDescent="0.25">
      <c r="C72" s="42">
        <v>0.43781564974312404</v>
      </c>
      <c r="D72" s="42">
        <v>8.7055454295233741</v>
      </c>
      <c r="E72" s="42">
        <f t="shared" si="5"/>
        <v>0</v>
      </c>
      <c r="F72" s="42">
        <f t="shared" si="6"/>
        <v>8.7055454295233741</v>
      </c>
    </row>
    <row r="73" spans="3:6" x14ac:dyDescent="0.25">
      <c r="C73" s="42">
        <v>0.89021424968143159</v>
      </c>
      <c r="D73" s="42">
        <v>16.752186303468633</v>
      </c>
      <c r="E73" s="42">
        <f t="shared" si="5"/>
        <v>0</v>
      </c>
      <c r="F73" s="42">
        <f t="shared" si="6"/>
        <v>16.752186303468633</v>
      </c>
    </row>
    <row r="74" spans="3:6" x14ac:dyDescent="0.25">
      <c r="C74" s="42">
        <v>0.73678819734890644</v>
      </c>
      <c r="D74" s="42">
        <v>14.577928252319943</v>
      </c>
      <c r="E74" s="42">
        <f t="shared" si="5"/>
        <v>0</v>
      </c>
      <c r="F74" s="42">
        <f t="shared" si="6"/>
        <v>14.577928252319943</v>
      </c>
    </row>
    <row r="75" spans="3:6" x14ac:dyDescent="0.25">
      <c r="C75" s="42">
        <v>0.68600197415532116</v>
      </c>
      <c r="D75" s="42">
        <v>12.758990495534036</v>
      </c>
      <c r="E75" s="42">
        <f t="shared" si="5"/>
        <v>0</v>
      </c>
      <c r="F75" s="42">
        <f t="shared" si="6"/>
        <v>12.758990495534036</v>
      </c>
    </row>
    <row r="76" spans="3:6" x14ac:dyDescent="0.25">
      <c r="C76" s="42">
        <v>0.45019287465669688</v>
      </c>
      <c r="D76" s="42">
        <v>9.7012872563489747</v>
      </c>
      <c r="E76" s="42">
        <f t="shared" si="5"/>
        <v>0</v>
      </c>
      <c r="F76" s="42">
        <f t="shared" si="6"/>
        <v>9.7012872563489747</v>
      </c>
    </row>
    <row r="77" spans="3:6" x14ac:dyDescent="0.25">
      <c r="C77" s="42">
        <v>0.79913067011786532</v>
      </c>
      <c r="D77" s="42">
        <v>15.646603660115947</v>
      </c>
      <c r="E77" s="42">
        <f t="shared" si="5"/>
        <v>0</v>
      </c>
      <c r="F77" s="42">
        <f t="shared" si="6"/>
        <v>15.646603660115947</v>
      </c>
    </row>
    <row r="78" spans="3:6" x14ac:dyDescent="0.25">
      <c r="C78" s="42">
        <v>0.96980967865568835</v>
      </c>
      <c r="D78" s="42">
        <v>19.447971845825368</v>
      </c>
      <c r="E78" s="42">
        <f t="shared" si="5"/>
        <v>0</v>
      </c>
      <c r="F78" s="42">
        <f t="shared" si="6"/>
        <v>19.447971845825368</v>
      </c>
    </row>
    <row r="79" spans="3:6" x14ac:dyDescent="0.25">
      <c r="C79" s="42">
        <v>2.3761853160698676E-2</v>
      </c>
      <c r="D79" s="42">
        <v>0.66813704339209457</v>
      </c>
      <c r="E79" s="42">
        <f t="shared" si="5"/>
        <v>0</v>
      </c>
      <c r="F79" s="42">
        <f t="shared" si="6"/>
        <v>0.66813704339209457</v>
      </c>
    </row>
    <row r="80" spans="3:6" x14ac:dyDescent="0.25">
      <c r="C80" s="42">
        <v>0.72704751688740099</v>
      </c>
      <c r="D80" s="42">
        <v>14.862706771125648</v>
      </c>
      <c r="E80" s="42">
        <f t="shared" si="5"/>
        <v>0</v>
      </c>
      <c r="F80" s="42">
        <f t="shared" si="6"/>
        <v>14.862706771125648</v>
      </c>
    </row>
    <row r="81" spans="3:6" x14ac:dyDescent="0.25">
      <c r="C81" s="42">
        <v>0.77466369144495129</v>
      </c>
      <c r="D81" s="42">
        <v>14.836606901637861</v>
      </c>
      <c r="E81" s="42">
        <f t="shared" si="5"/>
        <v>0</v>
      </c>
      <c r="F81" s="42">
        <f t="shared" si="6"/>
        <v>14.836606901637861</v>
      </c>
    </row>
    <row r="82" spans="3:6" x14ac:dyDescent="0.25">
      <c r="C82" s="42">
        <v>0.29309266753288377</v>
      </c>
      <c r="D82" s="42">
        <v>6.0984901010688883</v>
      </c>
      <c r="E82" s="42">
        <f t="shared" si="5"/>
        <v>0</v>
      </c>
      <c r="F82" s="42">
        <f t="shared" si="6"/>
        <v>6.0984901010688883</v>
      </c>
    </row>
    <row r="83" spans="3:6" x14ac:dyDescent="0.25">
      <c r="C83" s="42">
        <v>0.55186105122035445</v>
      </c>
      <c r="D83" s="42">
        <v>10.302935469515942</v>
      </c>
      <c r="E83" s="42">
        <f t="shared" si="5"/>
        <v>0</v>
      </c>
      <c r="F83" s="42">
        <f t="shared" si="6"/>
        <v>10.302935469515942</v>
      </c>
    </row>
    <row r="84" spans="3:6" x14ac:dyDescent="0.25">
      <c r="C84" s="42">
        <v>0.68342677185566458</v>
      </c>
      <c r="D84" s="42">
        <v>13.807039936347335</v>
      </c>
      <c r="E84" s="42">
        <f t="shared" si="5"/>
        <v>0</v>
      </c>
      <c r="F84" s="42">
        <f t="shared" si="6"/>
        <v>13.807039936347335</v>
      </c>
    </row>
    <row r="85" spans="3:6" x14ac:dyDescent="0.25">
      <c r="C85" s="42">
        <v>0.67590711509344681</v>
      </c>
      <c r="D85" s="42">
        <v>12.738408219861237</v>
      </c>
      <c r="E85" s="42">
        <f t="shared" si="5"/>
        <v>0</v>
      </c>
      <c r="F85" s="42">
        <f t="shared" si="6"/>
        <v>12.738408219861237</v>
      </c>
    </row>
    <row r="86" spans="3:6" x14ac:dyDescent="0.25">
      <c r="C86" s="42">
        <v>0.37326825007599229</v>
      </c>
      <c r="D86" s="42">
        <v>8.3009431816330661</v>
      </c>
      <c r="E86" s="42">
        <f t="shared" si="5"/>
        <v>0</v>
      </c>
      <c r="F86" s="42">
        <f t="shared" si="6"/>
        <v>8.3009431816330661</v>
      </c>
    </row>
    <row r="87" spans="3:6" x14ac:dyDescent="0.25">
      <c r="C87" s="42">
        <v>0.97448237486020384</v>
      </c>
      <c r="D87" s="42">
        <v>18.850528115387789</v>
      </c>
      <c r="E87" s="42">
        <f t="shared" si="5"/>
        <v>0</v>
      </c>
      <c r="F87" s="42">
        <f t="shared" si="6"/>
        <v>18.850528115387789</v>
      </c>
    </row>
    <row r="88" spans="3:6" x14ac:dyDescent="0.25">
      <c r="C88" s="42">
        <v>0.4077620558257582</v>
      </c>
      <c r="D88" s="42">
        <v>8.0507548159529261</v>
      </c>
      <c r="E88" s="42">
        <f t="shared" si="5"/>
        <v>0</v>
      </c>
      <c r="F88" s="42">
        <f t="shared" si="6"/>
        <v>8.0507548159529261</v>
      </c>
    </row>
    <row r="89" spans="3:6" x14ac:dyDescent="0.25">
      <c r="C89" s="42">
        <v>0.14775878156457833</v>
      </c>
      <c r="D89" s="42">
        <v>4.0564442414139386</v>
      </c>
      <c r="E89" s="42">
        <f t="shared" si="5"/>
        <v>0</v>
      </c>
      <c r="F89" s="42">
        <f t="shared" si="6"/>
        <v>4.0564442414139386</v>
      </c>
    </row>
    <row r="90" spans="3:6" x14ac:dyDescent="0.25">
      <c r="C90" s="42">
        <v>0.24337030967523954</v>
      </c>
      <c r="D90" s="42">
        <v>3.6369452013263546</v>
      </c>
      <c r="E90" s="42">
        <f t="shared" si="5"/>
        <v>0</v>
      </c>
      <c r="F90" s="42">
        <f t="shared" si="6"/>
        <v>3.6369452013263546</v>
      </c>
    </row>
    <row r="91" spans="3:6" x14ac:dyDescent="0.25">
      <c r="C91" s="42">
        <v>0.7380549529248962</v>
      </c>
      <c r="D91" s="42">
        <v>13.624277871276261</v>
      </c>
      <c r="E91" s="42">
        <f t="shared" si="5"/>
        <v>0</v>
      </c>
      <c r="F91" s="42">
        <f t="shared" si="6"/>
        <v>13.624277871276261</v>
      </c>
    </row>
    <row r="92" spans="3:6" x14ac:dyDescent="0.25">
      <c r="C92" s="42">
        <v>0.17242632428886817</v>
      </c>
      <c r="D92" s="42">
        <v>3.596408666356238</v>
      </c>
      <c r="E92" s="42">
        <f t="shared" si="5"/>
        <v>0</v>
      </c>
      <c r="F92" s="42">
        <f t="shared" si="6"/>
        <v>3.596408666356238</v>
      </c>
    </row>
    <row r="93" spans="3:6" x14ac:dyDescent="0.25">
      <c r="C93" s="42">
        <v>0.11335966586576496</v>
      </c>
      <c r="D93" s="42">
        <v>1.6610459473863624</v>
      </c>
      <c r="E93" s="42">
        <f t="shared" si="5"/>
        <v>0</v>
      </c>
      <c r="F93" s="42">
        <f t="shared" si="6"/>
        <v>1.6610459473863624</v>
      </c>
    </row>
    <row r="94" spans="3:6" x14ac:dyDescent="0.25">
      <c r="C94" s="42">
        <v>0.82613775768510833</v>
      </c>
      <c r="D94" s="42">
        <v>14.690515409264204</v>
      </c>
      <c r="E94" s="42">
        <f t="shared" si="5"/>
        <v>0</v>
      </c>
      <c r="F94" s="42">
        <f t="shared" si="6"/>
        <v>14.690515409264204</v>
      </c>
    </row>
    <row r="95" spans="3:6" x14ac:dyDescent="0.25">
      <c r="C95" s="42">
        <v>0.52744436634726488</v>
      </c>
      <c r="D95" s="42">
        <v>10.232766763345012</v>
      </c>
      <c r="E95" s="42">
        <f t="shared" si="5"/>
        <v>0</v>
      </c>
      <c r="F95" s="42">
        <f t="shared" si="6"/>
        <v>10.232766763345012</v>
      </c>
    </row>
    <row r="96" spans="3:6" x14ac:dyDescent="0.25">
      <c r="C96" s="42">
        <v>0.87506804843704644</v>
      </c>
      <c r="D96" s="42">
        <v>17.113866422480992</v>
      </c>
      <c r="E96" s="42">
        <f t="shared" si="5"/>
        <v>0</v>
      </c>
      <c r="F96" s="42">
        <f t="shared" si="6"/>
        <v>17.113866422480992</v>
      </c>
    </row>
    <row r="97" spans="3:6" x14ac:dyDescent="0.25">
      <c r="C97" s="42">
        <v>0.42147240996022228</v>
      </c>
      <c r="D97" s="42">
        <v>7.646007618579052</v>
      </c>
      <c r="E97" s="42">
        <f t="shared" si="5"/>
        <v>0</v>
      </c>
      <c r="F97" s="42">
        <f t="shared" si="6"/>
        <v>7.646007618579052</v>
      </c>
    </row>
    <row r="98" spans="3:6" x14ac:dyDescent="0.25">
      <c r="C98" s="42">
        <v>0.77850016070815098</v>
      </c>
      <c r="D98" s="42">
        <v>16.058834766128111</v>
      </c>
      <c r="E98" s="42">
        <f t="shared" si="5"/>
        <v>0</v>
      </c>
      <c r="F98" s="42">
        <f t="shared" si="6"/>
        <v>16.058834766128111</v>
      </c>
    </row>
    <row r="99" spans="3:6" x14ac:dyDescent="0.25">
      <c r="C99" s="42">
        <v>0.77107629688768242</v>
      </c>
      <c r="D99" s="42">
        <v>14.125115447337073</v>
      </c>
      <c r="E99" s="42">
        <f t="shared" si="5"/>
        <v>0</v>
      </c>
      <c r="F99" s="42">
        <f t="shared" si="6"/>
        <v>14.125115447337073</v>
      </c>
    </row>
    <row r="100" spans="3:6" x14ac:dyDescent="0.25">
      <c r="C100" s="42">
        <v>0.55445488749173388</v>
      </c>
      <c r="D100" s="42">
        <v>12.712482575137178</v>
      </c>
      <c r="E100" s="42">
        <f t="shared" si="5"/>
        <v>0</v>
      </c>
      <c r="F100" s="42">
        <f t="shared" si="6"/>
        <v>12.712482575137178</v>
      </c>
    </row>
    <row r="101" spans="3:6" x14ac:dyDescent="0.25">
      <c r="C101" s="42">
        <v>0.77255270492554795</v>
      </c>
      <c r="D101" s="42">
        <v>14.241096183928368</v>
      </c>
      <c r="E101" s="42">
        <f t="shared" si="5"/>
        <v>0</v>
      </c>
      <c r="F101" s="42">
        <f t="shared" si="6"/>
        <v>14.241096183928368</v>
      </c>
    </row>
    <row r="102" spans="3:6" x14ac:dyDescent="0.25">
      <c r="C102" s="42">
        <v>0.17460058891538877</v>
      </c>
      <c r="D102" s="42">
        <v>4.6768065179499771</v>
      </c>
      <c r="E102" s="42">
        <f t="shared" si="5"/>
        <v>0</v>
      </c>
      <c r="F102" s="42">
        <f t="shared" si="6"/>
        <v>4.6768065179499771</v>
      </c>
    </row>
    <row r="103" spans="3:6" x14ac:dyDescent="0.25">
      <c r="C103" s="42">
        <v>0.70318453553255988</v>
      </c>
      <c r="D103" s="42">
        <v>13.824921878228894</v>
      </c>
      <c r="E103" s="42">
        <f t="shared" si="5"/>
        <v>0</v>
      </c>
      <c r="F103" s="42">
        <f t="shared" si="6"/>
        <v>13.824921878228894</v>
      </c>
    </row>
    <row r="104" spans="3:6" x14ac:dyDescent="0.25">
      <c r="C104" s="42">
        <v>0.31863941174555332</v>
      </c>
      <c r="D104" s="42">
        <v>6.0300903792929388</v>
      </c>
      <c r="E104" s="42">
        <f t="shared" si="5"/>
        <v>0</v>
      </c>
      <c r="F104" s="42">
        <f t="shared" si="6"/>
        <v>6.0300903792929388</v>
      </c>
    </row>
    <row r="105" spans="3:6" x14ac:dyDescent="0.25">
      <c r="C105" s="42">
        <v>0.89960788266503244</v>
      </c>
      <c r="D105" s="42">
        <v>17.899280587985068</v>
      </c>
      <c r="E105" s="42">
        <f t="shared" si="5"/>
        <v>0</v>
      </c>
      <c r="F105" s="42">
        <f t="shared" si="6"/>
        <v>17.899280587985068</v>
      </c>
    </row>
  </sheetData>
  <hyperlinks>
    <hyperlink ref="A1" location="Assumptions!A1" display="Back to Assumptions" xr:uid="{F2BAC2BF-486C-C743-A7EC-7FE50D00FC4D}"/>
    <hyperlink ref="A3" r:id="rId1" xr:uid="{835E6E1D-4A81-5948-8379-203B10C6E028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B80-CA3A-A342-B915-B33EA56101E6}">
  <sheetPr>
    <tabColor rgb="FFFFC000"/>
  </sheetPr>
  <dimension ref="A1:R105"/>
  <sheetViews>
    <sheetView workbookViewId="0"/>
  </sheetViews>
  <sheetFormatPr baseColWidth="10" defaultRowHeight="26" x14ac:dyDescent="0.3"/>
  <cols>
    <col min="1" max="4" width="10.83203125" style="1"/>
    <col min="5" max="5" width="13.1640625" style="1" bestFit="1" customWidth="1"/>
    <col min="6" max="6" width="11.5" style="1" bestFit="1" customWidth="1"/>
    <col min="7" max="7" width="19.83203125" style="1" bestFit="1" customWidth="1"/>
    <col min="8" max="8" width="10.83203125" style="1"/>
    <col min="9" max="9" width="11.33203125" style="1" bestFit="1" customWidth="1"/>
    <col min="10" max="10" width="10.83203125" style="1"/>
    <col min="11" max="11" width="11.33203125" style="1" bestFit="1" customWidth="1"/>
    <col min="12" max="16384" width="10.83203125" style="1"/>
  </cols>
  <sheetData>
    <row r="1" spans="1:18" x14ac:dyDescent="0.3">
      <c r="A1" s="33" t="s">
        <v>138</v>
      </c>
    </row>
    <row r="2" spans="1:18" s="2" customFormat="1" x14ac:dyDescent="0.3">
      <c r="C2" s="3" t="s">
        <v>54</v>
      </c>
      <c r="E2" s="3" t="s">
        <v>53</v>
      </c>
      <c r="G2" s="2" t="s">
        <v>99</v>
      </c>
      <c r="I2" s="1"/>
      <c r="J2" s="60" t="s">
        <v>151</v>
      </c>
      <c r="K2" s="61"/>
      <c r="L2" s="61"/>
      <c r="M2" s="61"/>
      <c r="N2" s="61"/>
      <c r="O2" s="61"/>
      <c r="P2" s="61"/>
      <c r="Q2" s="61"/>
      <c r="R2" s="61"/>
    </row>
    <row r="3" spans="1:18" x14ac:dyDescent="0.3">
      <c r="A3" s="33" t="s">
        <v>173</v>
      </c>
      <c r="C3" s="1">
        <f>SQRT(SUMSQ(F6:F105)/COUNT(F6:F105))</f>
        <v>23.45928027099929</v>
      </c>
      <c r="E3" s="15">
        <v>-20</v>
      </c>
      <c r="G3" s="1" t="e">
        <f t="array" ref="G3">SUM(LOG(G6:G105))</f>
        <v>#NUM!</v>
      </c>
      <c r="I3" s="2"/>
      <c r="J3" s="62" t="s">
        <v>152</v>
      </c>
      <c r="K3" s="60"/>
      <c r="L3" s="60"/>
      <c r="M3" s="60"/>
      <c r="N3" s="60"/>
      <c r="O3" s="60"/>
      <c r="P3" s="60"/>
      <c r="Q3" s="60"/>
      <c r="R3" s="60"/>
    </row>
    <row r="4" spans="1:18" x14ac:dyDescent="0.3">
      <c r="I4" s="2"/>
    </row>
    <row r="5" spans="1:18" x14ac:dyDescent="0.3">
      <c r="C5" s="2" t="s">
        <v>0</v>
      </c>
      <c r="D5" s="2" t="s">
        <v>1</v>
      </c>
      <c r="E5" s="2" t="s">
        <v>5</v>
      </c>
      <c r="F5" s="2" t="s">
        <v>30</v>
      </c>
      <c r="G5" s="2" t="s">
        <v>55</v>
      </c>
      <c r="I5" s="3" t="s">
        <v>53</v>
      </c>
      <c r="J5" s="2"/>
    </row>
    <row r="6" spans="1:18" x14ac:dyDescent="0.3">
      <c r="C6" s="1">
        <v>0.58818950933738789</v>
      </c>
      <c r="D6" s="1">
        <v>11.804231880998334</v>
      </c>
      <c r="E6" s="1">
        <f t="shared" ref="E6:E37" si="0">C6*b</f>
        <v>-11.763790186747759</v>
      </c>
      <c r="F6" s="1">
        <f>D6-E6</f>
        <v>23.568022067746092</v>
      </c>
      <c r="G6" s="41"/>
      <c r="I6" s="1">
        <v>-20</v>
      </c>
      <c r="J6" s="63"/>
    </row>
    <row r="7" spans="1:18" x14ac:dyDescent="0.3">
      <c r="C7" s="1">
        <v>1.6986682268579356E-2</v>
      </c>
      <c r="D7" s="1">
        <v>-1.1426648798679477</v>
      </c>
      <c r="E7" s="1">
        <f t="shared" si="0"/>
        <v>-0.33973364537158712</v>
      </c>
      <c r="F7" s="1">
        <f t="shared" ref="F7:F70" si="1">D7-E7</f>
        <v>-0.80293123449636061</v>
      </c>
      <c r="G7" s="41"/>
      <c r="I7" s="1">
        <v>-15</v>
      </c>
      <c r="J7" s="63"/>
    </row>
    <row r="8" spans="1:18" x14ac:dyDescent="0.3">
      <c r="C8" s="1">
        <v>0.53113977359533349</v>
      </c>
      <c r="D8" s="1">
        <v>12.646164430270861</v>
      </c>
      <c r="E8" s="1">
        <f t="shared" si="0"/>
        <v>-10.62279547190667</v>
      </c>
      <c r="F8" s="1">
        <f t="shared" si="1"/>
        <v>23.268959902177532</v>
      </c>
      <c r="G8" s="41"/>
      <c r="I8" s="1">
        <v>-10</v>
      </c>
      <c r="J8" s="63"/>
    </row>
    <row r="9" spans="1:18" x14ac:dyDescent="0.3">
      <c r="C9" s="1">
        <v>0.61761469323860685</v>
      </c>
      <c r="D9" s="1">
        <v>11.60110424186859</v>
      </c>
      <c r="E9" s="1">
        <f t="shared" si="0"/>
        <v>-12.352293864772136</v>
      </c>
      <c r="F9" s="1">
        <f t="shared" si="1"/>
        <v>23.953398106640726</v>
      </c>
      <c r="G9" s="41"/>
      <c r="I9" s="1">
        <v>-5</v>
      </c>
      <c r="J9" s="63"/>
    </row>
    <row r="10" spans="1:18" x14ac:dyDescent="0.3">
      <c r="C10" s="1">
        <v>0.11756427568939665</v>
      </c>
      <c r="D10" s="1">
        <v>2.6658797244398591</v>
      </c>
      <c r="E10" s="1">
        <f t="shared" si="0"/>
        <v>-2.3512855137879329</v>
      </c>
      <c r="F10" s="1">
        <f t="shared" si="1"/>
        <v>5.0171652382277916</v>
      </c>
      <c r="G10" s="41"/>
      <c r="I10" s="1">
        <v>0</v>
      </c>
      <c r="J10" s="63"/>
    </row>
    <row r="11" spans="1:18" x14ac:dyDescent="0.3">
      <c r="C11" s="1">
        <v>0.6879027369874563</v>
      </c>
      <c r="D11" s="1">
        <v>14.048158432708902</v>
      </c>
      <c r="E11" s="1">
        <f t="shared" si="0"/>
        <v>-13.758054739749126</v>
      </c>
      <c r="F11" s="1">
        <f t="shared" si="1"/>
        <v>27.80621317245803</v>
      </c>
      <c r="G11" s="41"/>
      <c r="I11" s="1">
        <v>5</v>
      </c>
      <c r="J11" s="63"/>
    </row>
    <row r="12" spans="1:18" x14ac:dyDescent="0.3">
      <c r="C12" s="1">
        <v>0.92932488131491664</v>
      </c>
      <c r="D12" s="1">
        <v>18.26370180959243</v>
      </c>
      <c r="E12" s="1">
        <f t="shared" si="0"/>
        <v>-18.586497626298332</v>
      </c>
      <c r="F12" s="1">
        <f t="shared" si="1"/>
        <v>36.850199435890758</v>
      </c>
      <c r="G12" s="41"/>
      <c r="I12" s="1">
        <v>10</v>
      </c>
      <c r="J12" s="63"/>
    </row>
    <row r="13" spans="1:18" x14ac:dyDescent="0.3">
      <c r="C13" s="1">
        <v>0.19170842591627391</v>
      </c>
      <c r="D13" s="1">
        <v>4.3583301301299571</v>
      </c>
      <c r="E13" s="1">
        <f t="shared" si="0"/>
        <v>-3.8341685183254781</v>
      </c>
      <c r="F13" s="1">
        <f t="shared" si="1"/>
        <v>8.1924986484554356</v>
      </c>
      <c r="G13" s="41"/>
      <c r="I13" s="1">
        <v>15</v>
      </c>
      <c r="J13" s="63"/>
    </row>
    <row r="14" spans="1:18" x14ac:dyDescent="0.3">
      <c r="C14" s="1">
        <v>0.85600753369165639</v>
      </c>
      <c r="D14" s="1">
        <v>16.882721290131197</v>
      </c>
      <c r="E14" s="1">
        <f t="shared" si="0"/>
        <v>-17.120150673833127</v>
      </c>
      <c r="F14" s="1">
        <f t="shared" si="1"/>
        <v>34.002871963964324</v>
      </c>
      <c r="G14" s="41"/>
      <c r="I14" s="1">
        <v>20</v>
      </c>
      <c r="J14" s="63"/>
    </row>
    <row r="15" spans="1:18" x14ac:dyDescent="0.3">
      <c r="C15" s="1">
        <v>0.38465490938110325</v>
      </c>
      <c r="D15" s="1">
        <v>7.5754797851080893</v>
      </c>
      <c r="E15" s="1">
        <f t="shared" si="0"/>
        <v>-7.6930981876220645</v>
      </c>
      <c r="F15" s="1">
        <f t="shared" si="1"/>
        <v>15.268577972730153</v>
      </c>
      <c r="G15" s="41"/>
      <c r="I15" s="1">
        <v>25</v>
      </c>
      <c r="J15" s="63"/>
    </row>
    <row r="16" spans="1:18" x14ac:dyDescent="0.3">
      <c r="C16" s="1">
        <v>0.52546251179600201</v>
      </c>
      <c r="D16" s="1">
        <v>12.065042110660789</v>
      </c>
      <c r="E16" s="1">
        <f t="shared" si="0"/>
        <v>-10.509250235920041</v>
      </c>
      <c r="F16" s="1">
        <f t="shared" si="1"/>
        <v>22.57429234658083</v>
      </c>
      <c r="G16" s="41"/>
      <c r="I16" s="1">
        <v>30</v>
      </c>
      <c r="J16" s="63"/>
    </row>
    <row r="17" spans="3:10" x14ac:dyDescent="0.3">
      <c r="C17" s="1">
        <v>0.49460822417774364</v>
      </c>
      <c r="D17" s="1">
        <v>10.027060877630145</v>
      </c>
      <c r="E17" s="1">
        <f t="shared" si="0"/>
        <v>-9.8921644835548719</v>
      </c>
      <c r="F17" s="1">
        <f t="shared" si="1"/>
        <v>19.919225361185017</v>
      </c>
      <c r="G17" s="41"/>
      <c r="I17" s="1">
        <v>35</v>
      </c>
      <c r="J17" s="63"/>
    </row>
    <row r="18" spans="3:10" x14ac:dyDescent="0.3">
      <c r="C18" s="1">
        <v>0.60166049809332578</v>
      </c>
      <c r="D18" s="1">
        <v>12.16809807905876</v>
      </c>
      <c r="E18" s="1">
        <f t="shared" si="0"/>
        <v>-12.033209961866515</v>
      </c>
      <c r="F18" s="1">
        <f t="shared" si="1"/>
        <v>24.201308040925277</v>
      </c>
      <c r="G18" s="41"/>
      <c r="I18" s="1">
        <v>40</v>
      </c>
      <c r="J18" s="63"/>
    </row>
    <row r="19" spans="3:10" x14ac:dyDescent="0.3">
      <c r="C19" s="1">
        <v>0.76600626723966236</v>
      </c>
      <c r="D19" s="1">
        <v>13.526296925209877</v>
      </c>
      <c r="E19" s="1">
        <f t="shared" si="0"/>
        <v>-15.320125344793247</v>
      </c>
      <c r="F19" s="1">
        <f t="shared" si="1"/>
        <v>28.846422270003124</v>
      </c>
      <c r="G19" s="41"/>
      <c r="I19" s="1">
        <v>45</v>
      </c>
      <c r="J19" s="63"/>
    </row>
    <row r="20" spans="3:10" x14ac:dyDescent="0.3">
      <c r="C20" s="1">
        <v>0.21243638227785167</v>
      </c>
      <c r="D20" s="1">
        <v>3.283190103551985</v>
      </c>
      <c r="E20" s="1">
        <f t="shared" si="0"/>
        <v>-4.2487276455570333</v>
      </c>
      <c r="F20" s="1">
        <f t="shared" si="1"/>
        <v>7.5319177491090183</v>
      </c>
      <c r="G20" s="41"/>
      <c r="I20" s="1">
        <v>50</v>
      </c>
      <c r="J20" s="63"/>
    </row>
    <row r="21" spans="3:10" x14ac:dyDescent="0.3">
      <c r="C21" s="1">
        <v>0.30245649354922211</v>
      </c>
      <c r="D21" s="1">
        <v>6.6356938737602027</v>
      </c>
      <c r="E21" s="1">
        <f t="shared" si="0"/>
        <v>-6.0491298709844425</v>
      </c>
      <c r="F21" s="1">
        <f t="shared" si="1"/>
        <v>12.684823744744644</v>
      </c>
      <c r="G21" s="41"/>
      <c r="I21" s="1">
        <v>55</v>
      </c>
      <c r="J21" s="63"/>
    </row>
    <row r="22" spans="3:10" x14ac:dyDescent="0.3">
      <c r="C22" s="1">
        <v>0.45206672337575782</v>
      </c>
      <c r="D22" s="1">
        <v>9.7856551640079648</v>
      </c>
      <c r="E22" s="1">
        <f t="shared" si="0"/>
        <v>-9.0413344675151563</v>
      </c>
      <c r="F22" s="1">
        <f t="shared" si="1"/>
        <v>18.826989631523119</v>
      </c>
      <c r="G22" s="41"/>
      <c r="I22" s="1">
        <v>100</v>
      </c>
      <c r="J22" s="63"/>
    </row>
    <row r="23" spans="3:10" x14ac:dyDescent="0.3">
      <c r="C23" s="1">
        <v>0.20737932579622564</v>
      </c>
      <c r="D23" s="1">
        <v>3.5327682298116816</v>
      </c>
      <c r="E23" s="1">
        <f t="shared" si="0"/>
        <v>-4.1475865159245124</v>
      </c>
      <c r="F23" s="1">
        <f t="shared" si="1"/>
        <v>7.680354745736194</v>
      </c>
      <c r="G23" s="41"/>
    </row>
    <row r="24" spans="3:10" x14ac:dyDescent="0.3">
      <c r="C24" s="1">
        <v>0.41616098321769968</v>
      </c>
      <c r="D24" s="1">
        <v>7.8552360085329207</v>
      </c>
      <c r="E24" s="1">
        <f t="shared" si="0"/>
        <v>-8.323219664353994</v>
      </c>
      <c r="F24" s="1">
        <f t="shared" si="1"/>
        <v>16.178455672886916</v>
      </c>
      <c r="G24" s="41"/>
    </row>
    <row r="25" spans="3:10" x14ac:dyDescent="0.3">
      <c r="C25" s="1">
        <v>0.63083625356975637</v>
      </c>
      <c r="D25" s="1">
        <v>12.34404675798549</v>
      </c>
      <c r="E25" s="1">
        <f t="shared" si="0"/>
        <v>-12.616725071395127</v>
      </c>
      <c r="F25" s="1">
        <f t="shared" si="1"/>
        <v>24.960771829380619</v>
      </c>
      <c r="G25" s="41"/>
    </row>
    <row r="26" spans="3:10" x14ac:dyDescent="0.3">
      <c r="C26" s="1">
        <v>0.18358847309704474</v>
      </c>
      <c r="D26" s="1">
        <v>2.8293372761758495</v>
      </c>
      <c r="E26" s="1">
        <f t="shared" si="0"/>
        <v>-3.6717694619408947</v>
      </c>
      <c r="F26" s="1">
        <f t="shared" si="1"/>
        <v>6.5011067381167447</v>
      </c>
      <c r="G26" s="41"/>
    </row>
    <row r="27" spans="3:10" x14ac:dyDescent="0.3">
      <c r="C27" s="1">
        <v>0.65520521017462008</v>
      </c>
      <c r="D27" s="1">
        <v>14.021879797645322</v>
      </c>
      <c r="E27" s="1">
        <f t="shared" si="0"/>
        <v>-13.104104203492401</v>
      </c>
      <c r="F27" s="1">
        <f t="shared" si="1"/>
        <v>27.125984001137724</v>
      </c>
      <c r="G27" s="41"/>
    </row>
    <row r="28" spans="3:10" x14ac:dyDescent="0.3">
      <c r="C28" s="1">
        <v>0.76996882700039659</v>
      </c>
      <c r="D28" s="1">
        <v>14.278066096572314</v>
      </c>
      <c r="E28" s="1">
        <f t="shared" si="0"/>
        <v>-15.399376540007932</v>
      </c>
      <c r="F28" s="1">
        <f t="shared" si="1"/>
        <v>29.677442636580246</v>
      </c>
      <c r="G28" s="41"/>
    </row>
    <row r="29" spans="3:10" x14ac:dyDescent="0.3">
      <c r="C29" s="1">
        <v>0.51559562686951099</v>
      </c>
      <c r="D29" s="1">
        <v>11.605695381938883</v>
      </c>
      <c r="E29" s="1">
        <f t="shared" si="0"/>
        <v>-10.311912537390221</v>
      </c>
      <c r="F29" s="1">
        <f t="shared" si="1"/>
        <v>21.917607919329104</v>
      </c>
      <c r="G29" s="41"/>
    </row>
    <row r="30" spans="3:10" x14ac:dyDescent="0.3">
      <c r="C30" s="1">
        <v>5.3162482015925328E-2</v>
      </c>
      <c r="D30" s="1">
        <v>1.9246205706286856</v>
      </c>
      <c r="E30" s="1">
        <f t="shared" si="0"/>
        <v>-1.0632496403185066</v>
      </c>
      <c r="F30" s="1">
        <f t="shared" si="1"/>
        <v>2.9878702109471922</v>
      </c>
      <c r="G30" s="41"/>
    </row>
    <row r="31" spans="3:10" x14ac:dyDescent="0.3">
      <c r="C31" s="1">
        <v>0.5664237294594241</v>
      </c>
      <c r="D31" s="1">
        <v>10.146638376667001</v>
      </c>
      <c r="E31" s="1">
        <f t="shared" si="0"/>
        <v>-11.328474589188481</v>
      </c>
      <c r="F31" s="1">
        <f t="shared" si="1"/>
        <v>21.47511296585548</v>
      </c>
      <c r="G31" s="41"/>
    </row>
    <row r="32" spans="3:10" x14ac:dyDescent="0.3">
      <c r="C32" s="1">
        <v>0.7207530847995548</v>
      </c>
      <c r="D32" s="1">
        <v>14.304573553231874</v>
      </c>
      <c r="E32" s="1">
        <f t="shared" si="0"/>
        <v>-14.415061695991096</v>
      </c>
      <c r="F32" s="1">
        <f t="shared" si="1"/>
        <v>28.719635249222968</v>
      </c>
      <c r="G32" s="41"/>
    </row>
    <row r="33" spans="3:7" x14ac:dyDescent="0.3">
      <c r="C33" s="1">
        <v>0.90596593615365673</v>
      </c>
      <c r="D33" s="1">
        <v>17.484967139523285</v>
      </c>
      <c r="E33" s="1">
        <f t="shared" si="0"/>
        <v>-18.119318723073135</v>
      </c>
      <c r="F33" s="1">
        <f t="shared" si="1"/>
        <v>35.60428586259642</v>
      </c>
      <c r="G33" s="41"/>
    </row>
    <row r="34" spans="3:7" x14ac:dyDescent="0.3">
      <c r="C34" s="1">
        <v>4.4384223432258896E-3</v>
      </c>
      <c r="D34" s="1">
        <v>0.80049736004577199</v>
      </c>
      <c r="E34" s="1">
        <f t="shared" si="0"/>
        <v>-8.8768446864517792E-2</v>
      </c>
      <c r="F34" s="1">
        <f t="shared" si="1"/>
        <v>0.88926580691028978</v>
      </c>
      <c r="G34" s="41"/>
    </row>
    <row r="35" spans="3:7" x14ac:dyDescent="0.3">
      <c r="C35" s="1">
        <v>0.17815700716011373</v>
      </c>
      <c r="D35" s="1">
        <v>4.6448741221170833</v>
      </c>
      <c r="E35" s="1">
        <f t="shared" si="0"/>
        <v>-3.5631401432022747</v>
      </c>
      <c r="F35" s="1">
        <f t="shared" si="1"/>
        <v>8.208014265319358</v>
      </c>
      <c r="G35" s="41"/>
    </row>
    <row r="36" spans="3:7" x14ac:dyDescent="0.3">
      <c r="C36" s="1">
        <v>7.5130177590292169E-2</v>
      </c>
      <c r="D36" s="1">
        <v>0.76516865447589077</v>
      </c>
      <c r="E36" s="1">
        <f t="shared" si="0"/>
        <v>-1.5026035518058434</v>
      </c>
      <c r="F36" s="1">
        <f t="shared" si="1"/>
        <v>2.2677722062817343</v>
      </c>
      <c r="G36" s="41"/>
    </row>
    <row r="37" spans="3:7" x14ac:dyDescent="0.3">
      <c r="C37" s="1">
        <v>0.79984020244131659</v>
      </c>
      <c r="D37" s="1">
        <v>15.577180588990071</v>
      </c>
      <c r="E37" s="1">
        <f t="shared" si="0"/>
        <v>-15.996804048826332</v>
      </c>
      <c r="F37" s="1">
        <f t="shared" si="1"/>
        <v>31.573984637816402</v>
      </c>
      <c r="G37" s="41"/>
    </row>
    <row r="38" spans="3:7" x14ac:dyDescent="0.3">
      <c r="C38" s="1">
        <v>3.8565931492289596E-2</v>
      </c>
      <c r="D38" s="1">
        <v>3.2539443937074166</v>
      </c>
      <c r="E38" s="1">
        <f t="shared" ref="E38:E69" si="2">C38*b</f>
        <v>-0.77131862984579191</v>
      </c>
      <c r="F38" s="1">
        <f t="shared" si="1"/>
        <v>4.0252630235532081</v>
      </c>
      <c r="G38" s="41"/>
    </row>
    <row r="39" spans="3:7" x14ac:dyDescent="0.3">
      <c r="C39" s="1">
        <v>0.36167296616229561</v>
      </c>
      <c r="D39" s="1">
        <v>7.6686906060931284</v>
      </c>
      <c r="E39" s="1">
        <f t="shared" si="2"/>
        <v>-7.2334593232459117</v>
      </c>
      <c r="F39" s="1">
        <f t="shared" si="1"/>
        <v>14.902149929339039</v>
      </c>
      <c r="G39" s="41"/>
    </row>
    <row r="40" spans="3:7" x14ac:dyDescent="0.3">
      <c r="C40" s="1">
        <v>0.74107669194407289</v>
      </c>
      <c r="D40" s="1">
        <v>16.627084816822872</v>
      </c>
      <c r="E40" s="1">
        <f t="shared" si="2"/>
        <v>-14.821533838881457</v>
      </c>
      <c r="F40" s="1">
        <f t="shared" si="1"/>
        <v>31.44861865570433</v>
      </c>
      <c r="G40" s="41"/>
    </row>
    <row r="41" spans="3:7" x14ac:dyDescent="0.3">
      <c r="C41" s="1">
        <v>0.62799217827226994</v>
      </c>
      <c r="D41" s="1">
        <v>11.657898324524432</v>
      </c>
      <c r="E41" s="1">
        <f t="shared" si="2"/>
        <v>-12.559843565445398</v>
      </c>
      <c r="F41" s="1">
        <f t="shared" si="1"/>
        <v>24.21774188996983</v>
      </c>
      <c r="G41" s="41"/>
    </row>
    <row r="42" spans="3:7" x14ac:dyDescent="0.3">
      <c r="C42" s="1">
        <v>0.27356870011466017</v>
      </c>
      <c r="D42" s="1">
        <v>6.8134795977052498</v>
      </c>
      <c r="E42" s="1">
        <f t="shared" si="2"/>
        <v>-5.4713740022932029</v>
      </c>
      <c r="F42" s="1">
        <f t="shared" si="1"/>
        <v>12.284853599998453</v>
      </c>
      <c r="G42" s="41"/>
    </row>
    <row r="43" spans="3:7" x14ac:dyDescent="0.3">
      <c r="C43" s="1">
        <v>0.99335878306136505</v>
      </c>
      <c r="D43" s="1">
        <v>21.087780318734875</v>
      </c>
      <c r="E43" s="1">
        <f t="shared" si="2"/>
        <v>-19.8671756612273</v>
      </c>
      <c r="F43" s="1">
        <f t="shared" si="1"/>
        <v>40.954955979962179</v>
      </c>
      <c r="G43" s="41"/>
    </row>
    <row r="44" spans="3:7" x14ac:dyDescent="0.3">
      <c r="C44" s="1">
        <v>0.88997823671109033</v>
      </c>
      <c r="D44" s="1">
        <v>16.312509945328127</v>
      </c>
      <c r="E44" s="1">
        <f t="shared" si="2"/>
        <v>-17.799564734221807</v>
      </c>
      <c r="F44" s="1">
        <f t="shared" si="1"/>
        <v>34.112074679549934</v>
      </c>
      <c r="G44" s="41"/>
    </row>
    <row r="45" spans="3:7" x14ac:dyDescent="0.3">
      <c r="C45" s="1">
        <v>9.4889766142462917E-2</v>
      </c>
      <c r="D45" s="1">
        <v>3.3638809832285741</v>
      </c>
      <c r="E45" s="1">
        <f t="shared" si="2"/>
        <v>-1.8977953228492583</v>
      </c>
      <c r="F45" s="1">
        <f t="shared" si="1"/>
        <v>5.2616763060778329</v>
      </c>
      <c r="G45" s="41"/>
    </row>
    <row r="46" spans="3:7" x14ac:dyDescent="0.3">
      <c r="C46" s="1">
        <v>0.96815563515745773</v>
      </c>
      <c r="D46" s="1">
        <v>18.77375803848599</v>
      </c>
      <c r="E46" s="1">
        <f t="shared" si="2"/>
        <v>-19.363112703149156</v>
      </c>
      <c r="F46" s="1">
        <f t="shared" si="1"/>
        <v>38.13687074163515</v>
      </c>
      <c r="G46" s="41"/>
    </row>
    <row r="47" spans="3:7" x14ac:dyDescent="0.3">
      <c r="C47" s="1">
        <v>0.31029116278075597</v>
      </c>
      <c r="D47" s="1">
        <v>5.7581023050168385</v>
      </c>
      <c r="E47" s="1">
        <f t="shared" si="2"/>
        <v>-6.2058232556151189</v>
      </c>
      <c r="F47" s="1">
        <f t="shared" si="1"/>
        <v>11.963925560631957</v>
      </c>
      <c r="G47" s="41"/>
    </row>
    <row r="48" spans="3:7" x14ac:dyDescent="0.3">
      <c r="C48" s="1">
        <v>0.6907556511455053</v>
      </c>
      <c r="D48" s="1">
        <v>13.548853160601338</v>
      </c>
      <c r="E48" s="1">
        <f t="shared" si="2"/>
        <v>-13.815113022910106</v>
      </c>
      <c r="F48" s="1">
        <f t="shared" si="1"/>
        <v>27.363966183511444</v>
      </c>
      <c r="G48" s="41"/>
    </row>
    <row r="49" spans="3:7" x14ac:dyDescent="0.3">
      <c r="C49" s="1">
        <v>0.61818130113250047</v>
      </c>
      <c r="D49" s="1">
        <v>12.314174891973147</v>
      </c>
      <c r="E49" s="1">
        <f t="shared" si="2"/>
        <v>-12.36362602265001</v>
      </c>
      <c r="F49" s="1">
        <f t="shared" si="1"/>
        <v>24.677800914623155</v>
      </c>
      <c r="G49" s="41"/>
    </row>
    <row r="50" spans="3:7" x14ac:dyDescent="0.3">
      <c r="C50" s="1">
        <v>0.1465668604557816</v>
      </c>
      <c r="D50" s="1">
        <v>3.6017880031549652</v>
      </c>
      <c r="E50" s="1">
        <f t="shared" si="2"/>
        <v>-2.931337209115632</v>
      </c>
      <c r="F50" s="1">
        <f t="shared" si="1"/>
        <v>6.5331252122705976</v>
      </c>
      <c r="G50" s="41"/>
    </row>
    <row r="51" spans="3:7" x14ac:dyDescent="0.3">
      <c r="C51" s="1">
        <v>0.2103156987256255</v>
      </c>
      <c r="D51" s="1">
        <v>4.1241649215300651</v>
      </c>
      <c r="E51" s="1">
        <f t="shared" si="2"/>
        <v>-4.2063139745125095</v>
      </c>
      <c r="F51" s="1">
        <f t="shared" si="1"/>
        <v>8.3304788960425746</v>
      </c>
      <c r="G51" s="41"/>
    </row>
    <row r="52" spans="3:7" x14ac:dyDescent="0.3">
      <c r="C52" s="1">
        <v>0.19805323237018713</v>
      </c>
      <c r="D52" s="1">
        <v>3.5426930929065037</v>
      </c>
      <c r="E52" s="1">
        <f t="shared" si="2"/>
        <v>-3.9610646474037425</v>
      </c>
      <c r="F52" s="1">
        <f t="shared" si="1"/>
        <v>7.5037577403102462</v>
      </c>
      <c r="G52" s="41"/>
    </row>
    <row r="53" spans="3:7" x14ac:dyDescent="0.3">
      <c r="C53" s="1">
        <v>7.8577575982490711E-2</v>
      </c>
      <c r="D53" s="1">
        <v>2.3999202771717361</v>
      </c>
      <c r="E53" s="1">
        <f t="shared" si="2"/>
        <v>-1.5715515196498142</v>
      </c>
      <c r="F53" s="1">
        <f t="shared" si="1"/>
        <v>3.9714717968215503</v>
      </c>
      <c r="G53" s="41"/>
    </row>
    <row r="54" spans="3:7" x14ac:dyDescent="0.3">
      <c r="C54" s="1">
        <v>0.4854292228195799</v>
      </c>
      <c r="D54" s="1">
        <v>7.4471211139922957</v>
      </c>
      <c r="E54" s="1">
        <f t="shared" si="2"/>
        <v>-9.7085844563915984</v>
      </c>
      <c r="F54" s="1">
        <f t="shared" si="1"/>
        <v>17.155705570383894</v>
      </c>
      <c r="G54" s="41"/>
    </row>
    <row r="55" spans="3:7" x14ac:dyDescent="0.3">
      <c r="C55" s="1">
        <v>0.82819925964942176</v>
      </c>
      <c r="D55" s="1">
        <v>17.594570042286612</v>
      </c>
      <c r="E55" s="1">
        <f t="shared" si="2"/>
        <v>-16.563985192988437</v>
      </c>
      <c r="F55" s="1">
        <f t="shared" si="1"/>
        <v>34.158555235275045</v>
      </c>
      <c r="G55" s="41"/>
    </row>
    <row r="56" spans="3:7" x14ac:dyDescent="0.3">
      <c r="C56" s="1">
        <v>0.54347323518873314</v>
      </c>
      <c r="D56" s="1">
        <v>8.8015636665249453</v>
      </c>
      <c r="E56" s="1">
        <f t="shared" si="2"/>
        <v>-10.869464703774662</v>
      </c>
      <c r="F56" s="1">
        <f t="shared" si="1"/>
        <v>19.671028370299609</v>
      </c>
      <c r="G56" s="41"/>
    </row>
    <row r="57" spans="3:7" x14ac:dyDescent="0.3">
      <c r="C57" s="1">
        <v>0.48361090905650461</v>
      </c>
      <c r="D57" s="1">
        <v>10.388862340133327</v>
      </c>
      <c r="E57" s="1">
        <f t="shared" si="2"/>
        <v>-9.6722181811300914</v>
      </c>
      <c r="F57" s="1">
        <f t="shared" si="1"/>
        <v>20.06108052126342</v>
      </c>
      <c r="G57" s="41"/>
    </row>
    <row r="58" spans="3:7" x14ac:dyDescent="0.3">
      <c r="C58" s="1">
        <v>0.6648188748724615</v>
      </c>
      <c r="D58" s="1">
        <v>14.324643925900737</v>
      </c>
      <c r="E58" s="1">
        <f t="shared" si="2"/>
        <v>-13.29637749744923</v>
      </c>
      <c r="F58" s="1">
        <f t="shared" si="1"/>
        <v>27.621021423349966</v>
      </c>
      <c r="G58" s="41"/>
    </row>
    <row r="59" spans="3:7" x14ac:dyDescent="0.3">
      <c r="C59" s="1">
        <v>0.10153902496882705</v>
      </c>
      <c r="D59" s="1">
        <v>3.1138863253601903</v>
      </c>
      <c r="E59" s="1">
        <f t="shared" si="2"/>
        <v>-2.030780499376541</v>
      </c>
      <c r="F59" s="1">
        <f t="shared" si="1"/>
        <v>5.1446668247367313</v>
      </c>
      <c r="G59" s="41"/>
    </row>
    <row r="60" spans="3:7" x14ac:dyDescent="0.3">
      <c r="C60" s="1">
        <v>0.11021610286671635</v>
      </c>
      <c r="D60" s="1">
        <v>3.2525034715814254</v>
      </c>
      <c r="E60" s="1">
        <f t="shared" si="2"/>
        <v>-2.204322057334327</v>
      </c>
      <c r="F60" s="1">
        <f t="shared" si="1"/>
        <v>5.4568255289157523</v>
      </c>
      <c r="G60" s="41"/>
    </row>
    <row r="61" spans="3:7" x14ac:dyDescent="0.3">
      <c r="C61" s="1">
        <v>0.82354723015543618</v>
      </c>
      <c r="D61" s="1">
        <v>16.704696733829564</v>
      </c>
      <c r="E61" s="1">
        <f t="shared" si="2"/>
        <v>-16.470944603108723</v>
      </c>
      <c r="F61" s="1">
        <f t="shared" si="1"/>
        <v>33.175641336938284</v>
      </c>
      <c r="G61" s="41"/>
    </row>
    <row r="62" spans="3:7" x14ac:dyDescent="0.3">
      <c r="C62" s="1">
        <v>0.14762700270533879</v>
      </c>
      <c r="D62" s="1">
        <v>3.3935035654119265</v>
      </c>
      <c r="E62" s="1">
        <f t="shared" si="2"/>
        <v>-2.9525400541067759</v>
      </c>
      <c r="F62" s="1">
        <f t="shared" si="1"/>
        <v>6.3460436195187029</v>
      </c>
      <c r="G62" s="41"/>
    </row>
    <row r="63" spans="3:7" x14ac:dyDescent="0.3">
      <c r="C63" s="1">
        <v>0.74801215081887662</v>
      </c>
      <c r="D63" s="1">
        <v>14.772019910457303</v>
      </c>
      <c r="E63" s="1">
        <f t="shared" si="2"/>
        <v>-14.960243016377532</v>
      </c>
      <c r="F63" s="1">
        <f t="shared" si="1"/>
        <v>29.732262926834835</v>
      </c>
      <c r="G63" s="41"/>
    </row>
    <row r="64" spans="3:7" x14ac:dyDescent="0.3">
      <c r="C64" s="1">
        <v>0.49905488591335401</v>
      </c>
      <c r="D64" s="1">
        <v>9.8335257060026695</v>
      </c>
      <c r="E64" s="1">
        <f t="shared" si="2"/>
        <v>-9.9810977182670797</v>
      </c>
      <c r="F64" s="1">
        <f t="shared" si="1"/>
        <v>19.814623424269747</v>
      </c>
      <c r="G64" s="41"/>
    </row>
    <row r="65" spans="3:7" x14ac:dyDescent="0.3">
      <c r="C65" s="1">
        <v>0.61731418787516201</v>
      </c>
      <c r="D65" s="1">
        <v>12.306308651383414</v>
      </c>
      <c r="E65" s="1">
        <f t="shared" si="2"/>
        <v>-12.34628375750324</v>
      </c>
      <c r="F65" s="1">
        <f t="shared" si="1"/>
        <v>24.652592408886655</v>
      </c>
      <c r="G65" s="41"/>
    </row>
    <row r="66" spans="3:7" x14ac:dyDescent="0.3">
      <c r="C66" s="1">
        <v>0.32161492273448899</v>
      </c>
      <c r="D66" s="1">
        <v>6.0906360699360169</v>
      </c>
      <c r="E66" s="1">
        <f t="shared" si="2"/>
        <v>-6.4322984546897803</v>
      </c>
      <c r="F66" s="1">
        <f t="shared" si="1"/>
        <v>12.522934524625796</v>
      </c>
      <c r="G66" s="41"/>
    </row>
    <row r="67" spans="3:7" x14ac:dyDescent="0.3">
      <c r="C67" s="1">
        <v>0.98902174101337692</v>
      </c>
      <c r="D67" s="1">
        <v>21.008058447564988</v>
      </c>
      <c r="E67" s="1">
        <f t="shared" si="2"/>
        <v>-19.780434820267537</v>
      </c>
      <c r="F67" s="1">
        <f t="shared" si="1"/>
        <v>40.788493267832521</v>
      </c>
      <c r="G67" s="41"/>
    </row>
    <row r="68" spans="3:7" x14ac:dyDescent="0.3">
      <c r="C68" s="1">
        <v>8.6105450560647667E-2</v>
      </c>
      <c r="D68" s="1">
        <v>1.316473206360858</v>
      </c>
      <c r="E68" s="1">
        <f t="shared" si="2"/>
        <v>-1.7221090112129533</v>
      </c>
      <c r="F68" s="1">
        <f t="shared" si="1"/>
        <v>3.0385822175738113</v>
      </c>
      <c r="G68" s="41"/>
    </row>
    <row r="69" spans="3:7" x14ac:dyDescent="0.3">
      <c r="C69" s="1">
        <v>0.98623511412963327</v>
      </c>
      <c r="D69" s="1">
        <v>19.045129777040046</v>
      </c>
      <c r="E69" s="1">
        <f t="shared" si="2"/>
        <v>-19.724702282592666</v>
      </c>
      <c r="F69" s="1">
        <f t="shared" si="1"/>
        <v>38.769832059632712</v>
      </c>
      <c r="G69" s="41"/>
    </row>
    <row r="70" spans="3:7" x14ac:dyDescent="0.3">
      <c r="C70" s="1">
        <v>0.26997900934275842</v>
      </c>
      <c r="D70" s="1">
        <v>6.9955765409101147</v>
      </c>
      <c r="E70" s="1">
        <f t="shared" ref="E70:E105" si="3">C70*b</f>
        <v>-5.3995801868551681</v>
      </c>
      <c r="F70" s="1">
        <f t="shared" si="1"/>
        <v>12.395156727765283</v>
      </c>
      <c r="G70" s="41"/>
    </row>
    <row r="71" spans="3:7" x14ac:dyDescent="0.3">
      <c r="C71" s="1">
        <v>0.91584888713852819</v>
      </c>
      <c r="D71" s="1">
        <v>18.990777799439311</v>
      </c>
      <c r="E71" s="1">
        <f t="shared" si="3"/>
        <v>-18.316977742770565</v>
      </c>
      <c r="F71" s="1">
        <f t="shared" ref="F71:F105" si="4">D71-E71</f>
        <v>37.307755542209875</v>
      </c>
      <c r="G71" s="41"/>
    </row>
    <row r="72" spans="3:7" x14ac:dyDescent="0.3">
      <c r="C72" s="1">
        <v>0.43781564974312404</v>
      </c>
      <c r="D72" s="1">
        <v>8.7055454295233741</v>
      </c>
      <c r="E72" s="1">
        <f t="shared" si="3"/>
        <v>-8.7563129948624798</v>
      </c>
      <c r="F72" s="1">
        <f t="shared" si="4"/>
        <v>17.461858424385852</v>
      </c>
      <c r="G72" s="41"/>
    </row>
    <row r="73" spans="3:7" x14ac:dyDescent="0.3">
      <c r="C73" s="1">
        <v>0.89021424968143159</v>
      </c>
      <c r="D73" s="1">
        <v>16.752186303468633</v>
      </c>
      <c r="E73" s="1">
        <f t="shared" si="3"/>
        <v>-17.804284993628631</v>
      </c>
      <c r="F73" s="1">
        <f t="shared" si="4"/>
        <v>34.556471297097261</v>
      </c>
      <c r="G73" s="41"/>
    </row>
    <row r="74" spans="3:7" x14ac:dyDescent="0.3">
      <c r="C74" s="1">
        <v>0.73678819734890644</v>
      </c>
      <c r="D74" s="1">
        <v>14.577928252319943</v>
      </c>
      <c r="E74" s="1">
        <f t="shared" si="3"/>
        <v>-14.735763946978128</v>
      </c>
      <c r="F74" s="1">
        <f t="shared" si="4"/>
        <v>29.313692199298071</v>
      </c>
      <c r="G74" s="41"/>
    </row>
    <row r="75" spans="3:7" x14ac:dyDescent="0.3">
      <c r="C75" s="1">
        <v>0.68600197415532116</v>
      </c>
      <c r="D75" s="1">
        <v>12.758990495534036</v>
      </c>
      <c r="E75" s="1">
        <f t="shared" si="3"/>
        <v>-13.720039483106422</v>
      </c>
      <c r="F75" s="1">
        <f t="shared" si="4"/>
        <v>26.479029978640458</v>
      </c>
      <c r="G75" s="41"/>
    </row>
    <row r="76" spans="3:7" x14ac:dyDescent="0.3">
      <c r="C76" s="1">
        <v>0.45019287465669688</v>
      </c>
      <c r="D76" s="1">
        <v>9.7012872563489747</v>
      </c>
      <c r="E76" s="1">
        <f t="shared" si="3"/>
        <v>-9.0038574931339372</v>
      </c>
      <c r="F76" s="1">
        <f t="shared" si="4"/>
        <v>18.705144749482912</v>
      </c>
      <c r="G76" s="41"/>
    </row>
    <row r="77" spans="3:7" x14ac:dyDescent="0.3">
      <c r="C77" s="1">
        <v>0.79913067011786532</v>
      </c>
      <c r="D77" s="1">
        <v>15.646603660115947</v>
      </c>
      <c r="E77" s="1">
        <f t="shared" si="3"/>
        <v>-15.982613402357305</v>
      </c>
      <c r="F77" s="1">
        <f t="shared" si="4"/>
        <v>31.629217062473252</v>
      </c>
      <c r="G77" s="41"/>
    </row>
    <row r="78" spans="3:7" x14ac:dyDescent="0.3">
      <c r="C78" s="1">
        <v>0.96980967865568835</v>
      </c>
      <c r="D78" s="1">
        <v>19.447971845825368</v>
      </c>
      <c r="E78" s="1">
        <f t="shared" si="3"/>
        <v>-19.396193573113766</v>
      </c>
      <c r="F78" s="1">
        <f t="shared" si="4"/>
        <v>38.844165418939134</v>
      </c>
      <c r="G78" s="41"/>
    </row>
    <row r="79" spans="3:7" x14ac:dyDescent="0.3">
      <c r="C79" s="1">
        <v>2.3761853160698676E-2</v>
      </c>
      <c r="D79" s="1">
        <v>0.66813704339209457</v>
      </c>
      <c r="E79" s="1">
        <f t="shared" si="3"/>
        <v>-0.47523706321397352</v>
      </c>
      <c r="F79" s="1">
        <f t="shared" si="4"/>
        <v>1.1433741066060681</v>
      </c>
      <c r="G79" s="41"/>
    </row>
    <row r="80" spans="3:7" x14ac:dyDescent="0.3">
      <c r="C80" s="1">
        <v>0.72704751688740099</v>
      </c>
      <c r="D80" s="1">
        <v>14.862706771125648</v>
      </c>
      <c r="E80" s="1">
        <f t="shared" si="3"/>
        <v>-14.54095033774802</v>
      </c>
      <c r="F80" s="1">
        <f t="shared" si="4"/>
        <v>29.403657108873666</v>
      </c>
      <c r="G80" s="41"/>
    </row>
    <row r="81" spans="3:7" x14ac:dyDescent="0.3">
      <c r="C81" s="1">
        <v>0.77466369144495129</v>
      </c>
      <c r="D81" s="1">
        <v>14.836606901637861</v>
      </c>
      <c r="E81" s="1">
        <f t="shared" si="3"/>
        <v>-15.493273828899026</v>
      </c>
      <c r="F81" s="1">
        <f t="shared" si="4"/>
        <v>30.329880730536885</v>
      </c>
      <c r="G81" s="41"/>
    </row>
    <row r="82" spans="3:7" x14ac:dyDescent="0.3">
      <c r="C82" s="1">
        <v>0.29309266753288377</v>
      </c>
      <c r="D82" s="1">
        <v>6.0984901010688883</v>
      </c>
      <c r="E82" s="1">
        <f t="shared" si="3"/>
        <v>-5.8618533506576753</v>
      </c>
      <c r="F82" s="1">
        <f t="shared" si="4"/>
        <v>11.960343451726564</v>
      </c>
      <c r="G82" s="41"/>
    </row>
    <row r="83" spans="3:7" x14ac:dyDescent="0.3">
      <c r="C83" s="1">
        <v>0.55186105122035445</v>
      </c>
      <c r="D83" s="1">
        <v>10.302935469515942</v>
      </c>
      <c r="E83" s="1">
        <f t="shared" si="3"/>
        <v>-11.037221024407089</v>
      </c>
      <c r="F83" s="1">
        <f t="shared" si="4"/>
        <v>21.340156493923033</v>
      </c>
      <c r="G83" s="41"/>
    </row>
    <row r="84" spans="3:7" x14ac:dyDescent="0.3">
      <c r="C84" s="1">
        <v>0.68342677185566458</v>
      </c>
      <c r="D84" s="1">
        <v>13.807039936347335</v>
      </c>
      <c r="E84" s="1">
        <f t="shared" si="3"/>
        <v>-13.668535437113292</v>
      </c>
      <c r="F84" s="1">
        <f t="shared" si="4"/>
        <v>27.475575373460629</v>
      </c>
      <c r="G84" s="41"/>
    </row>
    <row r="85" spans="3:7" x14ac:dyDescent="0.3">
      <c r="C85" s="1">
        <v>0.67590711509344681</v>
      </c>
      <c r="D85" s="1">
        <v>12.738408219861237</v>
      </c>
      <c r="E85" s="1">
        <f t="shared" si="3"/>
        <v>-13.518142301868936</v>
      </c>
      <c r="F85" s="1">
        <f t="shared" si="4"/>
        <v>26.256550521730173</v>
      </c>
      <c r="G85" s="41"/>
    </row>
    <row r="86" spans="3:7" x14ac:dyDescent="0.3">
      <c r="C86" s="1">
        <v>0.37326825007599229</v>
      </c>
      <c r="D86" s="1">
        <v>8.3009431816330661</v>
      </c>
      <c r="E86" s="1">
        <f t="shared" si="3"/>
        <v>-7.4653650015198458</v>
      </c>
      <c r="F86" s="1">
        <f t="shared" si="4"/>
        <v>15.766308183152912</v>
      </c>
      <c r="G86" s="41"/>
    </row>
    <row r="87" spans="3:7" x14ac:dyDescent="0.3">
      <c r="C87" s="1">
        <v>0.97448237486020384</v>
      </c>
      <c r="D87" s="1">
        <v>18.850528115387789</v>
      </c>
      <c r="E87" s="1">
        <f t="shared" si="3"/>
        <v>-19.489647497204075</v>
      </c>
      <c r="F87" s="1">
        <f t="shared" si="4"/>
        <v>38.340175612591864</v>
      </c>
      <c r="G87" s="41"/>
    </row>
    <row r="88" spans="3:7" x14ac:dyDescent="0.3">
      <c r="C88" s="1">
        <v>0.4077620558257582</v>
      </c>
      <c r="D88" s="1">
        <v>8.0507548159529261</v>
      </c>
      <c r="E88" s="1">
        <f t="shared" si="3"/>
        <v>-8.1552411165151639</v>
      </c>
      <c r="F88" s="1">
        <f t="shared" si="4"/>
        <v>16.205995932468092</v>
      </c>
      <c r="G88" s="41"/>
    </row>
    <row r="89" spans="3:7" x14ac:dyDescent="0.3">
      <c r="C89" s="1">
        <v>0.14775878156457833</v>
      </c>
      <c r="D89" s="1">
        <v>4.0564442414139386</v>
      </c>
      <c r="E89" s="1">
        <f t="shared" si="3"/>
        <v>-2.9551756312915667</v>
      </c>
      <c r="F89" s="1">
        <f t="shared" si="4"/>
        <v>7.0116198727055057</v>
      </c>
      <c r="G89" s="41"/>
    </row>
    <row r="90" spans="3:7" x14ac:dyDescent="0.3">
      <c r="C90" s="1">
        <v>0.24337030967523954</v>
      </c>
      <c r="D90" s="1">
        <v>3.6369452013263546</v>
      </c>
      <c r="E90" s="1">
        <f t="shared" si="3"/>
        <v>-4.8674061935047908</v>
      </c>
      <c r="F90" s="1">
        <f t="shared" si="4"/>
        <v>8.5043513948311453</v>
      </c>
      <c r="G90" s="41"/>
    </row>
    <row r="91" spans="3:7" x14ac:dyDescent="0.3">
      <c r="C91" s="1">
        <v>0.7380549529248962</v>
      </c>
      <c r="D91" s="1">
        <v>13.624277871276261</v>
      </c>
      <c r="E91" s="1">
        <f t="shared" si="3"/>
        <v>-14.761099058497924</v>
      </c>
      <c r="F91" s="1">
        <f t="shared" si="4"/>
        <v>28.385376929774186</v>
      </c>
      <c r="G91" s="41"/>
    </row>
    <row r="92" spans="3:7" x14ac:dyDescent="0.3">
      <c r="C92" s="1">
        <v>0.17242632428886817</v>
      </c>
      <c r="D92" s="1">
        <v>3.596408666356238</v>
      </c>
      <c r="E92" s="1">
        <f t="shared" si="3"/>
        <v>-3.4485264857773634</v>
      </c>
      <c r="F92" s="1">
        <f t="shared" si="4"/>
        <v>7.0449351521336014</v>
      </c>
      <c r="G92" s="41"/>
    </row>
    <row r="93" spans="3:7" x14ac:dyDescent="0.3">
      <c r="C93" s="1">
        <v>0.11335966586576496</v>
      </c>
      <c r="D93" s="1">
        <v>1.6610459473863624</v>
      </c>
      <c r="E93" s="1">
        <f t="shared" si="3"/>
        <v>-2.2671933173152992</v>
      </c>
      <c r="F93" s="1">
        <f t="shared" si="4"/>
        <v>3.9282392647016615</v>
      </c>
      <c r="G93" s="41"/>
    </row>
    <row r="94" spans="3:7" x14ac:dyDescent="0.3">
      <c r="C94" s="1">
        <v>0.82613775768510833</v>
      </c>
      <c r="D94" s="1">
        <v>14.690515409264204</v>
      </c>
      <c r="E94" s="1">
        <f t="shared" si="3"/>
        <v>-16.522755153702168</v>
      </c>
      <c r="F94" s="1">
        <f t="shared" si="4"/>
        <v>31.213270562966372</v>
      </c>
      <c r="G94" s="41"/>
    </row>
    <row r="95" spans="3:7" x14ac:dyDescent="0.3">
      <c r="C95" s="1">
        <v>0.52744436634726488</v>
      </c>
      <c r="D95" s="1">
        <v>10.232766763345012</v>
      </c>
      <c r="E95" s="1">
        <f t="shared" si="3"/>
        <v>-10.548887326945298</v>
      </c>
      <c r="F95" s="1">
        <f t="shared" si="4"/>
        <v>20.78165409029031</v>
      </c>
      <c r="G95" s="41"/>
    </row>
    <row r="96" spans="3:7" x14ac:dyDescent="0.3">
      <c r="C96" s="1">
        <v>0.87506804843704644</v>
      </c>
      <c r="D96" s="1">
        <v>17.113866422480992</v>
      </c>
      <c r="E96" s="1">
        <f t="shared" si="3"/>
        <v>-17.501360968740929</v>
      </c>
      <c r="F96" s="1">
        <f t="shared" si="4"/>
        <v>34.615227391221921</v>
      </c>
      <c r="G96" s="41"/>
    </row>
    <row r="97" spans="3:7" x14ac:dyDescent="0.3">
      <c r="C97" s="1">
        <v>0.42147240996022228</v>
      </c>
      <c r="D97" s="1">
        <v>7.646007618579052</v>
      </c>
      <c r="E97" s="1">
        <f t="shared" si="3"/>
        <v>-8.4294481992044457</v>
      </c>
      <c r="F97" s="1">
        <f t="shared" si="4"/>
        <v>16.075455817783499</v>
      </c>
      <c r="G97" s="41"/>
    </row>
    <row r="98" spans="3:7" x14ac:dyDescent="0.3">
      <c r="C98" s="1">
        <v>0.77850016070815098</v>
      </c>
      <c r="D98" s="1">
        <v>16.058834766128111</v>
      </c>
      <c r="E98" s="1">
        <f t="shared" si="3"/>
        <v>-15.57000321416302</v>
      </c>
      <c r="F98" s="1">
        <f t="shared" si="4"/>
        <v>31.628837980291131</v>
      </c>
      <c r="G98" s="41"/>
    </row>
    <row r="99" spans="3:7" x14ac:dyDescent="0.3">
      <c r="C99" s="1">
        <v>0.77107629688768242</v>
      </c>
      <c r="D99" s="1">
        <v>14.125115447337073</v>
      </c>
      <c r="E99" s="1">
        <f t="shared" si="3"/>
        <v>-15.421525937753648</v>
      </c>
      <c r="F99" s="1">
        <f t="shared" si="4"/>
        <v>29.546641385090723</v>
      </c>
      <c r="G99" s="41"/>
    </row>
    <row r="100" spans="3:7" x14ac:dyDescent="0.3">
      <c r="C100" s="1">
        <v>0.55445488749173388</v>
      </c>
      <c r="D100" s="1">
        <v>12.712482575137178</v>
      </c>
      <c r="E100" s="1">
        <f t="shared" si="3"/>
        <v>-11.089097749834679</v>
      </c>
      <c r="F100" s="1">
        <f t="shared" si="4"/>
        <v>23.801580324971859</v>
      </c>
      <c r="G100" s="41"/>
    </row>
    <row r="101" spans="3:7" x14ac:dyDescent="0.3">
      <c r="C101" s="1">
        <v>0.77255270492554795</v>
      </c>
      <c r="D101" s="1">
        <v>14.241096183928368</v>
      </c>
      <c r="E101" s="1">
        <f t="shared" si="3"/>
        <v>-15.451054098510959</v>
      </c>
      <c r="F101" s="1">
        <f t="shared" si="4"/>
        <v>29.692150282439329</v>
      </c>
      <c r="G101" s="41"/>
    </row>
    <row r="102" spans="3:7" x14ac:dyDescent="0.3">
      <c r="C102" s="1">
        <v>0.17460058891538877</v>
      </c>
      <c r="D102" s="1">
        <v>4.6768065179499771</v>
      </c>
      <c r="E102" s="1">
        <f t="shared" si="3"/>
        <v>-3.4920117783077753</v>
      </c>
      <c r="F102" s="1">
        <f t="shared" si="4"/>
        <v>8.1688182962577525</v>
      </c>
      <c r="G102" s="41"/>
    </row>
    <row r="103" spans="3:7" x14ac:dyDescent="0.3">
      <c r="C103" s="1">
        <v>0.70318453553255988</v>
      </c>
      <c r="D103" s="1">
        <v>13.824921878228894</v>
      </c>
      <c r="E103" s="1">
        <f t="shared" si="3"/>
        <v>-14.063690710651198</v>
      </c>
      <c r="F103" s="1">
        <f t="shared" si="4"/>
        <v>27.888612588880093</v>
      </c>
      <c r="G103" s="41"/>
    </row>
    <row r="104" spans="3:7" x14ac:dyDescent="0.3">
      <c r="C104" s="1">
        <v>0.31863941174555332</v>
      </c>
      <c r="D104" s="1">
        <v>6.0300903792929388</v>
      </c>
      <c r="E104" s="1">
        <f t="shared" si="3"/>
        <v>-6.3727882349110665</v>
      </c>
      <c r="F104" s="1">
        <f t="shared" si="4"/>
        <v>12.402878614204006</v>
      </c>
      <c r="G104" s="41"/>
    </row>
    <row r="105" spans="3:7" x14ac:dyDescent="0.3">
      <c r="C105" s="1">
        <v>0.89960788266503244</v>
      </c>
      <c r="D105" s="1">
        <v>17.899280587985068</v>
      </c>
      <c r="E105" s="1">
        <f t="shared" si="3"/>
        <v>-17.992157653300648</v>
      </c>
      <c r="F105" s="1">
        <f t="shared" si="4"/>
        <v>35.891438241285712</v>
      </c>
      <c r="G105" s="41"/>
    </row>
  </sheetData>
  <conditionalFormatting sqref="K6:R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1" location="Assumptions!A1" display="Back to Assumptions" xr:uid="{43D50639-AAF6-B942-B05A-33FA568DAC7E}"/>
    <hyperlink ref="A3" r:id="rId1" xr:uid="{245E8001-2014-7144-86CC-E3E27C7473FE}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0045B4F1-B0E4-7F47-B567-FECFADB2C041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NormalErrors_MLE!J6:J22</xm:f>
              <xm:sqref>J4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0F5C-80FA-CD47-B545-F2EF45C718FA}">
  <sheetPr>
    <tabColor rgb="FFFFC000"/>
  </sheetPr>
  <dimension ref="A1:U206"/>
  <sheetViews>
    <sheetView workbookViewId="0"/>
  </sheetViews>
  <sheetFormatPr baseColWidth="10" defaultRowHeight="16" x14ac:dyDescent="0.2"/>
  <cols>
    <col min="1" max="1" width="10.83203125" style="49"/>
    <col min="2" max="2" width="4.1640625" style="49" bestFit="1" customWidth="1"/>
    <col min="3" max="4" width="12.1640625" style="49" bestFit="1" customWidth="1"/>
    <col min="5" max="7" width="10.83203125" style="49"/>
    <col min="8" max="8" width="12.83203125" style="49" bestFit="1" customWidth="1"/>
    <col min="9" max="16384" width="10.83203125" style="49"/>
  </cols>
  <sheetData>
    <row r="1" spans="1:21" x14ac:dyDescent="0.2">
      <c r="A1" s="48" t="s">
        <v>138</v>
      </c>
    </row>
    <row r="2" spans="1:21" x14ac:dyDescent="0.2">
      <c r="G2" s="49" t="s">
        <v>141</v>
      </c>
      <c r="H2" s="64"/>
      <c r="J2" s="66" t="s">
        <v>155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spans="1:21" x14ac:dyDescent="0.2">
      <c r="A3" s="48" t="s">
        <v>174</v>
      </c>
      <c r="G3" s="49" t="s">
        <v>142</v>
      </c>
      <c r="H3" s="64"/>
      <c r="J3" s="66" t="s">
        <v>153</v>
      </c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spans="1:21" x14ac:dyDescent="0.2">
      <c r="J4" s="66" t="s">
        <v>154</v>
      </c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6" spans="1:21" x14ac:dyDescent="0.2">
      <c r="C6" s="91" t="s">
        <v>139</v>
      </c>
      <c r="D6" s="91" t="s">
        <v>140</v>
      </c>
      <c r="E6" s="91" t="s">
        <v>5</v>
      </c>
      <c r="F6" s="91" t="s">
        <v>136</v>
      </c>
      <c r="G6" s="91" t="s">
        <v>143</v>
      </c>
    </row>
    <row r="7" spans="1:21" x14ac:dyDescent="0.2">
      <c r="B7" s="49">
        <v>1</v>
      </c>
      <c r="C7" s="49">
        <v>14401.99893503543</v>
      </c>
      <c r="D7" s="49">
        <v>14401.99893503543</v>
      </c>
      <c r="E7" s="49">
        <v>10596.286736318809</v>
      </c>
      <c r="F7" s="49">
        <v>-3805.7121987166211</v>
      </c>
      <c r="G7" s="65"/>
    </row>
    <row r="8" spans="1:21" x14ac:dyDescent="0.2">
      <c r="B8" s="49">
        <v>2</v>
      </c>
      <c r="C8" s="49">
        <v>11127.362807408494</v>
      </c>
      <c r="D8" s="49">
        <v>11127.362807408494</v>
      </c>
      <c r="E8" s="49">
        <v>8793.4918860755224</v>
      </c>
      <c r="F8" s="49">
        <v>-2333.8709213329712</v>
      </c>
      <c r="G8" s="65"/>
    </row>
    <row r="9" spans="1:21" x14ac:dyDescent="0.2">
      <c r="B9" s="49">
        <v>3</v>
      </c>
      <c r="C9" s="49">
        <v>14861.540245288637</v>
      </c>
      <c r="D9" s="49">
        <v>13354.458462261506</v>
      </c>
      <c r="E9" s="49">
        <v>10849.279336201625</v>
      </c>
      <c r="F9" s="49">
        <v>-2505.1791260598802</v>
      </c>
      <c r="G9" s="65"/>
    </row>
    <row r="10" spans="1:21" x14ac:dyDescent="0.2">
      <c r="B10" s="49">
        <v>4</v>
      </c>
      <c r="C10" s="49">
        <v>17526.572667778924</v>
      </c>
      <c r="D10" s="49">
        <v>14257.750897644855</v>
      </c>
      <c r="E10" s="49">
        <v>12316.467304496169</v>
      </c>
      <c r="F10" s="49">
        <v>-1941.2835931486861</v>
      </c>
      <c r="G10" s="65"/>
    </row>
    <row r="11" spans="1:21" x14ac:dyDescent="0.2">
      <c r="B11" s="49">
        <v>5</v>
      </c>
      <c r="C11" s="49">
        <v>7615.8738911296705</v>
      </c>
      <c r="D11" s="49">
        <v>12564.933312364648</v>
      </c>
      <c r="E11" s="49">
        <v>6860.3017885420222</v>
      </c>
      <c r="F11" s="49">
        <v>-5704.6315238226261</v>
      </c>
      <c r="G11" s="65"/>
    </row>
    <row r="12" spans="1:21" x14ac:dyDescent="0.2">
      <c r="B12" s="49">
        <v>6</v>
      </c>
      <c r="C12" s="49">
        <v>17718.033785878757</v>
      </c>
      <c r="D12" s="49">
        <v>13323.267751856847</v>
      </c>
      <c r="E12" s="49">
        <v>12421.872944780953</v>
      </c>
      <c r="F12" s="49">
        <v>-901.39480707589428</v>
      </c>
      <c r="G12" s="65"/>
    </row>
    <row r="13" spans="1:21" x14ac:dyDescent="0.2">
      <c r="B13" s="49">
        <v>7</v>
      </c>
      <c r="C13" s="49">
        <v>15441.795468733868</v>
      </c>
      <c r="D13" s="49">
        <v>12772.552264314389</v>
      </c>
      <c r="E13" s="49">
        <v>11168.728914073321</v>
      </c>
      <c r="F13" s="49">
        <v>-1603.8233502410676</v>
      </c>
      <c r="G13" s="65"/>
    </row>
    <row r="14" spans="1:21" x14ac:dyDescent="0.2">
      <c r="B14" s="49">
        <v>8</v>
      </c>
      <c r="C14" s="49">
        <v>10341.841881234917</v>
      </c>
      <c r="D14" s="49">
        <v>14143.939985743635</v>
      </c>
      <c r="E14" s="49">
        <v>8361.0367902202452</v>
      </c>
      <c r="F14" s="49">
        <v>-5782.9031955233895</v>
      </c>
      <c r="G14" s="65"/>
    </row>
    <row r="15" spans="1:21" x14ac:dyDescent="0.2">
      <c r="B15" s="49">
        <v>9</v>
      </c>
      <c r="C15" s="49">
        <v>15145.834163229771</v>
      </c>
      <c r="D15" s="49">
        <v>13423.413302492449</v>
      </c>
      <c r="E15" s="49">
        <v>11005.79248491326</v>
      </c>
      <c r="F15" s="49">
        <v>-2417.620817579189</v>
      </c>
      <c r="G15" s="65"/>
    </row>
    <row r="16" spans="1:21" x14ac:dyDescent="0.2">
      <c r="B16" s="49">
        <v>10</v>
      </c>
      <c r="C16" s="49">
        <v>5787.2572840444645</v>
      </c>
      <c r="D16" s="49">
        <v>9678.0522024372876</v>
      </c>
      <c r="E16" s="49">
        <v>5853.5882259235223</v>
      </c>
      <c r="F16" s="49">
        <v>-3824.4639765137654</v>
      </c>
      <c r="G16" s="65"/>
    </row>
    <row r="17" spans="2:7" x14ac:dyDescent="0.2">
      <c r="B17" s="49">
        <v>11</v>
      </c>
      <c r="C17" s="49">
        <v>12441.849835965095</v>
      </c>
      <c r="D17" s="49">
        <v>10293.197700418999</v>
      </c>
      <c r="E17" s="49">
        <v>9517.1602123975536</v>
      </c>
      <c r="F17" s="49">
        <v>-776.03748802144582</v>
      </c>
      <c r="G17" s="65"/>
    </row>
    <row r="18" spans="2:7" x14ac:dyDescent="0.2">
      <c r="B18" s="49">
        <v>12</v>
      </c>
      <c r="C18" s="49">
        <v>4476.3107488647238</v>
      </c>
      <c r="D18" s="49">
        <v>6856.3449276231167</v>
      </c>
      <c r="E18" s="49">
        <v>5131.8690576081708</v>
      </c>
      <c r="F18" s="49">
        <v>-1724.4758700149459</v>
      </c>
      <c r="G18" s="65"/>
    </row>
    <row r="19" spans="2:7" x14ac:dyDescent="0.2">
      <c r="B19" s="49">
        <v>13</v>
      </c>
      <c r="C19" s="49">
        <v>13896.605852277386</v>
      </c>
      <c r="D19" s="49">
        <v>9181.3097845736465</v>
      </c>
      <c r="E19" s="49">
        <v>10318.051228178534</v>
      </c>
      <c r="F19" s="49">
        <v>1136.7414436048875</v>
      </c>
      <c r="G19" s="65"/>
    </row>
    <row r="20" spans="2:7" x14ac:dyDescent="0.2">
      <c r="B20" s="49">
        <v>14</v>
      </c>
      <c r="C20" s="49">
        <v>10891.193499702009</v>
      </c>
      <c r="D20" s="49">
        <v>8782.8368213082322</v>
      </c>
      <c r="E20" s="49">
        <v>8663.4729175169268</v>
      </c>
      <c r="F20" s="49">
        <v>-119.36390379130535</v>
      </c>
      <c r="G20" s="65"/>
    </row>
    <row r="21" spans="2:7" x14ac:dyDescent="0.2">
      <c r="B21" s="49">
        <v>15</v>
      </c>
      <c r="C21" s="49">
        <v>12824.284322208408</v>
      </c>
      <c r="D21" s="49">
        <v>12474.001271320865</v>
      </c>
      <c r="E21" s="49">
        <v>9727.7029705801287</v>
      </c>
      <c r="F21" s="49">
        <v>-2746.2983007407365</v>
      </c>
      <c r="G21" s="65"/>
    </row>
    <row r="22" spans="2:7" x14ac:dyDescent="0.2">
      <c r="B22" s="49">
        <v>16</v>
      </c>
      <c r="C22" s="49">
        <v>14388.612778941981</v>
      </c>
      <c r="D22" s="49">
        <v>12619.51058993363</v>
      </c>
      <c r="E22" s="49">
        <v>10588.917217285465</v>
      </c>
      <c r="F22" s="49">
        <v>-2030.5933726481653</v>
      </c>
      <c r="G22" s="65"/>
    </row>
    <row r="23" spans="2:7" x14ac:dyDescent="0.2">
      <c r="B23" s="49">
        <v>17</v>
      </c>
      <c r="C23" s="49">
        <v>-2394.7856857652387</v>
      </c>
      <c r="D23" s="49">
        <v>-7616.8061989154339</v>
      </c>
      <c r="E23" s="49">
        <v>1349.1045655872983</v>
      </c>
      <c r="F23" s="49">
        <v>8965.9107645027325</v>
      </c>
      <c r="G23" s="65"/>
    </row>
    <row r="24" spans="2:7" x14ac:dyDescent="0.2">
      <c r="B24" s="49">
        <v>18</v>
      </c>
      <c r="C24" s="49">
        <v>7726.1007980824852</v>
      </c>
      <c r="D24" s="49">
        <v>-6433.0261412477448</v>
      </c>
      <c r="E24" s="49">
        <v>6920.9853248092368</v>
      </c>
      <c r="F24" s="49">
        <v>13354.011466056982</v>
      </c>
      <c r="G24" s="65"/>
    </row>
    <row r="25" spans="2:7" x14ac:dyDescent="0.2">
      <c r="B25" s="49">
        <v>19</v>
      </c>
      <c r="C25" s="49">
        <v>7746.816489896325</v>
      </c>
      <c r="D25" s="49">
        <v>-5233.3939810748943</v>
      </c>
      <c r="E25" s="49">
        <v>6932.3899942337694</v>
      </c>
      <c r="F25" s="49">
        <v>12165.783975308663</v>
      </c>
      <c r="G25" s="65"/>
    </row>
    <row r="26" spans="2:7" x14ac:dyDescent="0.2">
      <c r="B26" s="49">
        <v>20</v>
      </c>
      <c r="C26" s="49">
        <v>12346.186256089131</v>
      </c>
      <c r="D26" s="49">
        <v>9040.7713897094363</v>
      </c>
      <c r="E26" s="49">
        <v>9464.4942664925329</v>
      </c>
      <c r="F26" s="49">
        <v>423.72287678309658</v>
      </c>
      <c r="G26" s="65"/>
    </row>
    <row r="27" spans="2:7" x14ac:dyDescent="0.2">
      <c r="B27" s="49">
        <v>21</v>
      </c>
      <c r="C27" s="49">
        <v>6277.2054982486352</v>
      </c>
      <c r="D27" s="49">
        <v>8436.0824002298068</v>
      </c>
      <c r="E27" s="49">
        <v>6123.3208261355849</v>
      </c>
      <c r="F27" s="49">
        <v>-2312.7615740942219</v>
      </c>
      <c r="G27" s="65"/>
    </row>
    <row r="28" spans="2:7" x14ac:dyDescent="0.2">
      <c r="B28" s="49">
        <v>22</v>
      </c>
      <c r="C28" s="49">
        <v>6660.4862601051063</v>
      </c>
      <c r="D28" s="49">
        <v>8021.736078322193</v>
      </c>
      <c r="E28" s="49">
        <v>6334.3294868666653</v>
      </c>
      <c r="F28" s="49">
        <v>-1687.4065914555276</v>
      </c>
      <c r="G28" s="65"/>
    </row>
    <row r="29" spans="2:7" x14ac:dyDescent="0.2">
      <c r="B29" s="49">
        <v>23</v>
      </c>
      <c r="C29" s="49">
        <v>5985.9474951637148</v>
      </c>
      <c r="D29" s="49">
        <v>6301.8548437547188</v>
      </c>
      <c r="E29" s="49">
        <v>5962.9737195902999</v>
      </c>
      <c r="F29" s="49">
        <v>-338.88112416441891</v>
      </c>
      <c r="G29" s="65"/>
    </row>
    <row r="30" spans="2:7" x14ac:dyDescent="0.2">
      <c r="B30" s="49">
        <v>24</v>
      </c>
      <c r="C30" s="49">
        <v>20701.574285264302</v>
      </c>
      <c r="D30" s="49">
        <v>9380.2426099207732</v>
      </c>
      <c r="E30" s="49">
        <v>14064.410081168802</v>
      </c>
      <c r="F30" s="49">
        <v>4684.167471248029</v>
      </c>
      <c r="G30" s="65"/>
    </row>
    <row r="31" spans="2:7" x14ac:dyDescent="0.2">
      <c r="B31" s="49">
        <v>25</v>
      </c>
      <c r="C31" s="49">
        <v>9784.85951090874</v>
      </c>
      <c r="D31" s="49">
        <v>10663.430850655484</v>
      </c>
      <c r="E31" s="49">
        <v>8054.3996831447794</v>
      </c>
      <c r="F31" s="49">
        <v>-2609.031167510705</v>
      </c>
      <c r="G31" s="65"/>
    </row>
    <row r="32" spans="2:7" x14ac:dyDescent="0.2">
      <c r="B32" s="49">
        <v>26</v>
      </c>
      <c r="C32" s="49">
        <v>12649.408090565941</v>
      </c>
      <c r="D32" s="49">
        <v>13683.884208435547</v>
      </c>
      <c r="E32" s="49">
        <v>9631.4278555604142</v>
      </c>
      <c r="F32" s="49">
        <v>-4052.4563528751332</v>
      </c>
      <c r="G32" s="65"/>
    </row>
    <row r="33" spans="2:7" x14ac:dyDescent="0.2">
      <c r="B33" s="49">
        <v>27</v>
      </c>
      <c r="C33" s="49">
        <v>7839.1907914165977</v>
      </c>
      <c r="D33" s="49">
        <v>9899.9274273251613</v>
      </c>
      <c r="E33" s="49">
        <v>6983.2450842605967</v>
      </c>
      <c r="F33" s="49">
        <v>-2916.6823430645645</v>
      </c>
      <c r="G33" s="65"/>
    </row>
    <row r="34" spans="2:7" x14ac:dyDescent="0.2">
      <c r="B34" s="49">
        <v>28</v>
      </c>
      <c r="C34" s="49">
        <v>15894.454716728111</v>
      </c>
      <c r="D34" s="49">
        <v>11637.571365656861</v>
      </c>
      <c r="E34" s="49">
        <v>11417.932712417291</v>
      </c>
      <c r="F34" s="49">
        <v>-219.63865323956998</v>
      </c>
      <c r="G34" s="65"/>
    </row>
    <row r="35" spans="2:7" x14ac:dyDescent="0.2">
      <c r="B35" s="49">
        <v>29</v>
      </c>
      <c r="C35" s="49">
        <v>15053.096906529976</v>
      </c>
      <c r="D35" s="49">
        <v>12332.39922031113</v>
      </c>
      <c r="E35" s="49">
        <v>10954.73757612703</v>
      </c>
      <c r="F35" s="49">
        <v>-1377.6616441840997</v>
      </c>
      <c r="G35" s="65"/>
    </row>
    <row r="36" spans="2:7" x14ac:dyDescent="0.2">
      <c r="B36" s="49">
        <v>30</v>
      </c>
      <c r="C36" s="49">
        <v>11684.497652375248</v>
      </c>
      <c r="D36" s="49">
        <v>14087.281040373393</v>
      </c>
      <c r="E36" s="49">
        <v>9100.2129354536191</v>
      </c>
      <c r="F36" s="49">
        <v>-4987.0681049197738</v>
      </c>
      <c r="G36" s="65"/>
    </row>
    <row r="37" spans="2:7" x14ac:dyDescent="0.2">
      <c r="B37" s="49">
        <v>31</v>
      </c>
      <c r="C37" s="49">
        <v>8451.7917872961807</v>
      </c>
      <c r="D37" s="49">
        <v>11412.870713554354</v>
      </c>
      <c r="E37" s="49">
        <v>7320.5020733068732</v>
      </c>
      <c r="F37" s="49">
        <v>-4092.3686402474805</v>
      </c>
      <c r="G37" s="65"/>
    </row>
    <row r="38" spans="2:7" x14ac:dyDescent="0.2">
      <c r="B38" s="49">
        <v>32</v>
      </c>
      <c r="C38" s="49">
        <v>10571.767824659366</v>
      </c>
      <c r="D38" s="49">
        <v>10144.612996945301</v>
      </c>
      <c r="E38" s="49">
        <v>8487.6185814751152</v>
      </c>
      <c r="F38" s="49">
        <v>-1656.9944154701861</v>
      </c>
      <c r="G38" s="65"/>
    </row>
    <row r="39" spans="2:7" x14ac:dyDescent="0.2">
      <c r="B39" s="49">
        <v>33</v>
      </c>
      <c r="C39" s="49">
        <v>13272.353297726566</v>
      </c>
      <c r="D39" s="49">
        <v>10584.770514162379</v>
      </c>
      <c r="E39" s="49">
        <v>9974.3796730091399</v>
      </c>
      <c r="F39" s="49">
        <v>-610.39084115323931</v>
      </c>
      <c r="G39" s="65"/>
    </row>
    <row r="40" spans="2:7" x14ac:dyDescent="0.2">
      <c r="B40" s="49">
        <v>34</v>
      </c>
      <c r="C40" s="49">
        <v>5512.6181435117769</v>
      </c>
      <c r="D40" s="49">
        <v>9179.4745091409732</v>
      </c>
      <c r="E40" s="49">
        <v>5702.3903496005814</v>
      </c>
      <c r="F40" s="49">
        <v>-3477.0841595403917</v>
      </c>
      <c r="G40" s="65"/>
    </row>
    <row r="41" spans="2:7" x14ac:dyDescent="0.2">
      <c r="B41" s="49">
        <v>35</v>
      </c>
      <c r="C41" s="49">
        <v>10679.739450524476</v>
      </c>
      <c r="D41" s="49">
        <v>9210.6193356122421</v>
      </c>
      <c r="E41" s="49">
        <v>8547.0605113554502</v>
      </c>
      <c r="F41" s="49">
        <v>-663.55882425679192</v>
      </c>
      <c r="G41" s="65"/>
    </row>
    <row r="42" spans="2:7" x14ac:dyDescent="0.2">
      <c r="B42" s="49">
        <v>36</v>
      </c>
      <c r="C42" s="49">
        <v>11692.679824190007</v>
      </c>
      <c r="D42" s="49">
        <v>8829.6646305733175</v>
      </c>
      <c r="E42" s="49">
        <v>9104.7174900473346</v>
      </c>
      <c r="F42" s="49">
        <v>275.05285947401717</v>
      </c>
      <c r="G42" s="65"/>
    </row>
    <row r="43" spans="2:7" x14ac:dyDescent="0.2">
      <c r="B43" s="49">
        <v>37</v>
      </c>
      <c r="C43" s="49">
        <v>2336.4982866675236</v>
      </c>
      <c r="D43" s="49">
        <v>6632.5427928996833</v>
      </c>
      <c r="E43" s="49">
        <v>3953.8319453959271</v>
      </c>
      <c r="F43" s="49">
        <v>-2678.7108475037562</v>
      </c>
      <c r="G43" s="65"/>
    </row>
    <row r="44" spans="2:7" x14ac:dyDescent="0.2">
      <c r="B44" s="49">
        <v>38</v>
      </c>
      <c r="C44" s="49">
        <v>14232.233389144878</v>
      </c>
      <c r="D44" s="49">
        <v>7298.7898685510363</v>
      </c>
      <c r="E44" s="49">
        <v>10502.825221832307</v>
      </c>
      <c r="F44" s="49">
        <v>3204.0353532812705</v>
      </c>
      <c r="G44" s="65"/>
    </row>
    <row r="45" spans="2:7" x14ac:dyDescent="0.2">
      <c r="B45" s="49">
        <v>39</v>
      </c>
      <c r="C45" s="49">
        <v>4182.9592516643979</v>
      </c>
      <c r="D45" s="49">
        <v>5181.3236265881851</v>
      </c>
      <c r="E45" s="49">
        <v>4970.3694137234152</v>
      </c>
      <c r="F45" s="49">
        <v>-210.95421286476994</v>
      </c>
      <c r="G45" s="65"/>
    </row>
    <row r="46" spans="2:7" x14ac:dyDescent="0.2">
      <c r="B46" s="49">
        <v>40</v>
      </c>
      <c r="C46" s="49">
        <v>12170.379790255563</v>
      </c>
      <c r="D46" s="49">
        <v>8981.5978840558018</v>
      </c>
      <c r="E46" s="49">
        <v>9367.7070269668075</v>
      </c>
      <c r="F46" s="49">
        <v>386.10914291100562</v>
      </c>
      <c r="G46" s="65"/>
    </row>
    <row r="47" spans="2:7" x14ac:dyDescent="0.2">
      <c r="B47" s="49">
        <v>41</v>
      </c>
      <c r="C47" s="49">
        <v>9259.1961108088472</v>
      </c>
      <c r="D47" s="49">
        <v>7782.5218595156966</v>
      </c>
      <c r="E47" s="49">
        <v>7765.0046988696204</v>
      </c>
      <c r="F47" s="49">
        <v>-17.517160646076263</v>
      </c>
      <c r="G47" s="65"/>
    </row>
    <row r="48" spans="2:7" x14ac:dyDescent="0.2">
      <c r="B48" s="49">
        <v>42</v>
      </c>
      <c r="C48" s="49">
        <v>9431.7920875268974</v>
      </c>
      <c r="D48" s="49">
        <v>10205.255387748219</v>
      </c>
      <c r="E48" s="49">
        <v>7860.0244585842665</v>
      </c>
      <c r="F48" s="49">
        <v>-2345.2309291639522</v>
      </c>
      <c r="G48" s="65"/>
    </row>
    <row r="49" spans="2:7" x14ac:dyDescent="0.2">
      <c r="B49" s="49">
        <v>43</v>
      </c>
      <c r="C49" s="49">
        <v>6293.2203369053723</v>
      </c>
      <c r="D49" s="49">
        <v>8191.1864752443407</v>
      </c>
      <c r="E49" s="49">
        <v>6132.137521344639</v>
      </c>
      <c r="F49" s="49">
        <v>-2059.0489538997017</v>
      </c>
      <c r="G49" s="65"/>
    </row>
    <row r="50" spans="2:7" x14ac:dyDescent="0.2">
      <c r="B50" s="49">
        <v>44</v>
      </c>
      <c r="C50" s="49">
        <v>13172.366286661232</v>
      </c>
      <c r="D50" s="49">
        <v>9212.4890561379561</v>
      </c>
      <c r="E50" s="49">
        <v>9919.3335360905839</v>
      </c>
      <c r="F50" s="49">
        <v>706.84447995262781</v>
      </c>
      <c r="G50" s="65"/>
    </row>
    <row r="51" spans="2:7" x14ac:dyDescent="0.2">
      <c r="B51" s="49">
        <v>45</v>
      </c>
      <c r="C51" s="49">
        <v>2494.4447866555365</v>
      </c>
      <c r="D51" s="49">
        <v>5913.3948292687182</v>
      </c>
      <c r="E51" s="49">
        <v>4040.7866865319111</v>
      </c>
      <c r="F51" s="49">
        <v>-1872.6081427368072</v>
      </c>
      <c r="G51" s="65"/>
    </row>
    <row r="52" spans="2:7" x14ac:dyDescent="0.2">
      <c r="B52" s="49">
        <v>46</v>
      </c>
      <c r="C52" s="49">
        <v>7525.5978551541575</v>
      </c>
      <c r="D52" s="49">
        <v>6276.6257446302116</v>
      </c>
      <c r="E52" s="49">
        <v>6810.6018626833975</v>
      </c>
      <c r="F52" s="49">
        <v>533.97611805318593</v>
      </c>
      <c r="G52" s="65"/>
    </row>
    <row r="53" spans="2:7" x14ac:dyDescent="0.2">
      <c r="B53" s="49">
        <v>47</v>
      </c>
      <c r="C53" s="49">
        <v>14598.558028672334</v>
      </c>
      <c r="D53" s="49">
        <v>6495.4356970910185</v>
      </c>
      <c r="E53" s="49">
        <v>10704.498979745651</v>
      </c>
      <c r="F53" s="49">
        <v>4209.0632826546325</v>
      </c>
      <c r="G53" s="65"/>
    </row>
    <row r="54" spans="2:7" x14ac:dyDescent="0.2">
      <c r="B54" s="49">
        <v>48</v>
      </c>
      <c r="C54" s="49">
        <v>7992.2746000431498</v>
      </c>
      <c r="D54" s="49">
        <v>9575.7718088730526</v>
      </c>
      <c r="E54" s="49">
        <v>7067.5227539287598</v>
      </c>
      <c r="F54" s="49">
        <v>-2508.2490549442928</v>
      </c>
      <c r="G54" s="65"/>
    </row>
    <row r="55" spans="2:7" x14ac:dyDescent="0.2">
      <c r="B55" s="49">
        <v>49</v>
      </c>
      <c r="C55" s="49">
        <v>15641.895388874123</v>
      </c>
      <c r="D55" s="49">
        <v>12220.52634257631</v>
      </c>
      <c r="E55" s="49">
        <v>11278.890498903927</v>
      </c>
      <c r="F55" s="49">
        <v>-941.63584367238218</v>
      </c>
      <c r="G55" s="65"/>
    </row>
    <row r="56" spans="2:7" x14ac:dyDescent="0.2">
      <c r="B56" s="49">
        <v>50</v>
      </c>
      <c r="C56" s="49">
        <v>9084.3510401889507</v>
      </c>
      <c r="D56" s="49">
        <v>10433.208680418926</v>
      </c>
      <c r="E56" s="49">
        <v>7668.7467390173306</v>
      </c>
      <c r="F56" s="49">
        <v>-2764.4619414015951</v>
      </c>
      <c r="G56" s="65"/>
    </row>
    <row r="57" spans="2:7" x14ac:dyDescent="0.2">
      <c r="B57" s="49">
        <v>51</v>
      </c>
      <c r="C57" s="49">
        <v>17330.976700861607</v>
      </c>
      <c r="D57" s="49">
        <v>13504.19730006499</v>
      </c>
      <c r="E57" s="49">
        <v>12208.785293993698</v>
      </c>
      <c r="F57" s="49">
        <v>-1295.4120060712921</v>
      </c>
      <c r="G57" s="65"/>
    </row>
    <row r="58" spans="2:7" x14ac:dyDescent="0.2">
      <c r="B58" s="49">
        <v>52</v>
      </c>
      <c r="C58" s="49">
        <v>11240.553299947904</v>
      </c>
      <c r="D58" s="49">
        <v>12095.807833614288</v>
      </c>
      <c r="E58" s="49">
        <v>8855.8069736435646</v>
      </c>
      <c r="F58" s="49">
        <v>-3240.0008599707235</v>
      </c>
      <c r="G58" s="65"/>
    </row>
    <row r="59" spans="2:7" x14ac:dyDescent="0.2">
      <c r="B59" s="49">
        <v>53</v>
      </c>
      <c r="C59" s="49">
        <v>13146.276598064349</v>
      </c>
      <c r="D59" s="49">
        <v>13681.629676184901</v>
      </c>
      <c r="E59" s="49">
        <v>9904.9703047531839</v>
      </c>
      <c r="F59" s="49">
        <v>-3776.6593714317169</v>
      </c>
      <c r="G59" s="65"/>
    </row>
    <row r="60" spans="2:7" x14ac:dyDescent="0.2">
      <c r="B60" s="49">
        <v>54</v>
      </c>
      <c r="C60" s="49">
        <v>-1324.88906271005</v>
      </c>
      <c r="D60" s="49">
        <v>-5806.6188987633441</v>
      </c>
      <c r="E60" s="49">
        <v>1938.1178321496332</v>
      </c>
      <c r="F60" s="49">
        <v>7744.7367309129768</v>
      </c>
      <c r="G60" s="65"/>
    </row>
    <row r="61" spans="2:7" x14ac:dyDescent="0.2">
      <c r="B61" s="49">
        <v>55</v>
      </c>
      <c r="C61" s="49">
        <v>10761.171951032846</v>
      </c>
      <c r="D61" s="49">
        <v>-5722.8709204760762</v>
      </c>
      <c r="E61" s="49">
        <v>8591.8917801857096</v>
      </c>
      <c r="F61" s="49">
        <v>14314.762700661786</v>
      </c>
      <c r="G61" s="65"/>
    </row>
    <row r="62" spans="2:7" x14ac:dyDescent="0.2">
      <c r="B62" s="49">
        <v>56</v>
      </c>
      <c r="C62" s="49">
        <v>7608.556887172329</v>
      </c>
      <c r="D62" s="49">
        <v>-4769.217468266359</v>
      </c>
      <c r="E62" s="49">
        <v>6856.2735372984052</v>
      </c>
      <c r="F62" s="49">
        <v>11625.491005564763</v>
      </c>
      <c r="G62" s="65"/>
    </row>
    <row r="63" spans="2:7" x14ac:dyDescent="0.2">
      <c r="B63" s="49">
        <v>57</v>
      </c>
      <c r="C63" s="49">
        <v>12379.536532460586</v>
      </c>
      <c r="D63" s="49">
        <v>10045.126639069285</v>
      </c>
      <c r="E63" s="49">
        <v>9482.8546901101108</v>
      </c>
      <c r="F63" s="49">
        <v>-562.27194895917455</v>
      </c>
      <c r="G63" s="65"/>
    </row>
    <row r="64" spans="2:7" x14ac:dyDescent="0.2">
      <c r="B64" s="49">
        <v>58</v>
      </c>
      <c r="C64" s="49">
        <v>16021.524968413938</v>
      </c>
      <c r="D64" s="49">
        <v>11470.178494178861</v>
      </c>
      <c r="E64" s="49">
        <v>11487.889063727791</v>
      </c>
      <c r="F64" s="49">
        <v>17.710569548929925</v>
      </c>
      <c r="G64" s="65"/>
    </row>
    <row r="65" spans="2:7" x14ac:dyDescent="0.2">
      <c r="B65" s="49">
        <v>59</v>
      </c>
      <c r="C65" s="49">
        <v>7473.1930610696918</v>
      </c>
      <c r="D65" s="49">
        <v>11401.749089101713</v>
      </c>
      <c r="E65" s="49">
        <v>6781.751300599115</v>
      </c>
      <c r="F65" s="49">
        <v>-4619.9977885025983</v>
      </c>
      <c r="G65" s="65"/>
    </row>
    <row r="66" spans="2:7" x14ac:dyDescent="0.2">
      <c r="B66" s="49">
        <v>60</v>
      </c>
      <c r="C66" s="49">
        <v>11787.712657765882</v>
      </c>
      <c r="D66" s="49">
        <v>11217.081220736894</v>
      </c>
      <c r="E66" s="49">
        <v>9157.0361893767695</v>
      </c>
      <c r="F66" s="49">
        <v>-2060.045031360125</v>
      </c>
      <c r="G66" s="65"/>
    </row>
    <row r="67" spans="2:7" x14ac:dyDescent="0.2">
      <c r="B67" s="49">
        <v>61</v>
      </c>
      <c r="C67" s="49">
        <v>7595.5493781066834</v>
      </c>
      <c r="D67" s="49">
        <v>8746.4465136121635</v>
      </c>
      <c r="E67" s="49">
        <v>6849.1124759028507</v>
      </c>
      <c r="F67" s="49">
        <v>-1897.3340377093127</v>
      </c>
      <c r="G67" s="65"/>
    </row>
    <row r="68" spans="2:7" x14ac:dyDescent="0.2">
      <c r="B68" s="49">
        <v>62</v>
      </c>
      <c r="C68" s="49">
        <v>10461.379825283559</v>
      </c>
      <c r="D68" s="49">
        <v>9784.2130509118415</v>
      </c>
      <c r="E68" s="49">
        <v>8426.846358532719</v>
      </c>
      <c r="F68" s="49">
        <v>-1357.3666923791225</v>
      </c>
      <c r="G68" s="65"/>
    </row>
    <row r="69" spans="2:7" x14ac:dyDescent="0.2">
      <c r="B69" s="49">
        <v>63</v>
      </c>
      <c r="C69" s="49">
        <v>9904.6465210033657</v>
      </c>
      <c r="D69" s="49">
        <v>9232.7068760759466</v>
      </c>
      <c r="E69" s="49">
        <v>8120.3463705042468</v>
      </c>
      <c r="F69" s="49">
        <v>-1112.3605055716998</v>
      </c>
      <c r="G69" s="65"/>
    </row>
    <row r="70" spans="2:7" x14ac:dyDescent="0.2">
      <c r="B70" s="49">
        <v>64</v>
      </c>
      <c r="C70" s="49">
        <v>15096.201066036316</v>
      </c>
      <c r="D70" s="49">
        <v>11608.208703577859</v>
      </c>
      <c r="E70" s="49">
        <v>10978.467833094057</v>
      </c>
      <c r="F70" s="49">
        <v>-629.7408704838017</v>
      </c>
      <c r="G70" s="65"/>
    </row>
    <row r="71" spans="2:7" x14ac:dyDescent="0.2">
      <c r="B71" s="49">
        <v>65</v>
      </c>
      <c r="C71" s="49">
        <v>6533.4627799029722</v>
      </c>
      <c r="D71" s="49">
        <v>9922.3990996785069</v>
      </c>
      <c r="E71" s="49">
        <v>6264.3988847956689</v>
      </c>
      <c r="F71" s="49">
        <v>-3658.000214882838</v>
      </c>
      <c r="G71" s="65"/>
    </row>
    <row r="72" spans="2:7" x14ac:dyDescent="0.2">
      <c r="B72" s="49">
        <v>66</v>
      </c>
      <c r="C72" s="49">
        <v>12959.82831238492</v>
      </c>
      <c r="D72" s="49">
        <v>10852.674569366078</v>
      </c>
      <c r="E72" s="49">
        <v>9802.3243935254395</v>
      </c>
      <c r="F72" s="49">
        <v>-1050.3501758406383</v>
      </c>
      <c r="G72" s="65"/>
    </row>
    <row r="73" spans="2:7" x14ac:dyDescent="0.2">
      <c r="B73" s="49">
        <v>67</v>
      </c>
      <c r="C73" s="49">
        <v>9319.3852139361588</v>
      </c>
      <c r="D73" s="49">
        <v>9240.8086565778249</v>
      </c>
      <c r="E73" s="49">
        <v>7798.1407790109315</v>
      </c>
      <c r="F73" s="49">
        <v>-1442.6678775668934</v>
      </c>
      <c r="G73" s="65"/>
    </row>
    <row r="74" spans="2:7" x14ac:dyDescent="0.2">
      <c r="B74" s="49">
        <v>68</v>
      </c>
      <c r="C74" s="49">
        <v>6476.9486566627693</v>
      </c>
      <c r="D74" s="49">
        <v>9214.0872855285797</v>
      </c>
      <c r="E74" s="49">
        <v>6233.2860019065138</v>
      </c>
      <c r="F74" s="49">
        <v>-2980.801283622066</v>
      </c>
      <c r="G74" s="65"/>
    </row>
    <row r="75" spans="2:7" x14ac:dyDescent="0.2">
      <c r="B75" s="49">
        <v>69</v>
      </c>
      <c r="C75" s="49">
        <v>10459.078449923019</v>
      </c>
      <c r="D75" s="49">
        <v>8578.6124043256514</v>
      </c>
      <c r="E75" s="49">
        <v>8425.5793757331794</v>
      </c>
      <c r="F75" s="49">
        <v>-153.03302859247196</v>
      </c>
      <c r="G75" s="65"/>
    </row>
    <row r="76" spans="2:7" x14ac:dyDescent="0.2">
      <c r="B76" s="49">
        <v>70</v>
      </c>
      <c r="C76" s="49">
        <v>10775.240021599288</v>
      </c>
      <c r="D76" s="49">
        <v>9003.8919766388135</v>
      </c>
      <c r="E76" s="49">
        <v>8599.6367155561074</v>
      </c>
      <c r="F76" s="49">
        <v>-404.25526108270606</v>
      </c>
      <c r="G76" s="65"/>
    </row>
    <row r="77" spans="2:7" x14ac:dyDescent="0.2">
      <c r="B77" s="49">
        <v>71</v>
      </c>
      <c r="C77" s="49">
        <v>9093.6361382766536</v>
      </c>
      <c r="D77" s="49">
        <v>10082.138260176682</v>
      </c>
      <c r="E77" s="49">
        <v>7673.8584907858067</v>
      </c>
      <c r="F77" s="49">
        <v>-2408.2797693908751</v>
      </c>
      <c r="G77" s="65"/>
    </row>
    <row r="78" spans="2:7" x14ac:dyDescent="0.2">
      <c r="B78" s="49">
        <v>72</v>
      </c>
      <c r="C78" s="49">
        <v>832.69413892716511</v>
      </c>
      <c r="D78" s="49">
        <v>4337.2721928541641</v>
      </c>
      <c r="E78" s="49">
        <v>3125.9383206818256</v>
      </c>
      <c r="F78" s="49">
        <v>-1211.3338721723385</v>
      </c>
      <c r="G78" s="65"/>
    </row>
    <row r="79" spans="2:7" x14ac:dyDescent="0.2">
      <c r="B79" s="49">
        <v>73</v>
      </c>
      <c r="C79" s="49">
        <v>-1454.166430077099</v>
      </c>
      <c r="D79" s="49">
        <v>-2224.7389844838513</v>
      </c>
      <c r="E79" s="49">
        <v>1866.9463910920831</v>
      </c>
      <c r="F79" s="49">
        <v>4091.6853755759344</v>
      </c>
      <c r="G79" s="65"/>
    </row>
    <row r="80" spans="2:7" x14ac:dyDescent="0.2">
      <c r="B80" s="49">
        <v>74</v>
      </c>
      <c r="C80" s="49">
        <v>1698.0969261123446</v>
      </c>
      <c r="D80" s="49">
        <v>-1271.6102874438873</v>
      </c>
      <c r="E80" s="49">
        <v>3602.371007343178</v>
      </c>
      <c r="F80" s="49">
        <v>4873.9812947870651</v>
      </c>
      <c r="G80" s="65"/>
    </row>
    <row r="81" spans="2:7" x14ac:dyDescent="0.2">
      <c r="B81" s="49">
        <v>75</v>
      </c>
      <c r="C81" s="49">
        <v>14036.603857998067</v>
      </c>
      <c r="D81" s="49">
        <v>-3260.4650153128259</v>
      </c>
      <c r="E81" s="49">
        <v>10395.124733117991</v>
      </c>
      <c r="F81" s="49">
        <v>13655.589748430817</v>
      </c>
      <c r="G81" s="65"/>
    </row>
    <row r="82" spans="2:7" x14ac:dyDescent="0.2">
      <c r="B82" s="49">
        <v>76</v>
      </c>
      <c r="C82" s="49">
        <v>10746.784052083589</v>
      </c>
      <c r="D82" s="49">
        <v>6350.8864389247847</v>
      </c>
      <c r="E82" s="49">
        <v>8583.9707687754017</v>
      </c>
      <c r="F82" s="49">
        <v>2233.084329850617</v>
      </c>
      <c r="G82" s="65"/>
    </row>
    <row r="83" spans="2:7" x14ac:dyDescent="0.2">
      <c r="B83" s="49">
        <v>77</v>
      </c>
      <c r="C83" s="49">
        <v>8983.4534798323239</v>
      </c>
      <c r="D83" s="49">
        <v>11066.100997263904</v>
      </c>
      <c r="E83" s="49">
        <v>7613.1993147772955</v>
      </c>
      <c r="F83" s="49">
        <v>-3452.9016824866085</v>
      </c>
      <c r="G83" s="65"/>
    </row>
    <row r="84" spans="2:7" x14ac:dyDescent="0.2">
      <c r="B84" s="49">
        <v>78</v>
      </c>
      <c r="C84" s="49">
        <v>18955.764532146761</v>
      </c>
      <c r="D84" s="49">
        <v>12231.725236419505</v>
      </c>
      <c r="E84" s="49">
        <v>13103.284414145266</v>
      </c>
      <c r="F84" s="49">
        <v>871.5591777257614</v>
      </c>
      <c r="G84" s="65"/>
    </row>
    <row r="85" spans="2:7" x14ac:dyDescent="0.2">
      <c r="B85" s="49">
        <v>79</v>
      </c>
      <c r="C85" s="49">
        <v>22718.89939379659</v>
      </c>
      <c r="D85" s="49">
        <v>15698.469212823251</v>
      </c>
      <c r="E85" s="49">
        <v>15175.013878105477</v>
      </c>
      <c r="F85" s="49">
        <v>-523.45533471777344</v>
      </c>
      <c r="G85" s="65"/>
    </row>
    <row r="86" spans="2:7" x14ac:dyDescent="0.2">
      <c r="B86" s="49">
        <v>80</v>
      </c>
      <c r="C86" s="49">
        <v>21978.617007745172</v>
      </c>
      <c r="D86" s="49">
        <v>21153.211820280114</v>
      </c>
      <c r="E86" s="49">
        <v>14767.464085919422</v>
      </c>
      <c r="F86" s="49">
        <v>-6385.7477343606915</v>
      </c>
      <c r="G86" s="65"/>
    </row>
    <row r="87" spans="2:7" x14ac:dyDescent="0.2">
      <c r="B87" s="49">
        <v>81</v>
      </c>
      <c r="C87" s="49">
        <v>11754.841935461105</v>
      </c>
      <c r="D87" s="49">
        <v>18038.544040947043</v>
      </c>
      <c r="E87" s="49">
        <v>9138.9397760394568</v>
      </c>
      <c r="F87" s="49">
        <v>-8899.6042649075862</v>
      </c>
      <c r="G87" s="65"/>
    </row>
    <row r="88" spans="2:7" x14ac:dyDescent="0.2">
      <c r="B88" s="49">
        <v>82</v>
      </c>
      <c r="C88" s="49">
        <v>16729.860023015142</v>
      </c>
      <c r="D88" s="49">
        <v>16289.327465650471</v>
      </c>
      <c r="E88" s="49">
        <v>11877.850799600794</v>
      </c>
      <c r="F88" s="49">
        <v>-4411.4766660496771</v>
      </c>
      <c r="G88" s="65"/>
    </row>
    <row r="89" spans="2:7" x14ac:dyDescent="0.2">
      <c r="B89" s="49">
        <v>83</v>
      </c>
      <c r="C89" s="49">
        <v>14865.067594799249</v>
      </c>
      <c r="D89" s="49">
        <v>14298.549936018808</v>
      </c>
      <c r="E89" s="49">
        <v>10851.221258077796</v>
      </c>
      <c r="F89" s="49">
        <v>-3447.3286779410118</v>
      </c>
      <c r="G89" s="65"/>
    </row>
    <row r="90" spans="2:7" x14ac:dyDescent="0.2">
      <c r="B90" s="49">
        <v>84</v>
      </c>
      <c r="C90" s="49">
        <v>17061.060299156154</v>
      </c>
      <c r="D90" s="49">
        <v>16189.063921632136</v>
      </c>
      <c r="E90" s="49">
        <v>12060.18744066719</v>
      </c>
      <c r="F90" s="49">
        <v>-4128.8764809649456</v>
      </c>
      <c r="G90" s="65"/>
    </row>
    <row r="91" spans="2:7" x14ac:dyDescent="0.2">
      <c r="B91" s="49">
        <v>85</v>
      </c>
      <c r="C91" s="49">
        <v>12194.766087325192</v>
      </c>
      <c r="D91" s="49">
        <v>14569.639080461513</v>
      </c>
      <c r="E91" s="49">
        <v>9381.1324852651269</v>
      </c>
      <c r="F91" s="49">
        <v>-5188.5065951963861</v>
      </c>
      <c r="G91" s="65"/>
    </row>
    <row r="92" spans="2:7" x14ac:dyDescent="0.2">
      <c r="B92" s="49">
        <v>86</v>
      </c>
      <c r="C92" s="49">
        <v>6300.74805183021</v>
      </c>
      <c r="D92" s="49">
        <v>10944.364163501044</v>
      </c>
      <c r="E92" s="49">
        <v>6136.2817759035206</v>
      </c>
      <c r="F92" s="49">
        <v>-4808.0823875975238</v>
      </c>
      <c r="G92" s="65"/>
    </row>
    <row r="93" spans="2:7" x14ac:dyDescent="0.2">
      <c r="B93" s="49">
        <v>87</v>
      </c>
      <c r="C93" s="49">
        <v>10705.837393979269</v>
      </c>
      <c r="D93" s="49">
        <v>9369.7659715074551</v>
      </c>
      <c r="E93" s="49">
        <v>8561.4282872635285</v>
      </c>
      <c r="F93" s="49">
        <v>-808.33768424392656</v>
      </c>
      <c r="G93" s="65"/>
    </row>
    <row r="94" spans="2:7" x14ac:dyDescent="0.2">
      <c r="B94" s="49">
        <v>88</v>
      </c>
      <c r="C94" s="49">
        <v>3977.2855434595722</v>
      </c>
      <c r="D94" s="49">
        <v>6449.6058702049904</v>
      </c>
      <c r="E94" s="49">
        <v>4857.1392753108139</v>
      </c>
      <c r="F94" s="49">
        <v>-1592.4665948941765</v>
      </c>
      <c r="G94" s="65"/>
    </row>
    <row r="95" spans="2:7" x14ac:dyDescent="0.2">
      <c r="B95" s="49">
        <v>89</v>
      </c>
      <c r="C95" s="49">
        <v>7335.439123756345</v>
      </c>
      <c r="D95" s="49">
        <v>6784.9165512384188</v>
      </c>
      <c r="E95" s="49">
        <v>6705.9132290973484</v>
      </c>
      <c r="F95" s="49">
        <v>-79.003322141070385</v>
      </c>
      <c r="G95" s="65"/>
    </row>
    <row r="96" spans="2:7" x14ac:dyDescent="0.2">
      <c r="B96" s="49">
        <v>90</v>
      </c>
      <c r="C96" s="49">
        <v>18950.434492838514</v>
      </c>
      <c r="D96" s="49">
        <v>8207.4961357223601</v>
      </c>
      <c r="E96" s="49">
        <v>13100.350052267489</v>
      </c>
      <c r="F96" s="49">
        <v>4892.8539165451293</v>
      </c>
      <c r="G96" s="65"/>
    </row>
    <row r="97" spans="2:7" x14ac:dyDescent="0.2">
      <c r="B97" s="49">
        <v>91</v>
      </c>
      <c r="C97" s="49">
        <v>13498.798902631002</v>
      </c>
      <c r="D97" s="49">
        <v>12334.270602539584</v>
      </c>
      <c r="E97" s="49">
        <v>10099.045423483769</v>
      </c>
      <c r="F97" s="49">
        <v>-2235.2251790558148</v>
      </c>
      <c r="G97" s="65"/>
    </row>
    <row r="98" spans="2:7" x14ac:dyDescent="0.2">
      <c r="B98" s="49">
        <v>92</v>
      </c>
      <c r="C98" s="49">
        <v>2696.4263169275682</v>
      </c>
      <c r="D98" s="49">
        <v>8835.5641728628943</v>
      </c>
      <c r="E98" s="49">
        <v>4151.9841596027763</v>
      </c>
      <c r="F98" s="49">
        <v>-4683.580013260118</v>
      </c>
      <c r="G98" s="65"/>
    </row>
    <row r="99" spans="2:7" x14ac:dyDescent="0.2">
      <c r="B99" s="49">
        <v>93</v>
      </c>
      <c r="C99" s="49">
        <v>4920.6891444059729</v>
      </c>
      <c r="D99" s="49">
        <v>5636.8507805928048</v>
      </c>
      <c r="E99" s="49">
        <v>5376.5139744226981</v>
      </c>
      <c r="F99" s="49">
        <v>-260.33680617010668</v>
      </c>
      <c r="G99" s="65"/>
    </row>
    <row r="100" spans="2:7" x14ac:dyDescent="0.2">
      <c r="B100" s="49">
        <v>94</v>
      </c>
      <c r="C100" s="49">
        <v>-1151.8279452544193</v>
      </c>
      <c r="D100" s="49">
        <v>-2481.6128699343112</v>
      </c>
      <c r="E100" s="49">
        <v>2033.3936671330014</v>
      </c>
      <c r="F100" s="49">
        <v>4515.0065370673128</v>
      </c>
      <c r="G100" s="65"/>
    </row>
    <row r="101" spans="2:7" x14ac:dyDescent="0.2">
      <c r="B101" s="49">
        <v>95</v>
      </c>
      <c r="C101" s="49">
        <v>-3821.4617256401725</v>
      </c>
      <c r="D101" s="49">
        <v>2787.4966350221694</v>
      </c>
      <c r="E101" s="49">
        <v>563.67250003566824</v>
      </c>
      <c r="F101" s="49">
        <v>-2223.8241349865011</v>
      </c>
      <c r="G101" s="65"/>
    </row>
    <row r="102" spans="2:7" x14ac:dyDescent="0.2">
      <c r="B102" s="49">
        <v>96</v>
      </c>
      <c r="C102" s="49">
        <v>11049.673107554203</v>
      </c>
      <c r="D102" s="49">
        <v>3650.2464318336688</v>
      </c>
      <c r="E102" s="49">
        <v>8750.7211520594174</v>
      </c>
      <c r="F102" s="49">
        <v>5100.4747202257486</v>
      </c>
      <c r="G102" s="65"/>
    </row>
    <row r="103" spans="2:7" x14ac:dyDescent="0.2">
      <c r="B103" s="49">
        <v>97</v>
      </c>
      <c r="C103" s="49">
        <v>12780.468600055941</v>
      </c>
      <c r="D103" s="49">
        <v>-8141.577737852157</v>
      </c>
      <c r="E103" s="49">
        <v>9703.5809749819782</v>
      </c>
      <c r="F103" s="49">
        <v>17845.158712834134</v>
      </c>
      <c r="G103" s="65"/>
    </row>
    <row r="104" spans="2:7" x14ac:dyDescent="0.2">
      <c r="B104" s="49">
        <v>98</v>
      </c>
      <c r="C104" s="49">
        <v>8455.5952266279892</v>
      </c>
      <c r="D104" s="49">
        <v>10609.138788742248</v>
      </c>
      <c r="E104" s="49">
        <v>7322.5959917067685</v>
      </c>
      <c r="F104" s="49">
        <v>-3286.5427970354795</v>
      </c>
      <c r="G104" s="65"/>
    </row>
    <row r="105" spans="2:7" x14ac:dyDescent="0.2">
      <c r="B105" s="49">
        <v>99</v>
      </c>
      <c r="C105" s="49">
        <v>15219.368586336976</v>
      </c>
      <c r="D105" s="49">
        <v>11803.999955657813</v>
      </c>
      <c r="E105" s="49">
        <v>11046.275602464812</v>
      </c>
      <c r="F105" s="49">
        <v>-757.72435319300166</v>
      </c>
      <c r="G105" s="65"/>
    </row>
    <row r="106" spans="2:7" x14ac:dyDescent="0.2">
      <c r="B106" s="49">
        <v>100</v>
      </c>
      <c r="C106" s="49">
        <v>10330.180685358333</v>
      </c>
      <c r="D106" s="49">
        <v>10995.531977741313</v>
      </c>
      <c r="E106" s="49">
        <v>8354.6169184987375</v>
      </c>
      <c r="F106" s="49">
        <v>-2640.9150592425758</v>
      </c>
      <c r="G106" s="65"/>
    </row>
    <row r="107" spans="2:7" x14ac:dyDescent="0.2">
      <c r="B107" s="49">
        <v>101</v>
      </c>
      <c r="C107" s="49">
        <v>12368.603526091007</v>
      </c>
      <c r="D107" s="49">
        <v>12481.738332567891</v>
      </c>
      <c r="E107" s="49">
        <v>9476.8357106532858</v>
      </c>
      <c r="F107" s="49">
        <v>-3004.9026219146053</v>
      </c>
      <c r="G107" s="65"/>
    </row>
    <row r="108" spans="2:7" x14ac:dyDescent="0.2">
      <c r="B108" s="49">
        <v>102</v>
      </c>
      <c r="C108" s="49">
        <v>8617.3581733280953</v>
      </c>
      <c r="D108" s="49">
        <v>10326.050474508573</v>
      </c>
      <c r="E108" s="49">
        <v>7411.6518122331436</v>
      </c>
      <c r="F108" s="49">
        <v>-2914.3986622754292</v>
      </c>
      <c r="G108" s="65"/>
    </row>
    <row r="109" spans="2:7" x14ac:dyDescent="0.2">
      <c r="B109" s="49">
        <v>103</v>
      </c>
      <c r="C109" s="49">
        <v>168.99367202562644</v>
      </c>
      <c r="D109" s="49">
        <v>2621.3303261471856</v>
      </c>
      <c r="E109" s="49">
        <v>2760.5493928129908</v>
      </c>
      <c r="F109" s="49">
        <v>139.21906666580526</v>
      </c>
      <c r="G109" s="65"/>
    </row>
    <row r="110" spans="2:7" x14ac:dyDescent="0.2">
      <c r="B110" s="49">
        <v>104</v>
      </c>
      <c r="C110" s="49">
        <v>16982.449419026321</v>
      </c>
      <c r="D110" s="49">
        <v>2913.4996637365812</v>
      </c>
      <c r="E110" s="49">
        <v>12016.909566623257</v>
      </c>
      <c r="F110" s="49">
        <v>9103.4099028866767</v>
      </c>
      <c r="G110" s="65"/>
    </row>
    <row r="111" spans="2:7" x14ac:dyDescent="0.2">
      <c r="B111" s="49">
        <v>105</v>
      </c>
      <c r="C111" s="49">
        <v>8936.2811067376097</v>
      </c>
      <c r="D111" s="49">
        <v>2949.0074165678457</v>
      </c>
      <c r="E111" s="49">
        <v>7587.2293724770088</v>
      </c>
      <c r="F111" s="49">
        <v>4638.2219559091627</v>
      </c>
      <c r="G111" s="65"/>
    </row>
    <row r="112" spans="2:7" x14ac:dyDescent="0.2">
      <c r="B112" s="49">
        <v>106</v>
      </c>
      <c r="C112" s="49">
        <v>5965.7071272102767</v>
      </c>
      <c r="D112" s="49">
        <v>9674.0061723057788</v>
      </c>
      <c r="E112" s="49">
        <v>5951.8307315783977</v>
      </c>
      <c r="F112" s="49">
        <v>-3722.1754407273811</v>
      </c>
      <c r="G112" s="65"/>
    </row>
    <row r="113" spans="2:7" x14ac:dyDescent="0.2">
      <c r="B113" s="49">
        <v>107</v>
      </c>
      <c r="C113" s="49">
        <v>6192.492638775675</v>
      </c>
      <c r="D113" s="49">
        <v>6911.326603037367</v>
      </c>
      <c r="E113" s="49">
        <v>6076.6836118451811</v>
      </c>
      <c r="F113" s="49">
        <v>-834.64299119218595</v>
      </c>
      <c r="G113" s="65"/>
    </row>
    <row r="114" spans="2:7" x14ac:dyDescent="0.2">
      <c r="B114" s="49">
        <v>108</v>
      </c>
      <c r="C114" s="49">
        <v>7269.6039676842511</v>
      </c>
      <c r="D114" s="49">
        <v>6451.7776735608932</v>
      </c>
      <c r="E114" s="49">
        <v>6669.6688111815965</v>
      </c>
      <c r="F114" s="49">
        <v>217.89113762070338</v>
      </c>
      <c r="G114" s="65"/>
    </row>
    <row r="115" spans="2:7" x14ac:dyDescent="0.2">
      <c r="B115" s="49">
        <v>109</v>
      </c>
      <c r="C115" s="49">
        <v>14891.465557822961</v>
      </c>
      <c r="D115" s="49">
        <v>8751.9446854781818</v>
      </c>
      <c r="E115" s="49">
        <v>10865.75420462247</v>
      </c>
      <c r="F115" s="49">
        <v>2113.8095191442881</v>
      </c>
      <c r="G115" s="65"/>
    </row>
    <row r="116" spans="2:7" x14ac:dyDescent="0.2">
      <c r="B116" s="49">
        <v>110</v>
      </c>
      <c r="C116" s="49">
        <v>2482.3924340702843</v>
      </c>
      <c r="D116" s="49">
        <v>6453.1666017105126</v>
      </c>
      <c r="E116" s="49">
        <v>4034.1514701820092</v>
      </c>
      <c r="F116" s="49">
        <v>-2419.0151315285034</v>
      </c>
      <c r="G116" s="65"/>
    </row>
    <row r="117" spans="2:7" x14ac:dyDescent="0.2">
      <c r="B117" s="49">
        <v>111</v>
      </c>
      <c r="C117" s="49">
        <v>11405.564649891243</v>
      </c>
      <c r="D117" s="49">
        <v>7498.5085375067956</v>
      </c>
      <c r="E117" s="49">
        <v>8946.6511469548532</v>
      </c>
      <c r="F117" s="49">
        <v>1448.1426094480576</v>
      </c>
      <c r="G117" s="65"/>
    </row>
    <row r="118" spans="2:7" x14ac:dyDescent="0.2">
      <c r="B118" s="49">
        <v>112</v>
      </c>
      <c r="C118" s="49">
        <v>8548.7318898052545</v>
      </c>
      <c r="D118" s="49">
        <v>6232.0315320653472</v>
      </c>
      <c r="E118" s="49">
        <v>7373.8707868903466</v>
      </c>
      <c r="F118" s="49">
        <v>1141.8392548249994</v>
      </c>
      <c r="G118" s="65"/>
    </row>
    <row r="119" spans="2:7" x14ac:dyDescent="0.2">
      <c r="B119" s="49">
        <v>113</v>
      </c>
      <c r="C119" s="49">
        <v>13843.505790814934</v>
      </c>
      <c r="D119" s="49">
        <v>11051.507548473566</v>
      </c>
      <c r="E119" s="49">
        <v>10288.817898543988</v>
      </c>
      <c r="F119" s="49">
        <v>-762.68964992957808</v>
      </c>
      <c r="G119" s="65"/>
    </row>
    <row r="120" spans="2:7" x14ac:dyDescent="0.2">
      <c r="B120" s="49">
        <v>114</v>
      </c>
      <c r="C120" s="49">
        <v>10202.749034369554</v>
      </c>
      <c r="D120" s="49">
        <v>10648.497399350206</v>
      </c>
      <c r="E120" s="49">
        <v>8284.4616049900396</v>
      </c>
      <c r="F120" s="49">
        <v>-2364.0357943601666</v>
      </c>
      <c r="G120" s="65"/>
    </row>
    <row r="121" spans="2:7" x14ac:dyDescent="0.2">
      <c r="B121" s="49">
        <v>115</v>
      </c>
      <c r="C121" s="49">
        <v>9603.2822280378678</v>
      </c>
      <c r="D121" s="49">
        <v>11069.4912436453</v>
      </c>
      <c r="E121" s="49">
        <v>7954.43541910974</v>
      </c>
      <c r="F121" s="49">
        <v>-3115.0558245355596</v>
      </c>
      <c r="G121" s="65"/>
    </row>
    <row r="122" spans="2:7" x14ac:dyDescent="0.2">
      <c r="B122" s="49">
        <v>116</v>
      </c>
      <c r="C122" s="49">
        <v>19780.16661915664</v>
      </c>
      <c r="D122" s="49">
        <v>12467.774746862537</v>
      </c>
      <c r="E122" s="49">
        <v>13557.144867357902</v>
      </c>
      <c r="F122" s="49">
        <v>1089.370120495365</v>
      </c>
      <c r="G122" s="65"/>
    </row>
    <row r="123" spans="2:7" x14ac:dyDescent="0.2">
      <c r="B123" s="49">
        <v>117</v>
      </c>
      <c r="C123" s="49">
        <v>7164.7027052732119</v>
      </c>
      <c r="D123" s="49">
        <v>11081.943648245762</v>
      </c>
      <c r="E123" s="49">
        <v>6611.9172173287279</v>
      </c>
      <c r="F123" s="49">
        <v>-4470.0264309170343</v>
      </c>
      <c r="G123" s="65"/>
    </row>
    <row r="124" spans="2:7" x14ac:dyDescent="0.2">
      <c r="B124" s="49">
        <v>118</v>
      </c>
      <c r="C124" s="49">
        <v>5801.6408502731447</v>
      </c>
      <c r="D124" s="49">
        <v>9368.2754901910139</v>
      </c>
      <c r="E124" s="49">
        <v>5861.5068520287041</v>
      </c>
      <c r="F124" s="49">
        <v>-3506.7686381623098</v>
      </c>
      <c r="G124" s="65"/>
    </row>
    <row r="125" spans="2:7" x14ac:dyDescent="0.2">
      <c r="B125" s="49">
        <v>119</v>
      </c>
      <c r="C125" s="49">
        <v>19018.86208266121</v>
      </c>
      <c r="D125" s="49">
        <v>9246.5100905123163</v>
      </c>
      <c r="E125" s="49">
        <v>13138.021690195796</v>
      </c>
      <c r="F125" s="49">
        <v>3891.5115996834793</v>
      </c>
      <c r="G125" s="65"/>
    </row>
    <row r="126" spans="2:7" x14ac:dyDescent="0.2">
      <c r="B126" s="49">
        <v>120</v>
      </c>
      <c r="C126" s="49">
        <v>1750.7254881772697</v>
      </c>
      <c r="D126" s="49">
        <v>5780.7538176535818</v>
      </c>
      <c r="E126" s="49">
        <v>3631.3447610576441</v>
      </c>
      <c r="F126" s="49">
        <v>-2149.4090565959377</v>
      </c>
      <c r="G126" s="65"/>
    </row>
    <row r="127" spans="2:7" x14ac:dyDescent="0.2">
      <c r="B127" s="49">
        <v>121</v>
      </c>
      <c r="C127" s="49">
        <v>11883.044997350584</v>
      </c>
      <c r="D127" s="49">
        <v>7341.3642920486836</v>
      </c>
      <c r="E127" s="49">
        <v>9209.5197766110832</v>
      </c>
      <c r="F127" s="49">
        <v>1868.1554845623996</v>
      </c>
      <c r="G127" s="65"/>
    </row>
    <row r="128" spans="2:7" x14ac:dyDescent="0.2">
      <c r="B128" s="49">
        <v>122</v>
      </c>
      <c r="C128" s="49">
        <v>-6263.0558481194748</v>
      </c>
      <c r="D128" s="49">
        <v>-5069.6427948265382</v>
      </c>
      <c r="E128" s="49">
        <v>-780.50533800088442</v>
      </c>
      <c r="F128" s="49">
        <v>4289.1374568256542</v>
      </c>
      <c r="G128" s="65"/>
    </row>
    <row r="129" spans="2:7" x14ac:dyDescent="0.2">
      <c r="B129" s="49">
        <v>123</v>
      </c>
      <c r="C129" s="49">
        <v>11804.518668849481</v>
      </c>
      <c r="D129" s="49">
        <v>-9577.5428373317336</v>
      </c>
      <c r="E129" s="49">
        <v>9166.2884510186141</v>
      </c>
      <c r="F129" s="49">
        <v>18743.831288350346</v>
      </c>
      <c r="G129" s="65"/>
    </row>
    <row r="130" spans="2:7" x14ac:dyDescent="0.2">
      <c r="B130" s="49">
        <v>124</v>
      </c>
      <c r="C130" s="49">
        <v>4186.2001266397501</v>
      </c>
      <c r="D130" s="49">
        <v>-6764.2271731976898</v>
      </c>
      <c r="E130" s="49">
        <v>4972.1536219493473</v>
      </c>
      <c r="F130" s="49">
        <v>11736.380795147037</v>
      </c>
      <c r="G130" s="65"/>
    </row>
    <row r="131" spans="2:7" x14ac:dyDescent="0.2">
      <c r="B131" s="49">
        <v>125</v>
      </c>
      <c r="C131" s="49">
        <v>6069.5444596512934</v>
      </c>
      <c r="D131" s="49">
        <v>6693.8317009091425</v>
      </c>
      <c r="E131" s="49">
        <v>6008.9965970033672</v>
      </c>
      <c r="F131" s="49">
        <v>-684.83510390577521</v>
      </c>
      <c r="G131" s="65"/>
    </row>
    <row r="132" spans="2:7" x14ac:dyDescent="0.2">
      <c r="B132" s="49">
        <v>126</v>
      </c>
      <c r="C132" s="49">
        <v>3701.6215629930412</v>
      </c>
      <c r="D132" s="49">
        <v>4547.6744386922046</v>
      </c>
      <c r="E132" s="49">
        <v>4705.377190910076</v>
      </c>
      <c r="F132" s="49">
        <v>157.70275221787142</v>
      </c>
      <c r="G132" s="65"/>
    </row>
    <row r="133" spans="2:7" x14ac:dyDescent="0.2">
      <c r="B133" s="49">
        <v>127</v>
      </c>
      <c r="C133" s="49">
        <v>808.0828533062213</v>
      </c>
      <c r="D133" s="49">
        <v>2628.2580401913046</v>
      </c>
      <c r="E133" s="49">
        <v>3112.3889987889356</v>
      </c>
      <c r="F133" s="49">
        <v>484.13095859763098</v>
      </c>
      <c r="G133" s="65"/>
    </row>
    <row r="134" spans="2:7" x14ac:dyDescent="0.2">
      <c r="B134" s="49">
        <v>128</v>
      </c>
      <c r="C134" s="49">
        <v>14114.937860584225</v>
      </c>
      <c r="D134" s="49">
        <v>3482.1084482346546</v>
      </c>
      <c r="E134" s="49">
        <v>10438.25017697108</v>
      </c>
      <c r="F134" s="49">
        <v>6956.1417287364256</v>
      </c>
      <c r="G134" s="65"/>
    </row>
    <row r="135" spans="2:7" x14ac:dyDescent="0.2">
      <c r="B135" s="49">
        <v>129</v>
      </c>
      <c r="C135" s="49">
        <v>14090.848487505704</v>
      </c>
      <c r="D135" s="49">
        <v>5436.9749963175345</v>
      </c>
      <c r="E135" s="49">
        <v>10424.988185091994</v>
      </c>
      <c r="F135" s="49">
        <v>4988.0131887744592</v>
      </c>
      <c r="G135" s="65"/>
    </row>
    <row r="136" spans="2:7" x14ac:dyDescent="0.2">
      <c r="B136" s="49">
        <v>130</v>
      </c>
      <c r="C136" s="49">
        <v>7724.5734469783147</v>
      </c>
      <c r="D136" s="49">
        <v>11538.876917818061</v>
      </c>
      <c r="E136" s="49">
        <v>6920.1444678108419</v>
      </c>
      <c r="F136" s="49">
        <v>-4618.7324500072191</v>
      </c>
      <c r="G136" s="65"/>
    </row>
    <row r="137" spans="2:7" x14ac:dyDescent="0.2">
      <c r="B137" s="49">
        <v>131</v>
      </c>
      <c r="C137" s="49">
        <v>5229.6778555941919</v>
      </c>
      <c r="D137" s="49">
        <v>8287.6015540441476</v>
      </c>
      <c r="E137" s="49">
        <v>5546.6224187209382</v>
      </c>
      <c r="F137" s="49">
        <v>-2740.9791353232094</v>
      </c>
      <c r="G137" s="65"/>
    </row>
    <row r="138" spans="2:7" x14ac:dyDescent="0.2">
      <c r="B138" s="49">
        <v>132</v>
      </c>
      <c r="C138" s="49">
        <v>9886.9241506013204</v>
      </c>
      <c r="D138" s="49">
        <v>7364.3917405459115</v>
      </c>
      <c r="E138" s="49">
        <v>8110.5896229299551</v>
      </c>
      <c r="F138" s="49">
        <v>746.19788238404362</v>
      </c>
      <c r="G138" s="65"/>
    </row>
    <row r="139" spans="2:7" x14ac:dyDescent="0.2">
      <c r="B139" s="49">
        <v>133</v>
      </c>
      <c r="C139" s="49">
        <v>-2293.1596757923126</v>
      </c>
      <c r="D139" s="49">
        <v>-4912.7365884321944</v>
      </c>
      <c r="E139" s="49">
        <v>1405.0530252907383</v>
      </c>
      <c r="F139" s="49">
        <v>6317.7896137229327</v>
      </c>
      <c r="G139" s="65"/>
    </row>
    <row r="140" spans="2:7" x14ac:dyDescent="0.2">
      <c r="B140" s="49">
        <v>134</v>
      </c>
      <c r="C140" s="49">
        <v>16355.179619318005</v>
      </c>
      <c r="D140" s="49">
        <v>-7184.2858794719295</v>
      </c>
      <c r="E140" s="49">
        <v>11671.576918795059</v>
      </c>
      <c r="F140" s="49">
        <v>18855.86279826699</v>
      </c>
      <c r="G140" s="65"/>
    </row>
    <row r="141" spans="2:7" x14ac:dyDescent="0.2">
      <c r="B141" s="49">
        <v>135</v>
      </c>
      <c r="C141" s="49">
        <v>2915.5058344742974</v>
      </c>
      <c r="D141" s="49">
        <v>-4781.907559842447</v>
      </c>
      <c r="E141" s="49">
        <v>4272.594636808145</v>
      </c>
      <c r="F141" s="49">
        <v>9054.5021966505919</v>
      </c>
      <c r="G141" s="65"/>
    </row>
    <row r="142" spans="2:7" x14ac:dyDescent="0.2">
      <c r="B142" s="49">
        <v>136</v>
      </c>
      <c r="C142" s="49">
        <v>9713.4852543990692</v>
      </c>
      <c r="D142" s="49">
        <v>7737.157532271327</v>
      </c>
      <c r="E142" s="49">
        <v>8015.105808326136</v>
      </c>
      <c r="F142" s="49">
        <v>277.94827605480896</v>
      </c>
      <c r="G142" s="65"/>
    </row>
    <row r="143" spans="2:7" x14ac:dyDescent="0.2">
      <c r="B143" s="49">
        <v>137</v>
      </c>
      <c r="C143" s="49">
        <v>15710.160943495648</v>
      </c>
      <c r="D143" s="49">
        <v>7634.0771526773333</v>
      </c>
      <c r="E143" s="49">
        <v>11316.472931126671</v>
      </c>
      <c r="F143" s="49">
        <v>3682.3957784493377</v>
      </c>
      <c r="G143" s="65"/>
    </row>
    <row r="144" spans="2:7" x14ac:dyDescent="0.2">
      <c r="B144" s="49">
        <v>138</v>
      </c>
      <c r="C144" s="49">
        <v>8014.740192473243</v>
      </c>
      <c r="D144" s="49">
        <v>10694.202154532431</v>
      </c>
      <c r="E144" s="49">
        <v>7079.89080117497</v>
      </c>
      <c r="F144" s="49">
        <v>-3614.3113533574615</v>
      </c>
      <c r="G144" s="65"/>
    </row>
    <row r="145" spans="2:7" x14ac:dyDescent="0.2">
      <c r="B145" s="49">
        <v>139</v>
      </c>
      <c r="C145" s="49">
        <v>16652.083589277816</v>
      </c>
      <c r="D145" s="49">
        <v>12799.103619906757</v>
      </c>
      <c r="E145" s="49">
        <v>11835.032315730481</v>
      </c>
      <c r="F145" s="49">
        <v>-964.07130417627559</v>
      </c>
      <c r="G145" s="65"/>
    </row>
    <row r="146" spans="2:7" x14ac:dyDescent="0.2">
      <c r="B146" s="49">
        <v>140</v>
      </c>
      <c r="C146" s="49">
        <v>6753.3725211353922</v>
      </c>
      <c r="D146" s="49">
        <v>9659.6097041660832</v>
      </c>
      <c r="E146" s="49">
        <v>6385.4664274357237</v>
      </c>
      <c r="F146" s="49">
        <v>-3274.1432767303595</v>
      </c>
      <c r="G146" s="65"/>
    </row>
    <row r="147" spans="2:7" x14ac:dyDescent="0.2">
      <c r="B147" s="49">
        <v>141</v>
      </c>
      <c r="C147" s="49">
        <v>1938.4892919878484</v>
      </c>
      <c r="D147" s="49">
        <v>6018.4441078548571</v>
      </c>
      <c r="E147" s="49">
        <v>3734.7149082675896</v>
      </c>
      <c r="F147" s="49">
        <v>-2283.7291995872674</v>
      </c>
      <c r="G147" s="65"/>
    </row>
    <row r="148" spans="2:7" x14ac:dyDescent="0.2">
      <c r="B148" s="49">
        <v>142</v>
      </c>
      <c r="C148" s="49">
        <v>16437.036871258544</v>
      </c>
      <c r="D148" s="49">
        <v>5992.4241744774727</v>
      </c>
      <c r="E148" s="49">
        <v>11716.642027253509</v>
      </c>
      <c r="F148" s="49">
        <v>5724.2178527760361</v>
      </c>
      <c r="G148" s="65"/>
    </row>
    <row r="149" spans="2:7" x14ac:dyDescent="0.2">
      <c r="B149" s="49">
        <v>143</v>
      </c>
      <c r="C149" s="49">
        <v>4909.6169535047138</v>
      </c>
      <c r="D149" s="49">
        <v>5388.2141561227299</v>
      </c>
      <c r="E149" s="49">
        <v>5370.4183693051409</v>
      </c>
      <c r="F149" s="49">
        <v>-17.795786817589033</v>
      </c>
      <c r="G149" s="65"/>
    </row>
    <row r="150" spans="2:7" x14ac:dyDescent="0.2">
      <c r="B150" s="49">
        <v>144</v>
      </c>
      <c r="C150" s="49">
        <v>7128.7013277014012</v>
      </c>
      <c r="D150" s="49">
        <v>8316.8816134159842</v>
      </c>
      <c r="E150" s="49">
        <v>6592.0972753386659</v>
      </c>
      <c r="F150" s="49">
        <v>-1724.7843380773184</v>
      </c>
      <c r="G150" s="65"/>
    </row>
    <row r="151" spans="2:7" x14ac:dyDescent="0.2">
      <c r="B151" s="49">
        <v>145</v>
      </c>
      <c r="C151" s="49">
        <v>12509.11276052309</v>
      </c>
      <c r="D151" s="49">
        <v>7593.2583940082668</v>
      </c>
      <c r="E151" s="49">
        <v>9554.1906638063119</v>
      </c>
      <c r="F151" s="49">
        <v>1960.9322697980451</v>
      </c>
      <c r="G151" s="65"/>
    </row>
    <row r="152" spans="2:7" x14ac:dyDescent="0.2">
      <c r="B152" s="49">
        <v>146</v>
      </c>
      <c r="C152" s="49">
        <v>13334.459684560945</v>
      </c>
      <c r="D152" s="49">
        <v>10594.263808911955</v>
      </c>
      <c r="E152" s="49">
        <v>10008.571280866767</v>
      </c>
      <c r="F152" s="49">
        <v>-585.69252804518874</v>
      </c>
      <c r="G152" s="65"/>
    </row>
    <row r="153" spans="2:7" x14ac:dyDescent="0.2">
      <c r="B153" s="49">
        <v>147</v>
      </c>
      <c r="C153" s="49">
        <v>6054.9636073004094</v>
      </c>
      <c r="D153" s="49">
        <v>10033.161949193985</v>
      </c>
      <c r="E153" s="49">
        <v>6000.9693584016295</v>
      </c>
      <c r="F153" s="49">
        <v>-4032.192590792356</v>
      </c>
      <c r="G153" s="65"/>
    </row>
    <row r="154" spans="2:7" x14ac:dyDescent="0.2">
      <c r="B154" s="49">
        <v>148</v>
      </c>
      <c r="C154" s="49">
        <v>4535.6890280400266</v>
      </c>
      <c r="D154" s="49">
        <v>7154.4580852574409</v>
      </c>
      <c r="E154" s="49">
        <v>5164.5587525060037</v>
      </c>
      <c r="F154" s="49">
        <v>-1989.8993327514372</v>
      </c>
      <c r="G154" s="65"/>
    </row>
    <row r="155" spans="2:7" x14ac:dyDescent="0.2">
      <c r="B155" s="49">
        <v>149</v>
      </c>
      <c r="C155" s="49">
        <v>16349.160861422653</v>
      </c>
      <c r="D155" s="49">
        <v>7657.4368709883256</v>
      </c>
      <c r="E155" s="49">
        <v>11668.263394691705</v>
      </c>
      <c r="F155" s="49">
        <v>4010.8265237033793</v>
      </c>
      <c r="G155" s="65"/>
    </row>
    <row r="156" spans="2:7" x14ac:dyDescent="0.2">
      <c r="B156" s="49">
        <v>150</v>
      </c>
      <c r="C156" s="49">
        <v>9359.3426232854381</v>
      </c>
      <c r="D156" s="49">
        <v>8853.7657638903893</v>
      </c>
      <c r="E156" s="49">
        <v>7820.1386465590876</v>
      </c>
      <c r="F156" s="49">
        <v>-1033.6271173313016</v>
      </c>
      <c r="G156" s="65"/>
    </row>
    <row r="157" spans="2:7" x14ac:dyDescent="0.2">
      <c r="B157" s="49">
        <v>151</v>
      </c>
      <c r="C157" s="49">
        <v>9319.4011287971789</v>
      </c>
      <c r="D157" s="49">
        <v>11255.797538887235</v>
      </c>
      <c r="E157" s="49">
        <v>7798.1495406651647</v>
      </c>
      <c r="F157" s="49">
        <v>-3457.6479982220699</v>
      </c>
      <c r="G157" s="65"/>
    </row>
    <row r="158" spans="2:7" x14ac:dyDescent="0.2">
      <c r="B158" s="49">
        <v>152</v>
      </c>
      <c r="C158" s="49">
        <v>4698.7118971536802</v>
      </c>
      <c r="D158" s="49">
        <v>7427.9799488367262</v>
      </c>
      <c r="E158" s="49">
        <v>5254.3082017441884</v>
      </c>
      <c r="F158" s="49">
        <v>-2173.6717470925378</v>
      </c>
      <c r="G158" s="65"/>
    </row>
    <row r="159" spans="2:7" x14ac:dyDescent="0.2">
      <c r="B159" s="49">
        <v>153</v>
      </c>
      <c r="C159" s="49">
        <v>2751.1339738459437</v>
      </c>
      <c r="D159" s="49">
        <v>4938.8539936595698</v>
      </c>
      <c r="E159" s="49">
        <v>4182.1025233895934</v>
      </c>
      <c r="F159" s="49">
        <v>-756.75147026997638</v>
      </c>
      <c r="G159" s="65"/>
    </row>
    <row r="160" spans="2:7" x14ac:dyDescent="0.2">
      <c r="B160" s="49">
        <v>154</v>
      </c>
      <c r="C160" s="49">
        <v>10991.916336734175</v>
      </c>
      <c r="D160" s="49">
        <v>5218.2072483752745</v>
      </c>
      <c r="E160" s="49">
        <v>8718.9241508223713</v>
      </c>
      <c r="F160" s="49">
        <v>3500.7169024470968</v>
      </c>
      <c r="G160" s="65"/>
    </row>
    <row r="161" spans="2:7" x14ac:dyDescent="0.2">
      <c r="B161" s="49">
        <v>155</v>
      </c>
      <c r="C161" s="49">
        <v>9601.4408511942529</v>
      </c>
      <c r="D161" s="49">
        <v>6621.7663876341639</v>
      </c>
      <c r="E161" s="49">
        <v>7953.4216806173863</v>
      </c>
      <c r="F161" s="49">
        <v>1331.6552929832224</v>
      </c>
      <c r="G161" s="65"/>
    </row>
    <row r="162" spans="2:7" x14ac:dyDescent="0.2">
      <c r="B162" s="49">
        <v>156</v>
      </c>
      <c r="C162" s="49">
        <v>6717.1543285616572</v>
      </c>
      <c r="D162" s="49">
        <v>8916.5815065392489</v>
      </c>
      <c r="E162" s="49">
        <v>6365.5271216587598</v>
      </c>
      <c r="F162" s="49">
        <v>-2551.0543848804891</v>
      </c>
      <c r="G162" s="65"/>
    </row>
    <row r="163" spans="2:7" x14ac:dyDescent="0.2">
      <c r="B163" s="49">
        <v>157</v>
      </c>
      <c r="C163" s="49">
        <v>13379.758765755085</v>
      </c>
      <c r="D163" s="49">
        <v>9520.4323967249093</v>
      </c>
      <c r="E163" s="49">
        <v>10033.509914386555</v>
      </c>
      <c r="F163" s="49">
        <v>513.0775176616462</v>
      </c>
      <c r="G163" s="65"/>
    </row>
    <row r="164" spans="2:7" x14ac:dyDescent="0.2">
      <c r="B164" s="49">
        <v>158</v>
      </c>
      <c r="C164" s="49">
        <v>11883.30688487421</v>
      </c>
      <c r="D164" s="49">
        <v>10221.712010739364</v>
      </c>
      <c r="E164" s="49">
        <v>9209.6639543030578</v>
      </c>
      <c r="F164" s="49">
        <v>-1012.0480564363061</v>
      </c>
      <c r="G164" s="65"/>
    </row>
    <row r="165" spans="2:7" x14ac:dyDescent="0.2">
      <c r="B165" s="49">
        <v>159</v>
      </c>
      <c r="C165" s="49">
        <v>14062.124479375734</v>
      </c>
      <c r="D165" s="49">
        <v>13076.118412078704</v>
      </c>
      <c r="E165" s="49">
        <v>10409.17467424168</v>
      </c>
      <c r="F165" s="49">
        <v>-2666.9437378370239</v>
      </c>
      <c r="G165" s="65"/>
    </row>
    <row r="166" spans="2:7" x14ac:dyDescent="0.2">
      <c r="B166" s="49">
        <v>160</v>
      </c>
      <c r="C166" s="49">
        <v>9817.3447583425004</v>
      </c>
      <c r="D166" s="49">
        <v>11793.990251452571</v>
      </c>
      <c r="E166" s="49">
        <v>8072.2838798921293</v>
      </c>
      <c r="F166" s="49">
        <v>-3721.7063715604418</v>
      </c>
      <c r="G166" s="65"/>
    </row>
    <row r="167" spans="2:7" x14ac:dyDescent="0.2">
      <c r="B167" s="49">
        <v>161</v>
      </c>
      <c r="C167" s="49">
        <v>4559.4440440885919</v>
      </c>
      <c r="D167" s="49">
        <v>8570.0947522269325</v>
      </c>
      <c r="E167" s="49">
        <v>5177.6366698472611</v>
      </c>
      <c r="F167" s="49">
        <v>-3392.4580823796714</v>
      </c>
      <c r="G167" s="65"/>
    </row>
    <row r="168" spans="2:7" x14ac:dyDescent="0.2">
      <c r="B168" s="49">
        <v>162</v>
      </c>
      <c r="C168" s="49">
        <v>12896.521616115573</v>
      </c>
      <c r="D168" s="49">
        <v>8326.4428913177326</v>
      </c>
      <c r="E168" s="49">
        <v>9767.4719758606407</v>
      </c>
      <c r="F168" s="49">
        <v>1441.0290845429081</v>
      </c>
      <c r="G168" s="65"/>
    </row>
    <row r="169" spans="2:7" x14ac:dyDescent="0.2">
      <c r="B169" s="49">
        <v>163</v>
      </c>
      <c r="C169" s="49">
        <v>17308.623274087193</v>
      </c>
      <c r="D169" s="49">
        <v>10058.865521432686</v>
      </c>
      <c r="E169" s="49">
        <v>12196.47899762867</v>
      </c>
      <c r="F169" s="49">
        <v>2137.6134761959838</v>
      </c>
      <c r="G169" s="65"/>
    </row>
    <row r="170" spans="2:7" x14ac:dyDescent="0.2">
      <c r="B170" s="49">
        <v>164</v>
      </c>
      <c r="C170" s="49">
        <v>5147.2919528355078</v>
      </c>
      <c r="D170" s="49">
        <v>10473.808745512284</v>
      </c>
      <c r="E170" s="49">
        <v>5501.2662706063584</v>
      </c>
      <c r="F170" s="49">
        <v>-4972.5424749059257</v>
      </c>
      <c r="G170" s="65"/>
    </row>
    <row r="171" spans="2:7" x14ac:dyDescent="0.2">
      <c r="B171" s="49">
        <v>165</v>
      </c>
      <c r="C171" s="49">
        <v>5054.2890933301369</v>
      </c>
      <c r="D171" s="49">
        <v>7664.7936755309047</v>
      </c>
      <c r="E171" s="49">
        <v>5450.0651387432936</v>
      </c>
      <c r="F171" s="49">
        <v>-2214.7285367876111</v>
      </c>
      <c r="G171" s="65"/>
    </row>
    <row r="172" spans="2:7" x14ac:dyDescent="0.2">
      <c r="B172" s="49">
        <v>166</v>
      </c>
      <c r="C172" s="49">
        <v>5804.4519741272534</v>
      </c>
      <c r="D172" s="49">
        <v>5325.1686636567001</v>
      </c>
      <c r="E172" s="49">
        <v>5863.0544681332321</v>
      </c>
      <c r="F172" s="49">
        <v>537.88580447653203</v>
      </c>
      <c r="G172" s="65"/>
    </row>
    <row r="173" spans="2:7" x14ac:dyDescent="0.2">
      <c r="B173" s="49">
        <v>167</v>
      </c>
      <c r="C173" s="49">
        <v>9527.4295727753579</v>
      </c>
      <c r="D173" s="49">
        <v>6538.3126326733154</v>
      </c>
      <c r="E173" s="49">
        <v>7912.6760385389189</v>
      </c>
      <c r="F173" s="49">
        <v>1374.3634058656035</v>
      </c>
      <c r="G173" s="65"/>
    </row>
    <row r="174" spans="2:7" x14ac:dyDescent="0.2">
      <c r="B174" s="49">
        <v>168</v>
      </c>
      <c r="C174" s="49">
        <v>13270.677633648935</v>
      </c>
      <c r="D174" s="49">
        <v>9020.072390306992</v>
      </c>
      <c r="E174" s="49">
        <v>9973.45716484269</v>
      </c>
      <c r="F174" s="49">
        <v>953.38477453569794</v>
      </c>
      <c r="G174" s="65"/>
    </row>
    <row r="175" spans="2:7" x14ac:dyDescent="0.2">
      <c r="B175" s="49">
        <v>169</v>
      </c>
      <c r="C175" s="49">
        <v>18638.202205458212</v>
      </c>
      <c r="D175" s="49">
        <v>13307.330871950448</v>
      </c>
      <c r="E175" s="49">
        <v>12928.455912634698</v>
      </c>
      <c r="F175" s="49">
        <v>-378.87495931574995</v>
      </c>
      <c r="G175" s="65"/>
    </row>
    <row r="176" spans="2:7" x14ac:dyDescent="0.2">
      <c r="B176" s="49">
        <v>170</v>
      </c>
      <c r="C176" s="49">
        <v>4471.2891105793442</v>
      </c>
      <c r="D176" s="49">
        <v>10341.335393687967</v>
      </c>
      <c r="E176" s="49">
        <v>5129.1044806329483</v>
      </c>
      <c r="F176" s="49">
        <v>-5212.2309130550184</v>
      </c>
      <c r="G176" s="65"/>
    </row>
    <row r="177" spans="2:7" x14ac:dyDescent="0.2">
      <c r="B177" s="49">
        <v>171</v>
      </c>
      <c r="C177" s="49">
        <v>8137.6858536326963</v>
      </c>
      <c r="D177" s="49">
        <v>8785.7578753723701</v>
      </c>
      <c r="E177" s="49">
        <v>7147.576429794306</v>
      </c>
      <c r="F177" s="49">
        <v>-1638.1814455780641</v>
      </c>
      <c r="G177" s="65"/>
    </row>
    <row r="178" spans="2:7" x14ac:dyDescent="0.2">
      <c r="B178" s="49">
        <v>172</v>
      </c>
      <c r="C178" s="49">
        <v>-12104.256075521742</v>
      </c>
      <c r="D178" s="49">
        <v>-7608.3519083486362</v>
      </c>
      <c r="E178" s="49">
        <v>-3996.2781074877821</v>
      </c>
      <c r="F178" s="49">
        <v>3612.0738008608541</v>
      </c>
      <c r="G178" s="65"/>
    </row>
    <row r="179" spans="2:7" x14ac:dyDescent="0.2">
      <c r="B179" s="49">
        <v>173</v>
      </c>
      <c r="C179" s="49">
        <v>5387.7921451759385</v>
      </c>
      <c r="D179" s="49">
        <v>-8096.2383545301054</v>
      </c>
      <c r="E179" s="49">
        <v>5633.6695335447821</v>
      </c>
      <c r="F179" s="49">
        <v>13729.907888074888</v>
      </c>
      <c r="G179" s="65"/>
    </row>
    <row r="180" spans="2:7" x14ac:dyDescent="0.2">
      <c r="B180" s="49">
        <v>174</v>
      </c>
      <c r="C180" s="49">
        <v>8451.3665899714142</v>
      </c>
      <c r="D180" s="49">
        <v>-8198.9573135251576</v>
      </c>
      <c r="E180" s="49">
        <v>7320.2679882001466</v>
      </c>
      <c r="F180" s="49">
        <v>15519.225301725304</v>
      </c>
      <c r="G180" s="65"/>
    </row>
    <row r="181" spans="2:7" x14ac:dyDescent="0.2">
      <c r="B181" s="49">
        <v>175</v>
      </c>
      <c r="C181" s="49">
        <v>6557.6121368860886</v>
      </c>
      <c r="D181" s="49">
        <v>6683.8675162489753</v>
      </c>
      <c r="E181" s="49">
        <v>6277.6938997863563</v>
      </c>
      <c r="F181" s="49">
        <v>-406.17361646261907</v>
      </c>
      <c r="G181" s="65"/>
    </row>
    <row r="182" spans="2:7" x14ac:dyDescent="0.2">
      <c r="B182" s="49">
        <v>176</v>
      </c>
      <c r="C182" s="49">
        <v>12948.027954471596</v>
      </c>
      <c r="D182" s="49">
        <v>8952.7975694949673</v>
      </c>
      <c r="E182" s="49">
        <v>9795.8279085273989</v>
      </c>
      <c r="F182" s="49">
        <v>843.03033903243158</v>
      </c>
      <c r="G182" s="65"/>
    </row>
    <row r="183" spans="2:7" x14ac:dyDescent="0.2">
      <c r="B183" s="49">
        <v>177</v>
      </c>
      <c r="C183" s="49">
        <v>10135.496320724689</v>
      </c>
      <c r="D183" s="49">
        <v>9511.8455888755761</v>
      </c>
      <c r="E183" s="49">
        <v>8247.4367750246693</v>
      </c>
      <c r="F183" s="49">
        <v>-1264.4088138509069</v>
      </c>
      <c r="G183" s="65"/>
    </row>
    <row r="184" spans="2:7" x14ac:dyDescent="0.2">
      <c r="B184" s="49">
        <v>178</v>
      </c>
      <c r="C184" s="49">
        <v>11762.231926208053</v>
      </c>
      <c r="D184" s="49">
        <v>11557.027031227703</v>
      </c>
      <c r="E184" s="49">
        <v>9143.008208910378</v>
      </c>
      <c r="F184" s="49">
        <v>-2414.0188223173245</v>
      </c>
      <c r="G184" s="65"/>
    </row>
    <row r="185" spans="2:7" x14ac:dyDescent="0.2">
      <c r="B185" s="49">
        <v>179</v>
      </c>
      <c r="C185" s="49">
        <v>12371.153102739128</v>
      </c>
      <c r="D185" s="49">
        <v>11382.779249683819</v>
      </c>
      <c r="E185" s="49">
        <v>9478.2393364218897</v>
      </c>
      <c r="F185" s="49">
        <v>-1904.5399132619295</v>
      </c>
      <c r="G185" s="65"/>
    </row>
    <row r="186" spans="2:7" x14ac:dyDescent="0.2">
      <c r="B186" s="49">
        <v>180</v>
      </c>
      <c r="C186" s="49">
        <v>14715.371448159927</v>
      </c>
      <c r="D186" s="49">
        <v>12889.13333641688</v>
      </c>
      <c r="E186" s="49">
        <v>10768.8086077116</v>
      </c>
      <c r="F186" s="49">
        <v>-2120.32472870528</v>
      </c>
      <c r="G186" s="65"/>
    </row>
    <row r="187" spans="2:7" x14ac:dyDescent="0.2">
      <c r="B187" s="49">
        <v>181</v>
      </c>
      <c r="C187" s="49">
        <v>15026.296416129739</v>
      </c>
      <c r="D187" s="49">
        <v>13985.493234506299</v>
      </c>
      <c r="E187" s="49">
        <v>10939.98302502747</v>
      </c>
      <c r="F187" s="49">
        <v>-3045.510209478829</v>
      </c>
      <c r="G187" s="65"/>
    </row>
    <row r="188" spans="2:7" x14ac:dyDescent="0.2">
      <c r="B188" s="49">
        <v>182</v>
      </c>
      <c r="C188" s="49">
        <v>6322.3242228577965</v>
      </c>
      <c r="D188" s="49">
        <v>11181.49776931268</v>
      </c>
      <c r="E188" s="49">
        <v>6148.1601674256617</v>
      </c>
      <c r="F188" s="49">
        <v>-5033.3376018870185</v>
      </c>
      <c r="G188" s="65"/>
    </row>
    <row r="189" spans="2:7" x14ac:dyDescent="0.2">
      <c r="B189" s="49">
        <v>183</v>
      </c>
      <c r="C189" s="49">
        <v>10369.235595007933</v>
      </c>
      <c r="D189" s="49">
        <v>9950.0474644906117</v>
      </c>
      <c r="E189" s="49">
        <v>8376.1179302902474</v>
      </c>
      <c r="F189" s="49">
        <v>-1573.9295342003643</v>
      </c>
      <c r="G189" s="65"/>
    </row>
    <row r="190" spans="2:7" x14ac:dyDescent="0.2">
      <c r="B190" s="49">
        <v>184</v>
      </c>
      <c r="C190" s="49">
        <v>10651.308221746236</v>
      </c>
      <c r="D190" s="49">
        <v>8871.7402787654701</v>
      </c>
      <c r="E190" s="49">
        <v>8531.4081851641295</v>
      </c>
      <c r="F190" s="49">
        <v>-340.3320936013406</v>
      </c>
      <c r="G190" s="65"/>
    </row>
    <row r="191" spans="2:7" x14ac:dyDescent="0.2">
      <c r="B191" s="49">
        <v>185</v>
      </c>
      <c r="C191" s="49">
        <v>13168.429815000763</v>
      </c>
      <c r="D191" s="49">
        <v>11329.94745875292</v>
      </c>
      <c r="E191" s="49">
        <v>9917.1663790199855</v>
      </c>
      <c r="F191" s="49">
        <v>-1412.7810797329348</v>
      </c>
      <c r="G191" s="65"/>
    </row>
    <row r="192" spans="2:7" x14ac:dyDescent="0.2">
      <c r="B192" s="49">
        <v>186</v>
      </c>
      <c r="C192" s="49">
        <v>11838.085312229256</v>
      </c>
      <c r="D192" s="49">
        <v>11841.4841230488</v>
      </c>
      <c r="E192" s="49">
        <v>9184.767991787885</v>
      </c>
      <c r="F192" s="49">
        <v>-2656.7161312609151</v>
      </c>
      <c r="G192" s="65"/>
    </row>
    <row r="193" spans="2:7" x14ac:dyDescent="0.2">
      <c r="B193" s="49">
        <v>187</v>
      </c>
      <c r="C193" s="49">
        <v>9831.82095426263</v>
      </c>
      <c r="D193" s="49">
        <v>11529.659277789287</v>
      </c>
      <c r="E193" s="49">
        <v>8080.253501687891</v>
      </c>
      <c r="F193" s="49">
        <v>-3449.4057761013964</v>
      </c>
      <c r="G193" s="65"/>
    </row>
    <row r="194" spans="2:7" x14ac:dyDescent="0.2">
      <c r="B194" s="49">
        <v>188</v>
      </c>
      <c r="C194" s="49">
        <v>3467.2428569584536</v>
      </c>
      <c r="D194" s="49">
        <v>7389.8092714831382</v>
      </c>
      <c r="E194" s="49">
        <v>4576.3440074424379</v>
      </c>
      <c r="F194" s="49">
        <v>-2813.4652640407003</v>
      </c>
      <c r="G194" s="65"/>
    </row>
    <row r="195" spans="2:7" x14ac:dyDescent="0.2">
      <c r="B195" s="49">
        <v>189</v>
      </c>
      <c r="C195" s="49">
        <v>5523.2206233741636</v>
      </c>
      <c r="D195" s="49">
        <v>5731.5251817611961</v>
      </c>
      <c r="E195" s="49">
        <v>5708.2273633482955</v>
      </c>
      <c r="F195" s="49">
        <v>-23.297818412900597</v>
      </c>
      <c r="G195" s="65"/>
    </row>
    <row r="196" spans="2:7" x14ac:dyDescent="0.2">
      <c r="B196" s="49">
        <v>190</v>
      </c>
      <c r="C196" s="49">
        <v>9919.8744218545417</v>
      </c>
      <c r="D196" s="49">
        <v>5748.5848050160957</v>
      </c>
      <c r="E196" s="49">
        <v>8128.729830578759</v>
      </c>
      <c r="F196" s="49">
        <v>2380.1450255626632</v>
      </c>
      <c r="G196" s="65"/>
    </row>
    <row r="197" spans="2:7" x14ac:dyDescent="0.2">
      <c r="B197" s="49">
        <v>191</v>
      </c>
      <c r="C197" s="49">
        <v>4503.4245180304679</v>
      </c>
      <c r="D197" s="49">
        <v>6272.1121877765545</v>
      </c>
      <c r="E197" s="49">
        <v>5146.7960789679801</v>
      </c>
      <c r="F197" s="49">
        <v>-1125.3161088085744</v>
      </c>
      <c r="G197" s="65"/>
    </row>
    <row r="198" spans="2:7" x14ac:dyDescent="0.2">
      <c r="B198" s="49">
        <v>192</v>
      </c>
      <c r="C198" s="49">
        <v>4799.1835013241871</v>
      </c>
      <c r="D198" s="49">
        <v>5985.110037270756</v>
      </c>
      <c r="E198" s="49">
        <v>5309.6211230993722</v>
      </c>
      <c r="F198" s="49">
        <v>-675.48891417138384</v>
      </c>
      <c r="G198" s="65"/>
    </row>
    <row r="199" spans="2:7" x14ac:dyDescent="0.2">
      <c r="B199" s="49">
        <v>193</v>
      </c>
      <c r="C199" s="49">
        <v>11078.850890818938</v>
      </c>
      <c r="D199" s="49">
        <v>6209.6671297580288</v>
      </c>
      <c r="E199" s="49">
        <v>8766.7844810404295</v>
      </c>
      <c r="F199" s="49">
        <v>2557.1173512824007</v>
      </c>
      <c r="G199" s="65"/>
    </row>
    <row r="200" spans="2:7" x14ac:dyDescent="0.2">
      <c r="B200" s="49">
        <v>194</v>
      </c>
      <c r="C200" s="49">
        <v>14789.469721946469</v>
      </c>
      <c r="D200" s="49">
        <v>9230.0678161099622</v>
      </c>
      <c r="E200" s="49">
        <v>10809.60214360015</v>
      </c>
      <c r="F200" s="49">
        <v>1579.5343274901879</v>
      </c>
      <c r="G200" s="65"/>
    </row>
    <row r="201" spans="2:7" x14ac:dyDescent="0.2">
      <c r="B201" s="49">
        <v>195</v>
      </c>
      <c r="C201" s="49">
        <v>11377.883015263089</v>
      </c>
      <c r="D201" s="49">
        <v>12307.492921738292</v>
      </c>
      <c r="E201" s="49">
        <v>8931.4114969879665</v>
      </c>
      <c r="F201" s="49">
        <v>-3376.0814247503258</v>
      </c>
      <c r="G201" s="65"/>
    </row>
    <row r="202" spans="2:7" x14ac:dyDescent="0.2">
      <c r="B202" s="49">
        <v>196</v>
      </c>
      <c r="C202" s="49">
        <v>16145.923987565329</v>
      </c>
      <c r="D202" s="49">
        <v>13953.794521714866</v>
      </c>
      <c r="E202" s="49">
        <v>11556.374813704526</v>
      </c>
      <c r="F202" s="49">
        <v>-2397.4197080103404</v>
      </c>
      <c r="G202" s="65"/>
    </row>
    <row r="203" spans="2:7" x14ac:dyDescent="0.2">
      <c r="B203" s="49">
        <v>197</v>
      </c>
      <c r="C203" s="49">
        <v>11680.129823455054</v>
      </c>
      <c r="D203" s="49">
        <v>12898.048704460949</v>
      </c>
      <c r="E203" s="49">
        <v>9097.8083020295744</v>
      </c>
      <c r="F203" s="49">
        <v>-3800.2404024313746</v>
      </c>
      <c r="G203" s="65"/>
    </row>
    <row r="204" spans="2:7" x14ac:dyDescent="0.2">
      <c r="B204" s="49">
        <v>198</v>
      </c>
      <c r="C204" s="49">
        <v>12329.854693330832</v>
      </c>
      <c r="D204" s="49">
        <v>13248.178694092057</v>
      </c>
      <c r="E204" s="49">
        <v>9455.5032042524599</v>
      </c>
      <c r="F204" s="49">
        <v>-3792.6754898395975</v>
      </c>
      <c r="G204" s="65"/>
    </row>
    <row r="205" spans="2:7" x14ac:dyDescent="0.2">
      <c r="B205" s="49">
        <v>199</v>
      </c>
      <c r="C205" s="49">
        <v>6880.3831543354827</v>
      </c>
      <c r="D205" s="49">
        <v>9969.4856083635168</v>
      </c>
      <c r="E205" s="49">
        <v>6455.3899568097177</v>
      </c>
      <c r="F205" s="49">
        <v>-3514.0956515537991</v>
      </c>
      <c r="G205" s="65"/>
    </row>
    <row r="206" spans="2:7" x14ac:dyDescent="0.2">
      <c r="B206" s="49">
        <v>200</v>
      </c>
      <c r="C206" s="49">
        <v>10925.431628521977</v>
      </c>
      <c r="D206" s="49">
        <v>9749.9651185764196</v>
      </c>
      <c r="E206" s="49">
        <v>8682.322133097814</v>
      </c>
      <c r="F206" s="49">
        <v>-1067.6429854786056</v>
      </c>
      <c r="G206" s="65"/>
    </row>
  </sheetData>
  <hyperlinks>
    <hyperlink ref="A1" location="Assumptions!A1" display="Back to Assumptions" xr:uid="{03A78126-2041-9C4D-AA0A-C55FD619C6C4}"/>
    <hyperlink ref="A3" r:id="rId1" xr:uid="{D88203D2-13D5-D842-9232-C77F37A867DA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DCC3-D989-BB4A-9D46-FF1F9DF35C1D}">
  <sheetPr>
    <tabColor rgb="FFFFC000"/>
  </sheetPr>
  <dimension ref="A1:M105"/>
  <sheetViews>
    <sheetView workbookViewId="0"/>
  </sheetViews>
  <sheetFormatPr baseColWidth="10" defaultRowHeight="26" x14ac:dyDescent="0.3"/>
  <cols>
    <col min="1" max="1" width="10.83203125" style="34"/>
    <col min="2" max="3" width="25.1640625" style="34" customWidth="1"/>
    <col min="4" max="4" width="23" style="34" bestFit="1" customWidth="1"/>
    <col min="5" max="5" width="24.6640625" style="34" bestFit="1" customWidth="1"/>
    <col min="6" max="6" width="20.33203125" style="34" bestFit="1" customWidth="1"/>
    <col min="7" max="7" width="17" style="34" bestFit="1" customWidth="1"/>
    <col min="8" max="8" width="21.33203125" style="34" bestFit="1" customWidth="1"/>
    <col min="9" max="16384" width="10.83203125" style="34"/>
  </cols>
  <sheetData>
    <row r="1" spans="1:13" x14ac:dyDescent="0.3">
      <c r="A1" s="48" t="s">
        <v>138</v>
      </c>
    </row>
    <row r="2" spans="1:13" x14ac:dyDescent="0.3">
      <c r="F2" s="35"/>
      <c r="G2" s="35"/>
      <c r="H2" s="68" t="s">
        <v>157</v>
      </c>
      <c r="I2" s="67"/>
      <c r="J2" s="67"/>
      <c r="K2" s="67"/>
      <c r="L2" s="67"/>
      <c r="M2" s="67"/>
    </row>
    <row r="3" spans="1:13" x14ac:dyDescent="0.3">
      <c r="F3" s="50"/>
      <c r="G3" s="50"/>
      <c r="H3" s="68" t="s">
        <v>166</v>
      </c>
      <c r="I3" s="67"/>
      <c r="J3" s="67"/>
      <c r="K3" s="67"/>
      <c r="L3" s="67"/>
      <c r="M3" s="67"/>
    </row>
    <row r="4" spans="1:13" x14ac:dyDescent="0.3">
      <c r="H4" s="68" t="s">
        <v>156</v>
      </c>
      <c r="I4" s="67"/>
      <c r="J4" s="67"/>
      <c r="K4" s="67"/>
      <c r="L4" s="67"/>
      <c r="M4" s="67"/>
    </row>
    <row r="5" spans="1:13" s="35" customFormat="1" x14ac:dyDescent="0.3">
      <c r="B5" s="35" t="s">
        <v>144</v>
      </c>
      <c r="C5" s="35" t="s">
        <v>145</v>
      </c>
      <c r="D5" s="35" t="s">
        <v>146</v>
      </c>
      <c r="E5" s="35" t="s">
        <v>5</v>
      </c>
      <c r="F5" s="35" t="s">
        <v>136</v>
      </c>
    </row>
    <row r="6" spans="1:13" x14ac:dyDescent="0.3">
      <c r="B6" s="34">
        <v>23.098526352389094</v>
      </c>
      <c r="C6" s="34">
        <v>1.57135328594292</v>
      </c>
      <c r="D6" s="51">
        <v>231479.72642132867</v>
      </c>
      <c r="E6" s="51">
        <v>232987.14621584222</v>
      </c>
      <c r="F6" s="52">
        <f>D6-E6</f>
        <v>-1507.4197945135529</v>
      </c>
    </row>
    <row r="7" spans="1:13" x14ac:dyDescent="0.3">
      <c r="B7" s="34">
        <v>9.8172272062085497</v>
      </c>
      <c r="C7" s="34">
        <v>1.2182171965291473</v>
      </c>
      <c r="D7" s="51">
        <v>109797.57502418527</v>
      </c>
      <c r="E7" s="51">
        <v>109530.62759897124</v>
      </c>
      <c r="F7" s="52">
        <f t="shared" ref="F7:F70" si="0">D7-E7</f>
        <v>266.94742521402077</v>
      </c>
    </row>
    <row r="8" spans="1:13" x14ac:dyDescent="0.3">
      <c r="B8" s="34">
        <v>15.699406254619802</v>
      </c>
      <c r="C8" s="34">
        <v>1.3738190255392217</v>
      </c>
      <c r="D8" s="51">
        <v>157840.7150113307</v>
      </c>
      <c r="E8" s="51">
        <v>163793.42265420069</v>
      </c>
      <c r="F8" s="52">
        <f t="shared" si="0"/>
        <v>-5952.7076428699947</v>
      </c>
    </row>
    <row r="9" spans="1:13" x14ac:dyDescent="0.3">
      <c r="B9" s="34">
        <v>33.698155095423147</v>
      </c>
      <c r="C9" s="34">
        <v>1.9651740502136903</v>
      </c>
      <c r="D9" s="51">
        <v>381113.69966800907</v>
      </c>
      <c r="E9" s="51">
        <v>389675.76758645044</v>
      </c>
      <c r="F9" s="52">
        <f t="shared" si="0"/>
        <v>-8562.0679184413748</v>
      </c>
    </row>
    <row r="10" spans="1:13" x14ac:dyDescent="0.3">
      <c r="B10" s="34">
        <v>4.9781962928381986</v>
      </c>
      <c r="C10" s="34">
        <v>1.0999730627361892</v>
      </c>
      <c r="D10" s="51">
        <v>77379.40911567588</v>
      </c>
      <c r="E10" s="51">
        <v>69961.240776884544</v>
      </c>
      <c r="F10" s="52">
        <f t="shared" si="0"/>
        <v>7418.1683387913363</v>
      </c>
    </row>
    <row r="11" spans="1:13" x14ac:dyDescent="0.3">
      <c r="B11" s="34">
        <v>43.214576463961009</v>
      </c>
      <c r="C11" s="34">
        <v>2.3259152665785998</v>
      </c>
      <c r="D11" s="51">
        <v>552567.21568127582</v>
      </c>
      <c r="E11" s="51">
        <v>534073.58940621582</v>
      </c>
      <c r="F11" s="52">
        <f t="shared" si="0"/>
        <v>18493.62627506</v>
      </c>
    </row>
    <row r="12" spans="1:13" x14ac:dyDescent="0.3">
      <c r="B12" s="34">
        <v>21.717488404189034</v>
      </c>
      <c r="C12" s="34">
        <v>1.50955867879494</v>
      </c>
      <c r="D12" s="51">
        <v>213919.11551086014</v>
      </c>
      <c r="E12" s="51">
        <v>207127.63622365531</v>
      </c>
      <c r="F12" s="52">
        <f t="shared" si="0"/>
        <v>6791.4792872048274</v>
      </c>
    </row>
    <row r="13" spans="1:13" x14ac:dyDescent="0.3">
      <c r="B13" s="34">
        <v>15.657028127802846</v>
      </c>
      <c r="C13" s="34">
        <v>1.3646768294095399</v>
      </c>
      <c r="D13" s="51">
        <v>156833.91751712986</v>
      </c>
      <c r="E13" s="51">
        <v>159236.77517557598</v>
      </c>
      <c r="F13" s="52">
        <f t="shared" si="0"/>
        <v>-2402.8576584461262</v>
      </c>
    </row>
    <row r="14" spans="1:13" x14ac:dyDescent="0.3">
      <c r="B14" s="34">
        <v>44.035614458103616</v>
      </c>
      <c r="C14" s="34">
        <v>2.3941875299859254</v>
      </c>
      <c r="D14" s="51">
        <v>577147.59505429806</v>
      </c>
      <c r="E14" s="51">
        <v>565824.59894963016</v>
      </c>
      <c r="F14" s="52">
        <f t="shared" si="0"/>
        <v>11322.996104667895</v>
      </c>
    </row>
    <row r="15" spans="1:13" x14ac:dyDescent="0.3">
      <c r="B15" s="34">
        <v>23.956452243718459</v>
      </c>
      <c r="C15" s="34">
        <v>1.6086692522682753</v>
      </c>
      <c r="D15" s="51">
        <v>242690.04058951608</v>
      </c>
      <c r="E15" s="51">
        <v>248494.82847897871</v>
      </c>
      <c r="F15" s="52">
        <f t="shared" si="0"/>
        <v>-5804.7878894626338</v>
      </c>
    </row>
    <row r="16" spans="1:13" x14ac:dyDescent="0.3">
      <c r="B16" s="34">
        <v>33.548328553206744</v>
      </c>
      <c r="C16" s="34">
        <v>1.9171386383688622</v>
      </c>
      <c r="D16" s="51">
        <v>371583.98461022996</v>
      </c>
      <c r="E16" s="51">
        <v>365405.25216901</v>
      </c>
      <c r="F16" s="52">
        <f t="shared" si="0"/>
        <v>6178.7324412199669</v>
      </c>
    </row>
    <row r="17" spans="2:6" x14ac:dyDescent="0.3">
      <c r="B17" s="34">
        <v>24.093920912573431</v>
      </c>
      <c r="C17" s="34">
        <v>1.632958186847876</v>
      </c>
      <c r="D17" s="51">
        <v>246721.82703726017</v>
      </c>
      <c r="E17" s="51">
        <v>260488.62090614275</v>
      </c>
      <c r="F17" s="52">
        <f t="shared" si="0"/>
        <v>-13766.793868882582</v>
      </c>
    </row>
    <row r="18" spans="2:6" x14ac:dyDescent="0.3">
      <c r="B18" s="34">
        <v>3.7211937948738196</v>
      </c>
      <c r="C18" s="34">
        <v>1.0771487503558803</v>
      </c>
      <c r="D18" s="51">
        <v>70041.396229901962</v>
      </c>
      <c r="E18" s="51">
        <v>63780.76831315225</v>
      </c>
      <c r="F18" s="52">
        <f t="shared" si="0"/>
        <v>6260.6279167497123</v>
      </c>
    </row>
    <row r="19" spans="2:6" x14ac:dyDescent="0.3">
      <c r="B19" s="34">
        <v>36.500131191532766</v>
      </c>
      <c r="C19" s="34">
        <v>2.0418532907306099</v>
      </c>
      <c r="D19" s="51">
        <v>422639.56492765085</v>
      </c>
      <c r="E19" s="51">
        <v>416852.48198171286</v>
      </c>
      <c r="F19" s="52">
        <f t="shared" si="0"/>
        <v>5787.0829459379893</v>
      </c>
    </row>
    <row r="20" spans="2:6" x14ac:dyDescent="0.3">
      <c r="B20" s="34">
        <v>36.890294185965033</v>
      </c>
      <c r="C20" s="34">
        <v>2.1234341296832402</v>
      </c>
      <c r="D20" s="51">
        <v>441670.54864266672</v>
      </c>
      <c r="E20" s="51">
        <v>457459.79392567079</v>
      </c>
      <c r="F20" s="52">
        <f t="shared" si="0"/>
        <v>-15789.245283004071</v>
      </c>
    </row>
    <row r="21" spans="2:6" x14ac:dyDescent="0.3">
      <c r="B21" s="34">
        <v>15.273360678657497</v>
      </c>
      <c r="C21" s="34">
        <v>1.3662412993145394</v>
      </c>
      <c r="D21" s="51">
        <v>154335.48069254309</v>
      </c>
      <c r="E21" s="51">
        <v>161780.83598124527</v>
      </c>
      <c r="F21" s="52">
        <f t="shared" si="0"/>
        <v>-7445.3552887021797</v>
      </c>
    </row>
    <row r="22" spans="2:6" x14ac:dyDescent="0.3">
      <c r="B22" s="34">
        <v>12.669456498991096</v>
      </c>
      <c r="C22" s="34">
        <v>1.2686715381369893</v>
      </c>
      <c r="D22" s="51">
        <v>130366.89431967355</v>
      </c>
      <c r="E22" s="51">
        <v>122860.89895041904</v>
      </c>
      <c r="F22" s="52">
        <f t="shared" si="0"/>
        <v>7505.9953692545096</v>
      </c>
    </row>
    <row r="23" spans="2:6" x14ac:dyDescent="0.3">
      <c r="B23" s="34">
        <v>29.198374850063317</v>
      </c>
      <c r="C23" s="34">
        <v>1.7523419718312065</v>
      </c>
      <c r="D23" s="51">
        <v>305827.68879513332</v>
      </c>
      <c r="E23" s="51">
        <v>299451.96634264127</v>
      </c>
      <c r="F23" s="52">
        <f t="shared" si="0"/>
        <v>6375.7224524920457</v>
      </c>
    </row>
    <row r="24" spans="2:6" x14ac:dyDescent="0.3">
      <c r="B24" s="34">
        <v>29.256570520186742</v>
      </c>
      <c r="C24" s="34">
        <v>1.774407476095448</v>
      </c>
      <c r="D24" s="51">
        <v>309565.38727966521</v>
      </c>
      <c r="E24" s="51">
        <v>310648.81747440377</v>
      </c>
      <c r="F24" s="52">
        <f t="shared" si="0"/>
        <v>-1083.4301947385538</v>
      </c>
    </row>
    <row r="25" spans="2:6" x14ac:dyDescent="0.3">
      <c r="B25" s="34">
        <v>23.351870317524082</v>
      </c>
      <c r="C25" s="34">
        <v>1.5724977730398697</v>
      </c>
      <c r="D25" s="51">
        <v>233603.82035311224</v>
      </c>
      <c r="E25" s="51">
        <v>232438.13155078061</v>
      </c>
      <c r="F25" s="52">
        <f t="shared" si="0"/>
        <v>1165.6888023316278</v>
      </c>
    </row>
    <row r="26" spans="2:6" x14ac:dyDescent="0.3">
      <c r="B26" s="34">
        <v>34.344441472246963</v>
      </c>
      <c r="C26" s="34">
        <v>2.0299414561621347</v>
      </c>
      <c r="D26" s="51">
        <v>398586.02766624105</v>
      </c>
      <c r="E26" s="51">
        <v>420395.25375481462</v>
      </c>
      <c r="F26" s="52">
        <f t="shared" si="0"/>
        <v>-21809.226088573574</v>
      </c>
    </row>
    <row r="27" spans="2:6" x14ac:dyDescent="0.3">
      <c r="B27" s="34">
        <v>35.836921494309642</v>
      </c>
      <c r="C27" s="34">
        <v>2.0589761461280585</v>
      </c>
      <c r="D27" s="51">
        <v>418936.83253723721</v>
      </c>
      <c r="E27" s="51">
        <v>428738.26621731976</v>
      </c>
      <c r="F27" s="52">
        <f t="shared" si="0"/>
        <v>-9801.4336800825549</v>
      </c>
    </row>
    <row r="28" spans="2:6" x14ac:dyDescent="0.3">
      <c r="B28" s="34">
        <v>6.7468328017088481</v>
      </c>
      <c r="C28" s="34">
        <v>1.1422009059941438</v>
      </c>
      <c r="D28" s="51">
        <v>88531.192693514269</v>
      </c>
      <c r="E28" s="51">
        <v>83909.63588841958</v>
      </c>
      <c r="F28" s="52">
        <f t="shared" si="0"/>
        <v>4621.5568050946895</v>
      </c>
    </row>
    <row r="29" spans="2:6" x14ac:dyDescent="0.3">
      <c r="B29" s="34">
        <v>12.780319096862833</v>
      </c>
      <c r="C29" s="34">
        <v>1.299106635233015</v>
      </c>
      <c r="D29" s="51">
        <v>133014.98669564858</v>
      </c>
      <c r="E29" s="51">
        <v>138166.71828588156</v>
      </c>
      <c r="F29" s="52">
        <f t="shared" si="0"/>
        <v>-5151.7315902329865</v>
      </c>
    </row>
    <row r="30" spans="2:6" x14ac:dyDescent="0.3">
      <c r="B30" s="34">
        <v>36.093023224168391</v>
      </c>
      <c r="C30" s="34">
        <v>2.0448625733792194</v>
      </c>
      <c r="D30" s="51">
        <v>419026.36175604456</v>
      </c>
      <c r="E30" s="51">
        <v>420252.68371108128</v>
      </c>
      <c r="F30" s="52">
        <f t="shared" si="0"/>
        <v>-1226.3219550367212</v>
      </c>
    </row>
    <row r="31" spans="2:6" x14ac:dyDescent="0.3">
      <c r="B31" s="34">
        <v>35.224764762545441</v>
      </c>
      <c r="C31" s="34">
        <v>1.9327153705406479</v>
      </c>
      <c r="D31" s="51">
        <v>390397.22140125086</v>
      </c>
      <c r="E31" s="51">
        <v>365928.77667688299</v>
      </c>
      <c r="F31" s="52">
        <f t="shared" si="0"/>
        <v>24468.444724367873</v>
      </c>
    </row>
    <row r="32" spans="2:6" x14ac:dyDescent="0.3">
      <c r="B32" s="34">
        <v>19.105676267960497</v>
      </c>
      <c r="C32" s="34">
        <v>1.4567811072326973</v>
      </c>
      <c r="D32" s="51">
        <v>189163.9411403448</v>
      </c>
      <c r="E32" s="51">
        <v>191505.76718318323</v>
      </c>
      <c r="F32" s="52">
        <f t="shared" si="0"/>
        <v>-2341.8260428384237</v>
      </c>
    </row>
    <row r="33" spans="2:6" x14ac:dyDescent="0.3">
      <c r="B33" s="34">
        <v>19.363465271215894</v>
      </c>
      <c r="C33" s="34">
        <v>1.4591615475061956</v>
      </c>
      <c r="D33" s="51">
        <v>191272.11975114929</v>
      </c>
      <c r="E33" s="51">
        <v>191578.5711390496</v>
      </c>
      <c r="F33" s="52">
        <f t="shared" si="0"/>
        <v>-306.45138790030614</v>
      </c>
    </row>
    <row r="34" spans="2:6" x14ac:dyDescent="0.3">
      <c r="B34" s="34">
        <v>30.764134915887645</v>
      </c>
      <c r="C34" s="34">
        <v>1.8416255418800827</v>
      </c>
      <c r="D34" s="51">
        <v>333280.08317471779</v>
      </c>
      <c r="E34" s="51">
        <v>338753.90722654958</v>
      </c>
      <c r="F34" s="52">
        <f t="shared" si="0"/>
        <v>-5473.8240518317907</v>
      </c>
    </row>
    <row r="35" spans="2:6" x14ac:dyDescent="0.3">
      <c r="B35" s="34">
        <v>33.493247140835038</v>
      </c>
      <c r="C35" s="34">
        <v>1.9702917991391837</v>
      </c>
      <c r="D35" s="51">
        <v>379957.3508406459</v>
      </c>
      <c r="E35" s="51">
        <v>393258.41066113755</v>
      </c>
      <c r="F35" s="52">
        <f t="shared" si="0"/>
        <v>-13301.059820491646</v>
      </c>
    </row>
    <row r="36" spans="2:6" x14ac:dyDescent="0.3">
      <c r="B36" s="34">
        <v>26.604403387965561</v>
      </c>
      <c r="C36" s="34">
        <v>1.7093162352671361</v>
      </c>
      <c r="D36" s="51">
        <v>277376.69320322765</v>
      </c>
      <c r="E36" s="51">
        <v>288814.09715392999</v>
      </c>
      <c r="F36" s="52">
        <f t="shared" si="0"/>
        <v>-11437.403950702341</v>
      </c>
    </row>
    <row r="37" spans="2:6" x14ac:dyDescent="0.3">
      <c r="B37" s="34">
        <v>43.303145482621183</v>
      </c>
      <c r="C37" s="34">
        <v>2.2547975492004371</v>
      </c>
      <c r="D37" s="51">
        <v>538199.13153442112</v>
      </c>
      <c r="E37" s="51">
        <v>496739.58092084702</v>
      </c>
      <c r="F37" s="52">
        <f t="shared" si="0"/>
        <v>41459.550613574102</v>
      </c>
    </row>
    <row r="38" spans="2:6" x14ac:dyDescent="0.3">
      <c r="B38" s="34">
        <v>20.327382459199718</v>
      </c>
      <c r="C38" s="34">
        <v>1.5011382792305106</v>
      </c>
      <c r="D38" s="51">
        <v>202571.05963031764</v>
      </c>
      <c r="E38" s="51">
        <v>209028.4153180779</v>
      </c>
      <c r="F38" s="52">
        <f t="shared" si="0"/>
        <v>-6457.3556877602532</v>
      </c>
    </row>
    <row r="39" spans="2:6" x14ac:dyDescent="0.3">
      <c r="B39" s="34">
        <v>2.0175154577719923</v>
      </c>
      <c r="C39" s="34">
        <v>1.0413718800379299</v>
      </c>
      <c r="D39" s="51">
        <v>60504.919326328018</v>
      </c>
      <c r="E39" s="51">
        <v>52889.452389323385</v>
      </c>
      <c r="F39" s="52">
        <f t="shared" si="0"/>
        <v>7615.4669370046322</v>
      </c>
    </row>
    <row r="40" spans="2:6" x14ac:dyDescent="0.3">
      <c r="B40" s="34">
        <v>25.909508392142214</v>
      </c>
      <c r="C40" s="34">
        <v>1.7019093832500232</v>
      </c>
      <c r="D40" s="51">
        <v>270478.17723991023</v>
      </c>
      <c r="E40" s="51">
        <v>288103.6242042043</v>
      </c>
      <c r="F40" s="52">
        <f t="shared" si="0"/>
        <v>-17625.446964294068</v>
      </c>
    </row>
    <row r="41" spans="2:6" x14ac:dyDescent="0.3">
      <c r="B41" s="34">
        <v>23.098749936836818</v>
      </c>
      <c r="C41" s="34">
        <v>1.5813584022546257</v>
      </c>
      <c r="D41" s="51">
        <v>232637.01147097701</v>
      </c>
      <c r="E41" s="51">
        <v>238182.19469163811</v>
      </c>
      <c r="F41" s="52">
        <f t="shared" si="0"/>
        <v>-5545.1832206610998</v>
      </c>
    </row>
    <row r="42" spans="2:6" x14ac:dyDescent="0.3">
      <c r="B42" s="34">
        <v>43.37587903717052</v>
      </c>
      <c r="C42" s="34">
        <v>2.3803255611101233</v>
      </c>
      <c r="D42" s="51">
        <v>566243.56803898874</v>
      </c>
      <c r="E42" s="51">
        <v>561603.04303333093</v>
      </c>
      <c r="F42" s="52">
        <f t="shared" si="0"/>
        <v>4640.5250056578079</v>
      </c>
    </row>
    <row r="43" spans="2:6" x14ac:dyDescent="0.3">
      <c r="B43" s="34">
        <v>18.728282363147933</v>
      </c>
      <c r="C43" s="34">
        <v>1.4381657256131046</v>
      </c>
      <c r="D43" s="51">
        <v>184671.86897141879</v>
      </c>
      <c r="E43" s="51">
        <v>183541.30920894106</v>
      </c>
      <c r="F43" s="52">
        <f t="shared" si="0"/>
        <v>1130.5597624777292</v>
      </c>
    </row>
    <row r="44" spans="2:6" x14ac:dyDescent="0.3">
      <c r="B44" s="34">
        <v>15.242791916722489</v>
      </c>
      <c r="C44" s="34">
        <v>1.3350797565796271</v>
      </c>
      <c r="D44" s="51">
        <v>151751.71460885883</v>
      </c>
      <c r="E44" s="51">
        <v>145735.36198458227</v>
      </c>
      <c r="F44" s="52">
        <f t="shared" si="0"/>
        <v>6016.3526242765656</v>
      </c>
    </row>
    <row r="45" spans="2:6" x14ac:dyDescent="0.3">
      <c r="B45" s="34">
        <v>16.664846178799472</v>
      </c>
      <c r="C45" s="34">
        <v>1.3789004858205358</v>
      </c>
      <c r="D45" s="51">
        <v>164895.82246035547</v>
      </c>
      <c r="E45" s="51">
        <v>162075.2024767946</v>
      </c>
      <c r="F45" s="52">
        <f t="shared" si="0"/>
        <v>2820.6199835608713</v>
      </c>
    </row>
    <row r="46" spans="2:6" x14ac:dyDescent="0.3">
      <c r="B46" s="34">
        <v>24.143420353555356</v>
      </c>
      <c r="C46" s="34">
        <v>1.5904917982190316</v>
      </c>
      <c r="D46" s="51">
        <v>241999.56026642112</v>
      </c>
      <c r="E46" s="51">
        <v>238210.72370904894</v>
      </c>
      <c r="F46" s="52">
        <f t="shared" si="0"/>
        <v>3788.8365573721821</v>
      </c>
    </row>
    <row r="47" spans="2:6" x14ac:dyDescent="0.3">
      <c r="B47" s="34">
        <v>38.67461640926529</v>
      </c>
      <c r="C47" s="34">
        <v>2.1542390267908198</v>
      </c>
      <c r="D47" s="51">
        <v>466571.84007501969</v>
      </c>
      <c r="E47" s="51">
        <v>465405.00285960408</v>
      </c>
      <c r="F47" s="52">
        <f t="shared" si="0"/>
        <v>1166.8372154156095</v>
      </c>
    </row>
    <row r="48" spans="2:6" x14ac:dyDescent="0.3">
      <c r="B48" s="34">
        <v>44.95942609667037</v>
      </c>
      <c r="C48" s="34">
        <v>2.4788552145793412</v>
      </c>
      <c r="D48" s="51">
        <v>607239.53912112932</v>
      </c>
      <c r="E48" s="51">
        <v>605626.56899247284</v>
      </c>
      <c r="F48" s="52">
        <f t="shared" si="0"/>
        <v>1612.9701286564814</v>
      </c>
    </row>
    <row r="49" spans="2:6" x14ac:dyDescent="0.3">
      <c r="B49" s="34">
        <v>15.508632129739837</v>
      </c>
      <c r="C49" s="34">
        <v>1.3412568399214913</v>
      </c>
      <c r="D49" s="51">
        <v>154005.29460919881</v>
      </c>
      <c r="E49" s="51">
        <v>147743.5779822967</v>
      </c>
      <c r="F49" s="52">
        <f t="shared" si="0"/>
        <v>6261.7166269021109</v>
      </c>
    </row>
    <row r="50" spans="2:6" x14ac:dyDescent="0.3">
      <c r="B50" s="34">
        <v>5.5784507570303674</v>
      </c>
      <c r="C50" s="34">
        <v>1.1149100121222919</v>
      </c>
      <c r="D50" s="51">
        <v>81097.35300572167</v>
      </c>
      <c r="E50" s="51">
        <v>75009.526729467791</v>
      </c>
      <c r="F50" s="52">
        <f t="shared" si="0"/>
        <v>6087.8262762538798</v>
      </c>
    </row>
    <row r="51" spans="2:6" x14ac:dyDescent="0.3">
      <c r="B51" s="34">
        <v>39.306574578123168</v>
      </c>
      <c r="C51" s="34">
        <v>2.1296949715880729</v>
      </c>
      <c r="D51" s="51">
        <v>468555.0711469024</v>
      </c>
      <c r="E51" s="51">
        <v>449806.1368610746</v>
      </c>
      <c r="F51" s="52">
        <f t="shared" si="0"/>
        <v>18748.934285827796</v>
      </c>
    </row>
    <row r="52" spans="2:6" x14ac:dyDescent="0.3">
      <c r="B52" s="34">
        <v>7.2454495731369306</v>
      </c>
      <c r="C52" s="34">
        <v>1.15809666332561</v>
      </c>
      <c r="D52" s="51">
        <v>91954.654874719214</v>
      </c>
      <c r="E52" s="51">
        <v>89914.580703385698</v>
      </c>
      <c r="F52" s="52">
        <f t="shared" si="0"/>
        <v>2040.0741713335156</v>
      </c>
    </row>
    <row r="53" spans="2:6" x14ac:dyDescent="0.3">
      <c r="B53" s="34">
        <v>11.57663338130196</v>
      </c>
      <c r="C53" s="34">
        <v>1.2528360328264474</v>
      </c>
      <c r="D53" s="51">
        <v>122518.11719458285</v>
      </c>
      <c r="E53" s="51">
        <v>119569.01905804675</v>
      </c>
      <c r="F53" s="52">
        <f t="shared" si="0"/>
        <v>2949.0981365361076</v>
      </c>
    </row>
    <row r="54" spans="2:6" x14ac:dyDescent="0.3">
      <c r="B54" s="34">
        <v>43.940404125482658</v>
      </c>
      <c r="C54" s="34">
        <v>2.3782025097867767</v>
      </c>
      <c r="D54" s="51">
        <v>572495.89686134038</v>
      </c>
      <c r="E54" s="51">
        <v>557952.6413587142</v>
      </c>
      <c r="F54" s="52">
        <f t="shared" si="0"/>
        <v>14543.255502626183</v>
      </c>
    </row>
    <row r="55" spans="2:6" x14ac:dyDescent="0.3">
      <c r="B55" s="34">
        <v>25.964732692813165</v>
      </c>
      <c r="C55" s="34">
        <v>1.6301773697318753</v>
      </c>
      <c r="D55" s="51">
        <v>261635.598234807</v>
      </c>
      <c r="E55" s="51">
        <v>250601.07860211865</v>
      </c>
      <c r="F55" s="52">
        <f t="shared" si="0"/>
        <v>11034.519632688345</v>
      </c>
    </row>
    <row r="56" spans="2:6" x14ac:dyDescent="0.3">
      <c r="B56" s="34">
        <v>30.190408988650873</v>
      </c>
      <c r="C56" s="34">
        <v>1.8107998672056445</v>
      </c>
      <c r="D56" s="51">
        <v>323343.94293766544</v>
      </c>
      <c r="E56" s="51">
        <v>325334.2413019638</v>
      </c>
      <c r="F56" s="52">
        <f t="shared" si="0"/>
        <v>-1990.29836429836</v>
      </c>
    </row>
    <row r="57" spans="2:6" x14ac:dyDescent="0.3">
      <c r="B57" s="34">
        <v>27.691040995283799</v>
      </c>
      <c r="C57" s="34">
        <v>1.717666673819789</v>
      </c>
      <c r="D57" s="51">
        <v>287819.89140488271</v>
      </c>
      <c r="E57" s="51">
        <v>288246.59859939362</v>
      </c>
      <c r="F57" s="52">
        <f t="shared" si="0"/>
        <v>-426.70719451090554</v>
      </c>
    </row>
    <row r="58" spans="2:6" x14ac:dyDescent="0.3">
      <c r="B58" s="34">
        <v>34.05001387841385</v>
      </c>
      <c r="C58" s="34">
        <v>1.9352876200820082</v>
      </c>
      <c r="D58" s="51">
        <v>379482.85161257442</v>
      </c>
      <c r="E58" s="51">
        <v>372566.53763130156</v>
      </c>
      <c r="F58" s="52">
        <f t="shared" si="0"/>
        <v>6916.3139812728623</v>
      </c>
    </row>
    <row r="59" spans="2:6" x14ac:dyDescent="0.3">
      <c r="B59" s="34">
        <v>3.0255483131929282</v>
      </c>
      <c r="C59" s="34">
        <v>1.0625865700143688</v>
      </c>
      <c r="D59" s="51">
        <v>66074.535022642172</v>
      </c>
      <c r="E59" s="51">
        <v>59357.633922634297</v>
      </c>
      <c r="F59" s="52">
        <f t="shared" si="0"/>
        <v>6716.9011000078754</v>
      </c>
    </row>
    <row r="60" spans="2:6" x14ac:dyDescent="0.3">
      <c r="B60" s="34">
        <v>29.377146076813389</v>
      </c>
      <c r="C60" s="34">
        <v>1.8064404053542531</v>
      </c>
      <c r="D60" s="51">
        <v>315340.31833574944</v>
      </c>
      <c r="E60" s="51">
        <v>326740.61848668696</v>
      </c>
      <c r="F60" s="52">
        <f t="shared" si="0"/>
        <v>-11400.300150937517</v>
      </c>
    </row>
    <row r="61" spans="2:6" x14ac:dyDescent="0.3">
      <c r="B61" s="34">
        <v>37.37460264208724</v>
      </c>
      <c r="C61" s="34">
        <v>2.1172402409070639</v>
      </c>
      <c r="D61" s="51">
        <v>445655.06350869284</v>
      </c>
      <c r="E61" s="51">
        <v>452057.27725833794</v>
      </c>
      <c r="F61" s="52">
        <f t="shared" si="0"/>
        <v>-6402.2137496451032</v>
      </c>
    </row>
    <row r="62" spans="2:6" x14ac:dyDescent="0.3">
      <c r="B62" s="34">
        <v>35.580323024863425</v>
      </c>
      <c r="C62" s="34">
        <v>1.9416167965641538</v>
      </c>
      <c r="D62" s="51">
        <v>395416.76406126563</v>
      </c>
      <c r="E62" s="51">
        <v>368946.93719141919</v>
      </c>
      <c r="F62" s="52">
        <f t="shared" si="0"/>
        <v>26469.826869846438</v>
      </c>
    </row>
    <row r="63" spans="2:6" x14ac:dyDescent="0.3">
      <c r="B63" s="34">
        <v>31.979306058362646</v>
      </c>
      <c r="C63" s="34">
        <v>1.8909584365152747</v>
      </c>
      <c r="D63" s="51">
        <v>352357.69292482443</v>
      </c>
      <c r="E63" s="51">
        <v>358890.14138008805</v>
      </c>
      <c r="F63" s="52">
        <f t="shared" si="0"/>
        <v>-6532.4484552636277</v>
      </c>
    </row>
    <row r="64" spans="2:6" x14ac:dyDescent="0.3">
      <c r="B64" s="34">
        <v>43.998156212937957</v>
      </c>
      <c r="C64" s="34">
        <v>2.324811977409015</v>
      </c>
      <c r="D64" s="51">
        <v>561437.20273875515</v>
      </c>
      <c r="E64" s="51">
        <v>529964.15298747667</v>
      </c>
      <c r="F64" s="52">
        <f t="shared" si="0"/>
        <v>31473.049751278479</v>
      </c>
    </row>
    <row r="65" spans="2:6" x14ac:dyDescent="0.3">
      <c r="B65" s="34">
        <v>18.753994715921088</v>
      </c>
      <c r="C65" s="34">
        <v>1.453412588255786</v>
      </c>
      <c r="D65" s="51">
        <v>186286.460001011</v>
      </c>
      <c r="E65" s="51">
        <v>191343.57048543612</v>
      </c>
      <c r="F65" s="52">
        <f t="shared" si="0"/>
        <v>-5057.110484425124</v>
      </c>
    </row>
    <row r="66" spans="2:6" x14ac:dyDescent="0.3">
      <c r="B66" s="34">
        <v>20.155447415462113</v>
      </c>
      <c r="C66" s="34">
        <v>1.4981270305360301</v>
      </c>
      <c r="D66" s="51">
        <v>200977.10292825679</v>
      </c>
      <c r="E66" s="51">
        <v>208240.53097380057</v>
      </c>
      <c r="F66" s="52">
        <f t="shared" si="0"/>
        <v>-7263.4280455437838</v>
      </c>
    </row>
    <row r="67" spans="2:6" x14ac:dyDescent="0.3">
      <c r="B67" s="34">
        <v>8.1596280277816859</v>
      </c>
      <c r="C67" s="34">
        <v>1.1684491696683761</v>
      </c>
      <c r="D67" s="51">
        <v>97670.552969321609</v>
      </c>
      <c r="E67" s="51">
        <v>91165.17922418128</v>
      </c>
      <c r="F67" s="52">
        <f t="shared" si="0"/>
        <v>6505.3737451403285</v>
      </c>
    </row>
    <row r="68" spans="2:6" x14ac:dyDescent="0.3">
      <c r="B68" s="34">
        <v>11.490038870051848</v>
      </c>
      <c r="C68" s="34">
        <v>1.251191041256783</v>
      </c>
      <c r="D68" s="51">
        <v>121881.16848950541</v>
      </c>
      <c r="E68" s="51">
        <v>119105.52763642755</v>
      </c>
      <c r="F68" s="52">
        <f t="shared" si="0"/>
        <v>2775.6408530778572</v>
      </c>
    </row>
    <row r="69" spans="2:6" x14ac:dyDescent="0.3">
      <c r="B69" s="34">
        <v>8.3500708476770171</v>
      </c>
      <c r="C69" s="34">
        <v>1.1779094749540402</v>
      </c>
      <c r="D69" s="51">
        <v>99178.137840081356</v>
      </c>
      <c r="E69" s="51">
        <v>95218.787566384417</v>
      </c>
      <c r="F69" s="52">
        <f t="shared" si="0"/>
        <v>3959.3502736969385</v>
      </c>
    </row>
    <row r="70" spans="2:6" x14ac:dyDescent="0.3">
      <c r="B70" s="34">
        <v>18.680501386991253</v>
      </c>
      <c r="C70" s="34">
        <v>1.4378606253139119</v>
      </c>
      <c r="D70" s="51">
        <v>184299.78702738322</v>
      </c>
      <c r="E70" s="51">
        <v>183598.5036322627</v>
      </c>
      <c r="F70" s="52">
        <f t="shared" si="0"/>
        <v>701.2833951205248</v>
      </c>
    </row>
    <row r="71" spans="2:6" x14ac:dyDescent="0.3">
      <c r="B71" s="34">
        <v>34.526469352527897</v>
      </c>
      <c r="C71" s="34">
        <v>1.9655618022879642</v>
      </c>
      <c r="D71" s="51">
        <v>389319.54663597443</v>
      </c>
      <c r="E71" s="51">
        <v>386138.79269568785</v>
      </c>
      <c r="F71" s="52">
        <f t="shared" ref="F71:F105" si="1">D71-E71</f>
        <v>3180.7539402865805</v>
      </c>
    </row>
    <row r="72" spans="2:6" x14ac:dyDescent="0.3">
      <c r="B72" s="34">
        <v>8.4494605233991606</v>
      </c>
      <c r="C72" s="34">
        <v>1.1816765643621894</v>
      </c>
      <c r="D72" s="51">
        <v>99922.647410021338</v>
      </c>
      <c r="E72" s="51">
        <v>96726.622205650085</v>
      </c>
      <c r="F72" s="52">
        <f t="shared" si="1"/>
        <v>3196.0252043712535</v>
      </c>
    </row>
    <row r="73" spans="2:6" x14ac:dyDescent="0.3">
      <c r="B73" s="34">
        <v>2.1332139972251554</v>
      </c>
      <c r="C73" s="34">
        <v>1.0445906212949445</v>
      </c>
      <c r="D73" s="51">
        <v>61141.676673582486</v>
      </c>
      <c r="E73" s="51">
        <v>54038.902668559342</v>
      </c>
      <c r="F73" s="52">
        <f t="shared" si="1"/>
        <v>7102.7740050231441</v>
      </c>
    </row>
    <row r="74" spans="2:6" x14ac:dyDescent="0.3">
      <c r="B74" s="34">
        <v>23.560634802235171</v>
      </c>
      <c r="C74" s="34">
        <v>1.5960845450907462</v>
      </c>
      <c r="D74" s="51">
        <v>238023.82540187362</v>
      </c>
      <c r="E74" s="51">
        <v>243745.49039602454</v>
      </c>
      <c r="F74" s="52">
        <f t="shared" si="1"/>
        <v>-5721.664994150924</v>
      </c>
    </row>
    <row r="75" spans="2:6" x14ac:dyDescent="0.3">
      <c r="B75" s="34">
        <v>22.452735466794856</v>
      </c>
      <c r="C75" s="34">
        <v>1.5995991393496314</v>
      </c>
      <c r="D75" s="51">
        <v>229576.88164364998</v>
      </c>
      <c r="E75" s="51">
        <v>250570.93411433417</v>
      </c>
      <c r="F75" s="52">
        <f t="shared" si="1"/>
        <v>-20994.052470684197</v>
      </c>
    </row>
    <row r="76" spans="2:6" x14ac:dyDescent="0.3">
      <c r="B76" s="34">
        <v>12.295940379893807</v>
      </c>
      <c r="C76" s="34">
        <v>1.2830903745141826</v>
      </c>
      <c r="D76" s="51">
        <v>128884.01373521003</v>
      </c>
      <c r="E76" s="51">
        <v>132034.93201166636</v>
      </c>
      <c r="F76" s="52">
        <f t="shared" si="1"/>
        <v>-3150.9182764563302</v>
      </c>
    </row>
    <row r="77" spans="2:6" x14ac:dyDescent="0.3">
      <c r="B77" s="34">
        <v>22.827874600914299</v>
      </c>
      <c r="C77" s="34">
        <v>1.5729870144138041</v>
      </c>
      <c r="D77" s="51">
        <v>229539.75156952447</v>
      </c>
      <c r="E77" s="51">
        <v>235057.11302607658</v>
      </c>
      <c r="F77" s="52">
        <f t="shared" si="1"/>
        <v>-5517.3614565521129</v>
      </c>
    </row>
    <row r="78" spans="2:6" x14ac:dyDescent="0.3">
      <c r="B78" s="34">
        <v>40.915998964544976</v>
      </c>
      <c r="C78" s="34">
        <v>2.2933258500946656</v>
      </c>
      <c r="D78" s="51">
        <v>519168.59053918783</v>
      </c>
      <c r="E78" s="51">
        <v>527522.54635521292</v>
      </c>
      <c r="F78" s="52">
        <f t="shared" si="1"/>
        <v>-8353.955816025089</v>
      </c>
    </row>
    <row r="79" spans="2:6" x14ac:dyDescent="0.3">
      <c r="B79" s="34">
        <v>21.97705298387703</v>
      </c>
      <c r="C79" s="34">
        <v>1.5559738116739004</v>
      </c>
      <c r="D79" s="51">
        <v>220978.59450341205</v>
      </c>
      <c r="E79" s="51">
        <v>230061.40589210554</v>
      </c>
      <c r="F79" s="52">
        <f t="shared" si="1"/>
        <v>-9082.811388693488</v>
      </c>
    </row>
    <row r="80" spans="2:6" x14ac:dyDescent="0.3">
      <c r="B80" s="34">
        <v>7.568860262462394</v>
      </c>
      <c r="C80" s="34">
        <v>1.155748030788726</v>
      </c>
      <c r="D80" s="51">
        <v>93738.476718279766</v>
      </c>
      <c r="E80" s="51">
        <v>87235.223806959693</v>
      </c>
      <c r="F80" s="52">
        <f t="shared" si="1"/>
        <v>6503.2529113200726</v>
      </c>
    </row>
    <row r="81" spans="2:6" x14ac:dyDescent="0.3">
      <c r="B81" s="34">
        <v>17.322635598181627</v>
      </c>
      <c r="C81" s="34">
        <v>1.4104128617562959</v>
      </c>
      <c r="D81" s="51">
        <v>172160.34023596416</v>
      </c>
      <c r="E81" s="51">
        <v>175472.10429297504</v>
      </c>
      <c r="F81" s="52">
        <f t="shared" si="1"/>
        <v>-3311.7640570108779</v>
      </c>
    </row>
    <row r="82" spans="2:6" x14ac:dyDescent="0.3">
      <c r="B82" s="34">
        <v>34.129356270641445</v>
      </c>
      <c r="C82" s="34">
        <v>1.9674373663896239</v>
      </c>
      <c r="D82" s="51">
        <v>385736.85408841993</v>
      </c>
      <c r="E82" s="51">
        <v>388905.10004035383</v>
      </c>
      <c r="F82" s="52">
        <f t="shared" si="1"/>
        <v>-3168.2459519339027</v>
      </c>
    </row>
    <row r="83" spans="2:6" x14ac:dyDescent="0.3">
      <c r="B83" s="34">
        <v>28.288743160989085</v>
      </c>
      <c r="C83" s="34">
        <v>1.7369557431929747</v>
      </c>
      <c r="D83" s="51">
        <v>295681.47450595489</v>
      </c>
      <c r="E83" s="51">
        <v>295566.63378305605</v>
      </c>
      <c r="F83" s="52">
        <f t="shared" si="1"/>
        <v>114.84072289883625</v>
      </c>
    </row>
    <row r="84" spans="2:6" x14ac:dyDescent="0.3">
      <c r="B84" s="34">
        <v>7.4656929367799378</v>
      </c>
      <c r="C84" s="34">
        <v>1.1622024804626996</v>
      </c>
      <c r="D84" s="51">
        <v>93383.23424749251</v>
      </c>
      <c r="E84" s="51">
        <v>91052.89303645445</v>
      </c>
      <c r="F84" s="52">
        <f t="shared" si="1"/>
        <v>2330.3412110380596</v>
      </c>
    </row>
    <row r="85" spans="2:6" x14ac:dyDescent="0.3">
      <c r="B85" s="34">
        <v>6.5206100336951494</v>
      </c>
      <c r="C85" s="34">
        <v>1.1384348512394908</v>
      </c>
      <c r="D85" s="51">
        <v>87116.448568502354</v>
      </c>
      <c r="E85" s="51">
        <v>82974.762029845326</v>
      </c>
      <c r="F85" s="52">
        <f t="shared" si="1"/>
        <v>4141.686538657028</v>
      </c>
    </row>
    <row r="86" spans="2:6" x14ac:dyDescent="0.3">
      <c r="B86" s="34">
        <v>16.406492060433294</v>
      </c>
      <c r="C86" s="34">
        <v>1.3780034125548295</v>
      </c>
      <c r="D86" s="51">
        <v>163041.01023665396</v>
      </c>
      <c r="E86" s="51">
        <v>162775.32088882173</v>
      </c>
      <c r="F86" s="52">
        <f t="shared" si="1"/>
        <v>265.68934783223085</v>
      </c>
    </row>
    <row r="87" spans="2:6" x14ac:dyDescent="0.3">
      <c r="B87" s="34">
        <v>25.150219197723615</v>
      </c>
      <c r="C87" s="34">
        <v>1.6803226289916124</v>
      </c>
      <c r="D87" s="51">
        <v>261302.41221017134</v>
      </c>
      <c r="E87" s="51">
        <v>280319.58424876828</v>
      </c>
      <c r="F87" s="52">
        <f t="shared" si="1"/>
        <v>-19017.172038596938</v>
      </c>
    </row>
    <row r="88" spans="2:6" x14ac:dyDescent="0.3">
      <c r="B88" s="34">
        <v>11.172190133181395</v>
      </c>
      <c r="C88" s="34">
        <v>1.2560972611565995</v>
      </c>
      <c r="D88" s="51">
        <v>120166.78713704967</v>
      </c>
      <c r="E88" s="51">
        <v>123088.03985120193</v>
      </c>
      <c r="F88" s="52">
        <f t="shared" si="1"/>
        <v>-2921.2527141522587</v>
      </c>
    </row>
    <row r="89" spans="2:6" x14ac:dyDescent="0.3">
      <c r="B89" s="34">
        <v>1.4439931187980903</v>
      </c>
      <c r="C89" s="34">
        <v>1.0295937805382487</v>
      </c>
      <c r="D89" s="51">
        <v>57433.631671272713</v>
      </c>
      <c r="E89" s="51">
        <v>49361.03618216567</v>
      </c>
      <c r="F89" s="52">
        <f t="shared" si="1"/>
        <v>8072.5954891070432</v>
      </c>
    </row>
    <row r="90" spans="2:6" x14ac:dyDescent="0.3">
      <c r="B90" s="34">
        <v>16.772069906888241</v>
      </c>
      <c r="C90" s="34">
        <v>1.3902980337173547</v>
      </c>
      <c r="D90" s="51">
        <v>166590.87906458369</v>
      </c>
      <c r="E90" s="51">
        <v>167510.48310696182</v>
      </c>
      <c r="F90" s="52">
        <f t="shared" si="1"/>
        <v>-919.60404237813782</v>
      </c>
    </row>
    <row r="91" spans="2:6" x14ac:dyDescent="0.3">
      <c r="B91" s="34">
        <v>11.159653456157834</v>
      </c>
      <c r="C91" s="34">
        <v>1.2549422588754242</v>
      </c>
      <c r="D91" s="51">
        <v>120023.60358268823</v>
      </c>
      <c r="E91" s="51">
        <v>122544.78147778835</v>
      </c>
      <c r="F91" s="52">
        <f t="shared" si="1"/>
        <v>-2521.1778951001179</v>
      </c>
    </row>
    <row r="92" spans="2:6" x14ac:dyDescent="0.3">
      <c r="B92" s="34">
        <v>31.010631273631667</v>
      </c>
      <c r="C92" s="34">
        <v>1.8961095729865738</v>
      </c>
      <c r="D92" s="51">
        <v>343997.77411144914</v>
      </c>
      <c r="E92" s="51">
        <v>365937.15839876723</v>
      </c>
      <c r="F92" s="52">
        <f t="shared" si="1"/>
        <v>-21939.384287318098</v>
      </c>
    </row>
    <row r="93" spans="2:6" x14ac:dyDescent="0.3">
      <c r="B93" s="34">
        <v>24.882271046158174</v>
      </c>
      <c r="C93" s="34">
        <v>1.6552395858804574</v>
      </c>
      <c r="D93" s="51">
        <v>255930.60011104075</v>
      </c>
      <c r="E93" s="51">
        <v>268502.25980338966</v>
      </c>
      <c r="F93" s="52">
        <f t="shared" si="1"/>
        <v>-12571.659692348912</v>
      </c>
    </row>
    <row r="94" spans="2:6" x14ac:dyDescent="0.3">
      <c r="B94" s="34">
        <v>20.054469063071807</v>
      </c>
      <c r="C94" s="34">
        <v>1.4919079480601849</v>
      </c>
      <c r="D94" s="51">
        <v>199597.10894661958</v>
      </c>
      <c r="E94" s="51">
        <v>205466.44816358096</v>
      </c>
      <c r="F94" s="52">
        <f t="shared" si="1"/>
        <v>-5869.3392169613799</v>
      </c>
    </row>
    <row r="95" spans="2:6" x14ac:dyDescent="0.3">
      <c r="B95" s="34">
        <v>23.969353356839683</v>
      </c>
      <c r="C95" s="34">
        <v>1.6039864153165355</v>
      </c>
      <c r="D95" s="51">
        <v>242232.58584146327</v>
      </c>
      <c r="E95" s="51">
        <v>246004.61838725954</v>
      </c>
      <c r="F95" s="52">
        <f t="shared" si="1"/>
        <v>-3772.0325457962754</v>
      </c>
    </row>
    <row r="96" spans="2:6" x14ac:dyDescent="0.3">
      <c r="B96" s="34">
        <v>32.720942561668551</v>
      </c>
      <c r="C96" s="34">
        <v>1.9471889171401475</v>
      </c>
      <c r="D96" s="51">
        <v>368569.28357230173</v>
      </c>
      <c r="E96" s="51">
        <v>384745.7259248012</v>
      </c>
      <c r="F96" s="52">
        <f t="shared" si="1"/>
        <v>-16176.442352499464</v>
      </c>
    </row>
    <row r="97" spans="2:6" x14ac:dyDescent="0.3">
      <c r="B97" s="34">
        <v>14.867926112959601</v>
      </c>
      <c r="C97" s="34">
        <v>1.3303984098038517</v>
      </c>
      <c r="D97" s="51">
        <v>148901.32628881308</v>
      </c>
      <c r="E97" s="51">
        <v>144995.99646389938</v>
      </c>
      <c r="F97" s="52">
        <f t="shared" si="1"/>
        <v>3905.3298249137006</v>
      </c>
    </row>
    <row r="98" spans="2:6" x14ac:dyDescent="0.3">
      <c r="B98" s="34">
        <v>42.09644580312056</v>
      </c>
      <c r="C98" s="34">
        <v>2.3778992198567588</v>
      </c>
      <c r="D98" s="51">
        <v>550505.52816991357</v>
      </c>
      <c r="E98" s="51">
        <v>566117.28827371506</v>
      </c>
      <c r="F98" s="52">
        <f t="shared" si="1"/>
        <v>-15611.760103801498</v>
      </c>
    </row>
    <row r="99" spans="2:6" x14ac:dyDescent="0.3">
      <c r="B99" s="34">
        <v>28.914340570376048</v>
      </c>
      <c r="C99" s="34">
        <v>1.7761563191208489</v>
      </c>
      <c r="D99" s="51">
        <v>306781.94358642877</v>
      </c>
      <c r="E99" s="51">
        <v>313101.61479443556</v>
      </c>
      <c r="F99" s="52">
        <f t="shared" si="1"/>
        <v>-6319.6712080067955</v>
      </c>
    </row>
    <row r="100" spans="2:6" x14ac:dyDescent="0.3">
      <c r="B100" s="34">
        <v>7.0813426066534717</v>
      </c>
      <c r="C100" s="34">
        <v>1.1511326901354053</v>
      </c>
      <c r="D100" s="51">
        <v>90757.82482283737</v>
      </c>
      <c r="E100" s="51">
        <v>87038.558542046114</v>
      </c>
      <c r="F100" s="52">
        <f t="shared" si="1"/>
        <v>3719.2662807912566</v>
      </c>
    </row>
    <row r="101" spans="2:6" x14ac:dyDescent="0.3">
      <c r="B101" s="34">
        <v>12.621916657616737</v>
      </c>
      <c r="C101" s="34">
        <v>1.2736696228710764</v>
      </c>
      <c r="D101" s="51">
        <v>130380.75914608433</v>
      </c>
      <c r="E101" s="51">
        <v>125671.16143858142</v>
      </c>
      <c r="F101" s="52">
        <f t="shared" si="1"/>
        <v>4709.5977075029077</v>
      </c>
    </row>
    <row r="102" spans="2:6" x14ac:dyDescent="0.3">
      <c r="B102" s="34">
        <v>21.316741008944696</v>
      </c>
      <c r="C102" s="34">
        <v>1.5209875411505518</v>
      </c>
      <c r="D102" s="51">
        <v>212112.48746268963</v>
      </c>
      <c r="E102" s="51">
        <v>214871.75630803569</v>
      </c>
      <c r="F102" s="52">
        <f t="shared" si="1"/>
        <v>-2759.2688453460578</v>
      </c>
    </row>
    <row r="103" spans="2:6" x14ac:dyDescent="0.3">
      <c r="B103" s="34">
        <v>36.099252064529225</v>
      </c>
      <c r="C103" s="34">
        <v>2.0616981083805266</v>
      </c>
      <c r="D103" s="51">
        <v>422128.79847695859</v>
      </c>
      <c r="E103" s="51">
        <v>428967.93920129107</v>
      </c>
      <c r="F103" s="52">
        <f t="shared" si="1"/>
        <v>-6839.1407243324793</v>
      </c>
    </row>
    <row r="104" spans="2:6" x14ac:dyDescent="0.3">
      <c r="B104" s="34">
        <v>13.95677643924995</v>
      </c>
      <c r="C104" s="34">
        <v>1.3081309997524646</v>
      </c>
      <c r="D104" s="51">
        <v>141286.45958398841</v>
      </c>
      <c r="E104" s="51">
        <v>137543.8418102935</v>
      </c>
      <c r="F104" s="52">
        <f t="shared" si="1"/>
        <v>3742.6177736949176</v>
      </c>
    </row>
    <row r="105" spans="2:6" x14ac:dyDescent="0.3">
      <c r="B105" s="34">
        <v>8.0827200846129656</v>
      </c>
      <c r="C105" s="34">
        <v>1.1734239717541266</v>
      </c>
      <c r="D105" s="51">
        <v>97422.28752131699</v>
      </c>
      <c r="E105" s="51">
        <v>94095.894294496393</v>
      </c>
      <c r="F105" s="52">
        <f t="shared" si="1"/>
        <v>3326.3932268205972</v>
      </c>
    </row>
  </sheetData>
  <hyperlinks>
    <hyperlink ref="A1" location="Assumptions!A1" display="Back to Assumptions" xr:uid="{2C9BFEFB-B2CF-7D48-8235-BFF385C212F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ED6B-4223-6245-9BF0-A4259E12C85F}">
  <sheetPr>
    <tabColor rgb="FFFFC000"/>
  </sheetPr>
  <dimension ref="B2:R23"/>
  <sheetViews>
    <sheetView workbookViewId="0"/>
  </sheetViews>
  <sheetFormatPr baseColWidth="10" defaultColWidth="10.83203125" defaultRowHeight="26" x14ac:dyDescent="0.3"/>
  <cols>
    <col min="1" max="15" width="10.83203125" style="34"/>
    <col min="16" max="16" width="20" style="69" bestFit="1" customWidth="1"/>
    <col min="17" max="17" width="9.1640625" style="69" bestFit="1" customWidth="1"/>
    <col min="18" max="18" width="21.83203125" style="69" bestFit="1" customWidth="1"/>
    <col min="19" max="16384" width="10.83203125" style="34"/>
  </cols>
  <sheetData>
    <row r="2" spans="2:18" x14ac:dyDescent="0.3">
      <c r="L2" s="68" t="s">
        <v>164</v>
      </c>
      <c r="M2" s="68"/>
      <c r="P2" s="68" t="s">
        <v>165</v>
      </c>
      <c r="Q2" s="68"/>
      <c r="R2" s="68"/>
    </row>
    <row r="3" spans="2:18" x14ac:dyDescent="0.3">
      <c r="B3" s="35" t="s">
        <v>0</v>
      </c>
      <c r="C3" s="35" t="s">
        <v>1</v>
      </c>
      <c r="D3" s="35"/>
      <c r="E3" s="35"/>
      <c r="L3" s="34" t="s">
        <v>162</v>
      </c>
      <c r="P3" s="69" t="s">
        <v>163</v>
      </c>
      <c r="Q3" s="69" t="s">
        <v>34</v>
      </c>
      <c r="R3" s="69" t="s">
        <v>161</v>
      </c>
    </row>
    <row r="4" spans="2:18" x14ac:dyDescent="0.3">
      <c r="B4" s="34">
        <f ca="1">RAND()*10</f>
        <v>9.4380990006811754</v>
      </c>
      <c r="C4" s="34">
        <f ca="1">_xlfn.NORM.INV(RAND(),2*B4,0.5*B4)+5</f>
        <v>21.823579356364064</v>
      </c>
      <c r="L4" s="70"/>
      <c r="M4" s="71"/>
      <c r="N4" s="82"/>
      <c r="P4" s="76"/>
      <c r="Q4" s="77"/>
      <c r="R4" s="76"/>
    </row>
    <row r="5" spans="2:18" x14ac:dyDescent="0.3">
      <c r="B5" s="34">
        <f t="shared" ref="B5:B23" ca="1" si="0">RAND()*10</f>
        <v>2.5023281421339085</v>
      </c>
      <c r="C5" s="34">
        <f t="shared" ref="C5:C23" ca="1" si="1">_xlfn.NORM.INV(RAND(),2*B5,0.5*B5)+5</f>
        <v>9.3338838662598143</v>
      </c>
      <c r="L5" s="72"/>
      <c r="M5" s="73"/>
      <c r="N5" s="82"/>
      <c r="P5" s="76"/>
      <c r="Q5" s="77"/>
      <c r="R5" s="76"/>
    </row>
    <row r="6" spans="2:18" x14ac:dyDescent="0.3">
      <c r="B6" s="34">
        <f t="shared" ca="1" si="0"/>
        <v>4.901416415107569</v>
      </c>
      <c r="C6" s="34">
        <f t="shared" ca="1" si="1"/>
        <v>15.389324806692162</v>
      </c>
      <c r="L6" s="72"/>
      <c r="M6" s="73"/>
      <c r="N6" s="82"/>
      <c r="P6" s="76"/>
      <c r="Q6" s="77"/>
      <c r="R6" s="76"/>
    </row>
    <row r="7" spans="2:18" x14ac:dyDescent="0.3">
      <c r="B7" s="34">
        <f t="shared" ca="1" si="0"/>
        <v>2.7787382071884759</v>
      </c>
      <c r="C7" s="34">
        <f t="shared" ca="1" si="1"/>
        <v>11.153177582434799</v>
      </c>
      <c r="L7" s="72"/>
      <c r="M7" s="73"/>
      <c r="N7" s="82"/>
      <c r="P7" s="76"/>
      <c r="Q7" s="77"/>
      <c r="R7" s="76"/>
    </row>
    <row r="8" spans="2:18" x14ac:dyDescent="0.3">
      <c r="B8" s="34">
        <f t="shared" ca="1" si="0"/>
        <v>4.5864353310198211</v>
      </c>
      <c r="C8" s="34">
        <f t="shared" ca="1" si="1"/>
        <v>15.57142509250798</v>
      </c>
      <c r="L8" s="74"/>
      <c r="M8" s="75"/>
      <c r="N8" s="82"/>
      <c r="P8" s="76"/>
      <c r="Q8" s="77"/>
      <c r="R8" s="76"/>
    </row>
    <row r="9" spans="2:18" x14ac:dyDescent="0.3">
      <c r="B9" s="34">
        <f t="shared" ca="1" si="0"/>
        <v>4.9334477386405755</v>
      </c>
      <c r="C9" s="34">
        <f t="shared" ca="1" si="1"/>
        <v>17.356692021795055</v>
      </c>
      <c r="P9" s="76"/>
      <c r="Q9" s="77"/>
      <c r="R9" s="76"/>
    </row>
    <row r="10" spans="2:18" x14ac:dyDescent="0.3">
      <c r="B10" s="34">
        <f t="shared" ca="1" si="0"/>
        <v>9.6480624544268174</v>
      </c>
      <c r="C10" s="34">
        <f t="shared" ca="1" si="1"/>
        <v>22.974968091920708</v>
      </c>
      <c r="P10" s="76"/>
      <c r="Q10" s="77"/>
      <c r="R10" s="76"/>
    </row>
    <row r="11" spans="2:18" x14ac:dyDescent="0.3">
      <c r="B11" s="34">
        <f t="shared" ca="1" si="0"/>
        <v>3.0812577721865231</v>
      </c>
      <c r="C11" s="34">
        <f t="shared" ca="1" si="1"/>
        <v>11.761938818935661</v>
      </c>
      <c r="P11" s="76"/>
      <c r="Q11" s="77"/>
      <c r="R11" s="76"/>
    </row>
    <row r="12" spans="2:18" x14ac:dyDescent="0.3">
      <c r="B12" s="34">
        <f t="shared" ca="1" si="0"/>
        <v>9.7841587507771912</v>
      </c>
      <c r="C12" s="34">
        <f t="shared" ca="1" si="1"/>
        <v>27.034500405267281</v>
      </c>
      <c r="P12" s="76"/>
      <c r="Q12" s="77"/>
      <c r="R12" s="76"/>
    </row>
    <row r="13" spans="2:18" x14ac:dyDescent="0.3">
      <c r="B13" s="34">
        <f t="shared" ca="1" si="0"/>
        <v>2.2459434312610851</v>
      </c>
      <c r="C13" s="34">
        <f t="shared" ca="1" si="1"/>
        <v>10.204970105143691</v>
      </c>
      <c r="P13" s="76"/>
      <c r="Q13" s="77"/>
      <c r="R13" s="76"/>
    </row>
    <row r="14" spans="2:18" x14ac:dyDescent="0.3">
      <c r="B14" s="34">
        <f t="shared" ca="1" si="0"/>
        <v>2.7346646756396753</v>
      </c>
      <c r="C14" s="34">
        <f t="shared" ca="1" si="1"/>
        <v>11.810039888275384</v>
      </c>
      <c r="P14" s="76"/>
      <c r="Q14" s="77"/>
      <c r="R14" s="76"/>
    </row>
    <row r="15" spans="2:18" x14ac:dyDescent="0.3">
      <c r="B15" s="34">
        <f t="shared" ca="1" si="0"/>
        <v>8.3562867419478675</v>
      </c>
      <c r="C15" s="34">
        <f t="shared" ca="1" si="1"/>
        <v>26.773968633752169</v>
      </c>
      <c r="P15" s="76"/>
      <c r="Q15" s="77"/>
      <c r="R15" s="76"/>
    </row>
    <row r="16" spans="2:18" x14ac:dyDescent="0.3">
      <c r="B16" s="34">
        <f t="shared" ca="1" si="0"/>
        <v>0.87845451459495183</v>
      </c>
      <c r="C16" s="34">
        <f t="shared" ca="1" si="1"/>
        <v>6.667394545244572</v>
      </c>
      <c r="P16" s="76"/>
      <c r="Q16" s="77"/>
      <c r="R16" s="76"/>
    </row>
    <row r="17" spans="2:18" x14ac:dyDescent="0.3">
      <c r="B17" s="34">
        <f t="shared" ca="1" si="0"/>
        <v>5.4092004334553128</v>
      </c>
      <c r="C17" s="34">
        <f t="shared" ca="1" si="1"/>
        <v>17.250073350839877</v>
      </c>
      <c r="P17" s="76"/>
      <c r="Q17" s="77"/>
      <c r="R17" s="76"/>
    </row>
    <row r="18" spans="2:18" x14ac:dyDescent="0.3">
      <c r="B18" s="34">
        <f t="shared" ca="1" si="0"/>
        <v>4.767470518963548</v>
      </c>
      <c r="C18" s="34">
        <f t="shared" ca="1" si="1"/>
        <v>14.30496316718623</v>
      </c>
      <c r="P18" s="76"/>
      <c r="Q18" s="77"/>
      <c r="R18" s="76"/>
    </row>
    <row r="19" spans="2:18" x14ac:dyDescent="0.3">
      <c r="B19" s="34">
        <f t="shared" ca="1" si="0"/>
        <v>5.0261014447661569</v>
      </c>
      <c r="C19" s="34">
        <f t="shared" ca="1" si="1"/>
        <v>15.222413842804855</v>
      </c>
      <c r="P19" s="76"/>
      <c r="Q19" s="77"/>
      <c r="R19" s="76"/>
    </row>
    <row r="20" spans="2:18" x14ac:dyDescent="0.3">
      <c r="B20" s="34">
        <f t="shared" ca="1" si="0"/>
        <v>1.9745019085523807</v>
      </c>
      <c r="C20" s="34">
        <f t="shared" ca="1" si="1"/>
        <v>10.851159929151663</v>
      </c>
      <c r="P20" s="76"/>
      <c r="Q20" s="77"/>
      <c r="R20" s="76"/>
    </row>
    <row r="21" spans="2:18" x14ac:dyDescent="0.3">
      <c r="B21" s="34">
        <f t="shared" ca="1" si="0"/>
        <v>2.3276069813145939</v>
      </c>
      <c r="C21" s="34">
        <f t="shared" ca="1" si="1"/>
        <v>11.301991217734546</v>
      </c>
      <c r="P21" s="76"/>
      <c r="Q21" s="77"/>
      <c r="R21" s="76"/>
    </row>
    <row r="22" spans="2:18" x14ac:dyDescent="0.3">
      <c r="B22" s="34">
        <f t="shared" ca="1" si="0"/>
        <v>1.4392451049857968</v>
      </c>
      <c r="C22" s="34">
        <f t="shared" ca="1" si="1"/>
        <v>8.2061228070552659</v>
      </c>
      <c r="P22" s="76"/>
      <c r="Q22" s="77"/>
      <c r="R22" s="76"/>
    </row>
    <row r="23" spans="2:18" x14ac:dyDescent="0.3">
      <c r="B23" s="34">
        <f t="shared" ca="1" si="0"/>
        <v>2.7794220810994377</v>
      </c>
      <c r="C23" s="34">
        <f t="shared" ca="1" si="1"/>
        <v>9.6142140777032488</v>
      </c>
      <c r="P23" s="76"/>
      <c r="Q23" s="77"/>
      <c r="R23" s="76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06B0-B2AC-2245-855E-56C01EA47D3E}">
  <sheetPr>
    <tabColor rgb="FFFFC000"/>
  </sheetPr>
  <dimension ref="B2:R23"/>
  <sheetViews>
    <sheetView workbookViewId="0"/>
  </sheetViews>
  <sheetFormatPr baseColWidth="10" defaultColWidth="10.83203125" defaultRowHeight="26" x14ac:dyDescent="0.3"/>
  <cols>
    <col min="1" max="15" width="10.83203125" style="34"/>
    <col min="16" max="16" width="20" style="69" bestFit="1" customWidth="1"/>
    <col min="17" max="17" width="9.1640625" style="69" bestFit="1" customWidth="1"/>
    <col min="18" max="18" width="21.83203125" style="69" bestFit="1" customWidth="1"/>
    <col min="19" max="16384" width="10.83203125" style="34"/>
  </cols>
  <sheetData>
    <row r="2" spans="2:18" x14ac:dyDescent="0.3">
      <c r="L2" s="68" t="s">
        <v>164</v>
      </c>
      <c r="M2" s="68"/>
      <c r="P2" s="68" t="s">
        <v>165</v>
      </c>
      <c r="Q2" s="68"/>
      <c r="R2" s="68"/>
    </row>
    <row r="3" spans="2:18" x14ac:dyDescent="0.3">
      <c r="B3" s="35" t="s">
        <v>0</v>
      </c>
      <c r="C3" s="35" t="s">
        <v>125</v>
      </c>
      <c r="D3" s="35" t="s">
        <v>1</v>
      </c>
      <c r="L3" s="34" t="s">
        <v>162</v>
      </c>
      <c r="P3" s="69" t="s">
        <v>163</v>
      </c>
      <c r="Q3" s="69" t="s">
        <v>34</v>
      </c>
      <c r="R3" s="69" t="s">
        <v>161</v>
      </c>
    </row>
    <row r="4" spans="2:18" x14ac:dyDescent="0.3">
      <c r="B4" s="34">
        <f ca="1">RAND()*10</f>
        <v>1.9856443788019529</v>
      </c>
      <c r="C4" s="34">
        <f ca="1">RAND()*10</f>
        <v>8.6281154761638419</v>
      </c>
      <c r="D4" s="34">
        <f ca="1">_xlfn.NORM.INV(RAND(),2*B4+3*C4,0.5*(B4+C4))+5</f>
        <v>36.719947260697325</v>
      </c>
      <c r="L4" s="70"/>
      <c r="M4" s="81"/>
      <c r="N4" s="71"/>
      <c r="P4" s="76"/>
      <c r="Q4" s="77"/>
      <c r="R4" s="76"/>
    </row>
    <row r="5" spans="2:18" x14ac:dyDescent="0.3">
      <c r="B5" s="34">
        <f t="shared" ref="B5:C23" ca="1" si="0">RAND()*10</f>
        <v>4.8884162091856762</v>
      </c>
      <c r="C5" s="34">
        <f t="shared" ca="1" si="0"/>
        <v>7.7692878839966166</v>
      </c>
      <c r="D5" s="34">
        <f t="shared" ref="D5:D23" ca="1" si="1">_xlfn.NORM.INV(RAND(),2*B5+3*C5,0.5*(B5+C5))+5</f>
        <v>33.480956459499403</v>
      </c>
      <c r="L5" s="72"/>
      <c r="M5" s="82"/>
      <c r="N5" s="73"/>
      <c r="P5" s="76"/>
      <c r="Q5" s="77"/>
      <c r="R5" s="76"/>
    </row>
    <row r="6" spans="2:18" x14ac:dyDescent="0.3">
      <c r="B6" s="34">
        <f t="shared" ca="1" si="0"/>
        <v>5.6839407884192479</v>
      </c>
      <c r="C6" s="34">
        <f t="shared" ca="1" si="0"/>
        <v>8.7470225255780996</v>
      </c>
      <c r="D6" s="34">
        <f t="shared" ca="1" si="1"/>
        <v>44.629851931257029</v>
      </c>
      <c r="L6" s="72"/>
      <c r="M6" s="82"/>
      <c r="N6" s="73"/>
      <c r="P6" s="76"/>
      <c r="Q6" s="77"/>
      <c r="R6" s="76"/>
    </row>
    <row r="7" spans="2:18" x14ac:dyDescent="0.3">
      <c r="B7" s="34">
        <f t="shared" ca="1" si="0"/>
        <v>4.8034826680463771</v>
      </c>
      <c r="C7" s="34">
        <f t="shared" ca="1" si="0"/>
        <v>8.2922024109090664</v>
      </c>
      <c r="D7" s="34">
        <f t="shared" ca="1" si="1"/>
        <v>43.329479427588055</v>
      </c>
      <c r="L7" s="72"/>
      <c r="M7" s="82"/>
      <c r="N7" s="73"/>
      <c r="P7" s="76"/>
      <c r="Q7" s="77"/>
      <c r="R7" s="76"/>
    </row>
    <row r="8" spans="2:18" x14ac:dyDescent="0.3">
      <c r="B8" s="34">
        <f t="shared" ca="1" si="0"/>
        <v>5.7817519680329301</v>
      </c>
      <c r="C8" s="34">
        <f t="shared" ca="1" si="0"/>
        <v>8.7132553332602676</v>
      </c>
      <c r="D8" s="34">
        <f t="shared" ca="1" si="1"/>
        <v>45.926219842434357</v>
      </c>
      <c r="L8" s="74"/>
      <c r="M8" s="83"/>
      <c r="N8" s="75"/>
      <c r="P8" s="76"/>
      <c r="Q8" s="77"/>
      <c r="R8" s="76"/>
    </row>
    <row r="9" spans="2:18" x14ac:dyDescent="0.3">
      <c r="B9" s="34">
        <f t="shared" ca="1" si="0"/>
        <v>7.3050925823228932</v>
      </c>
      <c r="C9" s="34">
        <f t="shared" ca="1" si="0"/>
        <v>3.7132870647457294</v>
      </c>
      <c r="D9" s="34">
        <f t="shared" ca="1" si="1"/>
        <v>42.849748073052858</v>
      </c>
      <c r="P9" s="76"/>
      <c r="Q9" s="77"/>
      <c r="R9" s="76"/>
    </row>
    <row r="10" spans="2:18" x14ac:dyDescent="0.3">
      <c r="B10" s="34">
        <f t="shared" ca="1" si="0"/>
        <v>8.9807260795973178</v>
      </c>
      <c r="C10" s="34">
        <f t="shared" ca="1" si="0"/>
        <v>1.307337326547674</v>
      </c>
      <c r="D10" s="34">
        <f t="shared" ca="1" si="1"/>
        <v>29.251814741482182</v>
      </c>
      <c r="P10" s="76"/>
      <c r="Q10" s="77"/>
      <c r="R10" s="76"/>
    </row>
    <row r="11" spans="2:18" x14ac:dyDescent="0.3">
      <c r="B11" s="34">
        <f t="shared" ca="1" si="0"/>
        <v>4.1409108668044041</v>
      </c>
      <c r="C11" s="34">
        <f t="shared" ca="1" si="0"/>
        <v>7.9897579506704544</v>
      </c>
      <c r="D11" s="34">
        <f t="shared" ca="1" si="1"/>
        <v>40.195914249879095</v>
      </c>
      <c r="P11" s="76"/>
      <c r="Q11" s="77"/>
      <c r="R11" s="76"/>
    </row>
    <row r="12" spans="2:18" x14ac:dyDescent="0.3">
      <c r="B12" s="34">
        <f t="shared" ca="1" si="0"/>
        <v>2.5603073556250768</v>
      </c>
      <c r="C12" s="34">
        <f t="shared" ca="1" si="0"/>
        <v>1.8936387986270764</v>
      </c>
      <c r="D12" s="34">
        <f t="shared" ca="1" si="1"/>
        <v>16.467921772599226</v>
      </c>
      <c r="P12" s="76"/>
      <c r="Q12" s="77"/>
      <c r="R12" s="76"/>
    </row>
    <row r="13" spans="2:18" x14ac:dyDescent="0.3">
      <c r="B13" s="34">
        <f t="shared" ca="1" si="0"/>
        <v>3.8096514174410059</v>
      </c>
      <c r="C13" s="34">
        <f t="shared" ca="1" si="0"/>
        <v>2.1899153397855042</v>
      </c>
      <c r="D13" s="34">
        <f t="shared" ca="1" si="1"/>
        <v>25.425713337038342</v>
      </c>
      <c r="P13" s="76"/>
      <c r="Q13" s="77"/>
      <c r="R13" s="76"/>
    </row>
    <row r="14" spans="2:18" x14ac:dyDescent="0.3">
      <c r="B14" s="34">
        <f t="shared" ca="1" si="0"/>
        <v>1.8190965660677105</v>
      </c>
      <c r="C14" s="34">
        <f t="shared" ca="1" si="0"/>
        <v>9.2487497549742486</v>
      </c>
      <c r="D14" s="34">
        <f t="shared" ca="1" si="1"/>
        <v>43.638890831512327</v>
      </c>
      <c r="P14" s="76"/>
      <c r="Q14" s="77"/>
      <c r="R14" s="76"/>
    </row>
    <row r="15" spans="2:18" x14ac:dyDescent="0.3">
      <c r="B15" s="34">
        <f t="shared" ca="1" si="0"/>
        <v>5.7913684867449717</v>
      </c>
      <c r="C15" s="34">
        <f t="shared" ca="1" si="0"/>
        <v>1.5670711110696989</v>
      </c>
      <c r="D15" s="34">
        <f t="shared" ca="1" si="1"/>
        <v>21.754221608927846</v>
      </c>
      <c r="P15" s="76"/>
      <c r="Q15" s="77"/>
      <c r="R15" s="76"/>
    </row>
    <row r="16" spans="2:18" x14ac:dyDescent="0.3">
      <c r="B16" s="34">
        <f t="shared" ca="1" si="0"/>
        <v>1.8953885986995089</v>
      </c>
      <c r="C16" s="34">
        <f t="shared" ca="1" si="0"/>
        <v>2.3538512353885577</v>
      </c>
      <c r="D16" s="34">
        <f t="shared" ca="1" si="1"/>
        <v>18.943938302897877</v>
      </c>
      <c r="P16" s="76"/>
      <c r="Q16" s="77"/>
      <c r="R16" s="76"/>
    </row>
    <row r="17" spans="2:18" x14ac:dyDescent="0.3">
      <c r="B17" s="34">
        <f t="shared" ca="1" si="0"/>
        <v>6.7300967980489474</v>
      </c>
      <c r="C17" s="34">
        <f t="shared" ca="1" si="0"/>
        <v>6.9165337647669043</v>
      </c>
      <c r="D17" s="34">
        <f t="shared" ca="1" si="1"/>
        <v>35.330016451897137</v>
      </c>
      <c r="P17" s="76"/>
      <c r="Q17" s="77"/>
      <c r="R17" s="76"/>
    </row>
    <row r="18" spans="2:18" x14ac:dyDescent="0.3">
      <c r="B18" s="34">
        <f t="shared" ca="1" si="0"/>
        <v>7.6702372881745546</v>
      </c>
      <c r="C18" s="34">
        <f t="shared" ca="1" si="0"/>
        <v>4.6097398200339645</v>
      </c>
      <c r="D18" s="34">
        <f t="shared" ca="1" si="1"/>
        <v>34.767719091832738</v>
      </c>
      <c r="P18" s="76"/>
      <c r="Q18" s="77"/>
      <c r="R18" s="76"/>
    </row>
    <row r="19" spans="2:18" x14ac:dyDescent="0.3">
      <c r="B19" s="34">
        <f t="shared" ca="1" si="0"/>
        <v>2.1882296793954992</v>
      </c>
      <c r="C19" s="34">
        <f t="shared" ca="1" si="0"/>
        <v>9.1709781187871293</v>
      </c>
      <c r="D19" s="34">
        <f t="shared" ca="1" si="1"/>
        <v>41.437431770228578</v>
      </c>
      <c r="P19" s="76"/>
      <c r="Q19" s="77"/>
      <c r="R19" s="76"/>
    </row>
    <row r="20" spans="2:18" x14ac:dyDescent="0.3">
      <c r="B20" s="34">
        <f t="shared" ca="1" si="0"/>
        <v>7.5134997747218737</v>
      </c>
      <c r="C20" s="34">
        <f t="shared" ca="1" si="0"/>
        <v>0.37070689792541245</v>
      </c>
      <c r="D20" s="34">
        <f t="shared" ca="1" si="1"/>
        <v>22.633287415763139</v>
      </c>
      <c r="P20" s="76"/>
      <c r="Q20" s="77"/>
      <c r="R20" s="76"/>
    </row>
    <row r="21" spans="2:18" x14ac:dyDescent="0.3">
      <c r="B21" s="34">
        <f t="shared" ca="1" si="0"/>
        <v>4.0736403278149709</v>
      </c>
      <c r="C21" s="34">
        <f t="shared" ca="1" si="0"/>
        <v>8.9884811908316351</v>
      </c>
      <c r="D21" s="34">
        <f t="shared" ca="1" si="1"/>
        <v>39.722555172146848</v>
      </c>
      <c r="P21" s="76"/>
      <c r="Q21" s="77"/>
      <c r="R21" s="76"/>
    </row>
    <row r="22" spans="2:18" x14ac:dyDescent="0.3">
      <c r="B22" s="34">
        <f t="shared" ca="1" si="0"/>
        <v>1.552339274903255</v>
      </c>
      <c r="C22" s="34">
        <f t="shared" ca="1" si="0"/>
        <v>8.2582414768547725</v>
      </c>
      <c r="D22" s="34">
        <f t="shared" ca="1" si="1"/>
        <v>33.553001733550708</v>
      </c>
      <c r="P22" s="76"/>
      <c r="Q22" s="77"/>
      <c r="R22" s="76"/>
    </row>
    <row r="23" spans="2:18" x14ac:dyDescent="0.3">
      <c r="B23" s="34">
        <f t="shared" ca="1" si="0"/>
        <v>7.4422988644045684</v>
      </c>
      <c r="C23" s="34">
        <f t="shared" ca="1" si="0"/>
        <v>6.7253449417774602</v>
      </c>
      <c r="D23" s="34">
        <f t="shared" ca="1" si="1"/>
        <v>42.707046903543961</v>
      </c>
      <c r="P23" s="76"/>
      <c r="Q23" s="77"/>
      <c r="R23" s="7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60"/>
  <sheetViews>
    <sheetView workbookViewId="0"/>
  </sheetViews>
  <sheetFormatPr baseColWidth="10" defaultColWidth="8.83203125" defaultRowHeight="15" x14ac:dyDescent="0.2"/>
  <cols>
    <col min="1" max="4" width="8.83203125" style="4"/>
    <col min="5" max="6" width="8.83203125" style="5"/>
    <col min="7" max="16384" width="8.83203125" style="4"/>
  </cols>
  <sheetData>
    <row r="1" spans="1:9" x14ac:dyDescent="0.2">
      <c r="A1" s="33" t="s">
        <v>115</v>
      </c>
    </row>
    <row r="2" spans="1:9" x14ac:dyDescent="0.2">
      <c r="B2" s="4" t="s">
        <v>3</v>
      </c>
      <c r="C2" s="4">
        <v>10</v>
      </c>
    </row>
    <row r="3" spans="1:9" x14ac:dyDescent="0.2">
      <c r="B3" s="4" t="s">
        <v>2</v>
      </c>
      <c r="C3" s="4">
        <v>6</v>
      </c>
    </row>
    <row r="6" spans="1:9" x14ac:dyDescent="0.2">
      <c r="A6" s="5" t="s">
        <v>4</v>
      </c>
      <c r="B6" s="5" t="s">
        <v>0</v>
      </c>
      <c r="C6" s="5" t="s">
        <v>1</v>
      </c>
      <c r="E6" s="6" t="s">
        <v>35</v>
      </c>
    </row>
    <row r="7" spans="1:9" ht="17" x14ac:dyDescent="0.25">
      <c r="A7" s="4">
        <v>1</v>
      </c>
      <c r="B7" s="4">
        <f ca="1">RAND()</f>
        <v>0.91493732368240066</v>
      </c>
      <c r="C7" s="4">
        <f t="shared" ref="C7" ca="1" si="0">_xlfn.NORM.INV(RAND(),beta*B7,sigma)</f>
        <v>6.7610392409457569</v>
      </c>
      <c r="E7" s="7">
        <f t="array" aca="1" ref="E7:F11" ca="1">LINEST(y,x,TRUE,TRUE)</f>
        <v>6.2395455738033494</v>
      </c>
      <c r="F7" s="8">
        <f ca="1"/>
        <v>1.4886966436535256</v>
      </c>
      <c r="H7" s="4" t="s">
        <v>18</v>
      </c>
      <c r="I7" s="4" t="s">
        <v>19</v>
      </c>
    </row>
    <row r="8" spans="1:9" ht="17" x14ac:dyDescent="0.25">
      <c r="A8" s="4">
        <v>2</v>
      </c>
      <c r="B8" s="4">
        <f t="shared" ref="B8:B56" ca="1" si="1">RAND()</f>
        <v>0.94714671051374655</v>
      </c>
      <c r="C8" s="4">
        <f t="shared" ref="C8:C29" ca="1" si="2">_xlfn.NORM.INV(RAND(),beta*B8,sigma)</f>
        <v>15.795509242198687</v>
      </c>
      <c r="E8" s="9">
        <f ca="1"/>
        <v>3.221697581713804</v>
      </c>
      <c r="F8" s="10">
        <f ca="1"/>
        <v>1.612216097645647</v>
      </c>
      <c r="H8" s="4" t="s">
        <v>17</v>
      </c>
      <c r="I8" s="4" t="s">
        <v>16</v>
      </c>
    </row>
    <row r="9" spans="1:9" ht="18" x14ac:dyDescent="0.25">
      <c r="A9" s="4">
        <v>3</v>
      </c>
      <c r="B9" s="4">
        <f t="shared" ca="1" si="1"/>
        <v>0.39113688900332855</v>
      </c>
      <c r="C9" s="4">
        <f t="shared" ca="1" si="2"/>
        <v>3.4871836217861012</v>
      </c>
      <c r="E9" s="9">
        <f ca="1"/>
        <v>7.2480037319847354E-2</v>
      </c>
      <c r="F9" s="10">
        <f ca="1"/>
        <v>6.1960615277019295</v>
      </c>
      <c r="H9" s="4" t="s">
        <v>14</v>
      </c>
      <c r="I9" s="4" t="s">
        <v>15</v>
      </c>
    </row>
    <row r="10" spans="1:9" x14ac:dyDescent="0.2">
      <c r="A10" s="4">
        <v>4</v>
      </c>
      <c r="B10" s="4">
        <f t="shared" ca="1" si="1"/>
        <v>0.25520866739984271</v>
      </c>
      <c r="C10" s="4">
        <f t="shared" ca="1" si="2"/>
        <v>-5.2627208418262956</v>
      </c>
      <c r="E10" s="9">
        <f ca="1"/>
        <v>3.7509077231067538</v>
      </c>
      <c r="F10" s="10">
        <f ca="1"/>
        <v>48</v>
      </c>
      <c r="H10" s="4" t="s">
        <v>8</v>
      </c>
      <c r="I10" s="4" t="s">
        <v>9</v>
      </c>
    </row>
    <row r="11" spans="1:9" ht="17" x14ac:dyDescent="0.25">
      <c r="A11" s="4">
        <v>5</v>
      </c>
      <c r="B11" s="4">
        <f t="shared" ca="1" si="1"/>
        <v>0.42218617327365382</v>
      </c>
      <c r="C11" s="4">
        <f t="shared" ca="1" si="2"/>
        <v>16.113446169924266</v>
      </c>
      <c r="E11" s="11">
        <f ca="1"/>
        <v>144.00176776628405</v>
      </c>
      <c r="F11" s="12">
        <f ca="1"/>
        <v>1842.7765658432622</v>
      </c>
      <c r="H11" s="4" t="s">
        <v>12</v>
      </c>
      <c r="I11" s="4" t="s">
        <v>13</v>
      </c>
    </row>
    <row r="12" spans="1:9" x14ac:dyDescent="0.2">
      <c r="A12" s="4">
        <v>6</v>
      </c>
      <c r="B12" s="4">
        <f t="shared" ca="1" si="1"/>
        <v>0.79885430027205961</v>
      </c>
      <c r="C12" s="4">
        <f t="shared" ca="1" si="2"/>
        <v>-0.20122888369384118</v>
      </c>
    </row>
    <row r="13" spans="1:9" x14ac:dyDescent="0.2">
      <c r="A13" s="4">
        <v>7</v>
      </c>
      <c r="B13" s="4">
        <f t="shared" ca="1" si="1"/>
        <v>0.48547498170219705</v>
      </c>
      <c r="C13" s="4">
        <f t="shared" ca="1" si="2"/>
        <v>0.43717635622009254</v>
      </c>
    </row>
    <row r="14" spans="1:9" x14ac:dyDescent="0.2">
      <c r="A14" s="4">
        <v>8</v>
      </c>
      <c r="B14" s="4">
        <f t="shared" ca="1" si="1"/>
        <v>0.14733950070779767</v>
      </c>
      <c r="C14" s="4">
        <f t="shared" ca="1" si="2"/>
        <v>4.9274771994623032</v>
      </c>
    </row>
    <row r="15" spans="1:9" x14ac:dyDescent="0.2">
      <c r="A15" s="4">
        <v>9</v>
      </c>
      <c r="B15" s="4">
        <f t="shared" ca="1" si="1"/>
        <v>0.60350751380576695</v>
      </c>
      <c r="C15" s="4">
        <f t="shared" ca="1" si="2"/>
        <v>-3.4267573189892691</v>
      </c>
    </row>
    <row r="16" spans="1:9" x14ac:dyDescent="0.2">
      <c r="A16" s="4">
        <v>10</v>
      </c>
      <c r="B16" s="4">
        <f t="shared" ca="1" si="1"/>
        <v>0.5123618032479158</v>
      </c>
      <c r="C16" s="4">
        <f t="shared" ca="1" si="2"/>
        <v>16.466056375754906</v>
      </c>
    </row>
    <row r="17" spans="1:6" x14ac:dyDescent="0.2">
      <c r="A17" s="4">
        <v>11</v>
      </c>
      <c r="B17" s="4">
        <f t="shared" ca="1" si="1"/>
        <v>0.15970082895117288</v>
      </c>
      <c r="C17" s="4">
        <f t="shared" ca="1" si="2"/>
        <v>13.293807136936106</v>
      </c>
    </row>
    <row r="18" spans="1:6" x14ac:dyDescent="0.2">
      <c r="A18" s="4">
        <v>12</v>
      </c>
      <c r="B18" s="4">
        <f t="shared" ca="1" si="1"/>
        <v>0.56797564670705625</v>
      </c>
      <c r="C18" s="4">
        <f t="shared" ca="1" si="2"/>
        <v>2.9144638437600672</v>
      </c>
    </row>
    <row r="19" spans="1:6" x14ac:dyDescent="0.2">
      <c r="A19" s="4">
        <v>13</v>
      </c>
      <c r="B19" s="4">
        <f t="shared" ca="1" si="1"/>
        <v>0.91063239720994704</v>
      </c>
      <c r="C19" s="4">
        <f t="shared" ca="1" si="2"/>
        <v>8.9262793298163974</v>
      </c>
    </row>
    <row r="20" spans="1:6" x14ac:dyDescent="0.2">
      <c r="A20" s="4">
        <v>14</v>
      </c>
      <c r="B20" s="4">
        <f t="shared" ca="1" si="1"/>
        <v>0.64880276529236236</v>
      </c>
      <c r="C20" s="4">
        <f t="shared" ca="1" si="2"/>
        <v>1.8842695605526654</v>
      </c>
      <c r="E20" s="4"/>
      <c r="F20" s="4"/>
    </row>
    <row r="21" spans="1:6" x14ac:dyDescent="0.2">
      <c r="A21" s="4">
        <v>15</v>
      </c>
      <c r="B21" s="4">
        <f t="shared" ca="1" si="1"/>
        <v>0.43903713386013588</v>
      </c>
      <c r="C21" s="4">
        <f t="shared" ca="1" si="2"/>
        <v>-3.053445133356175</v>
      </c>
      <c r="E21" s="4"/>
      <c r="F21" s="4"/>
    </row>
    <row r="22" spans="1:6" x14ac:dyDescent="0.2">
      <c r="A22" s="4">
        <v>16</v>
      </c>
      <c r="B22" s="4">
        <f t="shared" ca="1" si="1"/>
        <v>0.94300162658895714</v>
      </c>
      <c r="C22" s="4">
        <f t="shared" ca="1" si="2"/>
        <v>4.4016110729513604</v>
      </c>
      <c r="E22" s="4"/>
      <c r="F22" s="4"/>
    </row>
    <row r="23" spans="1:6" x14ac:dyDescent="0.2">
      <c r="A23" s="4">
        <v>17</v>
      </c>
      <c r="B23" s="4">
        <f t="shared" ca="1" si="1"/>
        <v>0.20122624259447652</v>
      </c>
      <c r="C23" s="4">
        <f t="shared" ca="1" si="2"/>
        <v>-5.9542301390296819</v>
      </c>
      <c r="E23" s="4"/>
      <c r="F23" s="4"/>
    </row>
    <row r="24" spans="1:6" x14ac:dyDescent="0.2">
      <c r="A24" s="4">
        <v>18</v>
      </c>
      <c r="B24" s="4">
        <f t="shared" ca="1" si="1"/>
        <v>0.71240758624812361</v>
      </c>
      <c r="C24" s="4">
        <f t="shared" ca="1" si="2"/>
        <v>14.667529926193724</v>
      </c>
      <c r="E24" s="4"/>
      <c r="F24" s="4"/>
    </row>
    <row r="25" spans="1:6" x14ac:dyDescent="0.2">
      <c r="A25" s="4">
        <v>19</v>
      </c>
      <c r="B25" s="4">
        <f t="shared" ca="1" si="1"/>
        <v>0.38836616901204857</v>
      </c>
      <c r="C25" s="4">
        <f t="shared" ca="1" si="2"/>
        <v>6.5493114111511037</v>
      </c>
      <c r="E25" s="4"/>
      <c r="F25" s="4"/>
    </row>
    <row r="26" spans="1:6" x14ac:dyDescent="0.2">
      <c r="A26" s="4">
        <v>20</v>
      </c>
      <c r="B26" s="4">
        <f t="shared" ca="1" si="1"/>
        <v>0.2962931038547012</v>
      </c>
      <c r="C26" s="4">
        <f t="shared" ca="1" si="2"/>
        <v>6.6960657468276406</v>
      </c>
      <c r="E26" s="4"/>
      <c r="F26" s="4"/>
    </row>
    <row r="27" spans="1:6" x14ac:dyDescent="0.2">
      <c r="A27" s="4">
        <v>21</v>
      </c>
      <c r="B27" s="4">
        <f t="shared" ca="1" si="1"/>
        <v>0.24830192733786849</v>
      </c>
      <c r="C27" s="4">
        <f t="shared" ca="1" si="2"/>
        <v>-0.35436008473833258</v>
      </c>
      <c r="E27" s="4"/>
      <c r="F27" s="4"/>
    </row>
    <row r="28" spans="1:6" x14ac:dyDescent="0.2">
      <c r="A28" s="4">
        <v>22</v>
      </c>
      <c r="B28" s="4">
        <f t="shared" ca="1" si="1"/>
        <v>0.59258559149234147</v>
      </c>
      <c r="C28" s="4">
        <f t="shared" ca="1" si="2"/>
        <v>1.752154862801893</v>
      </c>
      <c r="E28" s="4"/>
      <c r="F28" s="4"/>
    </row>
    <row r="29" spans="1:6" x14ac:dyDescent="0.2">
      <c r="A29" s="4">
        <v>23</v>
      </c>
      <c r="B29" s="4">
        <f t="shared" ca="1" si="1"/>
        <v>8.4121662512370854E-4</v>
      </c>
      <c r="C29" s="4">
        <f t="shared" ca="1" si="2"/>
        <v>3.5961529082553789</v>
      </c>
      <c r="E29" s="4"/>
      <c r="F29" s="4"/>
    </row>
    <row r="30" spans="1:6" x14ac:dyDescent="0.2">
      <c r="A30" s="4">
        <v>24</v>
      </c>
      <c r="B30" s="4">
        <f t="shared" ca="1" si="1"/>
        <v>0.63965822298296127</v>
      </c>
      <c r="C30" s="4">
        <f t="shared" ref="C30:C38" ca="1" si="3">_xlfn.NORM.INV(RAND(),beta*B30,sigma)</f>
        <v>11.85888530071856</v>
      </c>
      <c r="E30" s="4"/>
      <c r="F30" s="4"/>
    </row>
    <row r="31" spans="1:6" x14ac:dyDescent="0.2">
      <c r="A31" s="4">
        <v>25</v>
      </c>
      <c r="B31" s="4">
        <f t="shared" ca="1" si="1"/>
        <v>0.38630686352653354</v>
      </c>
      <c r="C31" s="4">
        <f t="shared" ca="1" si="3"/>
        <v>6.7951146503503237</v>
      </c>
      <c r="E31" s="4"/>
      <c r="F31" s="4"/>
    </row>
    <row r="32" spans="1:6" x14ac:dyDescent="0.2">
      <c r="A32" s="4">
        <v>26</v>
      </c>
      <c r="B32" s="4">
        <f t="shared" ca="1" si="1"/>
        <v>0.41243612952164643</v>
      </c>
      <c r="C32" s="4">
        <f t="shared" ca="1" si="3"/>
        <v>-3.15267446144657</v>
      </c>
      <c r="E32" s="4"/>
      <c r="F32" s="4"/>
    </row>
    <row r="33" spans="1:6" x14ac:dyDescent="0.2">
      <c r="A33" s="4">
        <v>27</v>
      </c>
      <c r="B33" s="4">
        <f t="shared" ca="1" si="1"/>
        <v>0.80033170363687389</v>
      </c>
      <c r="C33" s="4">
        <f t="shared" ca="1" si="3"/>
        <v>2.0129294395898505</v>
      </c>
      <c r="E33" s="4"/>
      <c r="F33" s="4"/>
    </row>
    <row r="34" spans="1:6" x14ac:dyDescent="0.2">
      <c r="A34" s="4">
        <v>28</v>
      </c>
      <c r="B34" s="4">
        <f t="shared" ca="1" si="1"/>
        <v>0.29138501538356398</v>
      </c>
      <c r="C34" s="4">
        <f t="shared" ca="1" si="3"/>
        <v>-4.7575532563673448</v>
      </c>
      <c r="E34" s="4"/>
      <c r="F34" s="4"/>
    </row>
    <row r="35" spans="1:6" x14ac:dyDescent="0.2">
      <c r="A35" s="4">
        <v>29</v>
      </c>
      <c r="B35" s="4">
        <f t="shared" ca="1" si="1"/>
        <v>0.28886866730385352</v>
      </c>
      <c r="C35" s="4">
        <f t="shared" ca="1" si="3"/>
        <v>3.3005534933249483</v>
      </c>
      <c r="E35" s="4"/>
      <c r="F35" s="4"/>
    </row>
    <row r="36" spans="1:6" x14ac:dyDescent="0.2">
      <c r="A36" s="4">
        <v>30</v>
      </c>
      <c r="B36" s="4">
        <f t="shared" ca="1" si="1"/>
        <v>0.44157426860895876</v>
      </c>
      <c r="C36" s="4">
        <f t="shared" ca="1" si="3"/>
        <v>1.4213777054544021</v>
      </c>
      <c r="E36" s="4"/>
      <c r="F36" s="4"/>
    </row>
    <row r="37" spans="1:6" x14ac:dyDescent="0.2">
      <c r="A37" s="4">
        <v>31</v>
      </c>
      <c r="B37" s="4">
        <f t="shared" ca="1" si="1"/>
        <v>7.9712358791307225E-2</v>
      </c>
      <c r="C37" s="4">
        <f t="shared" ca="1" si="3"/>
        <v>-4.2705085791874264E-2</v>
      </c>
      <c r="E37" s="4"/>
      <c r="F37" s="4"/>
    </row>
    <row r="38" spans="1:6" x14ac:dyDescent="0.2">
      <c r="A38" s="4">
        <v>32</v>
      </c>
      <c r="B38" s="4">
        <f t="shared" ca="1" si="1"/>
        <v>0.15817621105037272</v>
      </c>
      <c r="C38" s="4">
        <f t="shared" ca="1" si="3"/>
        <v>3.5101081198910706</v>
      </c>
      <c r="E38" s="4"/>
      <c r="F38" s="4"/>
    </row>
    <row r="39" spans="1:6" x14ac:dyDescent="0.2">
      <c r="A39" s="4">
        <v>33</v>
      </c>
      <c r="B39" s="4">
        <f t="shared" ca="1" si="1"/>
        <v>0.67371254024065563</v>
      </c>
      <c r="C39" s="4">
        <f t="shared" ref="C39:C43" ca="1" si="4">_xlfn.NORM.INV(RAND(),beta*B39,sigma)</f>
        <v>-5.346108653481112</v>
      </c>
      <c r="E39" s="4"/>
      <c r="F39" s="4"/>
    </row>
    <row r="40" spans="1:6" x14ac:dyDescent="0.2">
      <c r="A40" s="4">
        <v>34</v>
      </c>
      <c r="B40" s="4">
        <f t="shared" ca="1" si="1"/>
        <v>0.9417273812794118</v>
      </c>
      <c r="C40" s="4">
        <f t="shared" ca="1" si="4"/>
        <v>9.8423354325816739</v>
      </c>
      <c r="E40" s="4"/>
      <c r="F40" s="4"/>
    </row>
    <row r="41" spans="1:6" x14ac:dyDescent="0.2">
      <c r="A41" s="4">
        <v>35</v>
      </c>
      <c r="B41" s="4">
        <f t="shared" ca="1" si="1"/>
        <v>0.24352996873556809</v>
      </c>
      <c r="C41" s="4">
        <f t="shared" ca="1" si="4"/>
        <v>9.5878184414814847</v>
      </c>
      <c r="E41" s="4"/>
      <c r="F41" s="4"/>
    </row>
    <row r="42" spans="1:6" x14ac:dyDescent="0.2">
      <c r="A42" s="4">
        <v>36</v>
      </c>
      <c r="B42" s="4">
        <f t="shared" ca="1" si="1"/>
        <v>0.15051350066901248</v>
      </c>
      <c r="C42" s="4">
        <f t="shared" ca="1" si="4"/>
        <v>-5.6593714163355298</v>
      </c>
      <c r="E42" s="4"/>
      <c r="F42" s="4"/>
    </row>
    <row r="43" spans="1:6" x14ac:dyDescent="0.2">
      <c r="A43" s="4">
        <v>37</v>
      </c>
      <c r="B43" s="4">
        <f t="shared" ca="1" si="1"/>
        <v>0.32085202552985592</v>
      </c>
      <c r="C43" s="4">
        <f t="shared" ca="1" si="4"/>
        <v>0.89695076304109156</v>
      </c>
      <c r="E43" s="4"/>
      <c r="F43" s="4"/>
    </row>
    <row r="44" spans="1:6" x14ac:dyDescent="0.2">
      <c r="A44" s="4">
        <v>38</v>
      </c>
      <c r="B44" s="4">
        <f t="shared" ca="1" si="1"/>
        <v>0.14160805992469672</v>
      </c>
      <c r="C44" s="4">
        <f t="shared" ref="C44:C56" ca="1" si="5">_xlfn.NORM.INV(RAND(),beta*B44,sigma)</f>
        <v>3.4099743144248409</v>
      </c>
      <c r="E44" s="4"/>
      <c r="F44" s="4"/>
    </row>
    <row r="45" spans="1:6" x14ac:dyDescent="0.2">
      <c r="A45" s="4">
        <v>39</v>
      </c>
      <c r="B45" s="4">
        <f t="shared" ca="1" si="1"/>
        <v>1.3966720632425988E-2</v>
      </c>
      <c r="C45" s="4">
        <f t="shared" ca="1" si="5"/>
        <v>9.1997563994894307</v>
      </c>
      <c r="E45" s="4"/>
      <c r="F45" s="4"/>
    </row>
    <row r="46" spans="1:6" x14ac:dyDescent="0.2">
      <c r="A46" s="4">
        <v>40</v>
      </c>
      <c r="B46" s="4">
        <f t="shared" ca="1" si="1"/>
        <v>0.41766701996422795</v>
      </c>
      <c r="C46" s="4">
        <f t="shared" ca="1" si="5"/>
        <v>-0.67296462993459105</v>
      </c>
      <c r="E46" s="4"/>
      <c r="F46" s="4"/>
    </row>
    <row r="47" spans="1:6" x14ac:dyDescent="0.2">
      <c r="A47" s="4">
        <v>41</v>
      </c>
      <c r="B47" s="4">
        <f t="shared" ca="1" si="1"/>
        <v>0.12346534360756345</v>
      </c>
      <c r="C47" s="4">
        <f t="shared" ca="1" si="5"/>
        <v>-3.2539746606471938</v>
      </c>
      <c r="E47" s="4"/>
      <c r="F47" s="4"/>
    </row>
    <row r="48" spans="1:6" x14ac:dyDescent="0.2">
      <c r="A48" s="4">
        <v>42</v>
      </c>
      <c r="B48" s="4">
        <f t="shared" ca="1" si="1"/>
        <v>5.9594067527525163E-2</v>
      </c>
      <c r="C48" s="4">
        <f t="shared" ca="1" si="5"/>
        <v>5.9974281652456707</v>
      </c>
      <c r="E48" s="4"/>
      <c r="F48" s="4"/>
    </row>
    <row r="49" spans="1:6" x14ac:dyDescent="0.2">
      <c r="A49" s="4">
        <v>43</v>
      </c>
      <c r="B49" s="4">
        <f t="shared" ca="1" si="1"/>
        <v>0.65941076934870901</v>
      </c>
      <c r="C49" s="4">
        <f t="shared" ca="1" si="5"/>
        <v>16.993935360075799</v>
      </c>
      <c r="E49" s="4"/>
      <c r="F49" s="4"/>
    </row>
    <row r="50" spans="1:6" x14ac:dyDescent="0.2">
      <c r="A50" s="4">
        <v>44</v>
      </c>
      <c r="B50" s="4">
        <f t="shared" ca="1" si="1"/>
        <v>0.26789642173292494</v>
      </c>
      <c r="C50" s="4">
        <f t="shared" ca="1" si="5"/>
        <v>-3.5319885512134528</v>
      </c>
      <c r="E50" s="4"/>
      <c r="F50" s="4"/>
    </row>
    <row r="51" spans="1:6" x14ac:dyDescent="0.2">
      <c r="A51" s="4">
        <v>45</v>
      </c>
      <c r="B51" s="4">
        <f t="shared" ca="1" si="1"/>
        <v>7.1643793629244557E-2</v>
      </c>
      <c r="C51" s="4">
        <f t="shared" ca="1" si="5"/>
        <v>9.8569257344605123</v>
      </c>
      <c r="E51" s="4"/>
      <c r="F51" s="4"/>
    </row>
    <row r="52" spans="1:6" x14ac:dyDescent="0.2">
      <c r="A52" s="4">
        <v>46</v>
      </c>
      <c r="B52" s="4">
        <f t="shared" ca="1" si="1"/>
        <v>0.4762079652471255</v>
      </c>
      <c r="C52" s="4">
        <f t="shared" ca="1" si="5"/>
        <v>1.6673238972837305</v>
      </c>
      <c r="E52" s="4"/>
      <c r="F52" s="4"/>
    </row>
    <row r="53" spans="1:6" x14ac:dyDescent="0.2">
      <c r="A53" s="4">
        <v>47</v>
      </c>
      <c r="B53" s="4">
        <f t="shared" ca="1" si="1"/>
        <v>0.42069132018409727</v>
      </c>
      <c r="C53" s="4">
        <f t="shared" ca="1" si="5"/>
        <v>5.5406970913777593</v>
      </c>
      <c r="E53" s="4"/>
      <c r="F53" s="4"/>
    </row>
    <row r="54" spans="1:6" x14ac:dyDescent="0.2">
      <c r="A54" s="4">
        <v>48</v>
      </c>
      <c r="B54" s="4">
        <f t="shared" ca="1" si="1"/>
        <v>6.9788589811099588E-2</v>
      </c>
      <c r="C54" s="4">
        <f t="shared" ca="1" si="5"/>
        <v>1.1066077497394775</v>
      </c>
      <c r="E54" s="4"/>
      <c r="F54" s="4"/>
    </row>
    <row r="55" spans="1:6" x14ac:dyDescent="0.2">
      <c r="A55" s="4">
        <v>49</v>
      </c>
      <c r="B55" s="4">
        <f t="shared" ca="1" si="1"/>
        <v>0.12303598602793464</v>
      </c>
      <c r="C55" s="4">
        <f t="shared" ca="1" si="5"/>
        <v>5.2788765878822836</v>
      </c>
      <c r="E55" s="4"/>
      <c r="F55" s="4"/>
    </row>
    <row r="56" spans="1:6" x14ac:dyDescent="0.2">
      <c r="A56" s="4">
        <v>50</v>
      </c>
      <c r="B56" s="4">
        <f t="shared" ca="1" si="1"/>
        <v>0.74179413181748333</v>
      </c>
      <c r="C56" s="4">
        <f t="shared" ca="1" si="5"/>
        <v>13.206216739833877</v>
      </c>
      <c r="E56" s="4"/>
      <c r="F56" s="4"/>
    </row>
    <row r="57" spans="1:6" x14ac:dyDescent="0.2">
      <c r="E57" s="4"/>
      <c r="F57" s="4"/>
    </row>
    <row r="58" spans="1:6" x14ac:dyDescent="0.2">
      <c r="E58" s="4"/>
      <c r="F58" s="4"/>
    </row>
    <row r="59" spans="1:6" x14ac:dyDescent="0.2">
      <c r="E59" s="4"/>
      <c r="F59" s="4"/>
    </row>
    <row r="60" spans="1:6" x14ac:dyDescent="0.2">
      <c r="E60" s="4"/>
      <c r="F60" s="4"/>
    </row>
  </sheetData>
  <hyperlinks>
    <hyperlink ref="A1" r:id="rId1" xr:uid="{631234DD-E03F-6549-B6C1-54C8A39EC2E0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50"/>
  <sheetViews>
    <sheetView workbookViewId="0"/>
  </sheetViews>
  <sheetFormatPr baseColWidth="10" defaultRowHeight="26" x14ac:dyDescent="0.3"/>
  <cols>
    <col min="1" max="5" width="10.83203125" style="1"/>
    <col min="6" max="6" width="14.5" style="1" customWidth="1"/>
    <col min="7" max="16384" width="10.83203125" style="1"/>
  </cols>
  <sheetData>
    <row r="1" spans="1:11" x14ac:dyDescent="0.3">
      <c r="A1" s="33" t="s">
        <v>116</v>
      </c>
    </row>
    <row r="2" spans="1:11" x14ac:dyDescent="0.3">
      <c r="B2" s="1" t="s">
        <v>56</v>
      </c>
    </row>
    <row r="3" spans="1:11" x14ac:dyDescent="0.3">
      <c r="B3" s="1">
        <v>1</v>
      </c>
      <c r="C3" s="15">
        <v>1</v>
      </c>
    </row>
    <row r="4" spans="1:11" x14ac:dyDescent="0.3">
      <c r="B4" s="1">
        <v>2</v>
      </c>
      <c r="C4" s="16">
        <v>2</v>
      </c>
    </row>
    <row r="5" spans="1:11" x14ac:dyDescent="0.3">
      <c r="B5" s="1">
        <v>3</v>
      </c>
      <c r="C5" s="15">
        <v>1</v>
      </c>
    </row>
    <row r="6" spans="1:11" x14ac:dyDescent="0.3">
      <c r="B6" s="1">
        <v>4</v>
      </c>
      <c r="C6" s="17">
        <v>8</v>
      </c>
    </row>
    <row r="7" spans="1:11" x14ac:dyDescent="0.3">
      <c r="B7" s="1">
        <v>5</v>
      </c>
      <c r="C7" s="15">
        <v>1</v>
      </c>
    </row>
    <row r="8" spans="1:11" x14ac:dyDescent="0.3">
      <c r="F8" s="1" t="s">
        <v>57</v>
      </c>
      <c r="K8" s="1" t="s">
        <v>58</v>
      </c>
    </row>
    <row r="9" spans="1:11" x14ac:dyDescent="0.3"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</row>
    <row r="16" spans="1:11" x14ac:dyDescent="0.3">
      <c r="B16" s="1" t="s">
        <v>56</v>
      </c>
    </row>
    <row r="17" spans="2:11" x14ac:dyDescent="0.3">
      <c r="B17" s="1">
        <v>1</v>
      </c>
      <c r="C17" s="15">
        <v>1</v>
      </c>
    </row>
    <row r="18" spans="2:11" x14ac:dyDescent="0.3">
      <c r="B18" s="1">
        <v>2</v>
      </c>
      <c r="C18" s="16">
        <v>2</v>
      </c>
      <c r="F18" s="1" t="s">
        <v>59</v>
      </c>
      <c r="K18" s="1" t="s">
        <v>60</v>
      </c>
    </row>
    <row r="19" spans="2:11" x14ac:dyDescent="0.3">
      <c r="B19" s="1">
        <v>3</v>
      </c>
      <c r="C19" s="15">
        <v>1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</row>
    <row r="20" spans="2:11" x14ac:dyDescent="0.3">
      <c r="B20" s="1">
        <v>4</v>
      </c>
      <c r="C20" s="17">
        <v>5</v>
      </c>
    </row>
    <row r="21" spans="2:11" x14ac:dyDescent="0.3">
      <c r="B21" s="1">
        <v>5</v>
      </c>
      <c r="C21" s="15">
        <v>1</v>
      </c>
    </row>
    <row r="22" spans="2:11" x14ac:dyDescent="0.3">
      <c r="B22" s="1">
        <v>6</v>
      </c>
      <c r="C22" s="18">
        <v>10</v>
      </c>
      <c r="F22" s="1" t="s">
        <v>57</v>
      </c>
      <c r="K22" s="1" t="s">
        <v>58</v>
      </c>
    </row>
    <row r="23" spans="2:11" x14ac:dyDescent="0.3">
      <c r="B23" s="1">
        <v>7</v>
      </c>
      <c r="C23" s="19">
        <v>2</v>
      </c>
      <c r="F23" s="1">
        <v>1</v>
      </c>
      <c r="G23" s="1">
        <v>2</v>
      </c>
      <c r="H23" s="1">
        <v>3</v>
      </c>
      <c r="I23" s="1">
        <v>4</v>
      </c>
      <c r="J23" s="1">
        <v>5</v>
      </c>
      <c r="K23" s="1">
        <v>6</v>
      </c>
    </row>
    <row r="24" spans="2:11" x14ac:dyDescent="0.3">
      <c r="B24" s="1">
        <v>8</v>
      </c>
      <c r="C24" s="18">
        <v>9</v>
      </c>
    </row>
    <row r="30" spans="2:11" x14ac:dyDescent="0.3">
      <c r="B30" s="1" t="s">
        <v>56</v>
      </c>
      <c r="F30" s="1" t="s">
        <v>60</v>
      </c>
    </row>
    <row r="31" spans="2:11" x14ac:dyDescent="0.3">
      <c r="B31" s="1">
        <v>1</v>
      </c>
      <c r="C31" s="15">
        <v>1</v>
      </c>
      <c r="F31" s="1">
        <v>6</v>
      </c>
      <c r="G31" s="20"/>
      <c r="H31" s="20"/>
      <c r="I31" s="21"/>
      <c r="J31" s="21"/>
      <c r="K31" s="22"/>
    </row>
    <row r="32" spans="2:11" x14ac:dyDescent="0.3">
      <c r="B32" s="1">
        <v>2</v>
      </c>
      <c r="C32" s="16">
        <v>2</v>
      </c>
      <c r="F32" s="1">
        <v>5</v>
      </c>
      <c r="G32" s="20"/>
      <c r="H32" s="20"/>
      <c r="I32" s="21"/>
      <c r="J32" s="21"/>
      <c r="K32" s="21"/>
    </row>
    <row r="33" spans="2:11" x14ac:dyDescent="0.3">
      <c r="B33" s="1">
        <v>3</v>
      </c>
      <c r="C33" s="15">
        <v>1</v>
      </c>
      <c r="F33" s="1">
        <v>4</v>
      </c>
      <c r="G33" s="18"/>
      <c r="H33" s="18"/>
      <c r="I33" s="21"/>
      <c r="J33" s="21"/>
      <c r="K33" s="21"/>
    </row>
    <row r="34" spans="2:11" x14ac:dyDescent="0.3">
      <c r="B34" s="1">
        <v>4</v>
      </c>
      <c r="C34" s="17">
        <v>5</v>
      </c>
      <c r="F34" s="1">
        <v>3</v>
      </c>
      <c r="G34" s="18"/>
      <c r="H34" s="21"/>
      <c r="I34" s="21"/>
      <c r="J34" s="21"/>
      <c r="K34" s="17"/>
    </row>
    <row r="35" spans="2:11" x14ac:dyDescent="0.3">
      <c r="B35" s="1">
        <v>5</v>
      </c>
      <c r="C35" s="15">
        <v>1</v>
      </c>
      <c r="F35" s="1">
        <v>2</v>
      </c>
      <c r="G35" s="18"/>
      <c r="H35" s="21"/>
      <c r="I35" s="21"/>
      <c r="J35" s="17"/>
      <c r="K35" s="17"/>
    </row>
    <row r="36" spans="2:11" x14ac:dyDescent="0.3">
      <c r="B36" s="1">
        <v>6</v>
      </c>
      <c r="C36" s="18">
        <v>10</v>
      </c>
      <c r="F36" s="1">
        <v>1</v>
      </c>
      <c r="G36" s="19"/>
      <c r="H36" s="23"/>
      <c r="I36" s="16"/>
      <c r="J36" s="17"/>
      <c r="K36" s="17"/>
    </row>
    <row r="37" spans="2:11" x14ac:dyDescent="0.3">
      <c r="B37" s="1">
        <v>7</v>
      </c>
      <c r="C37" s="19">
        <v>2</v>
      </c>
      <c r="F37" s="1">
        <v>0</v>
      </c>
      <c r="G37" s="24"/>
      <c r="H37" s="15"/>
      <c r="I37" s="16"/>
      <c r="J37" s="17"/>
      <c r="K37" s="17"/>
    </row>
    <row r="38" spans="2:11" x14ac:dyDescent="0.3">
      <c r="B38" s="1">
        <v>8</v>
      </c>
      <c r="C38" s="18">
        <v>9</v>
      </c>
      <c r="F38" s="1" t="s">
        <v>59</v>
      </c>
      <c r="G38" s="1">
        <v>0</v>
      </c>
      <c r="H38" s="1">
        <v>1</v>
      </c>
      <c r="I38" s="1">
        <v>2</v>
      </c>
      <c r="J38" s="1">
        <v>3</v>
      </c>
      <c r="K38" s="1">
        <v>4</v>
      </c>
    </row>
    <row r="39" spans="2:11" x14ac:dyDescent="0.3">
      <c r="B39" s="1">
        <v>9</v>
      </c>
      <c r="C39" s="21" t="s">
        <v>90</v>
      </c>
      <c r="F39" s="1" t="s">
        <v>57</v>
      </c>
      <c r="K39" s="1" t="s">
        <v>58</v>
      </c>
    </row>
    <row r="40" spans="2:11" x14ac:dyDescent="0.3">
      <c r="B40" s="1">
        <v>10</v>
      </c>
      <c r="C40" s="21" t="s">
        <v>90</v>
      </c>
    </row>
    <row r="41" spans="2:11" x14ac:dyDescent="0.3">
      <c r="B41" s="1">
        <v>11</v>
      </c>
      <c r="C41" s="23" t="s">
        <v>91</v>
      </c>
    </row>
    <row r="42" spans="2:11" x14ac:dyDescent="0.3">
      <c r="B42" s="1">
        <v>12</v>
      </c>
      <c r="C42" s="21" t="s">
        <v>90</v>
      </c>
    </row>
    <row r="43" spans="2:11" x14ac:dyDescent="0.3">
      <c r="B43" s="1">
        <v>13</v>
      </c>
      <c r="C43" s="22" t="s">
        <v>92</v>
      </c>
    </row>
    <row r="47" spans="2:11" x14ac:dyDescent="0.3">
      <c r="B47" s="1" t="s">
        <v>56</v>
      </c>
    </row>
    <row r="48" spans="2:11" x14ac:dyDescent="0.3">
      <c r="B48" s="1">
        <v>1</v>
      </c>
      <c r="C48" s="15"/>
    </row>
    <row r="49" spans="2:3" x14ac:dyDescent="0.3">
      <c r="B49" s="1">
        <v>2</v>
      </c>
      <c r="C49" s="18"/>
    </row>
    <row r="50" spans="2:3" x14ac:dyDescent="0.3">
      <c r="B50" s="1">
        <v>3</v>
      </c>
      <c r="C50" s="25"/>
    </row>
  </sheetData>
  <hyperlinks>
    <hyperlink ref="A1" r:id="rId1" xr:uid="{DBB8FEB5-DFFF-8B44-9BEE-CAB2B7FD55BF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D17"/>
  <sheetViews>
    <sheetView workbookViewId="0"/>
  </sheetViews>
  <sheetFormatPr baseColWidth="10" defaultRowHeight="26" x14ac:dyDescent="0.3"/>
  <cols>
    <col min="1" max="2" width="10.83203125" style="1"/>
    <col min="3" max="3" width="23.33203125" style="1" bestFit="1" customWidth="1"/>
    <col min="4" max="16384" width="10.83203125" style="1"/>
  </cols>
  <sheetData>
    <row r="1" spans="1:4" x14ac:dyDescent="0.3">
      <c r="A1" s="33" t="s">
        <v>117</v>
      </c>
    </row>
    <row r="2" spans="1:4" x14ac:dyDescent="0.3">
      <c r="B2" s="1" t="s">
        <v>61</v>
      </c>
    </row>
    <row r="4" spans="1:4" x14ac:dyDescent="0.3">
      <c r="B4" s="1" t="s">
        <v>62</v>
      </c>
    </row>
    <row r="6" spans="1:4" x14ac:dyDescent="0.3">
      <c r="C6" s="27" t="s">
        <v>63</v>
      </c>
      <c r="D6" s="26"/>
    </row>
    <row r="7" spans="1:4" x14ac:dyDescent="0.3">
      <c r="D7" s="1" t="s">
        <v>93</v>
      </c>
    </row>
    <row r="8" spans="1:4" x14ac:dyDescent="0.3">
      <c r="C8" s="1" t="s">
        <v>65</v>
      </c>
    </row>
    <row r="9" spans="1:4" x14ac:dyDescent="0.3">
      <c r="C9" s="1" t="s">
        <v>66</v>
      </c>
    </row>
    <row r="11" spans="1:4" x14ac:dyDescent="0.3">
      <c r="C11" s="1" t="s">
        <v>67</v>
      </c>
    </row>
    <row r="13" spans="1:4" x14ac:dyDescent="0.3">
      <c r="C13" s="1" t="s">
        <v>64</v>
      </c>
    </row>
    <row r="14" spans="1:4" x14ac:dyDescent="0.3">
      <c r="C14" s="1" t="s">
        <v>94</v>
      </c>
    </row>
    <row r="16" spans="1:4" x14ac:dyDescent="0.3">
      <c r="C16" s="1" t="s">
        <v>68</v>
      </c>
    </row>
    <row r="17" spans="3:3" ht="29" x14ac:dyDescent="0.3">
      <c r="C17" s="1" t="s">
        <v>69</v>
      </c>
    </row>
  </sheetData>
  <hyperlinks>
    <hyperlink ref="A1" r:id="rId1" xr:uid="{A5D2CCD4-B692-5D4E-8821-219EFB5D712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O56"/>
  <sheetViews>
    <sheetView workbookViewId="0">
      <selection activeCell="H8" sqref="H8"/>
    </sheetView>
  </sheetViews>
  <sheetFormatPr baseColWidth="10" defaultColWidth="8.83203125" defaultRowHeight="15" x14ac:dyDescent="0.2"/>
  <cols>
    <col min="1" max="10" width="8.83203125" style="4"/>
    <col min="11" max="12" width="8.83203125" style="5"/>
    <col min="13" max="16384" width="8.83203125" style="4"/>
  </cols>
  <sheetData>
    <row r="1" spans="1:15" x14ac:dyDescent="0.2">
      <c r="A1" s="33" t="s">
        <v>118</v>
      </c>
    </row>
    <row r="2" spans="1:15" x14ac:dyDescent="0.2">
      <c r="B2" s="4" t="s">
        <v>3</v>
      </c>
      <c r="C2" s="4">
        <v>10</v>
      </c>
    </row>
    <row r="3" spans="1:15" x14ac:dyDescent="0.2">
      <c r="B3" s="4" t="s">
        <v>2</v>
      </c>
      <c r="C3" s="4">
        <v>6</v>
      </c>
    </row>
    <row r="6" spans="1:15" x14ac:dyDescent="0.2">
      <c r="A6" s="5" t="s">
        <v>4</v>
      </c>
      <c r="B6" s="5" t="s">
        <v>0</v>
      </c>
      <c r="C6" s="5" t="s">
        <v>1</v>
      </c>
      <c r="D6" s="5"/>
      <c r="E6" s="5" t="s">
        <v>34</v>
      </c>
      <c r="F6" s="5" t="s">
        <v>5</v>
      </c>
      <c r="G6" s="5"/>
      <c r="H6" s="5" t="s">
        <v>30</v>
      </c>
      <c r="I6" s="5" t="s">
        <v>31</v>
      </c>
      <c r="K6" s="6" t="s">
        <v>35</v>
      </c>
    </row>
    <row r="7" spans="1:15" ht="17" x14ac:dyDescent="0.25">
      <c r="A7" s="4">
        <v>1</v>
      </c>
      <c r="B7" s="4">
        <f ca="1">RAND()</f>
        <v>0.52786962531938852</v>
      </c>
      <c r="C7" s="4">
        <f t="shared" ref="C7" ca="1" si="0">_xlfn.NORM.INV(RAND(),beta*B7,sigma)</f>
        <v>6.6710415858678038</v>
      </c>
      <c r="E7" s="4">
        <f t="array" aca="1" ref="E7:E56" ca="1">TREND(y,x)</f>
        <v>6.2832038139457627</v>
      </c>
      <c r="F7" s="4">
        <f t="shared" ref="F7:F38" ca="1" si="1">b0+x*b1_</f>
        <v>6.2832038139457627</v>
      </c>
      <c r="H7" s="4">
        <f ca="1">y-yhat</f>
        <v>0.38783777192204116</v>
      </c>
      <c r="I7" s="4">
        <f ca="1">e^2</f>
        <v>0.15041813732945322</v>
      </c>
      <c r="K7" s="7">
        <f t="array" aca="1" ref="K7:L11" ca="1">LINEST(y,x,TRUE,TRUE)</f>
        <v>5.485927160234696</v>
      </c>
      <c r="L7" s="8">
        <f ca="1"/>
        <v>3.3873494993432165</v>
      </c>
      <c r="N7" s="4" t="s">
        <v>18</v>
      </c>
      <c r="O7" s="4" t="s">
        <v>19</v>
      </c>
    </row>
    <row r="8" spans="1:15" ht="17" x14ac:dyDescent="0.25">
      <c r="A8" s="4">
        <v>2</v>
      </c>
      <c r="B8" s="4">
        <f t="shared" ref="B8:B56" ca="1" si="2">RAND()</f>
        <v>0.22391190839587438</v>
      </c>
      <c r="C8" s="4">
        <f t="shared" ref="C8:C29" ca="1" si="3">_xlfn.NORM.INV(RAND(),beta*B8,sigma)</f>
        <v>10.263612494999943</v>
      </c>
      <c r="E8" s="4">
        <f ca="1"/>
        <v>4.6157139191121273</v>
      </c>
      <c r="F8" s="4">
        <f t="shared" ca="1" si="1"/>
        <v>4.6157139191121255</v>
      </c>
      <c r="H8" s="4">
        <f t="shared" ref="H8:H38" ca="1" si="4">yhat-y</f>
        <v>-5.647898575887818</v>
      </c>
      <c r="I8" s="4">
        <f t="shared" ref="I8:I29" ca="1" si="5">e^2</f>
        <v>31.898758323515644</v>
      </c>
      <c r="K8" s="9">
        <f ca="1"/>
        <v>2.7969693488537732</v>
      </c>
      <c r="L8" s="10">
        <f ca="1"/>
        <v>1.5457406762007173</v>
      </c>
      <c r="N8" s="4" t="s">
        <v>17</v>
      </c>
      <c r="O8" s="4" t="s">
        <v>16</v>
      </c>
    </row>
    <row r="9" spans="1:15" ht="18" x14ac:dyDescent="0.25">
      <c r="A9" s="4">
        <v>3</v>
      </c>
      <c r="B9" s="4">
        <f t="shared" ca="1" si="2"/>
        <v>1.2676170704884804E-2</v>
      </c>
      <c r="C9" s="4">
        <f t="shared" ca="1" si="3"/>
        <v>2.5919260677030769</v>
      </c>
      <c r="E9" s="4">
        <f ca="1"/>
        <v>3.4568900485009153</v>
      </c>
      <c r="F9" s="4">
        <f t="shared" ca="1" si="1"/>
        <v>3.4568900485009122</v>
      </c>
      <c r="H9" s="4">
        <f t="shared" ca="1" si="4"/>
        <v>0.86496398079783532</v>
      </c>
      <c r="I9" s="4">
        <f t="shared" ca="1" si="5"/>
        <v>0.74816268807763797</v>
      </c>
      <c r="K9" s="9">
        <f ca="1"/>
        <v>7.4199476992246285E-2</v>
      </c>
      <c r="L9" s="10">
        <f ca="1"/>
        <v>5.7555868083198698</v>
      </c>
      <c r="N9" s="4" t="s">
        <v>14</v>
      </c>
      <c r="O9" s="4" t="s">
        <v>15</v>
      </c>
    </row>
    <row r="10" spans="1:15" x14ac:dyDescent="0.2">
      <c r="A10" s="4">
        <v>4</v>
      </c>
      <c r="B10" s="4">
        <f t="shared" ca="1" si="2"/>
        <v>4.9432518946545767E-2</v>
      </c>
      <c r="C10" s="4">
        <f t="shared" ca="1" si="3"/>
        <v>-0.13629447165609976</v>
      </c>
      <c r="E10" s="4">
        <f ca="1"/>
        <v>3.6585326976308883</v>
      </c>
      <c r="F10" s="4">
        <f t="shared" ca="1" si="1"/>
        <v>3.6585326976308852</v>
      </c>
      <c r="H10" s="4">
        <f t="shared" ca="1" si="4"/>
        <v>3.794827169286985</v>
      </c>
      <c r="I10" s="4">
        <f t="shared" ca="1" si="5"/>
        <v>14.400713244758672</v>
      </c>
      <c r="K10" s="9">
        <f ca="1"/>
        <v>3.8470219092736384</v>
      </c>
      <c r="L10" s="10">
        <f ca="1"/>
        <v>48</v>
      </c>
      <c r="N10" s="4" t="s">
        <v>8</v>
      </c>
      <c r="O10" s="4" t="s">
        <v>9</v>
      </c>
    </row>
    <row r="11" spans="1:15" ht="17" x14ac:dyDescent="0.25">
      <c r="A11" s="4">
        <v>5</v>
      </c>
      <c r="B11" s="4">
        <f t="shared" ca="1" si="2"/>
        <v>0.37380026602339123</v>
      </c>
      <c r="C11" s="4">
        <f t="shared" ca="1" si="3"/>
        <v>9.0141513299549576</v>
      </c>
      <c r="E11" s="4">
        <f ca="1"/>
        <v>5.4379905312238925</v>
      </c>
      <c r="F11" s="4">
        <f t="shared" ca="1" si="1"/>
        <v>5.4379905312238925</v>
      </c>
      <c r="H11" s="4">
        <f t="shared" ca="1" si="4"/>
        <v>-3.5761607987310651</v>
      </c>
      <c r="I11" s="4">
        <f t="shared" ca="1" si="5"/>
        <v>12.78892605838081</v>
      </c>
      <c r="K11" s="11">
        <f ca="1"/>
        <v>127.43944655135965</v>
      </c>
      <c r="L11" s="12">
        <f ca="1"/>
        <v>1590.085416389074</v>
      </c>
      <c r="N11" s="4" t="s">
        <v>12</v>
      </c>
      <c r="O11" s="4" t="s">
        <v>13</v>
      </c>
    </row>
    <row r="12" spans="1:15" x14ac:dyDescent="0.2">
      <c r="A12" s="4">
        <v>6</v>
      </c>
      <c r="B12" s="4">
        <f t="shared" ca="1" si="2"/>
        <v>0.68915754340106838</v>
      </c>
      <c r="C12" s="4">
        <f t="shared" ca="1" si="3"/>
        <v>10.60002663054334</v>
      </c>
      <c r="E12" s="4">
        <f ca="1"/>
        <v>7.1680175843677585</v>
      </c>
      <c r="F12" s="4">
        <f t="shared" ca="1" si="1"/>
        <v>7.1680175843677603</v>
      </c>
      <c r="H12" s="4">
        <f t="shared" ca="1" si="4"/>
        <v>-3.4320090461755797</v>
      </c>
      <c r="I12" s="4">
        <f t="shared" ca="1" si="5"/>
        <v>11.778686093031013</v>
      </c>
      <c r="K12" s="13" t="s">
        <v>49</v>
      </c>
    </row>
    <row r="13" spans="1:15" x14ac:dyDescent="0.2">
      <c r="A13" s="4">
        <v>7</v>
      </c>
      <c r="B13" s="4">
        <f t="shared" ca="1" si="2"/>
        <v>0.15391523405603758</v>
      </c>
      <c r="C13" s="4">
        <f t="shared" ca="1" si="3"/>
        <v>11.175482769761663</v>
      </c>
      <c r="E13" s="4">
        <f ca="1"/>
        <v>4.2317172622251134</v>
      </c>
      <c r="F13" s="4">
        <f t="shared" ca="1" si="1"/>
        <v>4.2317172622251116</v>
      </c>
      <c r="H13" s="4">
        <f t="shared" ca="1" si="4"/>
        <v>-6.9437655075365514</v>
      </c>
      <c r="I13" s="4">
        <f t="shared" ca="1" si="5"/>
        <v>48.215879423654343</v>
      </c>
    </row>
    <row r="14" spans="1:15" x14ac:dyDescent="0.2">
      <c r="A14" s="4">
        <v>8</v>
      </c>
      <c r="B14" s="4">
        <f t="shared" ca="1" si="2"/>
        <v>0.36968762639732478</v>
      </c>
      <c r="C14" s="4">
        <f t="shared" ca="1" si="3"/>
        <v>4.3885851722189884</v>
      </c>
      <c r="E14" s="4">
        <f ca="1"/>
        <v>5.4154288897989975</v>
      </c>
      <c r="F14" s="4">
        <f t="shared" ca="1" si="1"/>
        <v>5.4154288897989975</v>
      </c>
      <c r="H14" s="4">
        <f t="shared" ca="1" si="4"/>
        <v>1.0268437175800091</v>
      </c>
      <c r="I14" s="4">
        <f t="shared" ca="1" si="5"/>
        <v>1.0544080203335335</v>
      </c>
    </row>
    <row r="15" spans="1:15" x14ac:dyDescent="0.2">
      <c r="A15" s="4">
        <v>9</v>
      </c>
      <c r="B15" s="4">
        <f t="shared" ca="1" si="2"/>
        <v>0.83093114075341101</v>
      </c>
      <c r="C15" s="4">
        <f t="shared" ca="1" si="3"/>
        <v>7.1490925927382261</v>
      </c>
      <c r="E15" s="4">
        <f ca="1"/>
        <v>7.9457772126871529</v>
      </c>
      <c r="F15" s="4">
        <f t="shared" ca="1" si="1"/>
        <v>7.9457772126871555</v>
      </c>
      <c r="H15" s="4">
        <f t="shared" ca="1" si="4"/>
        <v>0.79668461994892947</v>
      </c>
      <c r="I15" s="4">
        <f t="shared" ca="1" si="5"/>
        <v>0.63470638366317023</v>
      </c>
    </row>
    <row r="16" spans="1:15" x14ac:dyDescent="0.2">
      <c r="A16" s="4">
        <v>10</v>
      </c>
      <c r="B16" s="4">
        <f t="shared" ca="1" si="2"/>
        <v>0.3991170901296146</v>
      </c>
      <c r="C16" s="4">
        <f t="shared" ca="1" si="3"/>
        <v>0.4643299964252563</v>
      </c>
      <c r="E16" s="4">
        <f ca="1"/>
        <v>5.5768767841991078</v>
      </c>
      <c r="F16" s="4">
        <f t="shared" ca="1" si="1"/>
        <v>5.5768767841991078</v>
      </c>
      <c r="H16" s="4">
        <f t="shared" ca="1" si="4"/>
        <v>5.1125467877738515</v>
      </c>
      <c r="I16" s="4">
        <f t="shared" ca="1" si="5"/>
        <v>26.138134657176728</v>
      </c>
    </row>
    <row r="17" spans="1:15" x14ac:dyDescent="0.2">
      <c r="A17" s="4">
        <v>11</v>
      </c>
      <c r="B17" s="4">
        <f t="shared" ca="1" si="2"/>
        <v>4.70538588038516E-2</v>
      </c>
      <c r="C17" s="4">
        <f t="shared" ca="1" si="3"/>
        <v>2.0900575710865268</v>
      </c>
      <c r="E17" s="4">
        <f ca="1"/>
        <v>3.6454835413491145</v>
      </c>
      <c r="F17" s="4">
        <f t="shared" ca="1" si="1"/>
        <v>3.6454835413491118</v>
      </c>
      <c r="H17" s="4">
        <f t="shared" ca="1" si="4"/>
        <v>1.555425970262585</v>
      </c>
      <c r="I17" s="4">
        <f t="shared" ca="1" si="5"/>
        <v>2.4193499489673038</v>
      </c>
    </row>
    <row r="18" spans="1:15" x14ac:dyDescent="0.2">
      <c r="A18" s="4">
        <v>12</v>
      </c>
      <c r="B18" s="4">
        <f t="shared" ca="1" si="2"/>
        <v>0.73503236093579816</v>
      </c>
      <c r="C18" s="4">
        <f t="shared" ca="1" si="3"/>
        <v>5.2042986947878358</v>
      </c>
      <c r="E18" s="4">
        <f ca="1"/>
        <v>7.4196834918523429</v>
      </c>
      <c r="F18" s="4">
        <f t="shared" ca="1" si="1"/>
        <v>7.4196834918523455</v>
      </c>
      <c r="H18" s="4">
        <f t="shared" ca="1" si="4"/>
        <v>2.2153847970645097</v>
      </c>
      <c r="I18" s="4">
        <f t="shared" ca="1" si="5"/>
        <v>4.9079297990645587</v>
      </c>
    </row>
    <row r="19" spans="1:15" x14ac:dyDescent="0.2">
      <c r="A19" s="4">
        <v>13</v>
      </c>
      <c r="B19" s="4">
        <f t="shared" ca="1" si="2"/>
        <v>6.1263370939249384E-2</v>
      </c>
      <c r="C19" s="4">
        <f t="shared" ca="1" si="3"/>
        <v>-9.2917459381794583</v>
      </c>
      <c r="E19" s="4">
        <f ca="1"/>
        <v>3.7234358899063777</v>
      </c>
      <c r="F19" s="4">
        <f t="shared" ca="1" si="1"/>
        <v>3.7234358899063751</v>
      </c>
      <c r="H19" s="4">
        <f t="shared" ca="1" si="4"/>
        <v>13.015181828085833</v>
      </c>
      <c r="I19" s="4">
        <f t="shared" ca="1" si="5"/>
        <v>169.3949580181357</v>
      </c>
    </row>
    <row r="20" spans="1:15" x14ac:dyDescent="0.2">
      <c r="A20" s="4">
        <v>14</v>
      </c>
      <c r="B20" s="4">
        <f t="shared" ca="1" si="2"/>
        <v>0.42645301117048584</v>
      </c>
      <c r="C20" s="4">
        <f t="shared" ca="1" si="3"/>
        <v>-5.0709636919665</v>
      </c>
      <c r="E20" s="4">
        <f ca="1"/>
        <v>5.7268396558872547</v>
      </c>
      <c r="F20" s="4">
        <f t="shared" ca="1" si="1"/>
        <v>5.7268396558872547</v>
      </c>
      <c r="H20" s="4">
        <f t="shared" ca="1" si="4"/>
        <v>10.797803347853755</v>
      </c>
      <c r="I20" s="4">
        <f t="shared" ca="1" si="5"/>
        <v>116.59255713892175</v>
      </c>
    </row>
    <row r="21" spans="1:15" x14ac:dyDescent="0.2">
      <c r="A21" s="4">
        <v>15</v>
      </c>
      <c r="B21" s="4">
        <f t="shared" ca="1" si="2"/>
        <v>0.94295265732059119</v>
      </c>
      <c r="C21" s="4">
        <f t="shared" ca="1" si="3"/>
        <v>12.446243657334508</v>
      </c>
      <c r="E21" s="4">
        <f ca="1"/>
        <v>8.5603190929537281</v>
      </c>
      <c r="F21" s="4">
        <f t="shared" ca="1" si="1"/>
        <v>8.5603190929537316</v>
      </c>
      <c r="H21" s="4">
        <f t="shared" ca="1" si="4"/>
        <v>-3.885924564380776</v>
      </c>
      <c r="I21" s="4">
        <f t="shared" ca="1" si="5"/>
        <v>15.100409720057923</v>
      </c>
    </row>
    <row r="22" spans="1:15" x14ac:dyDescent="0.2">
      <c r="A22" s="4">
        <v>16</v>
      </c>
      <c r="B22" s="4">
        <f t="shared" ca="1" si="2"/>
        <v>9.1473242680407241E-2</v>
      </c>
      <c r="C22" s="4">
        <f t="shared" ca="1" si="3"/>
        <v>14.527906156993662</v>
      </c>
      <c r="E22" s="4">
        <f ca="1"/>
        <v>3.8891650457984022</v>
      </c>
      <c r="F22" s="4">
        <f t="shared" ca="1" si="1"/>
        <v>3.8891650457983999</v>
      </c>
      <c r="H22" s="4">
        <f t="shared" ca="1" si="4"/>
        <v>-10.638741111195262</v>
      </c>
      <c r="I22" s="4">
        <f t="shared" ca="1" si="5"/>
        <v>113.18281243103621</v>
      </c>
    </row>
    <row r="23" spans="1:15" x14ac:dyDescent="0.2">
      <c r="A23" s="4">
        <v>17</v>
      </c>
      <c r="B23" s="4">
        <f t="shared" ca="1" si="2"/>
        <v>0.98891557702017308</v>
      </c>
      <c r="C23" s="4">
        <f t="shared" ca="1" si="3"/>
        <v>7.333528667746819</v>
      </c>
      <c r="E23" s="4">
        <f ca="1"/>
        <v>8.8124683224973506</v>
      </c>
      <c r="F23" s="4">
        <f t="shared" ca="1" si="1"/>
        <v>8.8124683224973541</v>
      </c>
      <c r="H23" s="4">
        <f t="shared" ca="1" si="4"/>
        <v>1.4789396547505351</v>
      </c>
      <c r="I23" s="4">
        <f t="shared" ca="1" si="5"/>
        <v>2.1872625023936321</v>
      </c>
    </row>
    <row r="24" spans="1:15" x14ac:dyDescent="0.2">
      <c r="A24" s="4">
        <v>18</v>
      </c>
      <c r="B24" s="4">
        <f t="shared" ca="1" si="2"/>
        <v>0.83510269725540931</v>
      </c>
      <c r="C24" s="4">
        <f t="shared" ca="1" si="3"/>
        <v>1.727282402962925</v>
      </c>
      <c r="E24" s="4">
        <f ca="1"/>
        <v>7.9686620678019189</v>
      </c>
      <c r="F24" s="4">
        <f t="shared" ca="1" si="1"/>
        <v>7.9686620678019215</v>
      </c>
      <c r="H24" s="4">
        <f t="shared" ca="1" si="4"/>
        <v>6.2413796648389965</v>
      </c>
      <c r="I24" s="4">
        <f t="shared" ca="1" si="5"/>
        <v>38.954820120665744</v>
      </c>
    </row>
    <row r="25" spans="1:15" x14ac:dyDescent="0.2">
      <c r="A25" s="4">
        <v>19</v>
      </c>
      <c r="B25" s="4">
        <f t="shared" ca="1" si="2"/>
        <v>7.1643744707655221E-2</v>
      </c>
      <c r="C25" s="4">
        <f t="shared" ca="1" si="3"/>
        <v>-5.0015769083304518E-2</v>
      </c>
      <c r="E25" s="4">
        <f ca="1"/>
        <v>3.7803818642958631</v>
      </c>
      <c r="F25" s="4">
        <f t="shared" ca="1" si="1"/>
        <v>3.7803818642958604</v>
      </c>
      <c r="H25" s="4">
        <f t="shared" ca="1" si="4"/>
        <v>3.8303976333791647</v>
      </c>
      <c r="I25" s="4">
        <f t="shared" ca="1" si="5"/>
        <v>14.671946029796706</v>
      </c>
    </row>
    <row r="26" spans="1:15" x14ac:dyDescent="0.2">
      <c r="A26" s="4">
        <v>20</v>
      </c>
      <c r="B26" s="4">
        <f t="shared" ca="1" si="2"/>
        <v>0.332171681918351</v>
      </c>
      <c r="C26" s="4">
        <f t="shared" ca="1" si="3"/>
        <v>9.1883403848377156</v>
      </c>
      <c r="E26" s="4">
        <f ca="1"/>
        <v>5.2096191510399388</v>
      </c>
      <c r="F26" s="4">
        <f t="shared" ca="1" si="1"/>
        <v>5.2096191510399379</v>
      </c>
      <c r="H26" s="4">
        <f t="shared" ca="1" si="4"/>
        <v>-3.9787212337977778</v>
      </c>
      <c r="I26" s="4">
        <f t="shared" ca="1" si="5"/>
        <v>15.83022265627331</v>
      </c>
    </row>
    <row r="27" spans="1:15" x14ac:dyDescent="0.2">
      <c r="A27" s="4">
        <v>21</v>
      </c>
      <c r="B27" s="4">
        <f t="shared" ca="1" si="2"/>
        <v>0.44259630502503999</v>
      </c>
      <c r="C27" s="4">
        <f t="shared" ca="1" si="3"/>
        <v>14.290950427693666</v>
      </c>
      <c r="E27" s="4">
        <f ca="1"/>
        <v>5.8154005900996033</v>
      </c>
      <c r="F27" s="4">
        <f t="shared" ca="1" si="1"/>
        <v>5.8154005900996033</v>
      </c>
      <c r="H27" s="4">
        <f t="shared" ca="1" si="4"/>
        <v>-8.4755498375940626</v>
      </c>
      <c r="I27" s="4">
        <f t="shared" ca="1" si="5"/>
        <v>71.834945049540735</v>
      </c>
    </row>
    <row r="28" spans="1:15" x14ac:dyDescent="0.2">
      <c r="A28" s="4">
        <v>22</v>
      </c>
      <c r="B28" s="4">
        <f t="shared" ca="1" si="2"/>
        <v>0.29105558549757649</v>
      </c>
      <c r="C28" s="4">
        <f t="shared" ca="1" si="3"/>
        <v>7.5704197615922837</v>
      </c>
      <c r="E28" s="4">
        <f ca="1"/>
        <v>4.9840592409623827</v>
      </c>
      <c r="F28" s="4">
        <f t="shared" ca="1" si="1"/>
        <v>4.9840592409623818</v>
      </c>
      <c r="H28" s="4">
        <f t="shared" ca="1" si="4"/>
        <v>-2.5863605206299018</v>
      </c>
      <c r="I28" s="4">
        <f t="shared" ca="1" si="5"/>
        <v>6.6892607426729773</v>
      </c>
      <c r="K28" s="6" t="s">
        <v>22</v>
      </c>
    </row>
    <row r="29" spans="1:15" ht="17" x14ac:dyDescent="0.25">
      <c r="A29" s="4">
        <v>23</v>
      </c>
      <c r="B29" s="4">
        <f t="shared" ca="1" si="2"/>
        <v>0.27319630574106324</v>
      </c>
      <c r="C29" s="4">
        <f t="shared" ca="1" si="3"/>
        <v>10.065452912254987</v>
      </c>
      <c r="E29" s="4">
        <f ca="1"/>
        <v>4.8860845330838973</v>
      </c>
      <c r="F29" s="4">
        <f t="shared" ca="1" si="1"/>
        <v>4.8860845330838965</v>
      </c>
      <c r="H29" s="4">
        <f t="shared" ca="1" si="4"/>
        <v>-5.1793683791710903</v>
      </c>
      <c r="I29" s="4">
        <f t="shared" ca="1" si="5"/>
        <v>26.825856807157368</v>
      </c>
      <c r="K29" s="7">
        <f t="array" aca="1" ref="K29" ca="1">SUM((x-xbar)*(y-ybar))/SUM((x-xbar)*(x-xbar))</f>
        <v>5.4859271602346995</v>
      </c>
      <c r="L29" s="8">
        <f ca="1">ybar-b1_*xbar</f>
        <v>3.3873494993432134</v>
      </c>
      <c r="N29" s="4" t="s">
        <v>18</v>
      </c>
      <c r="O29" s="4" t="s">
        <v>19</v>
      </c>
    </row>
    <row r="30" spans="1:15" ht="17" x14ac:dyDescent="0.25">
      <c r="A30" s="4">
        <v>24</v>
      </c>
      <c r="B30" s="4">
        <f t="shared" ca="1" si="2"/>
        <v>0.68292477369381499</v>
      </c>
      <c r="C30" s="4">
        <f t="shared" ref="C30:C38" ca="1" si="6">_xlfn.NORM.INV(RAND(),beta*B30,sigma)</f>
        <v>19.098909096568313</v>
      </c>
      <c r="E30" s="4">
        <f ca="1"/>
        <v>7.1338250637472491</v>
      </c>
      <c r="F30" s="4">
        <f t="shared" ca="1" si="1"/>
        <v>7.1338250637472509</v>
      </c>
      <c r="H30" s="4">
        <f t="shared" ca="1" si="4"/>
        <v>-11.965084032821062</v>
      </c>
      <c r="I30" s="4">
        <f t="shared" ref="I30:I43" ca="1" si="7">e^2</f>
        <v>143.16323591246953</v>
      </c>
      <c r="K30" s="9">
        <f ca="1">RSE/SQRT(SSx)</f>
        <v>2.7969693488537728</v>
      </c>
      <c r="L30" s="10">
        <f ca="1">RSE*SQRT(1/n + xbar^2 / SSx)</f>
        <v>1.5457406762007171</v>
      </c>
      <c r="N30" s="4" t="s">
        <v>17</v>
      </c>
      <c r="O30" s="4" t="s">
        <v>16</v>
      </c>
    </row>
    <row r="31" spans="1:15" ht="18" x14ac:dyDescent="0.25">
      <c r="A31" s="4">
        <v>25</v>
      </c>
      <c r="B31" s="4">
        <f t="shared" ca="1" si="2"/>
        <v>0.75546456392743766</v>
      </c>
      <c r="C31" s="4">
        <f t="shared" ca="1" si="6"/>
        <v>11.98325729961072</v>
      </c>
      <c r="E31" s="4">
        <f ca="1"/>
        <v>7.5317730691876079</v>
      </c>
      <c r="F31" s="4">
        <f t="shared" ca="1" si="1"/>
        <v>7.5317730691876097</v>
      </c>
      <c r="H31" s="4">
        <f t="shared" ca="1" si="4"/>
        <v>-4.4514842304231106</v>
      </c>
      <c r="I31" s="4">
        <f t="shared" ca="1" si="7"/>
        <v>19.815711853705633</v>
      </c>
      <c r="K31" s="9">
        <f ca="1">1-ssresid/SST</f>
        <v>7.4199476992246494E-2</v>
      </c>
      <c r="L31" s="10">
        <f ca="1">SQRT(ssresid/df)</f>
        <v>5.7555868083198689</v>
      </c>
      <c r="N31" s="4" t="s">
        <v>14</v>
      </c>
      <c r="O31" s="4" t="s">
        <v>15</v>
      </c>
    </row>
    <row r="32" spans="1:15" x14ac:dyDescent="0.2">
      <c r="A32" s="4">
        <v>26</v>
      </c>
      <c r="B32" s="4">
        <f t="shared" ca="1" si="2"/>
        <v>0.45839688975973059</v>
      </c>
      <c r="C32" s="4">
        <f t="shared" ca="1" si="6"/>
        <v>9.3754694928207059</v>
      </c>
      <c r="E32" s="4">
        <f ca="1"/>
        <v>5.9020814470432317</v>
      </c>
      <c r="F32" s="4">
        <f t="shared" ca="1" si="1"/>
        <v>5.9020814470432326</v>
      </c>
      <c r="H32" s="4">
        <f t="shared" ca="1" si="4"/>
        <v>-3.4733880457774733</v>
      </c>
      <c r="I32" s="4">
        <f t="shared" ca="1" si="7"/>
        <v>12.064424516549854</v>
      </c>
      <c r="K32" s="9">
        <f ca="1">ssreg/(ssresid/48)</f>
        <v>3.8470219092736531</v>
      </c>
      <c r="L32" s="10">
        <f ca="1">n-2</f>
        <v>48</v>
      </c>
      <c r="N32" s="4" t="s">
        <v>8</v>
      </c>
      <c r="O32" s="4" t="s">
        <v>9</v>
      </c>
    </row>
    <row r="33" spans="1:15" ht="17" x14ac:dyDescent="0.25">
      <c r="A33" s="4">
        <v>27</v>
      </c>
      <c r="B33" s="4">
        <f t="shared" ca="1" si="2"/>
        <v>0.10794142894461622</v>
      </c>
      <c r="C33" s="4">
        <f t="shared" ca="1" si="6"/>
        <v>-0.80633653858480625</v>
      </c>
      <c r="E33" s="4">
        <f ca="1"/>
        <v>3.9795083161050302</v>
      </c>
      <c r="F33" s="4">
        <f t="shared" ca="1" si="1"/>
        <v>3.979508316105028</v>
      </c>
      <c r="H33" s="4">
        <f t="shared" ca="1" si="4"/>
        <v>4.7858448546898344</v>
      </c>
      <c r="I33" s="4">
        <f t="shared" ca="1" si="7"/>
        <v>22.904310973161163</v>
      </c>
      <c r="K33" s="11">
        <f ca="1">SST-ssresid</f>
        <v>127.43944655136011</v>
      </c>
      <c r="L33" s="12">
        <f ca="1">SUM(e_2)</f>
        <v>1590.0854163890735</v>
      </c>
      <c r="N33" s="4" t="s">
        <v>12</v>
      </c>
      <c r="O33" s="4" t="s">
        <v>13</v>
      </c>
    </row>
    <row r="34" spans="1:15" x14ac:dyDescent="0.2">
      <c r="A34" s="4">
        <v>28</v>
      </c>
      <c r="B34" s="4">
        <f t="shared" ca="1" si="2"/>
        <v>0.90939994112982236</v>
      </c>
      <c r="C34" s="4">
        <f t="shared" ca="1" si="6"/>
        <v>-1.7272455818282513</v>
      </c>
      <c r="E34" s="4">
        <f ca="1"/>
        <v>8.3762513359031434</v>
      </c>
      <c r="F34" s="4">
        <f t="shared" ca="1" si="1"/>
        <v>8.3762513359031452</v>
      </c>
      <c r="H34" s="4">
        <f t="shared" ca="1" si="4"/>
        <v>10.103496917731396</v>
      </c>
      <c r="I34" s="4">
        <f t="shared" ca="1" si="7"/>
        <v>102.08064996660782</v>
      </c>
      <c r="L34" s="4"/>
    </row>
    <row r="35" spans="1:15" x14ac:dyDescent="0.2">
      <c r="A35" s="4">
        <v>29</v>
      </c>
      <c r="B35" s="4">
        <f t="shared" ca="1" si="2"/>
        <v>0.3956001051113528</v>
      </c>
      <c r="C35" s="4">
        <f t="shared" ca="1" si="6"/>
        <v>2.6630039675831476</v>
      </c>
      <c r="E35" s="4">
        <f ca="1"/>
        <v>5.5575828605652875</v>
      </c>
      <c r="F35" s="4">
        <f t="shared" ca="1" si="1"/>
        <v>5.5575828605652866</v>
      </c>
      <c r="H35" s="4">
        <f t="shared" ca="1" si="4"/>
        <v>2.894578892982139</v>
      </c>
      <c r="I35" s="4">
        <f t="shared" ca="1" si="7"/>
        <v>8.3785869676977054</v>
      </c>
    </row>
    <row r="36" spans="1:15" x14ac:dyDescent="0.2">
      <c r="A36" s="4">
        <v>30</v>
      </c>
      <c r="B36" s="4">
        <f t="shared" ca="1" si="2"/>
        <v>0.77039018841248619</v>
      </c>
      <c r="C36" s="4">
        <f t="shared" ca="1" si="6"/>
        <v>5.8289464704606555</v>
      </c>
      <c r="E36" s="4">
        <f ca="1"/>
        <v>7.6136539579335984</v>
      </c>
      <c r="F36" s="4">
        <f t="shared" ca="1" si="1"/>
        <v>7.613653957933602</v>
      </c>
      <c r="H36" s="4">
        <f t="shared" ca="1" si="4"/>
        <v>1.7847074874729465</v>
      </c>
      <c r="I36" s="4">
        <f t="shared" ca="1" si="7"/>
        <v>3.1851808158419974</v>
      </c>
    </row>
    <row r="37" spans="1:15" x14ac:dyDescent="0.2">
      <c r="A37" s="4">
        <v>31</v>
      </c>
      <c r="B37" s="4">
        <f t="shared" ca="1" si="2"/>
        <v>0.61098510339612355</v>
      </c>
      <c r="C37" s="4">
        <f t="shared" ca="1" si="6"/>
        <v>6.7284253925021069</v>
      </c>
      <c r="E37" s="4">
        <f ca="1"/>
        <v>6.7391692725628145</v>
      </c>
      <c r="F37" s="4">
        <f t="shared" ca="1" si="1"/>
        <v>6.7391692725628154</v>
      </c>
      <c r="H37" s="4">
        <f t="shared" ca="1" si="4"/>
        <v>1.0743880060708477E-2</v>
      </c>
      <c r="I37" s="4">
        <f t="shared" ca="1" si="7"/>
        <v>1.1543095875888919E-4</v>
      </c>
    </row>
    <row r="38" spans="1:15" x14ac:dyDescent="0.2">
      <c r="A38" s="4">
        <v>32</v>
      </c>
      <c r="B38" s="4">
        <f t="shared" ca="1" si="2"/>
        <v>0.42756670434773003</v>
      </c>
      <c r="C38" s="4">
        <f t="shared" ca="1" si="6"/>
        <v>9.2009250882181064</v>
      </c>
      <c r="E38" s="4">
        <f ca="1"/>
        <v>5.7329492955364669</v>
      </c>
      <c r="F38" s="4">
        <f t="shared" ca="1" si="1"/>
        <v>5.7329492955364669</v>
      </c>
      <c r="H38" s="4">
        <f t="shared" ca="1" si="4"/>
        <v>-3.4679757926816395</v>
      </c>
      <c r="I38" s="4">
        <f t="shared" ca="1" si="7"/>
        <v>12.026856098625846</v>
      </c>
    </row>
    <row r="39" spans="1:15" x14ac:dyDescent="0.2">
      <c r="A39" s="4">
        <v>33</v>
      </c>
      <c r="B39" s="4">
        <f t="shared" ca="1" si="2"/>
        <v>0.20014503681321594</v>
      </c>
      <c r="C39" s="4">
        <f t="shared" ref="C39:C43" ca="1" si="8">_xlfn.NORM.INV(RAND(),beta*B39,sigma)</f>
        <v>-2.6609710367690163</v>
      </c>
      <c r="E39" s="4">
        <f ca="1"/>
        <v>4.4853305927830114</v>
      </c>
      <c r="F39" s="4">
        <f t="shared" ref="F39:F56" ca="1" si="9">b0+x*b1_</f>
        <v>4.4853305927830096</v>
      </c>
      <c r="H39" s="4">
        <f t="shared" ref="H39:H56" ca="1" si="10">yhat-y</f>
        <v>7.1463016295520259</v>
      </c>
      <c r="I39" s="4">
        <f t="shared" ca="1" si="7"/>
        <v>51.06962698053794</v>
      </c>
    </row>
    <row r="40" spans="1:15" x14ac:dyDescent="0.2">
      <c r="A40" s="4">
        <v>34</v>
      </c>
      <c r="B40" s="4">
        <f t="shared" ca="1" si="2"/>
        <v>0.94039951151221679</v>
      </c>
      <c r="C40" s="4">
        <f t="shared" ca="1" si="8"/>
        <v>10.138872936912382</v>
      </c>
      <c r="E40" s="4">
        <f ca="1"/>
        <v>8.5463127210195271</v>
      </c>
      <c r="F40" s="4">
        <f t="shared" ca="1" si="9"/>
        <v>8.5463127210195307</v>
      </c>
      <c r="H40" s="4">
        <f t="shared" ca="1" si="10"/>
        <v>-1.5925602158928509</v>
      </c>
      <c r="I40" s="4">
        <f t="shared" ca="1" si="7"/>
        <v>2.5362480412446837</v>
      </c>
    </row>
    <row r="41" spans="1:15" x14ac:dyDescent="0.2">
      <c r="A41" s="4">
        <v>35</v>
      </c>
      <c r="B41" s="4">
        <f t="shared" ca="1" si="2"/>
        <v>0.2667886748302597</v>
      </c>
      <c r="C41" s="4">
        <f t="shared" ca="1" si="8"/>
        <v>7.8179464058869863</v>
      </c>
      <c r="E41" s="4">
        <f ca="1"/>
        <v>4.850932736637561</v>
      </c>
      <c r="F41" s="4">
        <f t="shared" ca="1" si="9"/>
        <v>4.8509327366375601</v>
      </c>
      <c r="H41" s="4">
        <f t="shared" ca="1" si="10"/>
        <v>-2.9670136692494262</v>
      </c>
      <c r="I41" s="4">
        <f t="shared" ca="1" si="7"/>
        <v>8.8031701135129428</v>
      </c>
      <c r="K41" s="5">
        <f ca="1">AVERAGE(x)</f>
        <v>0.469819055908966</v>
      </c>
      <c r="L41" s="5">
        <f ca="1">AVERAGE(y)</f>
        <v>5.9647426185500363</v>
      </c>
      <c r="N41" s="6" t="s">
        <v>10</v>
      </c>
      <c r="O41" s="6" t="s">
        <v>11</v>
      </c>
    </row>
    <row r="42" spans="1:15" x14ac:dyDescent="0.2">
      <c r="A42" s="4">
        <v>36</v>
      </c>
      <c r="B42" s="4">
        <f t="shared" ca="1" si="2"/>
        <v>0.33668849217387009</v>
      </c>
      <c r="C42" s="4">
        <f t="shared" ca="1" si="8"/>
        <v>-1.6665887018982328</v>
      </c>
      <c r="E42" s="4">
        <f ca="1"/>
        <v>5.2343980430983175</v>
      </c>
      <c r="F42" s="4">
        <f t="shared" ca="1" si="9"/>
        <v>5.2343980430983166</v>
      </c>
      <c r="H42" s="4">
        <f t="shared" ca="1" si="10"/>
        <v>6.9009867449965494</v>
      </c>
      <c r="I42" s="4">
        <f t="shared" ca="1" si="7"/>
        <v>47.623618054618071</v>
      </c>
      <c r="K42" s="5">
        <f ca="1">COUNT(y)</f>
        <v>50</v>
      </c>
      <c r="L42" s="5">
        <f ca="1">SQRT(ssresid/(n-2))</f>
        <v>5.7555868083198689</v>
      </c>
      <c r="N42" s="6" t="s">
        <v>4</v>
      </c>
      <c r="O42" s="6" t="s">
        <v>32</v>
      </c>
    </row>
    <row r="43" spans="1:15" ht="17" x14ac:dyDescent="0.25">
      <c r="A43" s="4">
        <v>37</v>
      </c>
      <c r="B43" s="4">
        <f t="shared" ca="1" si="2"/>
        <v>0.15665764965455964</v>
      </c>
      <c r="C43" s="4">
        <f t="shared" ca="1" si="8"/>
        <v>-1.1095921423024493</v>
      </c>
      <c r="E43" s="4">
        <f ca="1"/>
        <v>4.2467619544416966</v>
      </c>
      <c r="F43" s="4">
        <f t="shared" ca="1" si="9"/>
        <v>4.2467619544416948</v>
      </c>
      <c r="H43" s="4">
        <f t="shared" ca="1" si="10"/>
        <v>5.3563540967441439</v>
      </c>
      <c r="I43" s="4">
        <f t="shared" ca="1" si="7"/>
        <v>28.690529209707773</v>
      </c>
      <c r="K43" s="5">
        <f t="array" aca="1" ref="K43" ca="1">SUMSQ(y-ybar)</f>
        <v>1717.5248629404336</v>
      </c>
      <c r="L43" s="5">
        <f t="array" aca="1" ref="L43" ca="1">SUMSQ(x-xbar)</f>
        <v>4.2345162407036696</v>
      </c>
      <c r="N43" s="6" t="s">
        <v>36</v>
      </c>
      <c r="O43" s="6" t="s">
        <v>33</v>
      </c>
    </row>
    <row r="44" spans="1:15" x14ac:dyDescent="0.2">
      <c r="A44" s="4">
        <v>38</v>
      </c>
      <c r="B44" s="4">
        <f t="shared" ca="1" si="2"/>
        <v>0.56386605050560656</v>
      </c>
      <c r="C44" s="4">
        <f t="shared" ref="C44:C56" ca="1" si="11">_xlfn.NORM.INV(RAND(),beta*B44,sigma)</f>
        <v>9.779189861720349</v>
      </c>
      <c r="E44" s="4">
        <f ca="1"/>
        <v>6.4806775805461925</v>
      </c>
      <c r="F44" s="4">
        <f t="shared" ca="1" si="9"/>
        <v>6.4806775805461934</v>
      </c>
      <c r="H44" s="4">
        <f t="shared" ca="1" si="10"/>
        <v>-3.2985122811741556</v>
      </c>
      <c r="I44" s="4">
        <f t="shared" ref="I44:I56" ca="1" si="12">e^2</f>
        <v>10.880183269056731</v>
      </c>
    </row>
    <row r="45" spans="1:15" x14ac:dyDescent="0.2">
      <c r="A45" s="4">
        <v>39</v>
      </c>
      <c r="B45" s="4">
        <f t="shared" ca="1" si="2"/>
        <v>0.42849508758713661</v>
      </c>
      <c r="C45" s="4">
        <f t="shared" ca="1" si="11"/>
        <v>15.180262041758009</v>
      </c>
      <c r="E45" s="4">
        <f ca="1"/>
        <v>5.7380423383646342</v>
      </c>
      <c r="F45" s="4">
        <f t="shared" ca="1" si="9"/>
        <v>5.7380423383646342</v>
      </c>
      <c r="H45" s="4">
        <f t="shared" ca="1" si="10"/>
        <v>-9.4422197033933752</v>
      </c>
      <c r="I45" s="4">
        <f t="shared" ca="1" si="12"/>
        <v>89.155512927150085</v>
      </c>
      <c r="K45" s="5" t="s">
        <v>39</v>
      </c>
      <c r="L45" s="5" t="s">
        <v>40</v>
      </c>
    </row>
    <row r="46" spans="1:15" x14ac:dyDescent="0.2">
      <c r="A46" s="4">
        <v>40</v>
      </c>
      <c r="B46" s="4">
        <f t="shared" ca="1" si="2"/>
        <v>0.77141154511484644</v>
      </c>
      <c r="C46" s="4">
        <f t="shared" ca="1" si="11"/>
        <v>10.573154310464361</v>
      </c>
      <c r="E46" s="4">
        <f ca="1"/>
        <v>7.6192570464073643</v>
      </c>
      <c r="F46" s="4">
        <f t="shared" ca="1" si="9"/>
        <v>7.6192570464073679</v>
      </c>
      <c r="H46" s="4">
        <f t="shared" ca="1" si="10"/>
        <v>-2.9538972640569927</v>
      </c>
      <c r="I46" s="4">
        <f t="shared" ca="1" si="12"/>
        <v>8.7255090466033867</v>
      </c>
      <c r="K46" s="5">
        <f ca="1">CORREL(x,y)</f>
        <v>0.27239580942489994</v>
      </c>
      <c r="L46" s="5">
        <f ca="1">SQRT(_r2)</f>
        <v>0.2723958094249001</v>
      </c>
    </row>
    <row r="47" spans="1:15" x14ac:dyDescent="0.2">
      <c r="A47" s="4">
        <v>41</v>
      </c>
      <c r="B47" s="4">
        <f t="shared" ca="1" si="2"/>
        <v>0.87964890469230084</v>
      </c>
      <c r="C47" s="4">
        <f t="shared" ca="1" si="11"/>
        <v>11.595001474986425</v>
      </c>
      <c r="E47" s="4">
        <f ca="1"/>
        <v>8.2130393170654106</v>
      </c>
      <c r="F47" s="4">
        <f t="shared" ca="1" si="9"/>
        <v>8.2130393170654141</v>
      </c>
      <c r="H47" s="4">
        <f t="shared" ca="1" si="10"/>
        <v>-3.3819621579210111</v>
      </c>
      <c r="I47" s="4">
        <f t="shared" ca="1" si="12"/>
        <v>11.437668037609741</v>
      </c>
      <c r="K47" s="13" t="s">
        <v>48</v>
      </c>
    </row>
    <row r="48" spans="1:15" x14ac:dyDescent="0.2">
      <c r="A48" s="4">
        <v>42</v>
      </c>
      <c r="B48" s="4">
        <f t="shared" ca="1" si="2"/>
        <v>0.44593249501765719</v>
      </c>
      <c r="C48" s="4">
        <f t="shared" ca="1" si="11"/>
        <v>8.8421934816206793</v>
      </c>
      <c r="E48" s="4">
        <f ca="1"/>
        <v>5.8337026853918053</v>
      </c>
      <c r="F48" s="4">
        <f t="shared" ca="1" si="9"/>
        <v>5.8337026853918053</v>
      </c>
      <c r="H48" s="4">
        <f t="shared" ca="1" si="10"/>
        <v>-3.0084907962288741</v>
      </c>
      <c r="I48" s="4">
        <f t="shared" ca="1" si="12"/>
        <v>9.0510168709938448</v>
      </c>
    </row>
    <row r="49" spans="1:15" x14ac:dyDescent="0.2">
      <c r="A49" s="4">
        <v>43</v>
      </c>
      <c r="B49" s="4">
        <f t="shared" ca="1" si="2"/>
        <v>0.43047038011370098</v>
      </c>
      <c r="C49" s="4">
        <f t="shared" ca="1" si="11"/>
        <v>12.260552612533221</v>
      </c>
      <c r="E49" s="4">
        <f ca="1"/>
        <v>5.7488786492855226</v>
      </c>
      <c r="F49" s="4">
        <f t="shared" ca="1" si="9"/>
        <v>5.7488786492855226</v>
      </c>
      <c r="H49" s="4">
        <f t="shared" ca="1" si="10"/>
        <v>-6.5116739632476985</v>
      </c>
      <c r="I49" s="4">
        <f t="shared" ca="1" si="12"/>
        <v>42.401897803637986</v>
      </c>
      <c r="K49" s="6" t="s">
        <v>20</v>
      </c>
    </row>
    <row r="50" spans="1:15" x14ac:dyDescent="0.2">
      <c r="A50" s="4">
        <v>44</v>
      </c>
      <c r="B50" s="4">
        <f t="shared" ca="1" si="2"/>
        <v>0.35064834571279413</v>
      </c>
      <c r="C50" s="4">
        <f t="shared" ca="1" si="11"/>
        <v>4.5577216328489598</v>
      </c>
      <c r="E50" s="4">
        <f ca="1"/>
        <v>5.3109807827803994</v>
      </c>
      <c r="F50" s="4">
        <f t="shared" ca="1" si="9"/>
        <v>5.3109807827803985</v>
      </c>
      <c r="H50" s="4">
        <f t="shared" ca="1" si="10"/>
        <v>0.75325914993143872</v>
      </c>
      <c r="I50" s="4">
        <f t="shared" ca="1" si="12"/>
        <v>0.5673993469554337</v>
      </c>
      <c r="K50" s="5">
        <f ca="1">INDEX(LINEST(y,x),1)</f>
        <v>5.485927160234696</v>
      </c>
      <c r="L50" s="5">
        <f ca="1">INDEX(LINEST(y,x),2)</f>
        <v>3.3873494993432165</v>
      </c>
      <c r="N50" s="6" t="s">
        <v>6</v>
      </c>
      <c r="O50" s="6" t="s">
        <v>7</v>
      </c>
    </row>
    <row r="51" spans="1:15" x14ac:dyDescent="0.2">
      <c r="A51" s="4">
        <v>45</v>
      </c>
      <c r="B51" s="4">
        <f t="shared" ca="1" si="2"/>
        <v>0.30800153453728252</v>
      </c>
      <c r="C51" s="4">
        <f t="shared" ca="1" si="11"/>
        <v>8.2257486152610468</v>
      </c>
      <c r="E51" s="4">
        <f ca="1"/>
        <v>5.0770234830552594</v>
      </c>
      <c r="F51" s="4">
        <f t="shared" ca="1" si="9"/>
        <v>5.0770234830552585</v>
      </c>
      <c r="H51" s="4">
        <f t="shared" ca="1" si="10"/>
        <v>-3.1487251322057883</v>
      </c>
      <c r="I51" s="4">
        <f t="shared" ca="1" si="12"/>
        <v>9.9144699581843589</v>
      </c>
      <c r="N51" s="6"/>
      <c r="O51" s="6"/>
    </row>
    <row r="52" spans="1:15" x14ac:dyDescent="0.2">
      <c r="A52" s="4">
        <v>46</v>
      </c>
      <c r="B52" s="4">
        <f t="shared" ca="1" si="2"/>
        <v>0.88999022399047789</v>
      </c>
      <c r="C52" s="4">
        <f t="shared" ca="1" si="11"/>
        <v>3.8863620491104598</v>
      </c>
      <c r="E52" s="4">
        <f ca="1"/>
        <v>8.2697710414759396</v>
      </c>
      <c r="F52" s="4">
        <f t="shared" ca="1" si="9"/>
        <v>8.2697710414759431</v>
      </c>
      <c r="H52" s="4">
        <f t="shared" ca="1" si="10"/>
        <v>4.3834089923654833</v>
      </c>
      <c r="I52" s="4">
        <f t="shared" ca="1" si="12"/>
        <v>19.214274394350582</v>
      </c>
      <c r="N52" s="6"/>
      <c r="O52" s="6"/>
    </row>
    <row r="53" spans="1:15" x14ac:dyDescent="0.2">
      <c r="A53" s="4">
        <v>47</v>
      </c>
      <c r="B53" s="4">
        <f t="shared" ca="1" si="2"/>
        <v>0.10116926649717339</v>
      </c>
      <c r="C53" s="4">
        <f t="shared" ca="1" si="11"/>
        <v>5.9065743963168211</v>
      </c>
      <c r="E53" s="4">
        <f ca="1"/>
        <v>3.9423567262010821</v>
      </c>
      <c r="F53" s="4">
        <f t="shared" ca="1" si="9"/>
        <v>3.9423567262010799</v>
      </c>
      <c r="H53" s="4">
        <f t="shared" ca="1" si="10"/>
        <v>-1.9642176701157412</v>
      </c>
      <c r="I53" s="4">
        <f t="shared" ca="1" si="12"/>
        <v>3.8581510555949108</v>
      </c>
      <c r="K53" s="6" t="s">
        <v>21</v>
      </c>
      <c r="N53" s="6"/>
      <c r="O53" s="6"/>
    </row>
    <row r="54" spans="1:15" x14ac:dyDescent="0.2">
      <c r="A54" s="4">
        <v>48</v>
      </c>
      <c r="B54" s="4">
        <f t="shared" ca="1" si="2"/>
        <v>0.89016259229325467</v>
      </c>
      <c r="C54" s="4">
        <f t="shared" ca="1" si="11"/>
        <v>3.8148416834925083</v>
      </c>
      <c r="E54" s="4">
        <f ca="1"/>
        <v>8.270716641429706</v>
      </c>
      <c r="F54" s="4">
        <f t="shared" ca="1" si="9"/>
        <v>8.2707166414297095</v>
      </c>
      <c r="H54" s="4">
        <f t="shared" ca="1" si="10"/>
        <v>4.4558749579372012</v>
      </c>
      <c r="I54" s="4">
        <f t="shared" ca="1" si="12"/>
        <v>19.854821640771856</v>
      </c>
      <c r="K54" s="5">
        <f ca="1">_xlfn.COVARIANCE.P(x,y)/_xlfn.VAR.P(x)</f>
        <v>5.4859271602347031</v>
      </c>
      <c r="L54" s="5">
        <f ca="1">ybar-b1_*xbar</f>
        <v>3.3873494993432134</v>
      </c>
      <c r="N54" s="6" t="s">
        <v>6</v>
      </c>
      <c r="O54" s="6" t="s">
        <v>7</v>
      </c>
    </row>
    <row r="55" spans="1:15" x14ac:dyDescent="0.2">
      <c r="A55" s="4">
        <v>49</v>
      </c>
      <c r="B55" s="4">
        <f t="shared" ca="1" si="2"/>
        <v>0.32220633927962561</v>
      </c>
      <c r="C55" s="4">
        <f t="shared" ca="1" si="11"/>
        <v>-5.7029890011317317</v>
      </c>
      <c r="E55" s="4">
        <f ca="1"/>
        <v>5.1549500071971099</v>
      </c>
      <c r="F55" s="4">
        <f t="shared" ca="1" si="9"/>
        <v>5.1549500071971091</v>
      </c>
      <c r="H55" s="4">
        <f t="shared" ca="1" si="10"/>
        <v>10.857939008328842</v>
      </c>
      <c r="I55" s="4">
        <f t="shared" ca="1" si="12"/>
        <v>117.89483950858911</v>
      </c>
    </row>
    <row r="56" spans="1:15" x14ac:dyDescent="0.2">
      <c r="A56" s="4">
        <v>50</v>
      </c>
      <c r="B56" s="4">
        <f t="shared" ca="1" si="2"/>
        <v>0.92019144325601721</v>
      </c>
      <c r="C56" s="4">
        <f t="shared" ca="1" si="11"/>
        <v>2.2397862127215165</v>
      </c>
      <c r="E56" s="4">
        <f ca="1"/>
        <v>8.4354527305169658</v>
      </c>
      <c r="F56" s="4">
        <f t="shared" ca="1" si="9"/>
        <v>8.4354527305169675</v>
      </c>
      <c r="H56" s="4">
        <f t="shared" ca="1" si="10"/>
        <v>6.1956665177954511</v>
      </c>
      <c r="I56" s="4">
        <f t="shared" ca="1" si="12"/>
        <v>38.386283599731613</v>
      </c>
    </row>
  </sheetData>
  <hyperlinks>
    <hyperlink ref="K47" r:id="rId1" xr:uid="{00000000-0004-0000-0500-000000000000}"/>
    <hyperlink ref="K12" r:id="rId2" xr:uid="{00000000-0004-0000-0500-000001000000}"/>
    <hyperlink ref="A1" r:id="rId3" xr:uid="{3BE3FA4E-ACAE-9A4A-8726-ADB293F7C729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B2:C12"/>
  <sheetViews>
    <sheetView workbookViewId="0"/>
  </sheetViews>
  <sheetFormatPr baseColWidth="10" defaultRowHeight="26" x14ac:dyDescent="0.3"/>
  <cols>
    <col min="1" max="1" width="10.83203125" style="29"/>
    <col min="2" max="2" width="19.33203125" style="29" bestFit="1" customWidth="1"/>
    <col min="3" max="3" width="11.33203125" style="29" bestFit="1" customWidth="1"/>
    <col min="4" max="16384" width="10.83203125" style="29"/>
  </cols>
  <sheetData>
    <row r="2" spans="2:3" ht="31" x14ac:dyDescent="0.4">
      <c r="B2" s="29" t="s">
        <v>106</v>
      </c>
    </row>
    <row r="3" spans="2:3" ht="29" x14ac:dyDescent="0.3">
      <c r="B3" s="29" t="s">
        <v>107</v>
      </c>
    </row>
    <row r="6" spans="2:3" x14ac:dyDescent="0.3">
      <c r="B6" s="29" t="s">
        <v>100</v>
      </c>
      <c r="C6" s="31">
        <v>0.8</v>
      </c>
    </row>
    <row r="7" spans="2:3" x14ac:dyDescent="0.3">
      <c r="B7" s="29" t="s">
        <v>101</v>
      </c>
      <c r="C7" s="29">
        <f>1-_R2_orig</f>
        <v>0.19999999999999996</v>
      </c>
    </row>
    <row r="8" spans="2:3" x14ac:dyDescent="0.3">
      <c r="B8" s="29" t="s">
        <v>4</v>
      </c>
      <c r="C8" s="32">
        <v>20</v>
      </c>
    </row>
    <row r="9" spans="2:3" x14ac:dyDescent="0.3">
      <c r="B9" s="29" t="s">
        <v>102</v>
      </c>
      <c r="C9" s="32">
        <v>2</v>
      </c>
    </row>
    <row r="10" spans="2:3" x14ac:dyDescent="0.3">
      <c r="B10" s="29" t="s">
        <v>103</v>
      </c>
      <c r="C10" s="29">
        <f>(n-1)/(n-p)</f>
        <v>1.0555555555555556</v>
      </c>
    </row>
    <row r="11" spans="2:3" x14ac:dyDescent="0.3">
      <c r="B11" s="29" t="s">
        <v>104</v>
      </c>
      <c r="C11" s="29">
        <f>ErrorFraction*Inflator</f>
        <v>0.21111111111111108</v>
      </c>
    </row>
    <row r="12" spans="2:3" x14ac:dyDescent="0.3">
      <c r="B12" s="29" t="s">
        <v>105</v>
      </c>
      <c r="C12" s="30">
        <f>1-NewError</f>
        <v>0.78888888888888897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D22"/>
  <sheetViews>
    <sheetView workbookViewId="0"/>
  </sheetViews>
  <sheetFormatPr baseColWidth="10" defaultColWidth="8.83203125" defaultRowHeight="26" x14ac:dyDescent="0.3"/>
  <cols>
    <col min="1" max="16384" width="8.83203125" style="14"/>
  </cols>
  <sheetData>
    <row r="1" spans="1:4" x14ac:dyDescent="0.3">
      <c r="A1" s="33" t="s">
        <v>114</v>
      </c>
    </row>
    <row r="2" spans="1:4" x14ac:dyDescent="0.3">
      <c r="B2" s="14" t="s">
        <v>50</v>
      </c>
    </row>
    <row r="4" spans="1:4" x14ac:dyDescent="0.3">
      <c r="B4" s="14" t="s">
        <v>42</v>
      </c>
    </row>
    <row r="5" spans="1:4" x14ac:dyDescent="0.3">
      <c r="B5" s="14" t="s">
        <v>23</v>
      </c>
    </row>
    <row r="6" spans="1:4" x14ac:dyDescent="0.3">
      <c r="C6" s="14" t="s">
        <v>24</v>
      </c>
    </row>
    <row r="7" spans="1:4" x14ac:dyDescent="0.3">
      <c r="B7" s="14" t="s">
        <v>25</v>
      </c>
    </row>
    <row r="8" spans="1:4" x14ac:dyDescent="0.3">
      <c r="C8" s="14" t="s">
        <v>51</v>
      </c>
    </row>
    <row r="9" spans="1:4" x14ac:dyDescent="0.3">
      <c r="C9" s="14" t="s">
        <v>26</v>
      </c>
    </row>
    <row r="10" spans="1:4" x14ac:dyDescent="0.3">
      <c r="D10" s="14" t="s">
        <v>27</v>
      </c>
    </row>
    <row r="11" spans="1:4" x14ac:dyDescent="0.3">
      <c r="B11" s="14" t="s">
        <v>28</v>
      </c>
    </row>
    <row r="12" spans="1:4" ht="30" x14ac:dyDescent="0.4">
      <c r="C12" s="14" t="s">
        <v>41</v>
      </c>
    </row>
    <row r="13" spans="1:4" x14ac:dyDescent="0.3">
      <c r="B13" s="14" t="s">
        <v>29</v>
      </c>
    </row>
    <row r="14" spans="1:4" x14ac:dyDescent="0.3">
      <c r="B14" s="14" t="s">
        <v>121</v>
      </c>
    </row>
    <row r="15" spans="1:4" x14ac:dyDescent="0.3">
      <c r="B15" s="14" t="s">
        <v>37</v>
      </c>
    </row>
    <row r="16" spans="1:4" x14ac:dyDescent="0.3">
      <c r="B16" s="14" t="s">
        <v>38</v>
      </c>
    </row>
    <row r="17" spans="2:3" x14ac:dyDescent="0.3">
      <c r="B17" s="14" t="s">
        <v>43</v>
      </c>
    </row>
    <row r="18" spans="2:3" x14ac:dyDescent="0.3">
      <c r="B18" s="14" t="s">
        <v>52</v>
      </c>
    </row>
    <row r="19" spans="2:3" x14ac:dyDescent="0.3">
      <c r="B19" s="14" t="s">
        <v>47</v>
      </c>
    </row>
    <row r="20" spans="2:3" x14ac:dyDescent="0.3">
      <c r="C20" s="14" t="s">
        <v>44</v>
      </c>
    </row>
    <row r="21" spans="2:3" x14ac:dyDescent="0.3">
      <c r="C21" s="14" t="s">
        <v>45</v>
      </c>
    </row>
    <row r="22" spans="2:3" x14ac:dyDescent="0.3">
      <c r="C22" s="14" t="s">
        <v>46</v>
      </c>
    </row>
  </sheetData>
  <hyperlinks>
    <hyperlink ref="A1" r:id="rId1" xr:uid="{362E9FC2-3F0C-CD4F-AEE7-D10495566E4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D46"/>
  <sheetViews>
    <sheetView workbookViewId="0"/>
  </sheetViews>
  <sheetFormatPr baseColWidth="10" defaultRowHeight="26" x14ac:dyDescent="0.3"/>
  <cols>
    <col min="1" max="16384" width="10.83203125" style="1"/>
  </cols>
  <sheetData>
    <row r="1" spans="1:4" x14ac:dyDescent="0.3">
      <c r="A1" s="33" t="s">
        <v>79</v>
      </c>
    </row>
    <row r="2" spans="1:4" x14ac:dyDescent="0.3">
      <c r="B2" s="1" t="s">
        <v>74</v>
      </c>
    </row>
    <row r="4" spans="1:4" ht="29" x14ac:dyDescent="0.3">
      <c r="B4" s="1" t="s">
        <v>75</v>
      </c>
    </row>
    <row r="6" spans="1:4" x14ac:dyDescent="0.3">
      <c r="C6" s="1" t="s">
        <v>76</v>
      </c>
      <c r="D6" s="1" t="s">
        <v>77</v>
      </c>
    </row>
    <row r="7" spans="1:4" x14ac:dyDescent="0.3">
      <c r="C7" s="1">
        <v>66.2</v>
      </c>
      <c r="D7" s="1">
        <f>_xlfn.NORM.DIST(C7,68,2,FALSE)</f>
        <v>0.1330426249493776</v>
      </c>
    </row>
    <row r="8" spans="1:4" x14ac:dyDescent="0.3">
      <c r="C8" s="1">
        <v>68.3</v>
      </c>
      <c r="D8" s="1">
        <f t="shared" ref="D8:D9" si="0">_xlfn.NORM.DIST(C8,68,2,FALSE)</f>
        <v>0.1972396654539445</v>
      </c>
    </row>
    <row r="9" spans="1:4" x14ac:dyDescent="0.3">
      <c r="C9" s="1">
        <v>69.099999999999994</v>
      </c>
      <c r="D9" s="1">
        <f t="shared" si="0"/>
        <v>0.17147192750969223</v>
      </c>
    </row>
    <row r="11" spans="1:4" x14ac:dyDescent="0.3">
      <c r="B11" s="1" t="s">
        <v>78</v>
      </c>
    </row>
    <row r="13" spans="1:4" x14ac:dyDescent="0.3">
      <c r="D13" s="1" t="s">
        <v>79</v>
      </c>
    </row>
    <row r="14" spans="1:4" x14ac:dyDescent="0.3">
      <c r="D14" s="1">
        <f>PRODUCT(D7:D9)</f>
        <v>4.4996433482381876E-3</v>
      </c>
    </row>
    <row r="16" spans="1:4" x14ac:dyDescent="0.3">
      <c r="B16" s="1" t="s">
        <v>80</v>
      </c>
    </row>
    <row r="18" spans="2:4" x14ac:dyDescent="0.3">
      <c r="B18" s="1" t="s">
        <v>81</v>
      </c>
    </row>
    <row r="19" spans="2:4" x14ac:dyDescent="0.3">
      <c r="B19" s="1" t="s">
        <v>82</v>
      </c>
    </row>
    <row r="20" spans="2:4" x14ac:dyDescent="0.3">
      <c r="B20" s="1" t="s">
        <v>83</v>
      </c>
    </row>
    <row r="22" spans="2:4" x14ac:dyDescent="0.3">
      <c r="B22" s="1" t="s">
        <v>84</v>
      </c>
    </row>
    <row r="23" spans="2:4" x14ac:dyDescent="0.3">
      <c r="B23" s="1" t="s">
        <v>85</v>
      </c>
    </row>
    <row r="24" spans="2:4" x14ac:dyDescent="0.3">
      <c r="B24" s="1" t="s">
        <v>86</v>
      </c>
    </row>
    <row r="26" spans="2:4" x14ac:dyDescent="0.3">
      <c r="B26" s="1" t="s">
        <v>87</v>
      </c>
    </row>
    <row r="28" spans="2:4" x14ac:dyDescent="0.3">
      <c r="D28" s="1" t="s">
        <v>88</v>
      </c>
    </row>
    <row r="29" spans="2:4" x14ac:dyDescent="0.3">
      <c r="D29" s="1">
        <f t="array" ref="D29">SUM(LOG(D7:D9))</f>
        <v>-2.3468219080092103</v>
      </c>
    </row>
    <row r="31" spans="2:4" x14ac:dyDescent="0.3">
      <c r="B31" s="1" t="s">
        <v>89</v>
      </c>
    </row>
    <row r="33" spans="2:3" x14ac:dyDescent="0.3">
      <c r="B33" s="28" t="s">
        <v>97</v>
      </c>
    </row>
    <row r="34" spans="2:3" x14ac:dyDescent="0.3">
      <c r="B34" s="1" t="s">
        <v>98</v>
      </c>
    </row>
    <row r="35" spans="2:3" x14ac:dyDescent="0.3">
      <c r="C35" s="28"/>
    </row>
    <row r="36" spans="2:3" x14ac:dyDescent="0.3">
      <c r="B36" s="2" t="s">
        <v>0</v>
      </c>
      <c r="C36" s="2" t="s">
        <v>96</v>
      </c>
    </row>
    <row r="37" spans="2:3" x14ac:dyDescent="0.3">
      <c r="B37" s="1">
        <v>1</v>
      </c>
      <c r="C37" s="1">
        <f>LN(B37)</f>
        <v>0</v>
      </c>
    </row>
    <row r="38" spans="2:3" x14ac:dyDescent="0.3">
      <c r="B38" s="1">
        <v>2</v>
      </c>
      <c r="C38" s="1">
        <f t="shared" ref="C38:C46" si="1">LN(B38)</f>
        <v>0.69314718055994529</v>
      </c>
    </row>
    <row r="39" spans="2:3" x14ac:dyDescent="0.3">
      <c r="B39" s="1">
        <v>3</v>
      </c>
      <c r="C39" s="1">
        <f t="shared" si="1"/>
        <v>1.0986122886681098</v>
      </c>
    </row>
    <row r="40" spans="2:3" x14ac:dyDescent="0.3">
      <c r="B40" s="1">
        <v>4</v>
      </c>
      <c r="C40" s="1">
        <f t="shared" si="1"/>
        <v>1.3862943611198906</v>
      </c>
    </row>
    <row r="41" spans="2:3" x14ac:dyDescent="0.3">
      <c r="B41" s="1">
        <v>5</v>
      </c>
      <c r="C41" s="1">
        <f t="shared" si="1"/>
        <v>1.6094379124341003</v>
      </c>
    </row>
    <row r="42" spans="2:3" x14ac:dyDescent="0.3">
      <c r="B42" s="1">
        <v>6</v>
      </c>
      <c r="C42" s="1">
        <f t="shared" si="1"/>
        <v>1.791759469228055</v>
      </c>
    </row>
    <row r="43" spans="2:3" x14ac:dyDescent="0.3">
      <c r="B43" s="1">
        <v>7</v>
      </c>
      <c r="C43" s="1">
        <f t="shared" si="1"/>
        <v>1.9459101490553132</v>
      </c>
    </row>
    <row r="44" spans="2:3" x14ac:dyDescent="0.3">
      <c r="B44" s="1">
        <v>8</v>
      </c>
      <c r="C44" s="1">
        <f t="shared" si="1"/>
        <v>2.0794415416798357</v>
      </c>
    </row>
    <row r="45" spans="2:3" x14ac:dyDescent="0.3">
      <c r="B45" s="1">
        <v>9</v>
      </c>
      <c r="C45" s="1">
        <f t="shared" si="1"/>
        <v>2.1972245773362196</v>
      </c>
    </row>
    <row r="46" spans="2:3" x14ac:dyDescent="0.3">
      <c r="B46" s="1">
        <v>10</v>
      </c>
      <c r="C46" s="1">
        <f t="shared" si="1"/>
        <v>2.3025850929940459</v>
      </c>
    </row>
  </sheetData>
  <hyperlinks>
    <hyperlink ref="A1" r:id="rId1" xr:uid="{3664F44B-754D-3441-8A82-A6D423FADCDA}"/>
  </hyperlink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I105"/>
  <sheetViews>
    <sheetView workbookViewId="0">
      <selection activeCell="F6" sqref="F6:F105"/>
    </sheetView>
  </sheetViews>
  <sheetFormatPr baseColWidth="10" defaultRowHeight="26" x14ac:dyDescent="0.3"/>
  <cols>
    <col min="1" max="4" width="10.83203125" style="1"/>
    <col min="5" max="5" width="13.1640625" style="1" bestFit="1" customWidth="1"/>
    <col min="6" max="6" width="11.5" style="1" bestFit="1" customWidth="1"/>
    <col min="7" max="8" width="10.83203125" style="1"/>
    <col min="9" max="9" width="13.1640625" style="1" bestFit="1" customWidth="1"/>
    <col min="10" max="16384" width="10.83203125" style="1"/>
  </cols>
  <sheetData>
    <row r="1" spans="1:9" x14ac:dyDescent="0.3">
      <c r="A1" s="33" t="s">
        <v>119</v>
      </c>
    </row>
    <row r="2" spans="1:9" s="2" customFormat="1" x14ac:dyDescent="0.3">
      <c r="E2" s="2" t="s">
        <v>53</v>
      </c>
      <c r="F2" s="2" t="s">
        <v>95</v>
      </c>
    </row>
    <row r="3" spans="1:9" x14ac:dyDescent="0.3">
      <c r="E3" s="1">
        <v>5</v>
      </c>
      <c r="F3" s="1">
        <f>SUMSQ(F6:F105)</f>
        <v>7687.8247084922205</v>
      </c>
      <c r="I3" s="2"/>
    </row>
    <row r="5" spans="1:9" x14ac:dyDescent="0.3">
      <c r="C5" s="2" t="s">
        <v>0</v>
      </c>
      <c r="D5" s="2" t="s">
        <v>1</v>
      </c>
      <c r="E5" s="2" t="s">
        <v>5</v>
      </c>
      <c r="F5" s="2" t="s">
        <v>30</v>
      </c>
      <c r="I5" s="1">
        <f>F3</f>
        <v>7687.8247084922205</v>
      </c>
    </row>
    <row r="6" spans="1:9" x14ac:dyDescent="0.3">
      <c r="C6" s="1">
        <v>0.58818950933738789</v>
      </c>
      <c r="D6" s="1">
        <v>11.804231880998334</v>
      </c>
      <c r="E6" s="1">
        <f t="shared" ref="E6:E37" si="0">C6*b</f>
        <v>2.9409475466869397</v>
      </c>
      <c r="F6" s="1">
        <f>D6-E6</f>
        <v>8.8632843343113947</v>
      </c>
      <c r="H6" s="1">
        <v>-20</v>
      </c>
      <c r="I6" s="1">
        <f t="dataTable" ref="I6:I22" dt2D="0" dtr="0" r1="E3"/>
        <v>55033.783083329654</v>
      </c>
    </row>
    <row r="7" spans="1:9" x14ac:dyDescent="0.3">
      <c r="C7" s="1">
        <v>1.6986682268579356E-2</v>
      </c>
      <c r="D7" s="1">
        <v>-1.1426648798679477</v>
      </c>
      <c r="E7" s="1">
        <f t="shared" si="0"/>
        <v>8.4933411342896781E-2</v>
      </c>
      <c r="F7" s="1">
        <f t="shared" ref="F7:F70" si="1">D7-E7</f>
        <v>-1.2275982912108445</v>
      </c>
      <c r="H7" s="1">
        <v>-15</v>
      </c>
      <c r="I7" s="1">
        <v>42096.83672983326</v>
      </c>
    </row>
    <row r="8" spans="1:9" x14ac:dyDescent="0.3">
      <c r="C8" s="1">
        <v>0.53113977359533349</v>
      </c>
      <c r="D8" s="1">
        <v>12.646164430270861</v>
      </c>
      <c r="E8" s="1">
        <f t="shared" si="0"/>
        <v>2.6556988679766675</v>
      </c>
      <c r="F8" s="1">
        <f t="shared" si="1"/>
        <v>9.9904655622941938</v>
      </c>
      <c r="H8" s="1">
        <v>-10</v>
      </c>
      <c r="I8" s="1">
        <v>30893.767715601312</v>
      </c>
    </row>
    <row r="9" spans="1:9" x14ac:dyDescent="0.3">
      <c r="C9" s="1">
        <v>0.61761469323860685</v>
      </c>
      <c r="D9" s="1">
        <v>11.60110424186859</v>
      </c>
      <c r="E9" s="1">
        <f t="shared" si="0"/>
        <v>3.088073466193034</v>
      </c>
      <c r="F9" s="1">
        <f t="shared" si="1"/>
        <v>8.5130307756755563</v>
      </c>
      <c r="H9" s="1">
        <v>-5</v>
      </c>
      <c r="I9" s="1">
        <v>21424.576040633841</v>
      </c>
    </row>
    <row r="10" spans="1:9" x14ac:dyDescent="0.3">
      <c r="C10" s="1">
        <v>0.11756427568939665</v>
      </c>
      <c r="D10" s="1">
        <v>2.6658797244398591</v>
      </c>
      <c r="E10" s="1">
        <f t="shared" si="0"/>
        <v>0.58782137844698323</v>
      </c>
      <c r="F10" s="1">
        <f t="shared" si="1"/>
        <v>2.0780583459928756</v>
      </c>
      <c r="H10" s="1">
        <v>0</v>
      </c>
      <c r="I10" s="1">
        <v>13689.261704930796</v>
      </c>
    </row>
    <row r="11" spans="1:9" x14ac:dyDescent="0.3">
      <c r="C11" s="1">
        <v>0.6879027369874563</v>
      </c>
      <c r="D11" s="1">
        <v>14.048158432708902</v>
      </c>
      <c r="E11" s="1">
        <f t="shared" si="0"/>
        <v>3.4395136849372814</v>
      </c>
      <c r="F11" s="1">
        <f t="shared" si="1"/>
        <v>10.608644747771621</v>
      </c>
      <c r="H11" s="1">
        <v>5</v>
      </c>
      <c r="I11" s="1">
        <v>7687.8247084922205</v>
      </c>
    </row>
    <row r="12" spans="1:9" x14ac:dyDescent="0.3">
      <c r="C12" s="1">
        <v>0.92932488131491664</v>
      </c>
      <c r="D12" s="1">
        <v>18.26370180959243</v>
      </c>
      <c r="E12" s="1">
        <f t="shared" si="0"/>
        <v>4.646624406574583</v>
      </c>
      <c r="F12" s="1">
        <f t="shared" si="1"/>
        <v>13.617077403017847</v>
      </c>
      <c r="H12" s="1">
        <v>10</v>
      </c>
      <c r="I12" s="1">
        <v>3420.265051318097</v>
      </c>
    </row>
    <row r="13" spans="1:9" x14ac:dyDescent="0.3">
      <c r="C13" s="1">
        <v>0.19170842591627391</v>
      </c>
      <c r="D13" s="1">
        <v>4.3583301301299571</v>
      </c>
      <c r="E13" s="1">
        <f t="shared" si="0"/>
        <v>0.95854212958136953</v>
      </c>
      <c r="F13" s="1">
        <f t="shared" si="1"/>
        <v>3.3997880005485874</v>
      </c>
      <c r="H13" s="1">
        <v>15</v>
      </c>
      <c r="I13" s="1">
        <v>886.58273340842118</v>
      </c>
    </row>
    <row r="14" spans="1:9" x14ac:dyDescent="0.3">
      <c r="C14" s="1">
        <v>0.85600753369165639</v>
      </c>
      <c r="D14" s="1">
        <v>16.882721290131197</v>
      </c>
      <c r="E14" s="1">
        <f t="shared" si="0"/>
        <v>4.2800376684582817</v>
      </c>
      <c r="F14" s="1">
        <f t="shared" si="1"/>
        <v>12.602683621672917</v>
      </c>
      <c r="H14" s="1">
        <v>20</v>
      </c>
      <c r="I14" s="1">
        <v>86.77775476320015</v>
      </c>
    </row>
    <row r="15" spans="1:9" x14ac:dyDescent="0.3">
      <c r="C15" s="1">
        <v>0.38465490938110325</v>
      </c>
      <c r="D15" s="1">
        <v>7.5754797851080893</v>
      </c>
      <c r="E15" s="1">
        <f t="shared" si="0"/>
        <v>1.9232745469055161</v>
      </c>
      <c r="F15" s="1">
        <f t="shared" si="1"/>
        <v>5.6522052382025727</v>
      </c>
      <c r="H15" s="1">
        <v>25</v>
      </c>
      <c r="I15" s="1">
        <v>1020.8501153824316</v>
      </c>
    </row>
    <row r="16" spans="1:9" x14ac:dyDescent="0.3">
      <c r="C16" s="1">
        <v>0.52546251179600201</v>
      </c>
      <c r="D16" s="1">
        <v>12.065042110660789</v>
      </c>
      <c r="E16" s="1">
        <f t="shared" si="0"/>
        <v>2.6273125589800101</v>
      </c>
      <c r="F16" s="1">
        <f t="shared" si="1"/>
        <v>9.4377295516807784</v>
      </c>
      <c r="H16" s="1">
        <v>30</v>
      </c>
      <c r="I16" s="1">
        <v>3688.7998152661144</v>
      </c>
    </row>
    <row r="17" spans="3:9" x14ac:dyDescent="0.3">
      <c r="C17" s="1">
        <v>0.49460822417774364</v>
      </c>
      <c r="D17" s="1">
        <v>10.027060877630145</v>
      </c>
      <c r="E17" s="1">
        <f t="shared" si="0"/>
        <v>2.473041120888718</v>
      </c>
      <c r="F17" s="1">
        <f t="shared" si="1"/>
        <v>7.5540197567414271</v>
      </c>
      <c r="H17" s="1">
        <v>35</v>
      </c>
      <c r="I17" s="1">
        <v>8090.626854414254</v>
      </c>
    </row>
    <row r="18" spans="3:9" x14ac:dyDescent="0.3">
      <c r="C18" s="1">
        <v>0.60166049809332578</v>
      </c>
      <c r="D18" s="1">
        <v>12.16809807905876</v>
      </c>
      <c r="E18" s="1">
        <f t="shared" si="0"/>
        <v>3.0083024904666287</v>
      </c>
      <c r="F18" s="1">
        <f t="shared" si="1"/>
        <v>9.1597955885921323</v>
      </c>
      <c r="H18" s="1">
        <v>40</v>
      </c>
      <c r="I18" s="1">
        <v>14226.33123282684</v>
      </c>
    </row>
    <row r="19" spans="3:9" x14ac:dyDescent="0.3">
      <c r="C19" s="1">
        <v>0.76600626723966236</v>
      </c>
      <c r="D19" s="1">
        <v>13.526296925209877</v>
      </c>
      <c r="E19" s="1">
        <f t="shared" si="0"/>
        <v>3.8300313361983118</v>
      </c>
      <c r="F19" s="1">
        <f t="shared" si="1"/>
        <v>9.6962655890115652</v>
      </c>
      <c r="H19" s="1">
        <v>45</v>
      </c>
      <c r="I19" s="1">
        <v>22095.912950503887</v>
      </c>
    </row>
    <row r="20" spans="3:9" x14ac:dyDescent="0.3">
      <c r="C20" s="1">
        <v>0.21243638227785167</v>
      </c>
      <c r="D20" s="1">
        <v>3.283190103551985</v>
      </c>
      <c r="E20" s="1">
        <f t="shared" si="0"/>
        <v>1.0621819113892583</v>
      </c>
      <c r="F20" s="1">
        <f t="shared" si="1"/>
        <v>2.2210081921627269</v>
      </c>
      <c r="H20" s="1">
        <v>50</v>
      </c>
      <c r="I20" s="1">
        <v>31699.372007445381</v>
      </c>
    </row>
    <row r="21" spans="3:9" x14ac:dyDescent="0.3">
      <c r="C21" s="1">
        <v>0.30245649354922211</v>
      </c>
      <c r="D21" s="1">
        <v>6.6356938737602027</v>
      </c>
      <c r="E21" s="1">
        <f t="shared" si="0"/>
        <v>1.5122824677461106</v>
      </c>
      <c r="F21" s="1">
        <f t="shared" si="1"/>
        <v>5.1234114060140925</v>
      </c>
      <c r="H21" s="1">
        <v>55</v>
      </c>
      <c r="I21" s="1">
        <v>43036.708403651319</v>
      </c>
    </row>
    <row r="22" spans="3:9" x14ac:dyDescent="0.3">
      <c r="C22" s="1">
        <v>0.45206672337575782</v>
      </c>
      <c r="D22" s="1">
        <v>9.7856551640079648</v>
      </c>
      <c r="E22" s="1">
        <f t="shared" si="0"/>
        <v>2.2603336168787891</v>
      </c>
      <c r="F22" s="1">
        <f t="shared" si="1"/>
        <v>7.5253215471291757</v>
      </c>
      <c r="H22" s="1">
        <v>60</v>
      </c>
      <c r="I22" s="1">
        <v>56107.922139121736</v>
      </c>
    </row>
    <row r="23" spans="3:9" x14ac:dyDescent="0.3">
      <c r="C23" s="1">
        <v>0.20737932579622564</v>
      </c>
      <c r="D23" s="1">
        <v>3.5327682298116816</v>
      </c>
      <c r="E23" s="1">
        <f t="shared" si="0"/>
        <v>1.0368966289811281</v>
      </c>
      <c r="F23" s="1">
        <f t="shared" si="1"/>
        <v>2.4958716008305535</v>
      </c>
    </row>
    <row r="24" spans="3:9" x14ac:dyDescent="0.3">
      <c r="C24" s="1">
        <v>0.41616098321769968</v>
      </c>
      <c r="D24" s="1">
        <v>7.8552360085329207</v>
      </c>
      <c r="E24" s="1">
        <f t="shared" si="0"/>
        <v>2.0808049160884985</v>
      </c>
      <c r="F24" s="1">
        <f t="shared" si="1"/>
        <v>5.7744310924444218</v>
      </c>
    </row>
    <row r="25" spans="3:9" x14ac:dyDescent="0.3">
      <c r="C25" s="1">
        <v>0.63083625356975637</v>
      </c>
      <c r="D25" s="1">
        <v>12.34404675798549</v>
      </c>
      <c r="E25" s="1">
        <f t="shared" si="0"/>
        <v>3.1541812678487817</v>
      </c>
      <c r="F25" s="1">
        <f t="shared" si="1"/>
        <v>9.1898654901367074</v>
      </c>
    </row>
    <row r="26" spans="3:9" x14ac:dyDescent="0.3">
      <c r="C26" s="1">
        <v>0.18358847309704474</v>
      </c>
      <c r="D26" s="1">
        <v>2.8293372761758495</v>
      </c>
      <c r="E26" s="1">
        <f t="shared" si="0"/>
        <v>0.91794236548522368</v>
      </c>
      <c r="F26" s="1">
        <f t="shared" si="1"/>
        <v>1.9113949106906258</v>
      </c>
    </row>
    <row r="27" spans="3:9" x14ac:dyDescent="0.3">
      <c r="C27" s="1">
        <v>0.65520521017462008</v>
      </c>
      <c r="D27" s="1">
        <v>14.021879797645322</v>
      </c>
      <c r="E27" s="1">
        <f t="shared" si="0"/>
        <v>3.2760260508731003</v>
      </c>
      <c r="F27" s="1">
        <f t="shared" si="1"/>
        <v>10.745853746772223</v>
      </c>
    </row>
    <row r="28" spans="3:9" x14ac:dyDescent="0.3">
      <c r="C28" s="1">
        <v>0.76996882700039659</v>
      </c>
      <c r="D28" s="1">
        <v>14.278066096572314</v>
      </c>
      <c r="E28" s="1">
        <f t="shared" si="0"/>
        <v>3.849844135001983</v>
      </c>
      <c r="F28" s="1">
        <f t="shared" si="1"/>
        <v>10.42822196157033</v>
      </c>
    </row>
    <row r="29" spans="3:9" x14ac:dyDescent="0.3">
      <c r="C29" s="1">
        <v>0.51559562686951099</v>
      </c>
      <c r="D29" s="1">
        <v>11.605695381938883</v>
      </c>
      <c r="E29" s="1">
        <f t="shared" si="0"/>
        <v>2.5779781343475552</v>
      </c>
      <c r="F29" s="1">
        <f t="shared" si="1"/>
        <v>9.0277172475913279</v>
      </c>
    </row>
    <row r="30" spans="3:9" x14ac:dyDescent="0.3">
      <c r="C30" s="1">
        <v>5.3162482015925328E-2</v>
      </c>
      <c r="D30" s="1">
        <v>1.9246205706286856</v>
      </c>
      <c r="E30" s="1">
        <f t="shared" si="0"/>
        <v>0.26581241007962664</v>
      </c>
      <c r="F30" s="1">
        <f t="shared" si="1"/>
        <v>1.658808160549059</v>
      </c>
    </row>
    <row r="31" spans="3:9" x14ac:dyDescent="0.3">
      <c r="C31" s="1">
        <v>0.5664237294594241</v>
      </c>
      <c r="D31" s="1">
        <v>10.146638376667001</v>
      </c>
      <c r="E31" s="1">
        <f t="shared" si="0"/>
        <v>2.8321186472971203</v>
      </c>
      <c r="F31" s="1">
        <f t="shared" si="1"/>
        <v>7.3145197293698807</v>
      </c>
    </row>
    <row r="32" spans="3:9" x14ac:dyDescent="0.3">
      <c r="C32" s="1">
        <v>0.7207530847995548</v>
      </c>
      <c r="D32" s="1">
        <v>14.304573553231874</v>
      </c>
      <c r="E32" s="1">
        <f t="shared" si="0"/>
        <v>3.6037654239977739</v>
      </c>
      <c r="F32" s="1">
        <f t="shared" si="1"/>
        <v>10.700808129234101</v>
      </c>
    </row>
    <row r="33" spans="3:6" x14ac:dyDescent="0.3">
      <c r="C33" s="1">
        <v>0.90596593615365673</v>
      </c>
      <c r="D33" s="1">
        <v>17.484967139523285</v>
      </c>
      <c r="E33" s="1">
        <f t="shared" si="0"/>
        <v>4.5298296807682839</v>
      </c>
      <c r="F33" s="1">
        <f t="shared" si="1"/>
        <v>12.955137458755001</v>
      </c>
    </row>
    <row r="34" spans="3:6" x14ac:dyDescent="0.3">
      <c r="C34" s="1">
        <v>4.4384223432258896E-3</v>
      </c>
      <c r="D34" s="1">
        <v>0.80049736004577199</v>
      </c>
      <c r="E34" s="1">
        <f t="shared" si="0"/>
        <v>2.2192111716129448E-2</v>
      </c>
      <c r="F34" s="1">
        <f t="shared" si="1"/>
        <v>0.77830524832964254</v>
      </c>
    </row>
    <row r="35" spans="3:6" x14ac:dyDescent="0.3">
      <c r="C35" s="1">
        <v>0.17815700716011373</v>
      </c>
      <c r="D35" s="1">
        <v>4.6448741221170833</v>
      </c>
      <c r="E35" s="1">
        <f t="shared" si="0"/>
        <v>0.89078503580056867</v>
      </c>
      <c r="F35" s="1">
        <f t="shared" si="1"/>
        <v>3.7540890863165144</v>
      </c>
    </row>
    <row r="36" spans="3:6" x14ac:dyDescent="0.3">
      <c r="C36" s="1">
        <v>7.5130177590292169E-2</v>
      </c>
      <c r="D36" s="1">
        <v>0.76516865447589077</v>
      </c>
      <c r="E36" s="1">
        <f t="shared" si="0"/>
        <v>0.37565088795146084</v>
      </c>
      <c r="F36" s="1">
        <f t="shared" si="1"/>
        <v>0.38951776652442993</v>
      </c>
    </row>
    <row r="37" spans="3:6" x14ac:dyDescent="0.3">
      <c r="C37" s="1">
        <v>0.79984020244131659</v>
      </c>
      <c r="D37" s="1">
        <v>15.577180588990071</v>
      </c>
      <c r="E37" s="1">
        <f t="shared" si="0"/>
        <v>3.9992010122065831</v>
      </c>
      <c r="F37" s="1">
        <f t="shared" si="1"/>
        <v>11.577979576783488</v>
      </c>
    </row>
    <row r="38" spans="3:6" x14ac:dyDescent="0.3">
      <c r="C38" s="1">
        <v>3.8565931492289596E-2</v>
      </c>
      <c r="D38" s="1">
        <v>3.2539443937074166</v>
      </c>
      <c r="E38" s="1">
        <f t="shared" ref="E38:E69" si="2">C38*b</f>
        <v>0.19282965746144798</v>
      </c>
      <c r="F38" s="1">
        <f t="shared" si="1"/>
        <v>3.0611147362459685</v>
      </c>
    </row>
    <row r="39" spans="3:6" x14ac:dyDescent="0.3">
      <c r="C39" s="1">
        <v>0.36167296616229561</v>
      </c>
      <c r="D39" s="1">
        <v>7.6686906060931284</v>
      </c>
      <c r="E39" s="1">
        <f t="shared" si="2"/>
        <v>1.8083648308114779</v>
      </c>
      <c r="F39" s="1">
        <f t="shared" si="1"/>
        <v>5.86032577528165</v>
      </c>
    </row>
    <row r="40" spans="3:6" x14ac:dyDescent="0.3">
      <c r="C40" s="1">
        <v>0.74107669194407289</v>
      </c>
      <c r="D40" s="1">
        <v>16.627084816822872</v>
      </c>
      <c r="E40" s="1">
        <f t="shared" si="2"/>
        <v>3.7053834597203643</v>
      </c>
      <c r="F40" s="1">
        <f t="shared" si="1"/>
        <v>12.921701357102508</v>
      </c>
    </row>
    <row r="41" spans="3:6" x14ac:dyDescent="0.3">
      <c r="C41" s="1">
        <v>0.62799217827226994</v>
      </c>
      <c r="D41" s="1">
        <v>11.657898324524432</v>
      </c>
      <c r="E41" s="1">
        <f t="shared" si="2"/>
        <v>3.1399608913613495</v>
      </c>
      <c r="F41" s="1">
        <f t="shared" si="1"/>
        <v>8.5179374331630822</v>
      </c>
    </row>
    <row r="42" spans="3:6" x14ac:dyDescent="0.3">
      <c r="C42" s="1">
        <v>0.27356870011466017</v>
      </c>
      <c r="D42" s="1">
        <v>6.8134795977052498</v>
      </c>
      <c r="E42" s="1">
        <f t="shared" si="2"/>
        <v>1.3678435005733007</v>
      </c>
      <c r="F42" s="1">
        <f t="shared" si="1"/>
        <v>5.4456360971319491</v>
      </c>
    </row>
    <row r="43" spans="3:6" x14ac:dyDescent="0.3">
      <c r="C43" s="1">
        <v>0.99335878306136505</v>
      </c>
      <c r="D43" s="1">
        <v>21.087780318734875</v>
      </c>
      <c r="E43" s="1">
        <f t="shared" si="2"/>
        <v>4.966793915306825</v>
      </c>
      <c r="F43" s="1">
        <f t="shared" si="1"/>
        <v>16.120986403428049</v>
      </c>
    </row>
    <row r="44" spans="3:6" x14ac:dyDescent="0.3">
      <c r="C44" s="1">
        <v>0.88997823671109033</v>
      </c>
      <c r="D44" s="1">
        <v>16.312509945328127</v>
      </c>
      <c r="E44" s="1">
        <f t="shared" si="2"/>
        <v>4.4498911835554518</v>
      </c>
      <c r="F44" s="1">
        <f t="shared" si="1"/>
        <v>11.862618761772676</v>
      </c>
    </row>
    <row r="45" spans="3:6" x14ac:dyDescent="0.3">
      <c r="C45" s="1">
        <v>9.4889766142462917E-2</v>
      </c>
      <c r="D45" s="1">
        <v>3.3638809832285741</v>
      </c>
      <c r="E45" s="1">
        <f t="shared" si="2"/>
        <v>0.47444883071231458</v>
      </c>
      <c r="F45" s="1">
        <f t="shared" si="1"/>
        <v>2.8894321525162594</v>
      </c>
    </row>
    <row r="46" spans="3:6" x14ac:dyDescent="0.3">
      <c r="C46" s="1">
        <v>0.96815563515745773</v>
      </c>
      <c r="D46" s="1">
        <v>18.77375803848599</v>
      </c>
      <c r="E46" s="1">
        <f t="shared" si="2"/>
        <v>4.840778175787289</v>
      </c>
      <c r="F46" s="1">
        <f t="shared" si="1"/>
        <v>13.932979862698701</v>
      </c>
    </row>
    <row r="47" spans="3:6" x14ac:dyDescent="0.3">
      <c r="C47" s="1">
        <v>0.31029116278075597</v>
      </c>
      <c r="D47" s="1">
        <v>5.7581023050168385</v>
      </c>
      <c r="E47" s="1">
        <f t="shared" si="2"/>
        <v>1.5514558139037797</v>
      </c>
      <c r="F47" s="1">
        <f t="shared" si="1"/>
        <v>4.2066464911130588</v>
      </c>
    </row>
    <row r="48" spans="3:6" x14ac:dyDescent="0.3">
      <c r="C48" s="1">
        <v>0.6907556511455053</v>
      </c>
      <c r="D48" s="1">
        <v>13.548853160601338</v>
      </c>
      <c r="E48" s="1">
        <f t="shared" si="2"/>
        <v>3.4537782557275265</v>
      </c>
      <c r="F48" s="1">
        <f t="shared" si="1"/>
        <v>10.095074904873812</v>
      </c>
    </row>
    <row r="49" spans="3:6" x14ac:dyDescent="0.3">
      <c r="C49" s="1">
        <v>0.61818130113250047</v>
      </c>
      <c r="D49" s="1">
        <v>12.314174891973147</v>
      </c>
      <c r="E49" s="1">
        <f t="shared" si="2"/>
        <v>3.0909065056625025</v>
      </c>
      <c r="F49" s="1">
        <f t="shared" si="1"/>
        <v>9.2232683863106448</v>
      </c>
    </row>
    <row r="50" spans="3:6" x14ac:dyDescent="0.3">
      <c r="C50" s="1">
        <v>0.1465668604557816</v>
      </c>
      <c r="D50" s="1">
        <v>3.6017880031549652</v>
      </c>
      <c r="E50" s="1">
        <f t="shared" si="2"/>
        <v>0.732834302278908</v>
      </c>
      <c r="F50" s="1">
        <f t="shared" si="1"/>
        <v>2.8689537008760571</v>
      </c>
    </row>
    <row r="51" spans="3:6" x14ac:dyDescent="0.3">
      <c r="C51" s="1">
        <v>0.2103156987256255</v>
      </c>
      <c r="D51" s="1">
        <v>4.1241649215300651</v>
      </c>
      <c r="E51" s="1">
        <f t="shared" si="2"/>
        <v>1.0515784936281274</v>
      </c>
      <c r="F51" s="1">
        <f t="shared" si="1"/>
        <v>3.0725864279019377</v>
      </c>
    </row>
    <row r="52" spans="3:6" x14ac:dyDescent="0.3">
      <c r="C52" s="1">
        <v>0.19805323237018713</v>
      </c>
      <c r="D52" s="1">
        <v>3.5426930929065037</v>
      </c>
      <c r="E52" s="1">
        <f t="shared" si="2"/>
        <v>0.99026616185093563</v>
      </c>
      <c r="F52" s="1">
        <f t="shared" si="1"/>
        <v>2.5524269310555683</v>
      </c>
    </row>
    <row r="53" spans="3:6" x14ac:dyDescent="0.3">
      <c r="C53" s="1">
        <v>7.8577575982490711E-2</v>
      </c>
      <c r="D53" s="1">
        <v>2.3999202771717361</v>
      </c>
      <c r="E53" s="1">
        <f t="shared" si="2"/>
        <v>0.39288787991245355</v>
      </c>
      <c r="F53" s="1">
        <f t="shared" si="1"/>
        <v>2.0070323972592825</v>
      </c>
    </row>
    <row r="54" spans="3:6" x14ac:dyDescent="0.3">
      <c r="C54" s="1">
        <v>0.4854292228195799</v>
      </c>
      <c r="D54" s="1">
        <v>7.4471211139922957</v>
      </c>
      <c r="E54" s="1">
        <f t="shared" si="2"/>
        <v>2.4271461140978996</v>
      </c>
      <c r="F54" s="1">
        <f t="shared" si="1"/>
        <v>5.0199749998943961</v>
      </c>
    </row>
    <row r="55" spans="3:6" x14ac:dyDescent="0.3">
      <c r="C55" s="1">
        <v>0.82819925964942176</v>
      </c>
      <c r="D55" s="1">
        <v>17.594570042286612</v>
      </c>
      <c r="E55" s="1">
        <f t="shared" si="2"/>
        <v>4.1409962982471091</v>
      </c>
      <c r="F55" s="1">
        <f t="shared" si="1"/>
        <v>13.453573744039502</v>
      </c>
    </row>
    <row r="56" spans="3:6" x14ac:dyDescent="0.3">
      <c r="C56" s="1">
        <v>0.54347323518873314</v>
      </c>
      <c r="D56" s="1">
        <v>8.8015636665249453</v>
      </c>
      <c r="E56" s="1">
        <f t="shared" si="2"/>
        <v>2.7173661759436656</v>
      </c>
      <c r="F56" s="1">
        <f t="shared" si="1"/>
        <v>6.0841974905812801</v>
      </c>
    </row>
    <row r="57" spans="3:6" x14ac:dyDescent="0.3">
      <c r="C57" s="1">
        <v>0.48361090905650461</v>
      </c>
      <c r="D57" s="1">
        <v>10.388862340133327</v>
      </c>
      <c r="E57" s="1">
        <f t="shared" si="2"/>
        <v>2.4180545452825228</v>
      </c>
      <c r="F57" s="1">
        <f t="shared" si="1"/>
        <v>7.9708077948508045</v>
      </c>
    </row>
    <row r="58" spans="3:6" x14ac:dyDescent="0.3">
      <c r="C58" s="1">
        <v>0.6648188748724615</v>
      </c>
      <c r="D58" s="1">
        <v>14.324643925900737</v>
      </c>
      <c r="E58" s="1">
        <f t="shared" si="2"/>
        <v>3.3240943743623075</v>
      </c>
      <c r="F58" s="1">
        <f t="shared" si="1"/>
        <v>11.00054955153843</v>
      </c>
    </row>
    <row r="59" spans="3:6" x14ac:dyDescent="0.3">
      <c r="C59" s="1">
        <v>0.10153902496882705</v>
      </c>
      <c r="D59" s="1">
        <v>3.1138863253601903</v>
      </c>
      <c r="E59" s="1">
        <f t="shared" si="2"/>
        <v>0.50769512484413526</v>
      </c>
      <c r="F59" s="1">
        <f t="shared" si="1"/>
        <v>2.6061912005160552</v>
      </c>
    </row>
    <row r="60" spans="3:6" x14ac:dyDescent="0.3">
      <c r="C60" s="1">
        <v>0.11021610286671635</v>
      </c>
      <c r="D60" s="1">
        <v>3.2525034715814254</v>
      </c>
      <c r="E60" s="1">
        <f t="shared" si="2"/>
        <v>0.55108051433358174</v>
      </c>
      <c r="F60" s="1">
        <f t="shared" si="1"/>
        <v>2.7014229572478436</v>
      </c>
    </row>
    <row r="61" spans="3:6" x14ac:dyDescent="0.3">
      <c r="C61" s="1">
        <v>0.82354723015543618</v>
      </c>
      <c r="D61" s="1">
        <v>16.704696733829564</v>
      </c>
      <c r="E61" s="1">
        <f t="shared" si="2"/>
        <v>4.1177361507771808</v>
      </c>
      <c r="F61" s="1">
        <f t="shared" si="1"/>
        <v>12.586960583052385</v>
      </c>
    </row>
    <row r="62" spans="3:6" x14ac:dyDescent="0.3">
      <c r="C62" s="1">
        <v>0.14762700270533879</v>
      </c>
      <c r="D62" s="1">
        <v>3.3935035654119265</v>
      </c>
      <c r="E62" s="1">
        <f t="shared" si="2"/>
        <v>0.73813501352669397</v>
      </c>
      <c r="F62" s="1">
        <f t="shared" si="1"/>
        <v>2.6553685518852328</v>
      </c>
    </row>
    <row r="63" spans="3:6" x14ac:dyDescent="0.3">
      <c r="C63" s="1">
        <v>0.74801215081887662</v>
      </c>
      <c r="D63" s="1">
        <v>14.772019910457303</v>
      </c>
      <c r="E63" s="1">
        <f t="shared" si="2"/>
        <v>3.7400607540943831</v>
      </c>
      <c r="F63" s="1">
        <f t="shared" si="1"/>
        <v>11.03195915636292</v>
      </c>
    </row>
    <row r="64" spans="3:6" x14ac:dyDescent="0.3">
      <c r="C64" s="1">
        <v>0.49905488591335401</v>
      </c>
      <c r="D64" s="1">
        <v>9.8335257060026695</v>
      </c>
      <c r="E64" s="1">
        <f t="shared" si="2"/>
        <v>2.4952744295667699</v>
      </c>
      <c r="F64" s="1">
        <f t="shared" si="1"/>
        <v>7.3382512764358996</v>
      </c>
    </row>
    <row r="65" spans="3:6" x14ac:dyDescent="0.3">
      <c r="C65" s="1">
        <v>0.61731418787516201</v>
      </c>
      <c r="D65" s="1">
        <v>12.306308651383414</v>
      </c>
      <c r="E65" s="1">
        <f t="shared" si="2"/>
        <v>3.0865709393758101</v>
      </c>
      <c r="F65" s="1">
        <f t="shared" si="1"/>
        <v>9.2197377120076034</v>
      </c>
    </row>
    <row r="66" spans="3:6" x14ac:dyDescent="0.3">
      <c r="C66" s="1">
        <v>0.32161492273448899</v>
      </c>
      <c r="D66" s="1">
        <v>6.0906360699360169</v>
      </c>
      <c r="E66" s="1">
        <f t="shared" si="2"/>
        <v>1.6080746136724451</v>
      </c>
      <c r="F66" s="1">
        <f t="shared" si="1"/>
        <v>4.4825614562635714</v>
      </c>
    </row>
    <row r="67" spans="3:6" x14ac:dyDescent="0.3">
      <c r="C67" s="1">
        <v>0.98902174101337692</v>
      </c>
      <c r="D67" s="1">
        <v>21.008058447564988</v>
      </c>
      <c r="E67" s="1">
        <f t="shared" si="2"/>
        <v>4.9451087050668843</v>
      </c>
      <c r="F67" s="1">
        <f t="shared" si="1"/>
        <v>16.062949742498105</v>
      </c>
    </row>
    <row r="68" spans="3:6" x14ac:dyDescent="0.3">
      <c r="C68" s="1">
        <v>8.6105450560647667E-2</v>
      </c>
      <c r="D68" s="1">
        <v>1.316473206360858</v>
      </c>
      <c r="E68" s="1">
        <f t="shared" si="2"/>
        <v>0.43052725280323834</v>
      </c>
      <c r="F68" s="1">
        <f t="shared" si="1"/>
        <v>0.88594595355761963</v>
      </c>
    </row>
    <row r="69" spans="3:6" x14ac:dyDescent="0.3">
      <c r="C69" s="1">
        <v>0.98623511412963327</v>
      </c>
      <c r="D69" s="1">
        <v>19.045129777040046</v>
      </c>
      <c r="E69" s="1">
        <f t="shared" si="2"/>
        <v>4.9311755706481666</v>
      </c>
      <c r="F69" s="1">
        <f t="shared" si="1"/>
        <v>14.113954206391879</v>
      </c>
    </row>
    <row r="70" spans="3:6" x14ac:dyDescent="0.3">
      <c r="C70" s="1">
        <v>0.26997900934275842</v>
      </c>
      <c r="D70" s="1">
        <v>6.9955765409101147</v>
      </c>
      <c r="E70" s="1">
        <f t="shared" ref="E70:E105" si="3">C70*b</f>
        <v>1.349895046713792</v>
      </c>
      <c r="F70" s="1">
        <f t="shared" si="1"/>
        <v>5.6456814941963227</v>
      </c>
    </row>
    <row r="71" spans="3:6" x14ac:dyDescent="0.3">
      <c r="C71" s="1">
        <v>0.91584888713852819</v>
      </c>
      <c r="D71" s="1">
        <v>18.990777799439311</v>
      </c>
      <c r="E71" s="1">
        <f t="shared" si="3"/>
        <v>4.5792444356926412</v>
      </c>
      <c r="F71" s="1">
        <f t="shared" ref="F71:F105" si="4">D71-E71</f>
        <v>14.41153336374667</v>
      </c>
    </row>
    <row r="72" spans="3:6" x14ac:dyDescent="0.3">
      <c r="C72" s="1">
        <v>0.43781564974312404</v>
      </c>
      <c r="D72" s="1">
        <v>8.7055454295233741</v>
      </c>
      <c r="E72" s="1">
        <f t="shared" si="3"/>
        <v>2.18907824871562</v>
      </c>
      <c r="F72" s="1">
        <f t="shared" si="4"/>
        <v>6.5164671808077541</v>
      </c>
    </row>
    <row r="73" spans="3:6" x14ac:dyDescent="0.3">
      <c r="C73" s="1">
        <v>0.89021424968143159</v>
      </c>
      <c r="D73" s="1">
        <v>16.752186303468633</v>
      </c>
      <c r="E73" s="1">
        <f t="shared" si="3"/>
        <v>4.4510712484071577</v>
      </c>
      <c r="F73" s="1">
        <f t="shared" si="4"/>
        <v>12.301115055061477</v>
      </c>
    </row>
    <row r="74" spans="3:6" x14ac:dyDescent="0.3">
      <c r="C74" s="1">
        <v>0.73678819734890644</v>
      </c>
      <c r="D74" s="1">
        <v>14.577928252319943</v>
      </c>
      <c r="E74" s="1">
        <f t="shared" si="3"/>
        <v>3.6839409867445321</v>
      </c>
      <c r="F74" s="1">
        <f t="shared" si="4"/>
        <v>10.893987265575412</v>
      </c>
    </row>
    <row r="75" spans="3:6" x14ac:dyDescent="0.3">
      <c r="C75" s="1">
        <v>0.68600197415532116</v>
      </c>
      <c r="D75" s="1">
        <v>12.758990495534036</v>
      </c>
      <c r="E75" s="1">
        <f t="shared" si="3"/>
        <v>3.4300098707766056</v>
      </c>
      <c r="F75" s="1">
        <f t="shared" si="4"/>
        <v>9.3289806247574312</v>
      </c>
    </row>
    <row r="76" spans="3:6" x14ac:dyDescent="0.3">
      <c r="C76" s="1">
        <v>0.45019287465669688</v>
      </c>
      <c r="D76" s="1">
        <v>9.7012872563489747</v>
      </c>
      <c r="E76" s="1">
        <f t="shared" si="3"/>
        <v>2.2509643732834843</v>
      </c>
      <c r="F76" s="1">
        <f t="shared" si="4"/>
        <v>7.4503228830654908</v>
      </c>
    </row>
    <row r="77" spans="3:6" x14ac:dyDescent="0.3">
      <c r="C77" s="1">
        <v>0.79913067011786532</v>
      </c>
      <c r="D77" s="1">
        <v>15.646603660115947</v>
      </c>
      <c r="E77" s="1">
        <f t="shared" si="3"/>
        <v>3.9956533505893264</v>
      </c>
      <c r="F77" s="1">
        <f t="shared" si="4"/>
        <v>11.650950309526621</v>
      </c>
    </row>
    <row r="78" spans="3:6" x14ac:dyDescent="0.3">
      <c r="C78" s="1">
        <v>0.96980967865568835</v>
      </c>
      <c r="D78" s="1">
        <v>19.447971845825368</v>
      </c>
      <c r="E78" s="1">
        <f t="shared" si="3"/>
        <v>4.8490483932784416</v>
      </c>
      <c r="F78" s="1">
        <f t="shared" si="4"/>
        <v>14.598923452546927</v>
      </c>
    </row>
    <row r="79" spans="3:6" x14ac:dyDescent="0.3">
      <c r="C79" s="1">
        <v>2.3761853160698676E-2</v>
      </c>
      <c r="D79" s="1">
        <v>0.66813704339209457</v>
      </c>
      <c r="E79" s="1">
        <f t="shared" si="3"/>
        <v>0.11880926580349338</v>
      </c>
      <c r="F79" s="1">
        <f t="shared" si="4"/>
        <v>0.54932777758860118</v>
      </c>
    </row>
    <row r="80" spans="3:6" x14ac:dyDescent="0.3">
      <c r="C80" s="1">
        <v>0.72704751688740099</v>
      </c>
      <c r="D80" s="1">
        <v>14.862706771125648</v>
      </c>
      <c r="E80" s="1">
        <f t="shared" si="3"/>
        <v>3.6352375844370051</v>
      </c>
      <c r="F80" s="1">
        <f t="shared" si="4"/>
        <v>11.227469186688642</v>
      </c>
    </row>
    <row r="81" spans="3:6" x14ac:dyDescent="0.3">
      <c r="C81" s="1">
        <v>0.77466369144495129</v>
      </c>
      <c r="D81" s="1">
        <v>14.836606901637861</v>
      </c>
      <c r="E81" s="1">
        <f t="shared" si="3"/>
        <v>3.8733184572247565</v>
      </c>
      <c r="F81" s="1">
        <f t="shared" si="4"/>
        <v>10.963288444413104</v>
      </c>
    </row>
    <row r="82" spans="3:6" x14ac:dyDescent="0.3">
      <c r="C82" s="1">
        <v>0.29309266753288377</v>
      </c>
      <c r="D82" s="1">
        <v>6.0984901010688883</v>
      </c>
      <c r="E82" s="1">
        <f t="shared" si="3"/>
        <v>1.4654633376644188</v>
      </c>
      <c r="F82" s="1">
        <f t="shared" si="4"/>
        <v>4.6330267634044695</v>
      </c>
    </row>
    <row r="83" spans="3:6" x14ac:dyDescent="0.3">
      <c r="C83" s="1">
        <v>0.55186105122035445</v>
      </c>
      <c r="D83" s="1">
        <v>10.302935469515942</v>
      </c>
      <c r="E83" s="1">
        <f t="shared" si="3"/>
        <v>2.7593052561017721</v>
      </c>
      <c r="F83" s="1">
        <f t="shared" si="4"/>
        <v>7.5436302134141702</v>
      </c>
    </row>
    <row r="84" spans="3:6" x14ac:dyDescent="0.3">
      <c r="C84" s="1">
        <v>0.68342677185566458</v>
      </c>
      <c r="D84" s="1">
        <v>13.807039936347335</v>
      </c>
      <c r="E84" s="1">
        <f t="shared" si="3"/>
        <v>3.4171338592783229</v>
      </c>
      <c r="F84" s="1">
        <f t="shared" si="4"/>
        <v>10.389906077069012</v>
      </c>
    </row>
    <row r="85" spans="3:6" x14ac:dyDescent="0.3">
      <c r="C85" s="1">
        <v>0.67590711509344681</v>
      </c>
      <c r="D85" s="1">
        <v>12.738408219861237</v>
      </c>
      <c r="E85" s="1">
        <f t="shared" si="3"/>
        <v>3.379535575467234</v>
      </c>
      <c r="F85" s="1">
        <f t="shared" si="4"/>
        <v>9.3588726443940029</v>
      </c>
    </row>
    <row r="86" spans="3:6" x14ac:dyDescent="0.3">
      <c r="C86" s="1">
        <v>0.37326825007599229</v>
      </c>
      <c r="D86" s="1">
        <v>8.3009431816330661</v>
      </c>
      <c r="E86" s="1">
        <f t="shared" si="3"/>
        <v>1.8663412503799615</v>
      </c>
      <c r="F86" s="1">
        <f t="shared" si="4"/>
        <v>6.4346019312531046</v>
      </c>
    </row>
    <row r="87" spans="3:6" x14ac:dyDescent="0.3">
      <c r="C87" s="1">
        <v>0.97448237486020384</v>
      </c>
      <c r="D87" s="1">
        <v>18.850528115387789</v>
      </c>
      <c r="E87" s="1">
        <f t="shared" si="3"/>
        <v>4.8724118743010187</v>
      </c>
      <c r="F87" s="1">
        <f t="shared" si="4"/>
        <v>13.97811624108677</v>
      </c>
    </row>
    <row r="88" spans="3:6" x14ac:dyDescent="0.3">
      <c r="C88" s="1">
        <v>0.4077620558257582</v>
      </c>
      <c r="D88" s="1">
        <v>8.0507548159529261</v>
      </c>
      <c r="E88" s="1">
        <f t="shared" si="3"/>
        <v>2.038810279128791</v>
      </c>
      <c r="F88" s="1">
        <f t="shared" si="4"/>
        <v>6.0119445368241351</v>
      </c>
    </row>
    <row r="89" spans="3:6" x14ac:dyDescent="0.3">
      <c r="C89" s="1">
        <v>0.14775878156457833</v>
      </c>
      <c r="D89" s="1">
        <v>4.0564442414139386</v>
      </c>
      <c r="E89" s="1">
        <f t="shared" si="3"/>
        <v>0.73879390782289167</v>
      </c>
      <c r="F89" s="1">
        <f t="shared" si="4"/>
        <v>3.3176503335910468</v>
      </c>
    </row>
    <row r="90" spans="3:6" x14ac:dyDescent="0.3">
      <c r="C90" s="1">
        <v>0.24337030967523954</v>
      </c>
      <c r="D90" s="1">
        <v>3.6369452013263546</v>
      </c>
      <c r="E90" s="1">
        <f t="shared" si="3"/>
        <v>1.2168515483761977</v>
      </c>
      <c r="F90" s="1">
        <f t="shared" si="4"/>
        <v>2.4200936529501567</v>
      </c>
    </row>
    <row r="91" spans="3:6" x14ac:dyDescent="0.3">
      <c r="C91" s="1">
        <v>0.7380549529248962</v>
      </c>
      <c r="D91" s="1">
        <v>13.624277871276261</v>
      </c>
      <c r="E91" s="1">
        <f t="shared" si="3"/>
        <v>3.6902747646244811</v>
      </c>
      <c r="F91" s="1">
        <f t="shared" si="4"/>
        <v>9.9340031066517795</v>
      </c>
    </row>
    <row r="92" spans="3:6" x14ac:dyDescent="0.3">
      <c r="C92" s="1">
        <v>0.17242632428886817</v>
      </c>
      <c r="D92" s="1">
        <v>3.596408666356238</v>
      </c>
      <c r="E92" s="1">
        <f t="shared" si="3"/>
        <v>0.86213162144434086</v>
      </c>
      <c r="F92" s="1">
        <f t="shared" si="4"/>
        <v>2.7342770449118969</v>
      </c>
    </row>
    <row r="93" spans="3:6" x14ac:dyDescent="0.3">
      <c r="C93" s="1">
        <v>0.11335966586576496</v>
      </c>
      <c r="D93" s="1">
        <v>1.6610459473863624</v>
      </c>
      <c r="E93" s="1">
        <f t="shared" si="3"/>
        <v>0.56679832932882479</v>
      </c>
      <c r="F93" s="1">
        <f t="shared" si="4"/>
        <v>1.0942476180575376</v>
      </c>
    </row>
    <row r="94" spans="3:6" x14ac:dyDescent="0.3">
      <c r="C94" s="1">
        <v>0.82613775768510833</v>
      </c>
      <c r="D94" s="1">
        <v>14.690515409264204</v>
      </c>
      <c r="E94" s="1">
        <f t="shared" si="3"/>
        <v>4.1306887884255419</v>
      </c>
      <c r="F94" s="1">
        <f t="shared" si="4"/>
        <v>10.559826620838663</v>
      </c>
    </row>
    <row r="95" spans="3:6" x14ac:dyDescent="0.3">
      <c r="C95" s="1">
        <v>0.52744436634726488</v>
      </c>
      <c r="D95" s="1">
        <v>10.232766763345012</v>
      </c>
      <c r="E95" s="1">
        <f t="shared" si="3"/>
        <v>2.6372218317363245</v>
      </c>
      <c r="F95" s="1">
        <f t="shared" si="4"/>
        <v>7.5955449316086874</v>
      </c>
    </row>
    <row r="96" spans="3:6" x14ac:dyDescent="0.3">
      <c r="C96" s="1">
        <v>0.87506804843704644</v>
      </c>
      <c r="D96" s="1">
        <v>17.113866422480992</v>
      </c>
      <c r="E96" s="1">
        <f t="shared" si="3"/>
        <v>4.3753402421852323</v>
      </c>
      <c r="F96" s="1">
        <f t="shared" si="4"/>
        <v>12.738526180295761</v>
      </c>
    </row>
    <row r="97" spans="3:6" x14ac:dyDescent="0.3">
      <c r="C97" s="1">
        <v>0.42147240996022228</v>
      </c>
      <c r="D97" s="1">
        <v>7.646007618579052</v>
      </c>
      <c r="E97" s="1">
        <f t="shared" si="3"/>
        <v>2.1073620498011114</v>
      </c>
      <c r="F97" s="1">
        <f t="shared" si="4"/>
        <v>5.538645568777941</v>
      </c>
    </row>
    <row r="98" spans="3:6" x14ac:dyDescent="0.3">
      <c r="C98" s="1">
        <v>0.77850016070815098</v>
      </c>
      <c r="D98" s="1">
        <v>16.058834766128111</v>
      </c>
      <c r="E98" s="1">
        <f t="shared" si="3"/>
        <v>3.8925008035407549</v>
      </c>
      <c r="F98" s="1">
        <f t="shared" si="4"/>
        <v>12.166333962587355</v>
      </c>
    </row>
    <row r="99" spans="3:6" x14ac:dyDescent="0.3">
      <c r="C99" s="1">
        <v>0.77107629688768242</v>
      </c>
      <c r="D99" s="1">
        <v>14.125115447337073</v>
      </c>
      <c r="E99" s="1">
        <f t="shared" si="3"/>
        <v>3.855381484438412</v>
      </c>
      <c r="F99" s="1">
        <f t="shared" si="4"/>
        <v>10.269733962898661</v>
      </c>
    </row>
    <row r="100" spans="3:6" x14ac:dyDescent="0.3">
      <c r="C100" s="1">
        <v>0.55445488749173388</v>
      </c>
      <c r="D100" s="1">
        <v>12.712482575137178</v>
      </c>
      <c r="E100" s="1">
        <f t="shared" si="3"/>
        <v>2.7722744374586696</v>
      </c>
      <c r="F100" s="1">
        <f t="shared" si="4"/>
        <v>9.9402081376785087</v>
      </c>
    </row>
    <row r="101" spans="3:6" x14ac:dyDescent="0.3">
      <c r="C101" s="1">
        <v>0.77255270492554795</v>
      </c>
      <c r="D101" s="1">
        <v>14.241096183928368</v>
      </c>
      <c r="E101" s="1">
        <f t="shared" si="3"/>
        <v>3.8627635246277396</v>
      </c>
      <c r="F101" s="1">
        <f t="shared" si="4"/>
        <v>10.378332659300629</v>
      </c>
    </row>
    <row r="102" spans="3:6" x14ac:dyDescent="0.3">
      <c r="C102" s="1">
        <v>0.17460058891538877</v>
      </c>
      <c r="D102" s="1">
        <v>4.6768065179499771</v>
      </c>
      <c r="E102" s="1">
        <f t="shared" si="3"/>
        <v>0.87300294457694383</v>
      </c>
      <c r="F102" s="1">
        <f t="shared" si="4"/>
        <v>3.8038035733730333</v>
      </c>
    </row>
    <row r="103" spans="3:6" x14ac:dyDescent="0.3">
      <c r="C103" s="1">
        <v>0.70318453553255988</v>
      </c>
      <c r="D103" s="1">
        <v>13.824921878228894</v>
      </c>
      <c r="E103" s="1">
        <f t="shared" si="3"/>
        <v>3.5159226776627994</v>
      </c>
      <c r="F103" s="1">
        <f t="shared" si="4"/>
        <v>10.308999200566095</v>
      </c>
    </row>
    <row r="104" spans="3:6" x14ac:dyDescent="0.3">
      <c r="C104" s="1">
        <v>0.31863941174555332</v>
      </c>
      <c r="D104" s="1">
        <v>6.0300903792929388</v>
      </c>
      <c r="E104" s="1">
        <f t="shared" si="3"/>
        <v>1.5931970587277666</v>
      </c>
      <c r="F104" s="1">
        <f t="shared" si="4"/>
        <v>4.4368933205651722</v>
      </c>
    </row>
    <row r="105" spans="3:6" x14ac:dyDescent="0.3">
      <c r="C105" s="1">
        <v>0.89960788266503244</v>
      </c>
      <c r="D105" s="1">
        <v>17.899280587985068</v>
      </c>
      <c r="E105" s="1">
        <f t="shared" si="3"/>
        <v>4.498039413325162</v>
      </c>
      <c r="F105" s="1">
        <f t="shared" si="4"/>
        <v>13.401241174659905</v>
      </c>
    </row>
  </sheetData>
  <conditionalFormatting sqref="I6:I1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6:I2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hyperlinks>
    <hyperlink ref="A1" r:id="rId1" xr:uid="{F8C63236-7467-C248-9A72-06B8241C3E57}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00000000-0003-0000-07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OrdinaryLeastSquares!I7:I23</xm:f>
              <xm:sqref>I4</xm:sqref>
            </x14:sparkline>
          </x14:sparklines>
        </x14:sparklineGroup>
      </x14:sparklineGroup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:J105"/>
  <sheetViews>
    <sheetView workbookViewId="0">
      <selection activeCell="A3" sqref="A3"/>
    </sheetView>
  </sheetViews>
  <sheetFormatPr baseColWidth="10" defaultRowHeight="26" x14ac:dyDescent="0.3"/>
  <cols>
    <col min="1" max="4" width="10.83203125" style="1"/>
    <col min="5" max="5" width="13.1640625" style="1" bestFit="1" customWidth="1"/>
    <col min="6" max="6" width="11.5" style="1" bestFit="1" customWidth="1"/>
    <col min="7" max="7" width="19.83203125" style="1" bestFit="1" customWidth="1"/>
    <col min="8" max="8" width="10.83203125" style="1"/>
    <col min="9" max="9" width="11.33203125" style="1" bestFit="1" customWidth="1"/>
    <col min="10" max="10" width="10.83203125" style="1"/>
    <col min="11" max="11" width="11.33203125" style="1" bestFit="1" customWidth="1"/>
    <col min="12" max="16384" width="10.83203125" style="1"/>
  </cols>
  <sheetData>
    <row r="1" spans="1:10" x14ac:dyDescent="0.3">
      <c r="A1" s="33" t="s">
        <v>120</v>
      </c>
    </row>
    <row r="2" spans="1:10" s="2" customFormat="1" x14ac:dyDescent="0.3">
      <c r="C2" s="3" t="s">
        <v>54</v>
      </c>
      <c r="E2" s="3" t="s">
        <v>53</v>
      </c>
      <c r="G2" s="2" t="s">
        <v>99</v>
      </c>
      <c r="I2" s="1"/>
      <c r="J2" s="1"/>
    </row>
    <row r="3" spans="1:10" x14ac:dyDescent="0.3">
      <c r="C3" s="1">
        <f>_xlfn.STDEV.P(C6:C105)</f>
        <v>0.2888819048927293</v>
      </c>
      <c r="E3" s="15">
        <v>-20</v>
      </c>
      <c r="G3" s="1">
        <f t="array" ref="G3">SUM(LOG(G6:G105))</f>
        <v>-4193.859139111124</v>
      </c>
      <c r="I3" s="2"/>
      <c r="J3" s="2"/>
    </row>
    <row r="4" spans="1:10" x14ac:dyDescent="0.3">
      <c r="I4" s="2"/>
      <c r="J4" s="2"/>
    </row>
    <row r="5" spans="1:10" x14ac:dyDescent="0.3">
      <c r="C5" s="2" t="s">
        <v>0</v>
      </c>
      <c r="D5" s="2" t="s">
        <v>1</v>
      </c>
      <c r="E5" s="2" t="s">
        <v>5</v>
      </c>
      <c r="F5" s="2" t="s">
        <v>30</v>
      </c>
      <c r="G5" s="2" t="s">
        <v>55</v>
      </c>
    </row>
    <row r="6" spans="1:10" x14ac:dyDescent="0.3">
      <c r="C6" s="1">
        <v>0.58818950933738789</v>
      </c>
      <c r="D6" s="1">
        <v>11.804231880998334</v>
      </c>
      <c r="E6" s="1">
        <f t="shared" ref="E6:E37" si="0">C6*b</f>
        <v>-11.763790186747759</v>
      </c>
      <c r="F6" s="1">
        <f>D6-E6</f>
        <v>23.568022067746092</v>
      </c>
      <c r="G6" s="1">
        <f t="shared" ref="G6:G37" si="1">_xlfn.NORM.DIST(F6,0,sd_x,0)+0.00000000001^4</f>
        <v>9.9999999999999983E-45</v>
      </c>
      <c r="J6" s="1">
        <f>G3</f>
        <v>-4193.859139111124</v>
      </c>
    </row>
    <row r="7" spans="1:10" x14ac:dyDescent="0.3">
      <c r="C7" s="1">
        <v>1.6986682268579356E-2</v>
      </c>
      <c r="D7" s="1">
        <v>-1.1426648798679477</v>
      </c>
      <c r="E7" s="1">
        <f t="shared" si="0"/>
        <v>-0.33973364537158712</v>
      </c>
      <c r="F7" s="1">
        <f t="shared" ref="F7:F70" si="2">D7-E7</f>
        <v>-0.80293123449636061</v>
      </c>
      <c r="G7" s="1">
        <f t="shared" si="1"/>
        <v>2.9017470115330984E-2</v>
      </c>
      <c r="I7" s="1">
        <v>-20</v>
      </c>
      <c r="J7" s="1">
        <f t="dataTable" ref="J7:J23" dt2D="0" dtr="0" r1="E3"/>
        <v>-4193.859139111124</v>
      </c>
    </row>
    <row r="8" spans="1:10" x14ac:dyDescent="0.3">
      <c r="C8" s="1">
        <v>0.53113977359533349</v>
      </c>
      <c r="D8" s="1">
        <v>12.646164430270861</v>
      </c>
      <c r="E8" s="1">
        <f t="shared" si="0"/>
        <v>-10.62279547190667</v>
      </c>
      <c r="F8" s="1">
        <f t="shared" si="2"/>
        <v>23.268959902177532</v>
      </c>
      <c r="G8" s="1">
        <f t="shared" si="1"/>
        <v>9.9999999999999983E-45</v>
      </c>
      <c r="I8" s="1">
        <v>-15</v>
      </c>
      <c r="J8" s="1">
        <v>-4156.7129014045186</v>
      </c>
    </row>
    <row r="9" spans="1:10" x14ac:dyDescent="0.3">
      <c r="C9" s="1">
        <v>0.61761469323860685</v>
      </c>
      <c r="D9" s="1">
        <v>11.60110424186859</v>
      </c>
      <c r="E9" s="1">
        <f t="shared" si="0"/>
        <v>-12.352293864772136</v>
      </c>
      <c r="F9" s="1">
        <f t="shared" si="2"/>
        <v>23.953398106640726</v>
      </c>
      <c r="G9" s="1">
        <f t="shared" si="1"/>
        <v>9.9999999999999983E-45</v>
      </c>
      <c r="I9" s="1">
        <v>-10</v>
      </c>
      <c r="J9" s="1">
        <v>-4118.4672654038868</v>
      </c>
    </row>
    <row r="10" spans="1:10" x14ac:dyDescent="0.3">
      <c r="C10" s="1">
        <v>0.11756427568939665</v>
      </c>
      <c r="D10" s="1">
        <v>2.6658797244398591</v>
      </c>
      <c r="E10" s="1">
        <f t="shared" si="0"/>
        <v>-2.3512855137879329</v>
      </c>
      <c r="F10" s="1">
        <f t="shared" si="2"/>
        <v>5.0171652382277916</v>
      </c>
      <c r="G10" s="1">
        <f t="shared" si="1"/>
        <v>9.9999999999999983E-45</v>
      </c>
      <c r="I10" s="1">
        <v>-5</v>
      </c>
      <c r="J10" s="1">
        <v>-4050.2646113776914</v>
      </c>
    </row>
    <row r="11" spans="1:10" x14ac:dyDescent="0.3">
      <c r="C11" s="1">
        <v>0.6879027369874563</v>
      </c>
      <c r="D11" s="1">
        <v>14.048158432708902</v>
      </c>
      <c r="E11" s="1">
        <f t="shared" si="0"/>
        <v>-13.758054739749126</v>
      </c>
      <c r="F11" s="1">
        <f t="shared" si="2"/>
        <v>27.80621317245803</v>
      </c>
      <c r="G11" s="1">
        <f t="shared" si="1"/>
        <v>9.9999999999999983E-45</v>
      </c>
      <c r="I11" s="1">
        <v>0</v>
      </c>
      <c r="J11" s="1">
        <v>-3889.576379381871</v>
      </c>
    </row>
    <row r="12" spans="1:10" x14ac:dyDescent="0.3">
      <c r="C12" s="1">
        <v>0.92932488131491664</v>
      </c>
      <c r="D12" s="1">
        <v>18.26370180959243</v>
      </c>
      <c r="E12" s="1">
        <f t="shared" si="0"/>
        <v>-18.586497626298332</v>
      </c>
      <c r="F12" s="1">
        <f t="shared" si="2"/>
        <v>36.850199435890758</v>
      </c>
      <c r="G12" s="1">
        <f t="shared" si="1"/>
        <v>9.9999999999999983E-45</v>
      </c>
      <c r="I12" s="1">
        <v>5</v>
      </c>
      <c r="J12" s="1">
        <v>-3663.3927421518206</v>
      </c>
    </row>
    <row r="13" spans="1:10" x14ac:dyDescent="0.3">
      <c r="C13" s="1">
        <v>0.19170842591627391</v>
      </c>
      <c r="D13" s="1">
        <v>4.3583301301299571</v>
      </c>
      <c r="E13" s="1">
        <f t="shared" si="0"/>
        <v>-3.8341685183254781</v>
      </c>
      <c r="F13" s="1">
        <f t="shared" si="2"/>
        <v>8.1924986484554356</v>
      </c>
      <c r="G13" s="1">
        <f t="shared" si="1"/>
        <v>9.9999999999999983E-45</v>
      </c>
      <c r="I13" s="1">
        <v>10</v>
      </c>
      <c r="J13" s="1">
        <v>-3300.5503508294892</v>
      </c>
    </row>
    <row r="14" spans="1:10" x14ac:dyDescent="0.3">
      <c r="C14" s="1">
        <v>0.85600753369165639</v>
      </c>
      <c r="D14" s="1">
        <v>16.882721290131197</v>
      </c>
      <c r="E14" s="1">
        <f t="shared" si="0"/>
        <v>-17.120150673833127</v>
      </c>
      <c r="F14" s="1">
        <f t="shared" si="2"/>
        <v>34.002871963964324</v>
      </c>
      <c r="G14" s="1">
        <f t="shared" si="1"/>
        <v>9.9999999999999983E-45</v>
      </c>
      <c r="I14" s="1">
        <v>15</v>
      </c>
      <c r="J14" s="1">
        <v>-2018.8227728210111</v>
      </c>
    </row>
    <row r="15" spans="1:10" x14ac:dyDescent="0.3">
      <c r="C15" s="1">
        <v>0.38465490938110325</v>
      </c>
      <c r="D15" s="1">
        <v>7.5754797851080893</v>
      </c>
      <c r="E15" s="1">
        <f t="shared" si="0"/>
        <v>-7.6930981876220645</v>
      </c>
      <c r="F15" s="1">
        <f t="shared" si="2"/>
        <v>15.268577972730153</v>
      </c>
      <c r="G15" s="1">
        <f t="shared" si="1"/>
        <v>9.9999999999999983E-45</v>
      </c>
      <c r="I15" s="1">
        <v>20</v>
      </c>
      <c r="J15" s="1">
        <v>-211.78004413919999</v>
      </c>
    </row>
    <row r="16" spans="1:10" x14ac:dyDescent="0.3">
      <c r="C16" s="1">
        <v>0.52546251179600201</v>
      </c>
      <c r="D16" s="1">
        <v>12.065042110660789</v>
      </c>
      <c r="E16" s="1">
        <f t="shared" si="0"/>
        <v>-10.509250235920041</v>
      </c>
      <c r="F16" s="1">
        <f t="shared" si="2"/>
        <v>22.57429234658083</v>
      </c>
      <c r="G16" s="1">
        <f t="shared" si="1"/>
        <v>9.9999999999999983E-45</v>
      </c>
      <c r="I16" s="1">
        <v>25</v>
      </c>
      <c r="J16" s="1">
        <v>-2132.1077466336733</v>
      </c>
    </row>
    <row r="17" spans="3:10" x14ac:dyDescent="0.3">
      <c r="C17" s="1">
        <v>0.49460822417774364</v>
      </c>
      <c r="D17" s="1">
        <v>10.027060877630145</v>
      </c>
      <c r="E17" s="1">
        <f t="shared" si="0"/>
        <v>-9.8921644835548719</v>
      </c>
      <c r="F17" s="1">
        <f t="shared" si="2"/>
        <v>19.919225361185017</v>
      </c>
      <c r="G17" s="1">
        <f t="shared" si="1"/>
        <v>9.9999999999999983E-45</v>
      </c>
      <c r="I17" s="1">
        <v>30</v>
      </c>
      <c r="J17" s="1">
        <v>-3176.4382581479472</v>
      </c>
    </row>
    <row r="18" spans="3:10" x14ac:dyDescent="0.3">
      <c r="C18" s="1">
        <v>0.60166049809332578</v>
      </c>
      <c r="D18" s="1">
        <v>12.16809807905876</v>
      </c>
      <c r="E18" s="1">
        <f t="shared" si="0"/>
        <v>-12.033209961866515</v>
      </c>
      <c r="F18" s="1">
        <f t="shared" si="2"/>
        <v>24.201308040925277</v>
      </c>
      <c r="G18" s="1">
        <f t="shared" si="1"/>
        <v>9.9999999999999983E-45</v>
      </c>
      <c r="I18" s="1">
        <v>35</v>
      </c>
      <c r="J18" s="1">
        <v>-3526.48172805893</v>
      </c>
    </row>
    <row r="19" spans="3:10" x14ac:dyDescent="0.3">
      <c r="C19" s="1">
        <v>0.76600626723966236</v>
      </c>
      <c r="D19" s="1">
        <v>13.526296925209877</v>
      </c>
      <c r="E19" s="1">
        <f t="shared" si="0"/>
        <v>-15.320125344793247</v>
      </c>
      <c r="F19" s="1">
        <f t="shared" si="2"/>
        <v>28.846422270003124</v>
      </c>
      <c r="G19" s="1">
        <f t="shared" si="1"/>
        <v>9.9999999999999983E-45</v>
      </c>
      <c r="I19" s="1">
        <v>40</v>
      </c>
      <c r="J19" s="1">
        <v>-3718.3165709871869</v>
      </c>
    </row>
    <row r="20" spans="3:10" x14ac:dyDescent="0.3">
      <c r="C20" s="1">
        <v>0.21243638227785167</v>
      </c>
      <c r="D20" s="1">
        <v>3.283190103551985</v>
      </c>
      <c r="E20" s="1">
        <f t="shared" si="0"/>
        <v>-4.2487276455570333</v>
      </c>
      <c r="F20" s="1">
        <f t="shared" si="2"/>
        <v>7.5319177491090183</v>
      </c>
      <c r="G20" s="1">
        <f t="shared" si="1"/>
        <v>9.9999999999999983E-45</v>
      </c>
      <c r="I20" s="1">
        <v>45</v>
      </c>
      <c r="J20" s="1">
        <v>-3849.1565489216855</v>
      </c>
    </row>
    <row r="21" spans="3:10" x14ac:dyDescent="0.3">
      <c r="C21" s="1">
        <v>0.30245649354922211</v>
      </c>
      <c r="D21" s="1">
        <v>6.6356938737602027</v>
      </c>
      <c r="E21" s="1">
        <f t="shared" si="0"/>
        <v>-6.0491298709844425</v>
      </c>
      <c r="F21" s="1">
        <f t="shared" si="2"/>
        <v>12.684823744744644</v>
      </c>
      <c r="G21" s="1">
        <f t="shared" si="1"/>
        <v>9.9999999999999983E-45</v>
      </c>
      <c r="I21" s="1">
        <v>50</v>
      </c>
      <c r="J21" s="1">
        <v>-3966.1062899274802</v>
      </c>
    </row>
    <row r="22" spans="3:10" x14ac:dyDescent="0.3">
      <c r="C22" s="1">
        <v>0.45206672337575782</v>
      </c>
      <c r="D22" s="1">
        <v>9.7856551640079648</v>
      </c>
      <c r="E22" s="1">
        <f t="shared" si="0"/>
        <v>-9.0413344675151563</v>
      </c>
      <c r="F22" s="1">
        <f t="shared" si="2"/>
        <v>18.826989631523119</v>
      </c>
      <c r="G22" s="1">
        <f t="shared" si="1"/>
        <v>9.9999999999999983E-45</v>
      </c>
      <c r="I22" s="1">
        <v>55</v>
      </c>
      <c r="J22" s="1">
        <v>-4040.7602360300043</v>
      </c>
    </row>
    <row r="23" spans="3:10" x14ac:dyDescent="0.3">
      <c r="C23" s="1">
        <v>0.20737932579622564</v>
      </c>
      <c r="D23" s="1">
        <v>3.5327682298116816</v>
      </c>
      <c r="E23" s="1">
        <f t="shared" si="0"/>
        <v>-4.1475865159245124</v>
      </c>
      <c r="F23" s="1">
        <f t="shared" si="2"/>
        <v>7.680354745736194</v>
      </c>
      <c r="G23" s="1">
        <f t="shared" si="1"/>
        <v>9.9999999999999983E-45</v>
      </c>
      <c r="I23" s="1">
        <v>100</v>
      </c>
      <c r="J23" s="1">
        <v>-4239.1046290760514</v>
      </c>
    </row>
    <row r="24" spans="3:10" x14ac:dyDescent="0.3">
      <c r="C24" s="1">
        <v>0.41616098321769968</v>
      </c>
      <c r="D24" s="1">
        <v>7.8552360085329207</v>
      </c>
      <c r="E24" s="1">
        <f t="shared" si="0"/>
        <v>-8.323219664353994</v>
      </c>
      <c r="F24" s="1">
        <f t="shared" si="2"/>
        <v>16.178455672886916</v>
      </c>
      <c r="G24" s="1">
        <f t="shared" si="1"/>
        <v>9.9999999999999983E-45</v>
      </c>
    </row>
    <row r="25" spans="3:10" x14ac:dyDescent="0.3">
      <c r="C25" s="1">
        <v>0.63083625356975637</v>
      </c>
      <c r="D25" s="1">
        <v>12.34404675798549</v>
      </c>
      <c r="E25" s="1">
        <f t="shared" si="0"/>
        <v>-12.616725071395127</v>
      </c>
      <c r="F25" s="1">
        <f t="shared" si="2"/>
        <v>24.960771829380619</v>
      </c>
      <c r="G25" s="1">
        <f t="shared" si="1"/>
        <v>9.9999999999999983E-45</v>
      </c>
    </row>
    <row r="26" spans="3:10" x14ac:dyDescent="0.3">
      <c r="C26" s="1">
        <v>0.18358847309704474</v>
      </c>
      <c r="D26" s="1">
        <v>2.8293372761758495</v>
      </c>
      <c r="E26" s="1">
        <f t="shared" si="0"/>
        <v>-3.6717694619408947</v>
      </c>
      <c r="F26" s="1">
        <f t="shared" si="2"/>
        <v>6.5011067381167447</v>
      </c>
      <c r="G26" s="1">
        <f t="shared" si="1"/>
        <v>9.9999999999999983E-45</v>
      </c>
    </row>
    <row r="27" spans="3:10" x14ac:dyDescent="0.3">
      <c r="C27" s="1">
        <v>0.65520521017462008</v>
      </c>
      <c r="D27" s="1">
        <v>14.021879797645322</v>
      </c>
      <c r="E27" s="1">
        <f t="shared" si="0"/>
        <v>-13.104104203492401</v>
      </c>
      <c r="F27" s="1">
        <f t="shared" si="2"/>
        <v>27.125984001137724</v>
      </c>
      <c r="G27" s="1">
        <f t="shared" si="1"/>
        <v>9.9999999999999983E-45</v>
      </c>
    </row>
    <row r="28" spans="3:10" x14ac:dyDescent="0.3">
      <c r="C28" s="1">
        <v>0.76996882700039659</v>
      </c>
      <c r="D28" s="1">
        <v>14.278066096572314</v>
      </c>
      <c r="E28" s="1">
        <f t="shared" si="0"/>
        <v>-15.399376540007932</v>
      </c>
      <c r="F28" s="1">
        <f t="shared" si="2"/>
        <v>29.677442636580246</v>
      </c>
      <c r="G28" s="1">
        <f t="shared" si="1"/>
        <v>9.9999999999999983E-45</v>
      </c>
    </row>
    <row r="29" spans="3:10" x14ac:dyDescent="0.3">
      <c r="C29" s="1">
        <v>0.51559562686951099</v>
      </c>
      <c r="D29" s="1">
        <v>11.605695381938883</v>
      </c>
      <c r="E29" s="1">
        <f t="shared" si="0"/>
        <v>-10.311912537390221</v>
      </c>
      <c r="F29" s="1">
        <f t="shared" si="2"/>
        <v>21.917607919329104</v>
      </c>
      <c r="G29" s="1">
        <f t="shared" si="1"/>
        <v>9.9999999999999983E-45</v>
      </c>
    </row>
    <row r="30" spans="3:10" x14ac:dyDescent="0.3">
      <c r="C30" s="1">
        <v>5.3162482015925328E-2</v>
      </c>
      <c r="D30" s="1">
        <v>1.9246205706286856</v>
      </c>
      <c r="E30" s="1">
        <f t="shared" si="0"/>
        <v>-1.0632496403185066</v>
      </c>
      <c r="F30" s="1">
        <f t="shared" si="2"/>
        <v>2.9878702109471922</v>
      </c>
      <c r="G30" s="1">
        <f t="shared" si="1"/>
        <v>8.1440002253389629E-24</v>
      </c>
    </row>
    <row r="31" spans="3:10" x14ac:dyDescent="0.3">
      <c r="C31" s="1">
        <v>0.5664237294594241</v>
      </c>
      <c r="D31" s="1">
        <v>10.146638376667001</v>
      </c>
      <c r="E31" s="1">
        <f t="shared" si="0"/>
        <v>-11.328474589188481</v>
      </c>
      <c r="F31" s="1">
        <f t="shared" si="2"/>
        <v>21.47511296585548</v>
      </c>
      <c r="G31" s="1">
        <f t="shared" si="1"/>
        <v>9.9999999999999983E-45</v>
      </c>
    </row>
    <row r="32" spans="3:10" x14ac:dyDescent="0.3">
      <c r="C32" s="1">
        <v>0.7207530847995548</v>
      </c>
      <c r="D32" s="1">
        <v>14.304573553231874</v>
      </c>
      <c r="E32" s="1">
        <f t="shared" si="0"/>
        <v>-14.415061695991096</v>
      </c>
      <c r="F32" s="1">
        <f t="shared" si="2"/>
        <v>28.719635249222968</v>
      </c>
      <c r="G32" s="1">
        <f t="shared" si="1"/>
        <v>9.9999999999999983E-45</v>
      </c>
    </row>
    <row r="33" spans="3:7" x14ac:dyDescent="0.3">
      <c r="C33" s="1">
        <v>0.90596593615365673</v>
      </c>
      <c r="D33" s="1">
        <v>17.484967139523285</v>
      </c>
      <c r="E33" s="1">
        <f t="shared" si="0"/>
        <v>-18.119318723073135</v>
      </c>
      <c r="F33" s="1">
        <f t="shared" si="2"/>
        <v>35.60428586259642</v>
      </c>
      <c r="G33" s="1">
        <f t="shared" si="1"/>
        <v>9.9999999999999983E-45</v>
      </c>
    </row>
    <row r="34" spans="3:7" x14ac:dyDescent="0.3">
      <c r="C34" s="1">
        <v>4.4384223432258896E-3</v>
      </c>
      <c r="D34" s="1">
        <v>0.80049736004577199</v>
      </c>
      <c r="E34" s="1">
        <f t="shared" si="0"/>
        <v>-8.8768446864517792E-2</v>
      </c>
      <c r="F34" s="1">
        <f t="shared" si="2"/>
        <v>0.88926580691028978</v>
      </c>
      <c r="G34" s="1">
        <f t="shared" si="1"/>
        <v>1.2092456141345069E-2</v>
      </c>
    </row>
    <row r="35" spans="3:7" x14ac:dyDescent="0.3">
      <c r="C35" s="1">
        <v>0.17815700716011373</v>
      </c>
      <c r="D35" s="1">
        <v>4.6448741221170833</v>
      </c>
      <c r="E35" s="1">
        <f t="shared" si="0"/>
        <v>-3.5631401432022747</v>
      </c>
      <c r="F35" s="1">
        <f t="shared" si="2"/>
        <v>8.208014265319358</v>
      </c>
      <c r="G35" s="1">
        <f t="shared" si="1"/>
        <v>9.9999999999999983E-45</v>
      </c>
    </row>
    <row r="36" spans="3:7" x14ac:dyDescent="0.3">
      <c r="C36" s="1">
        <v>7.5130177590292169E-2</v>
      </c>
      <c r="D36" s="1">
        <v>0.76516865447589077</v>
      </c>
      <c r="E36" s="1">
        <f t="shared" si="0"/>
        <v>-1.5026035518058434</v>
      </c>
      <c r="F36" s="1">
        <f t="shared" si="2"/>
        <v>2.2677722062817343</v>
      </c>
      <c r="G36" s="1">
        <f t="shared" si="1"/>
        <v>5.7339329711028732E-14</v>
      </c>
    </row>
    <row r="37" spans="3:7" x14ac:dyDescent="0.3">
      <c r="C37" s="1">
        <v>0.79984020244131659</v>
      </c>
      <c r="D37" s="1">
        <v>15.577180588990071</v>
      </c>
      <c r="E37" s="1">
        <f t="shared" si="0"/>
        <v>-15.996804048826332</v>
      </c>
      <c r="F37" s="1">
        <f t="shared" si="2"/>
        <v>31.573984637816402</v>
      </c>
      <c r="G37" s="1">
        <f t="shared" si="1"/>
        <v>9.9999999999999983E-45</v>
      </c>
    </row>
    <row r="38" spans="3:7" x14ac:dyDescent="0.3">
      <c r="C38" s="1">
        <v>3.8565931492289596E-2</v>
      </c>
      <c r="D38" s="1">
        <v>3.2539443937074166</v>
      </c>
      <c r="E38" s="1">
        <f t="shared" ref="E38:E69" si="3">C38*b</f>
        <v>-0.77131862984579191</v>
      </c>
      <c r="F38" s="1">
        <f t="shared" si="2"/>
        <v>4.0252630235532081</v>
      </c>
      <c r="G38" s="1">
        <f t="shared" ref="G38:G69" si="4">_xlfn.NORM.DIST(F38,0,sd_x,0)+0.00000000001^4</f>
        <v>9.6507619759293922E-43</v>
      </c>
    </row>
    <row r="39" spans="3:7" x14ac:dyDescent="0.3">
      <c r="C39" s="1">
        <v>0.36167296616229561</v>
      </c>
      <c r="D39" s="1">
        <v>7.6686906060931284</v>
      </c>
      <c r="E39" s="1">
        <f t="shared" si="3"/>
        <v>-7.2334593232459117</v>
      </c>
      <c r="F39" s="1">
        <f t="shared" si="2"/>
        <v>14.902149929339039</v>
      </c>
      <c r="G39" s="1">
        <f t="shared" si="4"/>
        <v>9.9999999999999983E-45</v>
      </c>
    </row>
    <row r="40" spans="3:7" x14ac:dyDescent="0.3">
      <c r="C40" s="1">
        <v>0.74107669194407289</v>
      </c>
      <c r="D40" s="1">
        <v>16.627084816822872</v>
      </c>
      <c r="E40" s="1">
        <f t="shared" si="3"/>
        <v>-14.821533838881457</v>
      </c>
      <c r="F40" s="1">
        <f t="shared" si="2"/>
        <v>31.44861865570433</v>
      </c>
      <c r="G40" s="1">
        <f t="shared" si="4"/>
        <v>9.9999999999999983E-45</v>
      </c>
    </row>
    <row r="41" spans="3:7" x14ac:dyDescent="0.3">
      <c r="C41" s="1">
        <v>0.62799217827226994</v>
      </c>
      <c r="D41" s="1">
        <v>11.657898324524432</v>
      </c>
      <c r="E41" s="1">
        <f t="shared" si="3"/>
        <v>-12.559843565445398</v>
      </c>
      <c r="F41" s="1">
        <f t="shared" si="2"/>
        <v>24.21774188996983</v>
      </c>
      <c r="G41" s="1">
        <f t="shared" si="4"/>
        <v>9.9999999999999983E-45</v>
      </c>
    </row>
    <row r="42" spans="3:7" x14ac:dyDescent="0.3">
      <c r="C42" s="1">
        <v>0.27356870011466017</v>
      </c>
      <c r="D42" s="1">
        <v>6.8134795977052498</v>
      </c>
      <c r="E42" s="1">
        <f t="shared" si="3"/>
        <v>-5.4713740022932029</v>
      </c>
      <c r="F42" s="1">
        <f t="shared" si="2"/>
        <v>12.284853599998453</v>
      </c>
      <c r="G42" s="1">
        <f t="shared" si="4"/>
        <v>9.9999999999999983E-45</v>
      </c>
    </row>
    <row r="43" spans="3:7" x14ac:dyDescent="0.3">
      <c r="C43" s="1">
        <v>0.99335878306136505</v>
      </c>
      <c r="D43" s="1">
        <v>21.087780318734875</v>
      </c>
      <c r="E43" s="1">
        <f t="shared" si="3"/>
        <v>-19.8671756612273</v>
      </c>
      <c r="F43" s="1">
        <f t="shared" si="2"/>
        <v>40.954955979962179</v>
      </c>
      <c r="G43" s="1">
        <f t="shared" si="4"/>
        <v>9.9999999999999983E-45</v>
      </c>
    </row>
    <row r="44" spans="3:7" x14ac:dyDescent="0.3">
      <c r="C44" s="1">
        <v>0.88997823671109033</v>
      </c>
      <c r="D44" s="1">
        <v>16.312509945328127</v>
      </c>
      <c r="E44" s="1">
        <f t="shared" si="3"/>
        <v>-17.799564734221807</v>
      </c>
      <c r="F44" s="1">
        <f t="shared" si="2"/>
        <v>34.112074679549934</v>
      </c>
      <c r="G44" s="1">
        <f t="shared" si="4"/>
        <v>9.9999999999999983E-45</v>
      </c>
    </row>
    <row r="45" spans="3:7" x14ac:dyDescent="0.3">
      <c r="C45" s="1">
        <v>9.4889766142462917E-2</v>
      </c>
      <c r="D45" s="1">
        <v>3.3638809832285741</v>
      </c>
      <c r="E45" s="1">
        <f t="shared" si="3"/>
        <v>-1.8977953228492583</v>
      </c>
      <c r="F45" s="1">
        <f t="shared" si="2"/>
        <v>5.2616763060778329</v>
      </c>
      <c r="G45" s="1">
        <f t="shared" si="4"/>
        <v>9.9999999999999983E-45</v>
      </c>
    </row>
    <row r="46" spans="3:7" x14ac:dyDescent="0.3">
      <c r="C46" s="1">
        <v>0.96815563515745773</v>
      </c>
      <c r="D46" s="1">
        <v>18.77375803848599</v>
      </c>
      <c r="E46" s="1">
        <f t="shared" si="3"/>
        <v>-19.363112703149156</v>
      </c>
      <c r="F46" s="1">
        <f t="shared" si="2"/>
        <v>38.13687074163515</v>
      </c>
      <c r="G46" s="1">
        <f t="shared" si="4"/>
        <v>9.9999999999999983E-45</v>
      </c>
    </row>
    <row r="47" spans="3:7" x14ac:dyDescent="0.3">
      <c r="C47" s="1">
        <v>0.31029116278075597</v>
      </c>
      <c r="D47" s="1">
        <v>5.7581023050168385</v>
      </c>
      <c r="E47" s="1">
        <f t="shared" si="3"/>
        <v>-6.2058232556151189</v>
      </c>
      <c r="F47" s="1">
        <f t="shared" si="2"/>
        <v>11.963925560631957</v>
      </c>
      <c r="G47" s="1">
        <f t="shared" si="4"/>
        <v>9.9999999999999983E-45</v>
      </c>
    </row>
    <row r="48" spans="3:7" x14ac:dyDescent="0.3">
      <c r="C48" s="1">
        <v>0.6907556511455053</v>
      </c>
      <c r="D48" s="1">
        <v>13.548853160601338</v>
      </c>
      <c r="E48" s="1">
        <f t="shared" si="3"/>
        <v>-13.815113022910106</v>
      </c>
      <c r="F48" s="1">
        <f t="shared" si="2"/>
        <v>27.363966183511444</v>
      </c>
      <c r="G48" s="1">
        <f t="shared" si="4"/>
        <v>9.9999999999999983E-45</v>
      </c>
    </row>
    <row r="49" spans="3:7" x14ac:dyDescent="0.3">
      <c r="C49" s="1">
        <v>0.61818130113250047</v>
      </c>
      <c r="D49" s="1">
        <v>12.314174891973147</v>
      </c>
      <c r="E49" s="1">
        <f t="shared" si="3"/>
        <v>-12.36362602265001</v>
      </c>
      <c r="F49" s="1">
        <f t="shared" si="2"/>
        <v>24.677800914623155</v>
      </c>
      <c r="G49" s="1">
        <f t="shared" si="4"/>
        <v>9.9999999999999983E-45</v>
      </c>
    </row>
    <row r="50" spans="3:7" x14ac:dyDescent="0.3">
      <c r="C50" s="1">
        <v>0.1465668604557816</v>
      </c>
      <c r="D50" s="1">
        <v>3.6017880031549652</v>
      </c>
      <c r="E50" s="1">
        <f t="shared" si="3"/>
        <v>-2.931337209115632</v>
      </c>
      <c r="F50" s="1">
        <f t="shared" si="2"/>
        <v>6.5331252122705976</v>
      </c>
      <c r="G50" s="1">
        <f t="shared" si="4"/>
        <v>9.9999999999999983E-45</v>
      </c>
    </row>
    <row r="51" spans="3:7" x14ac:dyDescent="0.3">
      <c r="C51" s="1">
        <v>0.2103156987256255</v>
      </c>
      <c r="D51" s="1">
        <v>4.1241649215300651</v>
      </c>
      <c r="E51" s="1">
        <f t="shared" si="3"/>
        <v>-4.2063139745125095</v>
      </c>
      <c r="F51" s="1">
        <f t="shared" si="2"/>
        <v>8.3304788960425746</v>
      </c>
      <c r="G51" s="1">
        <f t="shared" si="4"/>
        <v>9.9999999999999983E-45</v>
      </c>
    </row>
    <row r="52" spans="3:7" x14ac:dyDescent="0.3">
      <c r="C52" s="1">
        <v>0.19805323237018713</v>
      </c>
      <c r="D52" s="1">
        <v>3.5426930929065037</v>
      </c>
      <c r="E52" s="1">
        <f t="shared" si="3"/>
        <v>-3.9610646474037425</v>
      </c>
      <c r="F52" s="1">
        <f t="shared" si="2"/>
        <v>7.5037577403102462</v>
      </c>
      <c r="G52" s="1">
        <f t="shared" si="4"/>
        <v>9.9999999999999983E-45</v>
      </c>
    </row>
    <row r="53" spans="3:7" x14ac:dyDescent="0.3">
      <c r="C53" s="1">
        <v>7.8577575982490711E-2</v>
      </c>
      <c r="D53" s="1">
        <v>2.3999202771717361</v>
      </c>
      <c r="E53" s="1">
        <f t="shared" si="3"/>
        <v>-1.5715515196498142</v>
      </c>
      <c r="F53" s="1">
        <f t="shared" si="2"/>
        <v>3.9714717968215503</v>
      </c>
      <c r="G53" s="1">
        <f t="shared" si="4"/>
        <v>1.2579428730027219E-41</v>
      </c>
    </row>
    <row r="54" spans="3:7" x14ac:dyDescent="0.3">
      <c r="C54" s="1">
        <v>0.4854292228195799</v>
      </c>
      <c r="D54" s="1">
        <v>7.4471211139922957</v>
      </c>
      <c r="E54" s="1">
        <f t="shared" si="3"/>
        <v>-9.7085844563915984</v>
      </c>
      <c r="F54" s="1">
        <f t="shared" si="2"/>
        <v>17.155705570383894</v>
      </c>
      <c r="G54" s="1">
        <f t="shared" si="4"/>
        <v>9.9999999999999983E-45</v>
      </c>
    </row>
    <row r="55" spans="3:7" x14ac:dyDescent="0.3">
      <c r="C55" s="1">
        <v>0.82819925964942176</v>
      </c>
      <c r="D55" s="1">
        <v>17.594570042286612</v>
      </c>
      <c r="E55" s="1">
        <f t="shared" si="3"/>
        <v>-16.563985192988437</v>
      </c>
      <c r="F55" s="1">
        <f t="shared" si="2"/>
        <v>34.158555235275045</v>
      </c>
      <c r="G55" s="1">
        <f t="shared" si="4"/>
        <v>9.9999999999999983E-45</v>
      </c>
    </row>
    <row r="56" spans="3:7" x14ac:dyDescent="0.3">
      <c r="C56" s="1">
        <v>0.54347323518873314</v>
      </c>
      <c r="D56" s="1">
        <v>8.8015636665249453</v>
      </c>
      <c r="E56" s="1">
        <f t="shared" si="3"/>
        <v>-10.869464703774662</v>
      </c>
      <c r="F56" s="1">
        <f t="shared" si="2"/>
        <v>19.671028370299609</v>
      </c>
      <c r="G56" s="1">
        <f t="shared" si="4"/>
        <v>9.9999999999999983E-45</v>
      </c>
    </row>
    <row r="57" spans="3:7" x14ac:dyDescent="0.3">
      <c r="C57" s="1">
        <v>0.48361090905650461</v>
      </c>
      <c r="D57" s="1">
        <v>10.388862340133327</v>
      </c>
      <c r="E57" s="1">
        <f t="shared" si="3"/>
        <v>-9.6722181811300914</v>
      </c>
      <c r="F57" s="1">
        <f t="shared" si="2"/>
        <v>20.06108052126342</v>
      </c>
      <c r="G57" s="1">
        <f t="shared" si="4"/>
        <v>9.9999999999999983E-45</v>
      </c>
    </row>
    <row r="58" spans="3:7" x14ac:dyDescent="0.3">
      <c r="C58" s="1">
        <v>0.6648188748724615</v>
      </c>
      <c r="D58" s="1">
        <v>14.324643925900737</v>
      </c>
      <c r="E58" s="1">
        <f t="shared" si="3"/>
        <v>-13.29637749744923</v>
      </c>
      <c r="F58" s="1">
        <f t="shared" si="2"/>
        <v>27.621021423349966</v>
      </c>
      <c r="G58" s="1">
        <f t="shared" si="4"/>
        <v>9.9999999999999983E-45</v>
      </c>
    </row>
    <row r="59" spans="3:7" x14ac:dyDescent="0.3">
      <c r="C59" s="1">
        <v>0.10153902496882705</v>
      </c>
      <c r="D59" s="1">
        <v>3.1138863253601903</v>
      </c>
      <c r="E59" s="1">
        <f t="shared" si="3"/>
        <v>-2.030780499376541</v>
      </c>
      <c r="F59" s="1">
        <f t="shared" si="2"/>
        <v>5.1446668247367313</v>
      </c>
      <c r="G59" s="1">
        <f t="shared" si="4"/>
        <v>9.9999999999999983E-45</v>
      </c>
    </row>
    <row r="60" spans="3:7" x14ac:dyDescent="0.3">
      <c r="C60" s="1">
        <v>0.11021610286671635</v>
      </c>
      <c r="D60" s="1">
        <v>3.2525034715814254</v>
      </c>
      <c r="E60" s="1">
        <f t="shared" si="3"/>
        <v>-2.204322057334327</v>
      </c>
      <c r="F60" s="1">
        <f t="shared" si="2"/>
        <v>5.4568255289157523</v>
      </c>
      <c r="G60" s="1">
        <f t="shared" si="4"/>
        <v>9.9999999999999983E-45</v>
      </c>
    </row>
    <row r="61" spans="3:7" x14ac:dyDescent="0.3">
      <c r="C61" s="1">
        <v>0.82354723015543618</v>
      </c>
      <c r="D61" s="1">
        <v>16.704696733829564</v>
      </c>
      <c r="E61" s="1">
        <f t="shared" si="3"/>
        <v>-16.470944603108723</v>
      </c>
      <c r="F61" s="1">
        <f t="shared" si="2"/>
        <v>33.175641336938284</v>
      </c>
      <c r="G61" s="1">
        <f t="shared" si="4"/>
        <v>9.9999999999999983E-45</v>
      </c>
    </row>
    <row r="62" spans="3:7" x14ac:dyDescent="0.3">
      <c r="C62" s="1">
        <v>0.14762700270533879</v>
      </c>
      <c r="D62" s="1">
        <v>3.3935035654119265</v>
      </c>
      <c r="E62" s="1">
        <f t="shared" si="3"/>
        <v>-2.9525400541067759</v>
      </c>
      <c r="F62" s="1">
        <f t="shared" si="2"/>
        <v>6.3460436195187029</v>
      </c>
      <c r="G62" s="1">
        <f t="shared" si="4"/>
        <v>9.9999999999999983E-45</v>
      </c>
    </row>
    <row r="63" spans="3:7" x14ac:dyDescent="0.3">
      <c r="C63" s="1">
        <v>0.74801215081887662</v>
      </c>
      <c r="D63" s="1">
        <v>14.772019910457303</v>
      </c>
      <c r="E63" s="1">
        <f t="shared" si="3"/>
        <v>-14.960243016377532</v>
      </c>
      <c r="F63" s="1">
        <f t="shared" si="2"/>
        <v>29.732262926834835</v>
      </c>
      <c r="G63" s="1">
        <f t="shared" si="4"/>
        <v>9.9999999999999983E-45</v>
      </c>
    </row>
    <row r="64" spans="3:7" x14ac:dyDescent="0.3">
      <c r="C64" s="1">
        <v>0.49905488591335401</v>
      </c>
      <c r="D64" s="1">
        <v>9.8335257060026695</v>
      </c>
      <c r="E64" s="1">
        <f t="shared" si="3"/>
        <v>-9.9810977182670797</v>
      </c>
      <c r="F64" s="1">
        <f t="shared" si="2"/>
        <v>19.814623424269747</v>
      </c>
      <c r="G64" s="1">
        <f t="shared" si="4"/>
        <v>9.9999999999999983E-45</v>
      </c>
    </row>
    <row r="65" spans="3:7" x14ac:dyDescent="0.3">
      <c r="C65" s="1">
        <v>0.61731418787516201</v>
      </c>
      <c r="D65" s="1">
        <v>12.306308651383414</v>
      </c>
      <c r="E65" s="1">
        <f t="shared" si="3"/>
        <v>-12.34628375750324</v>
      </c>
      <c r="F65" s="1">
        <f t="shared" si="2"/>
        <v>24.652592408886655</v>
      </c>
      <c r="G65" s="1">
        <f t="shared" si="4"/>
        <v>9.9999999999999983E-45</v>
      </c>
    </row>
    <row r="66" spans="3:7" x14ac:dyDescent="0.3">
      <c r="C66" s="1">
        <v>0.32161492273448899</v>
      </c>
      <c r="D66" s="1">
        <v>6.0906360699360169</v>
      </c>
      <c r="E66" s="1">
        <f t="shared" si="3"/>
        <v>-6.4322984546897803</v>
      </c>
      <c r="F66" s="1">
        <f t="shared" si="2"/>
        <v>12.522934524625796</v>
      </c>
      <c r="G66" s="1">
        <f t="shared" si="4"/>
        <v>9.9999999999999983E-45</v>
      </c>
    </row>
    <row r="67" spans="3:7" x14ac:dyDescent="0.3">
      <c r="C67" s="1">
        <v>0.98902174101337692</v>
      </c>
      <c r="D67" s="1">
        <v>21.008058447564988</v>
      </c>
      <c r="E67" s="1">
        <f t="shared" si="3"/>
        <v>-19.780434820267537</v>
      </c>
      <c r="F67" s="1">
        <f t="shared" si="2"/>
        <v>40.788493267832521</v>
      </c>
      <c r="G67" s="1">
        <f t="shared" si="4"/>
        <v>9.9999999999999983E-45</v>
      </c>
    </row>
    <row r="68" spans="3:7" x14ac:dyDescent="0.3">
      <c r="C68" s="1">
        <v>8.6105450560647667E-2</v>
      </c>
      <c r="D68" s="1">
        <v>1.316473206360858</v>
      </c>
      <c r="E68" s="1">
        <f t="shared" si="3"/>
        <v>-1.7221090112129533</v>
      </c>
      <c r="F68" s="1">
        <f t="shared" si="2"/>
        <v>3.0385822175738113</v>
      </c>
      <c r="G68" s="1">
        <f t="shared" si="4"/>
        <v>1.3050280417317433E-24</v>
      </c>
    </row>
    <row r="69" spans="3:7" x14ac:dyDescent="0.3">
      <c r="C69" s="1">
        <v>0.98623511412963327</v>
      </c>
      <c r="D69" s="1">
        <v>19.045129777040046</v>
      </c>
      <c r="E69" s="1">
        <f t="shared" si="3"/>
        <v>-19.724702282592666</v>
      </c>
      <c r="F69" s="1">
        <f t="shared" si="2"/>
        <v>38.769832059632712</v>
      </c>
      <c r="G69" s="1">
        <f t="shared" si="4"/>
        <v>9.9999999999999983E-45</v>
      </c>
    </row>
    <row r="70" spans="3:7" x14ac:dyDescent="0.3">
      <c r="C70" s="1">
        <v>0.26997900934275842</v>
      </c>
      <c r="D70" s="1">
        <v>6.9955765409101147</v>
      </c>
      <c r="E70" s="1">
        <f t="shared" ref="E70:E105" si="5">C70*b</f>
        <v>-5.3995801868551681</v>
      </c>
      <c r="F70" s="1">
        <f t="shared" si="2"/>
        <v>12.395156727765283</v>
      </c>
      <c r="G70" s="1">
        <f t="shared" ref="G70:G101" si="6">_xlfn.NORM.DIST(F70,0,sd_x,0)+0.00000000001^4</f>
        <v>9.9999999999999983E-45</v>
      </c>
    </row>
    <row r="71" spans="3:7" x14ac:dyDescent="0.3">
      <c r="C71" s="1">
        <v>0.91584888713852819</v>
      </c>
      <c r="D71" s="1">
        <v>18.990777799439311</v>
      </c>
      <c r="E71" s="1">
        <f t="shared" si="5"/>
        <v>-18.316977742770565</v>
      </c>
      <c r="F71" s="1">
        <f t="shared" ref="F71:F105" si="7">D71-E71</f>
        <v>37.307755542209875</v>
      </c>
      <c r="G71" s="1">
        <f t="shared" si="6"/>
        <v>9.9999999999999983E-45</v>
      </c>
    </row>
    <row r="72" spans="3:7" x14ac:dyDescent="0.3">
      <c r="C72" s="1">
        <v>0.43781564974312404</v>
      </c>
      <c r="D72" s="1">
        <v>8.7055454295233741</v>
      </c>
      <c r="E72" s="1">
        <f t="shared" si="5"/>
        <v>-8.7563129948624798</v>
      </c>
      <c r="F72" s="1">
        <f t="shared" si="7"/>
        <v>17.461858424385852</v>
      </c>
      <c r="G72" s="1">
        <f t="shared" si="6"/>
        <v>9.9999999999999983E-45</v>
      </c>
    </row>
    <row r="73" spans="3:7" x14ac:dyDescent="0.3">
      <c r="C73" s="1">
        <v>0.89021424968143159</v>
      </c>
      <c r="D73" s="1">
        <v>16.752186303468633</v>
      </c>
      <c r="E73" s="1">
        <f t="shared" si="5"/>
        <v>-17.804284993628631</v>
      </c>
      <c r="F73" s="1">
        <f t="shared" si="7"/>
        <v>34.556471297097261</v>
      </c>
      <c r="G73" s="1">
        <f t="shared" si="6"/>
        <v>9.9999999999999983E-45</v>
      </c>
    </row>
    <row r="74" spans="3:7" x14ac:dyDescent="0.3">
      <c r="C74" s="1">
        <v>0.73678819734890644</v>
      </c>
      <c r="D74" s="1">
        <v>14.577928252319943</v>
      </c>
      <c r="E74" s="1">
        <f t="shared" si="5"/>
        <v>-14.735763946978128</v>
      </c>
      <c r="F74" s="1">
        <f t="shared" si="7"/>
        <v>29.313692199298071</v>
      </c>
      <c r="G74" s="1">
        <f t="shared" si="6"/>
        <v>9.9999999999999983E-45</v>
      </c>
    </row>
    <row r="75" spans="3:7" x14ac:dyDescent="0.3">
      <c r="C75" s="1">
        <v>0.68600197415532116</v>
      </c>
      <c r="D75" s="1">
        <v>12.758990495534036</v>
      </c>
      <c r="E75" s="1">
        <f t="shared" si="5"/>
        <v>-13.720039483106422</v>
      </c>
      <c r="F75" s="1">
        <f t="shared" si="7"/>
        <v>26.479029978640458</v>
      </c>
      <c r="G75" s="1">
        <f t="shared" si="6"/>
        <v>9.9999999999999983E-45</v>
      </c>
    </row>
    <row r="76" spans="3:7" x14ac:dyDescent="0.3">
      <c r="C76" s="1">
        <v>0.45019287465669688</v>
      </c>
      <c r="D76" s="1">
        <v>9.7012872563489747</v>
      </c>
      <c r="E76" s="1">
        <f t="shared" si="5"/>
        <v>-9.0038574931339372</v>
      </c>
      <c r="F76" s="1">
        <f t="shared" si="7"/>
        <v>18.705144749482912</v>
      </c>
      <c r="G76" s="1">
        <f t="shared" si="6"/>
        <v>9.9999999999999983E-45</v>
      </c>
    </row>
    <row r="77" spans="3:7" x14ac:dyDescent="0.3">
      <c r="C77" s="1">
        <v>0.79913067011786532</v>
      </c>
      <c r="D77" s="1">
        <v>15.646603660115947</v>
      </c>
      <c r="E77" s="1">
        <f t="shared" si="5"/>
        <v>-15.982613402357305</v>
      </c>
      <c r="F77" s="1">
        <f t="shared" si="7"/>
        <v>31.629217062473252</v>
      </c>
      <c r="G77" s="1">
        <f t="shared" si="6"/>
        <v>9.9999999999999983E-45</v>
      </c>
    </row>
    <row r="78" spans="3:7" x14ac:dyDescent="0.3">
      <c r="C78" s="1">
        <v>0.96980967865568835</v>
      </c>
      <c r="D78" s="1">
        <v>19.447971845825368</v>
      </c>
      <c r="E78" s="1">
        <f t="shared" si="5"/>
        <v>-19.396193573113766</v>
      </c>
      <c r="F78" s="1">
        <f t="shared" si="7"/>
        <v>38.844165418939134</v>
      </c>
      <c r="G78" s="1">
        <f t="shared" si="6"/>
        <v>9.9999999999999983E-45</v>
      </c>
    </row>
    <row r="79" spans="3:7" x14ac:dyDescent="0.3">
      <c r="C79" s="1">
        <v>2.3761853160698676E-2</v>
      </c>
      <c r="D79" s="1">
        <v>0.66813704339209457</v>
      </c>
      <c r="E79" s="1">
        <f t="shared" si="5"/>
        <v>-0.47523706321397352</v>
      </c>
      <c r="F79" s="1">
        <f t="shared" si="7"/>
        <v>1.1433741066060681</v>
      </c>
      <c r="G79" s="1">
        <f t="shared" si="6"/>
        <v>5.476891230619561E-4</v>
      </c>
    </row>
    <row r="80" spans="3:7" x14ac:dyDescent="0.3">
      <c r="C80" s="1">
        <v>0.72704751688740099</v>
      </c>
      <c r="D80" s="1">
        <v>14.862706771125648</v>
      </c>
      <c r="E80" s="1">
        <f t="shared" si="5"/>
        <v>-14.54095033774802</v>
      </c>
      <c r="F80" s="1">
        <f t="shared" si="7"/>
        <v>29.403657108873666</v>
      </c>
      <c r="G80" s="1">
        <f t="shared" si="6"/>
        <v>9.9999999999999983E-45</v>
      </c>
    </row>
    <row r="81" spans="3:7" x14ac:dyDescent="0.3">
      <c r="C81" s="1">
        <v>0.77466369144495129</v>
      </c>
      <c r="D81" s="1">
        <v>14.836606901637861</v>
      </c>
      <c r="E81" s="1">
        <f t="shared" si="5"/>
        <v>-15.493273828899026</v>
      </c>
      <c r="F81" s="1">
        <f t="shared" si="7"/>
        <v>30.329880730536885</v>
      </c>
      <c r="G81" s="1">
        <f t="shared" si="6"/>
        <v>9.9999999999999983E-45</v>
      </c>
    </row>
    <row r="82" spans="3:7" x14ac:dyDescent="0.3">
      <c r="C82" s="1">
        <v>0.29309266753288377</v>
      </c>
      <c r="D82" s="1">
        <v>6.0984901010688883</v>
      </c>
      <c r="E82" s="1">
        <f t="shared" si="5"/>
        <v>-5.8618533506576753</v>
      </c>
      <c r="F82" s="1">
        <f t="shared" si="7"/>
        <v>11.960343451726564</v>
      </c>
      <c r="G82" s="1">
        <f t="shared" si="6"/>
        <v>9.9999999999999983E-45</v>
      </c>
    </row>
    <row r="83" spans="3:7" x14ac:dyDescent="0.3">
      <c r="C83" s="1">
        <v>0.55186105122035445</v>
      </c>
      <c r="D83" s="1">
        <v>10.302935469515942</v>
      </c>
      <c r="E83" s="1">
        <f t="shared" si="5"/>
        <v>-11.037221024407089</v>
      </c>
      <c r="F83" s="1">
        <f t="shared" si="7"/>
        <v>21.340156493923033</v>
      </c>
      <c r="G83" s="1">
        <f t="shared" si="6"/>
        <v>9.9999999999999983E-45</v>
      </c>
    </row>
    <row r="84" spans="3:7" x14ac:dyDescent="0.3">
      <c r="C84" s="1">
        <v>0.68342677185566458</v>
      </c>
      <c r="D84" s="1">
        <v>13.807039936347335</v>
      </c>
      <c r="E84" s="1">
        <f t="shared" si="5"/>
        <v>-13.668535437113292</v>
      </c>
      <c r="F84" s="1">
        <f t="shared" si="7"/>
        <v>27.475575373460629</v>
      </c>
      <c r="G84" s="1">
        <f t="shared" si="6"/>
        <v>9.9999999999999983E-45</v>
      </c>
    </row>
    <row r="85" spans="3:7" x14ac:dyDescent="0.3">
      <c r="C85" s="1">
        <v>0.67590711509344681</v>
      </c>
      <c r="D85" s="1">
        <v>12.738408219861237</v>
      </c>
      <c r="E85" s="1">
        <f t="shared" si="5"/>
        <v>-13.518142301868936</v>
      </c>
      <c r="F85" s="1">
        <f t="shared" si="7"/>
        <v>26.256550521730173</v>
      </c>
      <c r="G85" s="1">
        <f t="shared" si="6"/>
        <v>9.9999999999999983E-45</v>
      </c>
    </row>
    <row r="86" spans="3:7" x14ac:dyDescent="0.3">
      <c r="C86" s="1">
        <v>0.37326825007599229</v>
      </c>
      <c r="D86" s="1">
        <v>8.3009431816330661</v>
      </c>
      <c r="E86" s="1">
        <f t="shared" si="5"/>
        <v>-7.4653650015198458</v>
      </c>
      <c r="F86" s="1">
        <f t="shared" si="7"/>
        <v>15.766308183152912</v>
      </c>
      <c r="G86" s="1">
        <f t="shared" si="6"/>
        <v>9.9999999999999983E-45</v>
      </c>
    </row>
    <row r="87" spans="3:7" x14ac:dyDescent="0.3">
      <c r="C87" s="1">
        <v>0.97448237486020384</v>
      </c>
      <c r="D87" s="1">
        <v>18.850528115387789</v>
      </c>
      <c r="E87" s="1">
        <f t="shared" si="5"/>
        <v>-19.489647497204075</v>
      </c>
      <c r="F87" s="1">
        <f t="shared" si="7"/>
        <v>38.340175612591864</v>
      </c>
      <c r="G87" s="1">
        <f t="shared" si="6"/>
        <v>9.9999999999999983E-45</v>
      </c>
    </row>
    <row r="88" spans="3:7" x14ac:dyDescent="0.3">
      <c r="C88" s="1">
        <v>0.4077620558257582</v>
      </c>
      <c r="D88" s="1">
        <v>8.0507548159529261</v>
      </c>
      <c r="E88" s="1">
        <f t="shared" si="5"/>
        <v>-8.1552411165151639</v>
      </c>
      <c r="F88" s="1">
        <f t="shared" si="7"/>
        <v>16.205995932468092</v>
      </c>
      <c r="G88" s="1">
        <f t="shared" si="6"/>
        <v>9.9999999999999983E-45</v>
      </c>
    </row>
    <row r="89" spans="3:7" x14ac:dyDescent="0.3">
      <c r="C89" s="1">
        <v>0.14775878156457833</v>
      </c>
      <c r="D89" s="1">
        <v>4.0564442414139386</v>
      </c>
      <c r="E89" s="1">
        <f t="shared" si="5"/>
        <v>-2.9551756312915667</v>
      </c>
      <c r="F89" s="1">
        <f t="shared" si="7"/>
        <v>7.0116198727055057</v>
      </c>
      <c r="G89" s="1">
        <f t="shared" si="6"/>
        <v>9.9999999999999983E-45</v>
      </c>
    </row>
    <row r="90" spans="3:7" x14ac:dyDescent="0.3">
      <c r="C90" s="1">
        <v>0.24337030967523954</v>
      </c>
      <c r="D90" s="1">
        <v>3.6369452013263546</v>
      </c>
      <c r="E90" s="1">
        <f t="shared" si="5"/>
        <v>-4.8674061935047908</v>
      </c>
      <c r="F90" s="1">
        <f t="shared" si="7"/>
        <v>8.5043513948311453</v>
      </c>
      <c r="G90" s="1">
        <f t="shared" si="6"/>
        <v>9.9999999999999983E-45</v>
      </c>
    </row>
    <row r="91" spans="3:7" x14ac:dyDescent="0.3">
      <c r="C91" s="1">
        <v>0.7380549529248962</v>
      </c>
      <c r="D91" s="1">
        <v>13.624277871276261</v>
      </c>
      <c r="E91" s="1">
        <f t="shared" si="5"/>
        <v>-14.761099058497924</v>
      </c>
      <c r="F91" s="1">
        <f t="shared" si="7"/>
        <v>28.385376929774186</v>
      </c>
      <c r="G91" s="1">
        <f t="shared" si="6"/>
        <v>9.9999999999999983E-45</v>
      </c>
    </row>
    <row r="92" spans="3:7" x14ac:dyDescent="0.3">
      <c r="C92" s="1">
        <v>0.17242632428886817</v>
      </c>
      <c r="D92" s="1">
        <v>3.596408666356238</v>
      </c>
      <c r="E92" s="1">
        <f t="shared" si="5"/>
        <v>-3.4485264857773634</v>
      </c>
      <c r="F92" s="1">
        <f t="shared" si="7"/>
        <v>7.0449351521336014</v>
      </c>
      <c r="G92" s="1">
        <f t="shared" si="6"/>
        <v>9.9999999999999983E-45</v>
      </c>
    </row>
    <row r="93" spans="3:7" x14ac:dyDescent="0.3">
      <c r="C93" s="1">
        <v>0.11335966586576496</v>
      </c>
      <c r="D93" s="1">
        <v>1.6610459473863624</v>
      </c>
      <c r="E93" s="1">
        <f t="shared" si="5"/>
        <v>-2.2671933173152992</v>
      </c>
      <c r="F93" s="1">
        <f t="shared" si="7"/>
        <v>3.9282392647016615</v>
      </c>
      <c r="G93" s="1">
        <f t="shared" si="6"/>
        <v>9.7279191006612959E-41</v>
      </c>
    </row>
    <row r="94" spans="3:7" x14ac:dyDescent="0.3">
      <c r="C94" s="1">
        <v>0.82613775768510833</v>
      </c>
      <c r="D94" s="1">
        <v>14.690515409264204</v>
      </c>
      <c r="E94" s="1">
        <f t="shared" si="5"/>
        <v>-16.522755153702168</v>
      </c>
      <c r="F94" s="1">
        <f t="shared" si="7"/>
        <v>31.213270562966372</v>
      </c>
      <c r="G94" s="1">
        <f t="shared" si="6"/>
        <v>9.9999999999999983E-45</v>
      </c>
    </row>
    <row r="95" spans="3:7" x14ac:dyDescent="0.3">
      <c r="C95" s="1">
        <v>0.52744436634726488</v>
      </c>
      <c r="D95" s="1">
        <v>10.232766763345012</v>
      </c>
      <c r="E95" s="1">
        <f t="shared" si="5"/>
        <v>-10.548887326945298</v>
      </c>
      <c r="F95" s="1">
        <f t="shared" si="7"/>
        <v>20.78165409029031</v>
      </c>
      <c r="G95" s="1">
        <f t="shared" si="6"/>
        <v>9.9999999999999983E-45</v>
      </c>
    </row>
    <row r="96" spans="3:7" x14ac:dyDescent="0.3">
      <c r="C96" s="1">
        <v>0.87506804843704644</v>
      </c>
      <c r="D96" s="1">
        <v>17.113866422480992</v>
      </c>
      <c r="E96" s="1">
        <f t="shared" si="5"/>
        <v>-17.501360968740929</v>
      </c>
      <c r="F96" s="1">
        <f t="shared" si="7"/>
        <v>34.615227391221921</v>
      </c>
      <c r="G96" s="1">
        <f t="shared" si="6"/>
        <v>9.9999999999999983E-45</v>
      </c>
    </row>
    <row r="97" spans="3:7" x14ac:dyDescent="0.3">
      <c r="C97" s="1">
        <v>0.42147240996022228</v>
      </c>
      <c r="D97" s="1">
        <v>7.646007618579052</v>
      </c>
      <c r="E97" s="1">
        <f t="shared" si="5"/>
        <v>-8.4294481992044457</v>
      </c>
      <c r="F97" s="1">
        <f t="shared" si="7"/>
        <v>16.075455817783499</v>
      </c>
      <c r="G97" s="1">
        <f t="shared" si="6"/>
        <v>9.9999999999999983E-45</v>
      </c>
    </row>
    <row r="98" spans="3:7" x14ac:dyDescent="0.3">
      <c r="C98" s="1">
        <v>0.77850016070815098</v>
      </c>
      <c r="D98" s="1">
        <v>16.058834766128111</v>
      </c>
      <c r="E98" s="1">
        <f t="shared" si="5"/>
        <v>-15.57000321416302</v>
      </c>
      <c r="F98" s="1">
        <f t="shared" si="7"/>
        <v>31.628837980291131</v>
      </c>
      <c r="G98" s="1">
        <f t="shared" si="6"/>
        <v>9.9999999999999983E-45</v>
      </c>
    </row>
    <row r="99" spans="3:7" x14ac:dyDescent="0.3">
      <c r="C99" s="1">
        <v>0.77107629688768242</v>
      </c>
      <c r="D99" s="1">
        <v>14.125115447337073</v>
      </c>
      <c r="E99" s="1">
        <f t="shared" si="5"/>
        <v>-15.421525937753648</v>
      </c>
      <c r="F99" s="1">
        <f t="shared" si="7"/>
        <v>29.546641385090723</v>
      </c>
      <c r="G99" s="1">
        <f t="shared" si="6"/>
        <v>9.9999999999999983E-45</v>
      </c>
    </row>
    <row r="100" spans="3:7" x14ac:dyDescent="0.3">
      <c r="C100" s="1">
        <v>0.55445488749173388</v>
      </c>
      <c r="D100" s="1">
        <v>12.712482575137178</v>
      </c>
      <c r="E100" s="1">
        <f t="shared" si="5"/>
        <v>-11.089097749834679</v>
      </c>
      <c r="F100" s="1">
        <f t="shared" si="7"/>
        <v>23.801580324971859</v>
      </c>
      <c r="G100" s="1">
        <f t="shared" si="6"/>
        <v>9.9999999999999983E-45</v>
      </c>
    </row>
    <row r="101" spans="3:7" x14ac:dyDescent="0.3">
      <c r="C101" s="1">
        <v>0.77255270492554795</v>
      </c>
      <c r="D101" s="1">
        <v>14.241096183928368</v>
      </c>
      <c r="E101" s="1">
        <f t="shared" si="5"/>
        <v>-15.451054098510959</v>
      </c>
      <c r="F101" s="1">
        <f t="shared" si="7"/>
        <v>29.692150282439329</v>
      </c>
      <c r="G101" s="1">
        <f t="shared" si="6"/>
        <v>9.9999999999999983E-45</v>
      </c>
    </row>
    <row r="102" spans="3:7" x14ac:dyDescent="0.3">
      <c r="C102" s="1">
        <v>0.17460058891538877</v>
      </c>
      <c r="D102" s="1">
        <v>4.6768065179499771</v>
      </c>
      <c r="E102" s="1">
        <f t="shared" si="5"/>
        <v>-3.4920117783077753</v>
      </c>
      <c r="F102" s="1">
        <f t="shared" si="7"/>
        <v>8.1688182962577525</v>
      </c>
      <c r="G102" s="1">
        <f t="shared" ref="G102:G105" si="8">_xlfn.NORM.DIST(F102,0,sd_x,0)+0.00000000001^4</f>
        <v>9.9999999999999983E-45</v>
      </c>
    </row>
    <row r="103" spans="3:7" x14ac:dyDescent="0.3">
      <c r="C103" s="1">
        <v>0.70318453553255988</v>
      </c>
      <c r="D103" s="1">
        <v>13.824921878228894</v>
      </c>
      <c r="E103" s="1">
        <f t="shared" si="5"/>
        <v>-14.063690710651198</v>
      </c>
      <c r="F103" s="1">
        <f t="shared" si="7"/>
        <v>27.888612588880093</v>
      </c>
      <c r="G103" s="1">
        <f t="shared" si="8"/>
        <v>9.9999999999999983E-45</v>
      </c>
    </row>
    <row r="104" spans="3:7" x14ac:dyDescent="0.3">
      <c r="C104" s="1">
        <v>0.31863941174555332</v>
      </c>
      <c r="D104" s="1">
        <v>6.0300903792929388</v>
      </c>
      <c r="E104" s="1">
        <f t="shared" si="5"/>
        <v>-6.3727882349110665</v>
      </c>
      <c r="F104" s="1">
        <f t="shared" si="7"/>
        <v>12.402878614204006</v>
      </c>
      <c r="G104" s="1">
        <f t="shared" si="8"/>
        <v>9.9999999999999983E-45</v>
      </c>
    </row>
    <row r="105" spans="3:7" x14ac:dyDescent="0.3">
      <c r="C105" s="1">
        <v>0.89960788266503244</v>
      </c>
      <c r="D105" s="1">
        <v>17.899280587985068</v>
      </c>
      <c r="E105" s="1">
        <f t="shared" si="5"/>
        <v>-17.992157653300648</v>
      </c>
      <c r="F105" s="1">
        <f t="shared" si="7"/>
        <v>35.891438241285712</v>
      </c>
      <c r="G105" s="1">
        <f t="shared" si="8"/>
        <v>9.9999999999999983E-45</v>
      </c>
    </row>
  </sheetData>
  <conditionalFormatting sqref="J7:J1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7:J2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6:R22 J7:J2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1" r:id="rId1" xr:uid="{FFECF892-FBC1-D543-9440-56BFD08456CB}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00000000-0003-0000-0900-000001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MLE!J7:J23</xm:f>
              <xm:sqref>J5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63</vt:i4>
      </vt:variant>
    </vt:vector>
  </HeadingPairs>
  <TitlesOfParts>
    <vt:vector size="85" baseType="lpstr">
      <vt:lpstr>Regression</vt:lpstr>
      <vt:lpstr>Terminology</vt:lpstr>
      <vt:lpstr>Collinearity1</vt:lpstr>
      <vt:lpstr>Collinearity2</vt:lpstr>
      <vt:lpstr>Assumptions</vt:lpstr>
      <vt:lpstr>Linearity</vt:lpstr>
      <vt:lpstr>Linearity_OLS</vt:lpstr>
      <vt:lpstr>NormalErrors</vt:lpstr>
      <vt:lpstr>NormalErrors_MLE</vt:lpstr>
      <vt:lpstr>IndepErrors</vt:lpstr>
      <vt:lpstr>ConstVarErrors</vt:lpstr>
      <vt:lpstr>HowTo_SLR</vt:lpstr>
      <vt:lpstr>HowTo_MLR</vt:lpstr>
      <vt:lpstr>LINEST</vt:lpstr>
      <vt:lpstr>DegreesOfFreedom</vt:lpstr>
      <vt:lpstr>FTest</vt:lpstr>
      <vt:lpstr>QualityOfFit</vt:lpstr>
      <vt:lpstr>RSquareAdj</vt:lpstr>
      <vt:lpstr>NormalEquations</vt:lpstr>
      <vt:lpstr>LikelihoodCalcs</vt:lpstr>
      <vt:lpstr>OrdinaryLeastSquares</vt:lpstr>
      <vt:lpstr>MLE</vt:lpstr>
      <vt:lpstr>QualityOfFit!_r2</vt:lpstr>
      <vt:lpstr>_R2_new</vt:lpstr>
      <vt:lpstr>_R2_orig</vt:lpstr>
      <vt:lpstr>Advertising</vt:lpstr>
      <vt:lpstr>Linearity_OLS!b</vt:lpstr>
      <vt:lpstr>MLE!b</vt:lpstr>
      <vt:lpstr>NormalErrors!b</vt:lpstr>
      <vt:lpstr>NormalErrors_MLE!b</vt:lpstr>
      <vt:lpstr>b</vt:lpstr>
      <vt:lpstr>b_1</vt:lpstr>
      <vt:lpstr>b_2</vt:lpstr>
      <vt:lpstr>QualityOfFit!b0</vt:lpstr>
      <vt:lpstr>QualityOfFit!b1_</vt:lpstr>
      <vt:lpstr>LINEST!beta</vt:lpstr>
      <vt:lpstr>QualityOfFit!beta</vt:lpstr>
      <vt:lpstr>beta_1</vt:lpstr>
      <vt:lpstr>beta_2</vt:lpstr>
      <vt:lpstr>beta_3</vt:lpstr>
      <vt:lpstr>Collinearity1!c_</vt:lpstr>
      <vt:lpstr>c_</vt:lpstr>
      <vt:lpstr>QualityOfFit!df</vt:lpstr>
      <vt:lpstr>QualityOfFit!e</vt:lpstr>
      <vt:lpstr>QualityOfFit!e_2</vt:lpstr>
      <vt:lpstr>IndepErrors!error</vt:lpstr>
      <vt:lpstr>error</vt:lpstr>
      <vt:lpstr>ErrorFraction</vt:lpstr>
      <vt:lpstr>Experience</vt:lpstr>
      <vt:lpstr>Income</vt:lpstr>
      <vt:lpstr>Inflator</vt:lpstr>
      <vt:lpstr>max</vt:lpstr>
      <vt:lpstr>mean</vt:lpstr>
      <vt:lpstr>min</vt:lpstr>
      <vt:lpstr>QualityOfFit!n</vt:lpstr>
      <vt:lpstr>RSquareAdj!n</vt:lpstr>
      <vt:lpstr>NewError</vt:lpstr>
      <vt:lpstr>p</vt:lpstr>
      <vt:lpstr>range</vt:lpstr>
      <vt:lpstr>RMSE</vt:lpstr>
      <vt:lpstr>QualityOfFit!RSE</vt:lpstr>
      <vt:lpstr>Sales</vt:lpstr>
      <vt:lpstr>sd</vt:lpstr>
      <vt:lpstr>NormalErrors!sd_x</vt:lpstr>
      <vt:lpstr>NormalErrors_MLE!sd_x</vt:lpstr>
      <vt:lpstr>sd_x</vt:lpstr>
      <vt:lpstr>SEy</vt:lpstr>
      <vt:lpstr>LINEST!sigma</vt:lpstr>
      <vt:lpstr>QualityOfFit!sigma</vt:lpstr>
      <vt:lpstr>Skill</vt:lpstr>
      <vt:lpstr>QualityOfFit!ssreg</vt:lpstr>
      <vt:lpstr>QualityOfFit!ssresid</vt:lpstr>
      <vt:lpstr>QualityOfFit!SST</vt:lpstr>
      <vt:lpstr>QualityOfFit!SSx</vt:lpstr>
      <vt:lpstr>LINEST!x</vt:lpstr>
      <vt:lpstr>QualityOfFit!x</vt:lpstr>
      <vt:lpstr>x1_</vt:lpstr>
      <vt:lpstr>x2_</vt:lpstr>
      <vt:lpstr>x3_</vt:lpstr>
      <vt:lpstr>QualityOfFit!xbar</vt:lpstr>
      <vt:lpstr>LINEST!y</vt:lpstr>
      <vt:lpstr>QualityOfFit!y</vt:lpstr>
      <vt:lpstr>y_</vt:lpstr>
      <vt:lpstr>QualityOfFit!ybar</vt:lpstr>
      <vt:lpstr>QualityOfFit!yhat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David Romoff</cp:lastModifiedBy>
  <dcterms:created xsi:type="dcterms:W3CDTF">2017-03-22T17:02:43Z</dcterms:created>
  <dcterms:modified xsi:type="dcterms:W3CDTF">2022-01-18T17:34:55Z</dcterms:modified>
</cp:coreProperties>
</file>