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david/Downloads/"/>
    </mc:Choice>
  </mc:AlternateContent>
  <xr:revisionPtr revIDLastSave="0" documentId="13_ncr:1_{8782199A-E9AF-9640-A1A5-273DDFDE69BD}" xr6:coauthVersionLast="37" xr6:coauthVersionMax="37" xr10:uidLastSave="{00000000-0000-0000-0000-000000000000}"/>
  <bookViews>
    <workbookView xWindow="0" yWindow="460" windowWidth="28800" windowHeight="16000" tabRatio="500" xr2:uid="{00000000-000D-0000-FFFF-FFFF00000000}"/>
  </bookViews>
  <sheets>
    <sheet name="Bonds" sheetId="14" r:id="rId1"/>
    <sheet name="Bonds1" sheetId="1" r:id="rId2"/>
    <sheet name="Bonds2" sheetId="10" r:id="rId3"/>
    <sheet name="Bonds3" sheetId="12" r:id="rId4"/>
    <sheet name="Duration" sheetId="4" r:id="rId5"/>
    <sheet name="BPV" sheetId="5" r:id="rId6"/>
    <sheet name="Remember" sheetId="9" r:id="rId7"/>
  </sheets>
  <externalReferences>
    <externalReference r:id="rId8"/>
    <externalReference r:id="rId9"/>
    <externalReference r:id="rId10"/>
  </externalReferences>
  <definedNames>
    <definedName name="alan">[1]Excel!$C$10</definedName>
    <definedName name="alpha" localSheetId="2">[1]VaR0!#REF!</definedName>
    <definedName name="alpha" localSheetId="3">[1]VaR0!#REF!</definedName>
    <definedName name="alpha">[1]VaR0!#REF!</definedName>
    <definedName name="C_">[2]OptionsHW!$C$20:$E$20</definedName>
    <definedName name="Cd" localSheetId="2">[3]Options2!#REF!</definedName>
    <definedName name="Cd" localSheetId="3">[3]Options2!#REF!</definedName>
    <definedName name="Cd">[3]Options2!#REF!</definedName>
    <definedName name="Change" localSheetId="2">[1]VaR0!#REF!</definedName>
    <definedName name="Change" localSheetId="3">[1]VaR0!#REF!</definedName>
    <definedName name="Change">[1]VaR0!#REF!</definedName>
    <definedName name="CI">[2]VaR_HW_1!$C$8:$D$8</definedName>
    <definedName name="CI_lo">[2]VaR_HW_1!$C$11:$D$11</definedName>
    <definedName name="contracts">[2]OptionsHW!$C$26:$E$26</definedName>
    <definedName name="couponrate" localSheetId="2">Bonds2!$C$5</definedName>
    <definedName name="couponrate" localSheetId="3">Bonds3!$C$5</definedName>
    <definedName name="couponrate" localSheetId="5">BPV!$C$5</definedName>
    <definedName name="couponrate">Bonds1!$C$5</definedName>
    <definedName name="Cu" localSheetId="2">[3]Options2!#REF!</definedName>
    <definedName name="Cu" localSheetId="3">[3]Options2!#REF!</definedName>
    <definedName name="Cu">[3]Options2!#REF!</definedName>
    <definedName name="d">[3]Options2!$C$7</definedName>
    <definedName name="d1_">[2]OptionsHW!$C$9:$E$9</definedName>
    <definedName name="d2_">[2]OptionsHW!$C$10:$E$10</definedName>
    <definedName name="dollar_rate">[3]fx0!$C$66</definedName>
    <definedName name="Duration">BPV!$I$18</definedName>
    <definedName name="face" localSheetId="2">Bonds2!$C$4</definedName>
    <definedName name="face" localSheetId="3">Bonds3!$C$4</definedName>
    <definedName name="face" localSheetId="5">BPV!$C$4</definedName>
    <definedName name="face">Bonds1!$C$4</definedName>
    <definedName name="forward_rate">[3]fx0!$C$67</definedName>
    <definedName name="loss">[2]VaR_HW_1!$C$14:$D$14</definedName>
    <definedName name="Mean">[2]VaR_HW_1!$C$6:$D$6</definedName>
    <definedName name="n" localSheetId="2">Bonds2!$C$12:$C$25</definedName>
    <definedName name="n" localSheetId="3">Bonds3!$C$12:$C$25</definedName>
    <definedName name="n" localSheetId="5">BPV!$C$12:$C$25</definedName>
    <definedName name="n">Bonds1!$C$12:$C$25</definedName>
    <definedName name="N__d1">[2]OptionsHW!$C$14:$E$14</definedName>
    <definedName name="N__d2">[2]OptionsHW!$C$15:$E$15</definedName>
    <definedName name="N_d1">[2]OptionsHW!$C$12:$E$12</definedName>
    <definedName name="N_d2">[2]OptionsHW!$C$13:$E$13</definedName>
    <definedName name="p" localSheetId="2">Bonds2!$F$6</definedName>
    <definedName name="p" localSheetId="3">Bonds3!$F$6</definedName>
    <definedName name="p" localSheetId="5">BPV!$F$6</definedName>
    <definedName name="p">Bonds1!$F$6</definedName>
    <definedName name="peso_rate">[3]fx0!$C$65</definedName>
    <definedName name="pmt" localSheetId="2">Bonds2!$F$5</definedName>
    <definedName name="pmt" localSheetId="3">Bonds3!$F$5</definedName>
    <definedName name="pmt" localSheetId="5">BPV!$F$5</definedName>
    <definedName name="pmt">Bonds1!$F$5</definedName>
    <definedName name="pmtperyear" localSheetId="2">Bonds2!$C$6</definedName>
    <definedName name="pmtperyear" localSheetId="3">Bonds3!$C$6</definedName>
    <definedName name="pmtperyear" localSheetId="5">BPV!$C$6</definedName>
    <definedName name="pmtperyear">Bonds1!$C$6</definedName>
    <definedName name="pmts" localSheetId="2">Bonds2!$E$12:$E$25</definedName>
    <definedName name="pmts" localSheetId="3">Bonds3!$E$12:$E$25</definedName>
    <definedName name="pmts" localSheetId="5">BPV!$E$12:$E$25</definedName>
    <definedName name="pmts">Bonds1!$E$12:$E$25</definedName>
    <definedName name="Price" localSheetId="2">[1]VaR0!#REF!</definedName>
    <definedName name="Price" localSheetId="3">[1]VaR0!#REF!</definedName>
    <definedName name="Price">[1]VaR0!#REF!</definedName>
    <definedName name="pv" localSheetId="2">Bonds2!$D$12:$D$25</definedName>
    <definedName name="pv" localSheetId="3">Bonds3!$D$12:$D$25</definedName>
    <definedName name="pv" localSheetId="5">BPV!$D$12:$D$25</definedName>
    <definedName name="pv">Bonds1!$D$12:$D$25</definedName>
    <definedName name="pv2_">BPV!$G$12:$G$25</definedName>
    <definedName name="PVA">#REF!</definedName>
    <definedName name="q">[2]OptionsHW!$C$6:$E$6</definedName>
    <definedName name="r_">[2]OptionsHW!$C$5:$E$5</definedName>
    <definedName name="rated">[2]fxHW!$F$4:$H$4</definedName>
    <definedName name="ratef">[2]fxHW!$F$5:$H$5</definedName>
    <definedName name="S0">[2]OptionsHW!$C$2:$E$2</definedName>
    <definedName name="S0_e_qt">[2]OptionsHW!$C$17:$E$17</definedName>
    <definedName name="SD">[2]VaR_HW_1!$C$7:$D$7</definedName>
    <definedName name="sims_a">[1]VaR1!$I$17:$I$37</definedName>
    <definedName name="sims_h">[1]VaR1!$H$17:$H$37</definedName>
    <definedName name="Spot">[2]fxHW!$F$3:$H$3</definedName>
    <definedName name="t">[2]OptionsHW!$C$7:$E$7</definedName>
    <definedName name="Time">[2]VaR_HW_1!$C$9:$D$9</definedName>
    <definedName name="u">[3]Options2!$C$6</definedName>
    <definedName name="usd_peso">[3]fx0!$C$64</definedName>
    <definedName name="v">#REF!</definedName>
    <definedName name="value" localSheetId="5">BPV!$F$7</definedName>
    <definedName name="value">#REF!</definedName>
    <definedName name="value_01">BPV!$I$12</definedName>
    <definedName name="value_lo">[2]VaR_HW_1!$C$13:$D$13</definedName>
    <definedName name="X_e_rt">[2]OptionsHW!$C$18:$E$18</definedName>
    <definedName name="y" localSheetId="2">Bonds2!$C$8</definedName>
    <definedName name="y" localSheetId="3">Bonds3!$C$8</definedName>
    <definedName name="y" localSheetId="5">BPV!$C$8</definedName>
    <definedName name="y">Bonds1!$C$8</definedName>
    <definedName name="years" localSheetId="2">Bonds2!$C$7</definedName>
    <definedName name="years" localSheetId="3">Bonds3!$C$7</definedName>
    <definedName name="years" localSheetId="5">BPV!$C$7</definedName>
    <definedName name="years">Bonds1!$C$7</definedName>
  </definedNames>
  <calcPr calcId="179021" calcMode="autoNoTable" iterate="1" iterateCount="1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2" i="5" l="1"/>
  <c r="F17" i="12"/>
  <c r="F12" i="12"/>
  <c r="F13" i="12"/>
  <c r="F14" i="12"/>
  <c r="F15" i="12"/>
  <c r="F16" i="12"/>
  <c r="F19" i="12"/>
  <c r="F20" i="12"/>
  <c r="F21" i="12"/>
  <c r="F22" i="12"/>
  <c r="F23" i="12"/>
  <c r="F24" i="12"/>
  <c r="F25" i="12"/>
  <c r="H8" i="12"/>
  <c r="F18" i="12"/>
  <c r="F5" i="12"/>
  <c r="F8" i="12"/>
  <c r="F5" i="1"/>
  <c r="E13" i="1" s="1"/>
  <c r="F5" i="5"/>
  <c r="E16" i="5" s="1"/>
  <c r="E25" i="12"/>
  <c r="D25" i="12"/>
  <c r="E24" i="12"/>
  <c r="D24" i="12"/>
  <c r="E23" i="12"/>
  <c r="D23" i="12"/>
  <c r="E22" i="12"/>
  <c r="D22" i="12"/>
  <c r="E21" i="12"/>
  <c r="D21" i="12"/>
  <c r="E20" i="12"/>
  <c r="D20" i="12"/>
  <c r="E19" i="12"/>
  <c r="D19" i="12"/>
  <c r="E18" i="12"/>
  <c r="D18" i="12"/>
  <c r="E17" i="12"/>
  <c r="D17" i="12"/>
  <c r="E16" i="12"/>
  <c r="D16" i="12"/>
  <c r="E15" i="12"/>
  <c r="D15" i="12"/>
  <c r="E14" i="12"/>
  <c r="D14" i="12"/>
  <c r="E13" i="12"/>
  <c r="D13" i="12"/>
  <c r="E12" i="12"/>
  <c r="D12" i="12"/>
  <c r="F7" i="12" a="1"/>
  <c r="F6" i="12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12" i="10"/>
  <c r="F5" i="10"/>
  <c r="E24" i="10" s="1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F6" i="10"/>
  <c r="F6" i="5"/>
  <c r="D12" i="5"/>
  <c r="E12" i="5"/>
  <c r="G13" i="5"/>
  <c r="E13" i="5"/>
  <c r="G14" i="5"/>
  <c r="E14" i="5"/>
  <c r="G15" i="5"/>
  <c r="G16" i="5"/>
  <c r="G17" i="5"/>
  <c r="G18" i="5"/>
  <c r="G19" i="5"/>
  <c r="G20" i="5"/>
  <c r="G21" i="5"/>
  <c r="G22" i="5"/>
  <c r="G23" i="5"/>
  <c r="G24" i="5"/>
  <c r="G25" i="5"/>
  <c r="E15" i="5"/>
  <c r="E17" i="5"/>
  <c r="E19" i="5"/>
  <c r="E21" i="5"/>
  <c r="E23" i="5"/>
  <c r="E25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F6" i="1"/>
  <c r="D12" i="1"/>
  <c r="E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H12" i="12"/>
  <c r="I12" i="12"/>
  <c r="J12" i="12" s="1"/>
  <c r="H13" i="12"/>
  <c r="I13" i="12"/>
  <c r="J13" i="12" s="1"/>
  <c r="H14" i="12"/>
  <c r="I14" i="12"/>
  <c r="J14" i="12" s="1"/>
  <c r="H15" i="12"/>
  <c r="I15" i="12"/>
  <c r="J15" i="12" s="1"/>
  <c r="H21" i="12"/>
  <c r="I21" i="12"/>
  <c r="J21" i="12" s="1"/>
  <c r="H22" i="12"/>
  <c r="I22" i="12"/>
  <c r="J22" i="12" s="1"/>
  <c r="H23" i="12"/>
  <c r="I23" i="12"/>
  <c r="J23" i="12" s="1"/>
  <c r="H24" i="12"/>
  <c r="I24" i="12"/>
  <c r="J24" i="12" s="1"/>
  <c r="H25" i="12"/>
  <c r="I25" i="12"/>
  <c r="J25" i="12" s="1"/>
  <c r="H20" i="12"/>
  <c r="I20" i="12"/>
  <c r="J20" i="12" s="1"/>
  <c r="H19" i="12"/>
  <c r="I19" i="12"/>
  <c r="J19" i="12" s="1"/>
  <c r="H18" i="12"/>
  <c r="I18" i="12"/>
  <c r="J18" i="12" s="1"/>
  <c r="H17" i="12"/>
  <c r="I17" i="12"/>
  <c r="J17" i="12" s="1"/>
  <c r="H16" i="12"/>
  <c r="I16" i="12"/>
  <c r="J16" i="12" s="1"/>
  <c r="E23" i="1" l="1"/>
  <c r="E18" i="1"/>
  <c r="E22" i="1"/>
  <c r="E16" i="1"/>
  <c r="E20" i="1"/>
  <c r="E15" i="1"/>
  <c r="E24" i="1"/>
  <c r="E19" i="1"/>
  <c r="E14" i="1"/>
  <c r="F7" i="12"/>
  <c r="G11" i="12" s="1"/>
  <c r="E22" i="5"/>
  <c r="E18" i="5"/>
  <c r="I18" i="5" s="1" a="1"/>
  <c r="I18" i="5" s="1"/>
  <c r="F8" i="10"/>
  <c r="E13" i="10"/>
  <c r="E15" i="10"/>
  <c r="E17" i="10"/>
  <c r="E19" i="10"/>
  <c r="E21" i="10"/>
  <c r="E23" i="10"/>
  <c r="E25" i="10"/>
  <c r="F8" i="5"/>
  <c r="F8" i="1"/>
  <c r="E24" i="5"/>
  <c r="E20" i="5"/>
  <c r="F7" i="5" s="1" a="1"/>
  <c r="F7" i="5" s="1"/>
  <c r="E12" i="10"/>
  <c r="E14" i="10"/>
  <c r="E16" i="10"/>
  <c r="E18" i="10"/>
  <c r="E20" i="10"/>
  <c r="E22" i="10"/>
  <c r="E25" i="1"/>
  <c r="E21" i="1"/>
  <c r="E17" i="1"/>
  <c r="F7" i="1" s="1" a="1"/>
  <c r="F7" i="1" s="1"/>
  <c r="I12" i="5" l="1" a="1"/>
  <c r="I12" i="5" s="1"/>
  <c r="I15" i="5" s="1"/>
  <c r="I21" i="5"/>
  <c r="F7" i="10" a="1"/>
  <c r="F7" i="10" s="1"/>
  <c r="G11" i="10" s="1"/>
</calcChain>
</file>

<file path=xl/sharedStrings.xml><?xml version="1.0" encoding="utf-8"?>
<sst xmlns="http://schemas.openxmlformats.org/spreadsheetml/2006/main" count="96" uniqueCount="49">
  <si>
    <t>pmts</t>
  </si>
  <si>
    <t>pv</t>
  </si>
  <si>
    <t>n</t>
  </si>
  <si>
    <t>&lt;- Excel</t>
  </si>
  <si>
    <t>Excel</t>
  </si>
  <si>
    <t>y</t>
  </si>
  <si>
    <t>&lt;- Manual</t>
  </si>
  <si>
    <t>value</t>
  </si>
  <si>
    <t>years</t>
  </si>
  <si>
    <t>p</t>
  </si>
  <si>
    <t>pmtperyear</t>
  </si>
  <si>
    <t>pmt</t>
  </si>
  <si>
    <t>couponrate</t>
  </si>
  <si>
    <t>face</t>
  </si>
  <si>
    <t>dB/dr =  -D/(1+r) where B = 1</t>
  </si>
  <si>
    <t>dB/dr =  -DB/(1+r)</t>
  </si>
  <si>
    <r>
      <t xml:space="preserve">dB/dr =  </t>
    </r>
    <r>
      <rPr>
        <sz val="20"/>
        <color rgb="FF000000"/>
        <rFont val="Symbol"/>
        <family val="1"/>
        <charset val="2"/>
      </rPr>
      <t>S</t>
    </r>
    <r>
      <rPr>
        <sz val="20"/>
        <color rgb="FF000000"/>
        <rFont val="Calibri"/>
        <family val="2"/>
        <scheme val="minor"/>
      </rPr>
      <t>(-t * C</t>
    </r>
    <r>
      <rPr>
        <vertAlign val="subscript"/>
        <sz val="20"/>
        <color rgb="FF000000"/>
        <rFont val="Calibri"/>
        <family val="2"/>
        <scheme val="minor"/>
      </rPr>
      <t>t</t>
    </r>
    <r>
      <rPr>
        <sz val="20"/>
        <color rgb="FF000000"/>
        <rFont val="Calibri"/>
        <family val="2"/>
        <scheme val="minor"/>
      </rPr>
      <t>(1+r)</t>
    </r>
    <r>
      <rPr>
        <vertAlign val="superscript"/>
        <sz val="20"/>
        <color rgb="FF000000"/>
        <rFont val="Calibri"/>
        <family val="2"/>
        <scheme val="minor"/>
      </rPr>
      <t>t-1</t>
    </r>
    <r>
      <rPr>
        <sz val="20"/>
        <color rgb="FF000000"/>
        <rFont val="Calibri"/>
        <family val="2"/>
        <scheme val="minor"/>
      </rPr>
      <t>/B)</t>
    </r>
  </si>
  <si>
    <t>Sensitivity (1st order)</t>
  </si>
  <si>
    <r>
      <t xml:space="preserve">D =  </t>
    </r>
    <r>
      <rPr>
        <sz val="20"/>
        <color rgb="FF000000"/>
        <rFont val="Symbol"/>
        <family val="1"/>
        <charset val="2"/>
      </rPr>
      <t>S</t>
    </r>
    <r>
      <rPr>
        <sz val="20"/>
        <color rgb="FF000000"/>
        <rFont val="Calibri"/>
        <family val="2"/>
        <scheme val="minor"/>
      </rPr>
      <t>(t * C</t>
    </r>
    <r>
      <rPr>
        <vertAlign val="subscript"/>
        <sz val="20"/>
        <color rgb="FF000000"/>
        <rFont val="Calibri"/>
        <family val="2"/>
        <scheme val="minor"/>
      </rPr>
      <t>t</t>
    </r>
    <r>
      <rPr>
        <sz val="20"/>
        <color rgb="FF000000"/>
        <rFont val="Calibri"/>
        <family val="2"/>
        <scheme val="minor"/>
      </rPr>
      <t>(1+r)</t>
    </r>
    <r>
      <rPr>
        <vertAlign val="superscript"/>
        <sz val="20"/>
        <color rgb="FF000000"/>
        <rFont val="Calibri"/>
        <family val="2"/>
        <scheme val="minor"/>
      </rPr>
      <t>t</t>
    </r>
    <r>
      <rPr>
        <sz val="20"/>
        <color rgb="FF000000"/>
        <rFont val="Calibri"/>
        <family val="2"/>
        <scheme val="minor"/>
      </rPr>
      <t>/B)</t>
    </r>
  </si>
  <si>
    <r>
      <t xml:space="preserve">D = </t>
    </r>
    <r>
      <rPr>
        <sz val="20"/>
        <color rgb="FF000000"/>
        <rFont val="Symbol"/>
        <family val="1"/>
        <charset val="2"/>
      </rPr>
      <t>S</t>
    </r>
    <r>
      <rPr>
        <sz val="20"/>
        <color rgb="FF000000"/>
        <rFont val="Calibri"/>
        <family val="2"/>
        <scheme val="minor"/>
      </rPr>
      <t>(t * PV(C</t>
    </r>
    <r>
      <rPr>
        <vertAlign val="subscript"/>
        <sz val="20"/>
        <color rgb="FF000000"/>
        <rFont val="Calibri"/>
        <family val="2"/>
        <scheme val="minor"/>
      </rPr>
      <t>t</t>
    </r>
    <r>
      <rPr>
        <sz val="20"/>
        <color rgb="FF000000"/>
        <rFont val="Calibri"/>
        <family val="2"/>
        <scheme val="minor"/>
      </rPr>
      <t>)/B)</t>
    </r>
  </si>
  <si>
    <r>
      <t xml:space="preserve">D = </t>
    </r>
    <r>
      <rPr>
        <sz val="20"/>
        <color rgb="FF000000"/>
        <rFont val="Symbol"/>
        <family val="1"/>
        <charset val="2"/>
      </rPr>
      <t>S</t>
    </r>
    <r>
      <rPr>
        <sz val="20"/>
        <color rgb="FF000000"/>
        <rFont val="Calibri"/>
        <family val="2"/>
        <scheme val="minor"/>
      </rPr>
      <t>(t * w</t>
    </r>
    <r>
      <rPr>
        <vertAlign val="subscript"/>
        <sz val="20"/>
        <color rgb="FF000000"/>
        <rFont val="Calibri"/>
        <family val="2"/>
        <scheme val="minor"/>
      </rPr>
      <t>t</t>
    </r>
    <r>
      <rPr>
        <sz val="20"/>
        <color rgb="FF000000"/>
        <rFont val="Calibri"/>
        <family val="2"/>
        <scheme val="minor"/>
      </rPr>
      <t>)</t>
    </r>
  </si>
  <si>
    <t>Duration</t>
  </si>
  <si>
    <r>
      <t xml:space="preserve">B = </t>
    </r>
    <r>
      <rPr>
        <sz val="20"/>
        <color rgb="FF000000"/>
        <rFont val="Symbol"/>
        <family val="1"/>
        <charset val="2"/>
      </rPr>
      <t>S</t>
    </r>
    <r>
      <rPr>
        <sz val="20"/>
        <color rgb="FF000000"/>
        <rFont val="Calibri"/>
        <family val="2"/>
        <scheme val="minor"/>
      </rPr>
      <t>(PV(C</t>
    </r>
    <r>
      <rPr>
        <vertAlign val="subscript"/>
        <sz val="20"/>
        <color rgb="FF000000"/>
        <rFont val="Calibri"/>
        <family val="2"/>
        <scheme val="minor"/>
      </rPr>
      <t>t</t>
    </r>
    <r>
      <rPr>
        <sz val="20"/>
        <color rgb="FF000000"/>
        <rFont val="Calibri"/>
        <family val="2"/>
        <scheme val="minor"/>
      </rPr>
      <t>))</t>
    </r>
  </si>
  <si>
    <t>B = present value of future cash flows of a bond</t>
  </si>
  <si>
    <t>Bond Value</t>
  </si>
  <si>
    <t>BPV</t>
  </si>
  <si>
    <t>value_01</t>
  </si>
  <si>
    <t>pv2</t>
  </si>
  <si>
    <t>This section is a data table.</t>
  </si>
  <si>
    <t>How to calculate a bond value given YTM</t>
  </si>
  <si>
    <t>How to plot the bond value for different YTMs</t>
  </si>
  <si>
    <t>Effective Sensitivity at 7%</t>
  </si>
  <si>
    <t>rate change</t>
  </si>
  <si>
    <t>value change</t>
  </si>
  <si>
    <t>new value</t>
  </si>
  <si>
    <t>Values implied by 1st order sensitivity</t>
  </si>
  <si>
    <t>Duration and sensitivity calculations</t>
  </si>
  <si>
    <t>Sensitivity calculation with Excel</t>
  </si>
  <si>
    <t>&lt;- Effective</t>
  </si>
  <si>
    <t>&lt;- Theoretical</t>
  </si>
  <si>
    <t>The value of a bond is the present value of the cash flows.</t>
  </si>
  <si>
    <t>We don't always know the discount rates and we don't always know if we'll get our payments.</t>
  </si>
  <si>
    <t>Let's not worry about whether or not we receive payments for now.</t>
  </si>
  <si>
    <t>The rates will dictate the present value of the cash flow stream.</t>
  </si>
  <si>
    <t>Then, given the price of the bond, you can calculated the Yield To Maturity.</t>
  </si>
  <si>
    <t>The YTM is a theoretical constant rate that discounts the cash flows so they equal the price.</t>
  </si>
  <si>
    <t>YTM is not directly observed; it is inferred.</t>
  </si>
  <si>
    <t>Bonds are loans to companies paid back as streams of cash flows.</t>
  </si>
  <si>
    <t>We look at yield curves to infer the discount 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</si>
</sst>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20"/>
      <color rgb="FF000000"/>
      <name val="Symbol"/>
      <family val="1"/>
      <charset val="2"/>
    </font>
    <font>
      <vertAlign val="subscript"/>
      <sz val="20"/>
      <color rgb="FF000000"/>
      <name val="Calibri"/>
      <family val="2"/>
      <scheme val="minor"/>
    </font>
    <font>
      <vertAlign val="superscript"/>
      <sz val="20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10" fillId="2" borderId="0" xfId="0" applyFont="1" applyFill="1"/>
    <xf numFmtId="164" fontId="10" fillId="2" borderId="0" xfId="1" applyNumberFormat="1" applyFont="1" applyFill="1"/>
    <xf numFmtId="10" fontId="10" fillId="2" borderId="0" xfId="0" applyNumberFormat="1" applyFont="1" applyFill="1"/>
    <xf numFmtId="6" fontId="10" fillId="2" borderId="0" xfId="0" applyNumberFormat="1" applyFont="1" applyFill="1"/>
    <xf numFmtId="0" fontId="12" fillId="2" borderId="0" xfId="0" applyFont="1" applyFill="1"/>
    <xf numFmtId="0" fontId="10" fillId="2" borderId="0" xfId="0" applyFont="1" applyFill="1" applyAlignment="1">
      <alignment horizontal="right"/>
    </xf>
    <xf numFmtId="2" fontId="10" fillId="2" borderId="0" xfId="0" applyNumberFormat="1" applyFont="1" applyFill="1"/>
    <xf numFmtId="9" fontId="10" fillId="2" borderId="0" xfId="4" applyFont="1" applyFill="1"/>
    <xf numFmtId="3" fontId="10" fillId="2" borderId="0" xfId="0" applyNumberFormat="1" applyFont="1" applyFill="1"/>
    <xf numFmtId="9" fontId="10" fillId="2" borderId="0" xfId="0" applyNumberFormat="1" applyFont="1" applyFill="1"/>
    <xf numFmtId="0" fontId="4" fillId="2" borderId="0" xfId="0" applyFont="1" applyFill="1"/>
    <xf numFmtId="0" fontId="5" fillId="2" borderId="0" xfId="0" applyFont="1" applyFill="1"/>
    <xf numFmtId="0" fontId="11" fillId="2" borderId="0" xfId="2" applyFont="1" applyFill="1"/>
    <xf numFmtId="1" fontId="10" fillId="2" borderId="0" xfId="0" applyNumberFormat="1" applyFont="1" applyFill="1"/>
    <xf numFmtId="0" fontId="13" fillId="2" borderId="0" xfId="0" applyFont="1" applyFill="1"/>
  </cellXfs>
  <cellStyles count="6">
    <cellStyle name="Currency" xfId="1" builtinId="4"/>
    <cellStyle name="Followed Hyperlink" xfId="3" builtinId="9" hidden="1"/>
    <cellStyle name="Hyperlink" xfId="2" builtinId="8"/>
    <cellStyle name="Normal" xfId="0" builtinId="0"/>
    <cellStyle name="Normal 2" xfId="5" xr:uid="{C48BA77E-0282-5647-B414-56A2DC85A2E3}"/>
    <cellStyle name="Percent" xfId="4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Bond Price by Interest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Bonds2!$F$12:$F$25</c:f>
              <c:numCache>
                <c:formatCode>0%</c:formatCode>
                <c:ptCount val="14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</c:numCache>
            </c:numRef>
          </c:cat>
          <c:val>
            <c:numRef>
              <c:f>Bonds2!$G$12:$G$25</c:f>
              <c:numCache>
                <c:formatCode>#,##0</c:formatCode>
                <c:ptCount val="14"/>
                <c:pt idx="0">
                  <c:v>2337217.6942852056</c:v>
                </c:pt>
                <c:pt idx="1">
                  <c:v>2195055.5456350055</c:v>
                </c:pt>
                <c:pt idx="2">
                  <c:v>2062716.9075055178</c:v>
                </c:pt>
                <c:pt idx="3">
                  <c:v>1939468.7561470724</c:v>
                </c:pt>
                <c:pt idx="4">
                  <c:v>1824636.3174559777</c:v>
                </c:pt>
                <c:pt idx="5">
                  <c:v>1717598.1715155162</c:v>
                </c:pt>
                <c:pt idx="6">
                  <c:v>1617781.7902766736</c:v>
                </c:pt>
                <c:pt idx="7">
                  <c:v>1524659.4681745311</c:v>
                </c:pt>
                <c:pt idx="8">
                  <c:v>1437744.6093799735</c:v>
                </c:pt>
                <c:pt idx="9">
                  <c:v>1356588.3388941744</c:v>
                </c:pt>
                <c:pt idx="10">
                  <c:v>1280776.4078478282</c:v>
                </c:pt>
                <c:pt idx="11">
                  <c:v>1209926.3662045363</c:v>
                </c:pt>
                <c:pt idx="12">
                  <c:v>1143684.978622172</c:v>
                </c:pt>
                <c:pt idx="13">
                  <c:v>1081725.8615259873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63-1E4B-B03D-894C2CB46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0725088"/>
        <c:axId val="1600727408"/>
      </c:lineChart>
      <c:catAx>
        <c:axId val="1600725088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727408"/>
        <c:crosses val="autoZero"/>
        <c:auto val="1"/>
        <c:lblAlgn val="ctr"/>
        <c:lblOffset val="100"/>
        <c:noMultiLvlLbl val="0"/>
      </c:catAx>
      <c:valAx>
        <c:axId val="160072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72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Bond Price by Interest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Bonds3!$G$12:$G$25</c:f>
              <c:numCache>
                <c:formatCode>#,##0</c:formatCode>
                <c:ptCount val="14"/>
                <c:pt idx="0">
                  <c:v>2337217.6942852056</c:v>
                </c:pt>
                <c:pt idx="1">
                  <c:v>2195055.5456350055</c:v>
                </c:pt>
                <c:pt idx="2">
                  <c:v>2062716.9075055178</c:v>
                </c:pt>
                <c:pt idx="3">
                  <c:v>1939468.7561470724</c:v>
                </c:pt>
                <c:pt idx="4">
                  <c:v>1824636.3174559777</c:v>
                </c:pt>
                <c:pt idx="5">
                  <c:v>1717598.1715155162</c:v>
                </c:pt>
                <c:pt idx="6">
                  <c:v>1617781.7902766736</c:v>
                </c:pt>
                <c:pt idx="7">
                  <c:v>1524659.4681745311</c:v>
                </c:pt>
                <c:pt idx="8">
                  <c:v>1437744.6093799735</c:v>
                </c:pt>
                <c:pt idx="9">
                  <c:v>1356588.3388941744</c:v>
                </c:pt>
                <c:pt idx="10">
                  <c:v>1280776.4078478282</c:v>
                </c:pt>
                <c:pt idx="11">
                  <c:v>1209926.3662045363</c:v>
                </c:pt>
                <c:pt idx="12">
                  <c:v>1143684.978622172</c:v>
                </c:pt>
                <c:pt idx="13">
                  <c:v>1081725.8615259873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0C-124F-BBE9-AD906ABD01AC}"/>
            </c:ext>
          </c:extLst>
        </c:ser>
        <c:ser>
          <c:idx val="4"/>
          <c:order val="1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Bonds3!$J$12:$J$25</c:f>
              <c:numCache>
                <c:formatCode>#,##0</c:formatCode>
                <c:ptCount val="14"/>
                <c:pt idx="0">
                  <c:v>2196597.9002996287</c:v>
                </c:pt>
                <c:pt idx="1">
                  <c:v>2100128.5486291363</c:v>
                </c:pt>
                <c:pt idx="2">
                  <c:v>2003659.1969586438</c:v>
                </c:pt>
                <c:pt idx="3">
                  <c:v>1907189.8452881514</c:v>
                </c:pt>
                <c:pt idx="4">
                  <c:v>1810720.4936176587</c:v>
                </c:pt>
                <c:pt idx="5">
                  <c:v>1714251.1419471663</c:v>
                </c:pt>
                <c:pt idx="6">
                  <c:v>1617781.7902766736</c:v>
                </c:pt>
                <c:pt idx="7">
                  <c:v>1521312.4386061812</c:v>
                </c:pt>
                <c:pt idx="8">
                  <c:v>1424843.0869356887</c:v>
                </c:pt>
                <c:pt idx="9">
                  <c:v>1328373.7352651961</c:v>
                </c:pt>
                <c:pt idx="10">
                  <c:v>1231904.3835947036</c:v>
                </c:pt>
                <c:pt idx="11">
                  <c:v>1135435.031924211</c:v>
                </c:pt>
                <c:pt idx="12">
                  <c:v>1038965.6802537184</c:v>
                </c:pt>
                <c:pt idx="13">
                  <c:v>942496.32858322584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0C-124F-BBE9-AD906ABD0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0582304"/>
        <c:axId val="1600545888"/>
      </c:lineChart>
      <c:catAx>
        <c:axId val="1600582304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545888"/>
        <c:crosses val="autoZero"/>
        <c:auto val="1"/>
        <c:lblAlgn val="ctr"/>
        <c:lblOffset val="100"/>
        <c:noMultiLvlLbl val="0"/>
      </c:catAx>
      <c:valAx>
        <c:axId val="160054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58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468924</xdr:colOff>
      <xdr:row>10</xdr:row>
      <xdr:rowOff>162170</xdr:rowOff>
    </xdr:from>
    <xdr:to>
      <xdr:col>13</xdr:col>
      <xdr:colOff>576385</xdr:colOff>
      <xdr:row>24</xdr:row>
      <xdr:rowOff>169985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234462</xdr:colOff>
      <xdr:row>9</xdr:row>
      <xdr:rowOff>74248</xdr:rowOff>
    </xdr:from>
    <xdr:to>
      <xdr:col>19</xdr:col>
      <xdr:colOff>175846</xdr:colOff>
      <xdr:row>25</xdr:row>
      <xdr:rowOff>9769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0</xdr:row>
      <xdr:rowOff>165100</xdr:rowOff>
    </xdr:from>
    <xdr:to>
      <xdr:col>14</xdr:col>
      <xdr:colOff>393700</xdr:colOff>
      <xdr:row>46</xdr:row>
      <xdr:rowOff>101600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850900" y="165100"/>
          <a:ext cx="11099800" cy="8699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2000"/>
        </a:p>
        <a:p>
          <a:r>
            <a:rPr lang="en-US" sz="2000"/>
            <a:t>Duration is a linear estimatation</a:t>
          </a:r>
          <a:r>
            <a:rPr lang="en-US" sz="2000" baseline="0"/>
            <a:t> of a bonds response to rate changes.</a:t>
          </a:r>
          <a:endParaRPr lang="en-US" sz="2000"/>
        </a:p>
        <a:p>
          <a:endParaRPr lang="en-US" sz="2000"/>
        </a:p>
        <a:p>
          <a:r>
            <a:rPr lang="en-US" sz="2000"/>
            <a:t>A second order estimate, convexity,</a:t>
          </a:r>
          <a:r>
            <a:rPr lang="en-US" sz="2000" baseline="0"/>
            <a:t> </a:t>
          </a:r>
          <a:r>
            <a:rPr lang="en-US" sz="2000"/>
            <a:t> is more accurate.</a:t>
          </a:r>
        </a:p>
        <a:p>
          <a:endParaRPr lang="en-US" sz="2000"/>
        </a:p>
        <a:p>
          <a:r>
            <a:rPr lang="en-US" sz="2000"/>
            <a:t>Using a Taylor series expansion, Duration</a:t>
          </a:r>
          <a:r>
            <a:rPr lang="en-US" sz="2000" baseline="0"/>
            <a:t> and Convexity model price change more accurately.</a:t>
          </a:r>
          <a:endParaRPr lang="en-US" sz="2000"/>
        </a:p>
        <a:p>
          <a:endParaRPr lang="en-US" sz="2000"/>
        </a:p>
        <a:p>
          <a:r>
            <a:rPr lang="en-US" sz="2000"/>
            <a:t>Duration and Convexity still can't duplicate stress scenarios</a:t>
          </a:r>
        </a:p>
        <a:p>
          <a:endParaRPr lang="en-US" sz="2000"/>
        </a:p>
        <a:p>
          <a:r>
            <a:rPr lang="en-US" sz="2000"/>
            <a:t>Bonds</a:t>
          </a:r>
          <a:r>
            <a:rPr lang="en-US" sz="2000" baseline="0"/>
            <a:t> are priced using the yield curve.</a:t>
          </a:r>
        </a:p>
        <a:p>
          <a:endParaRPr lang="en-US" sz="2000" baseline="0"/>
        </a:p>
        <a:p>
          <a:r>
            <a:rPr lang="en-US" sz="2000" baseline="0"/>
            <a:t>YTM is an abstract value that describes an individual bond; not a value found in the market.</a:t>
          </a:r>
        </a:p>
        <a:p>
          <a:endParaRPr lang="en-US" sz="2000" baseline="0"/>
        </a:p>
        <a:p>
          <a:r>
            <a:rPr lang="en-US" sz="2000" baseline="0"/>
            <a:t>Effective duration is an emprical approach to observing bond sensitivity.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ClassSet/Class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ClassSet/HW_Tem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ClassSet/Futures_N_Op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Intro1"/>
      <sheetName val="Day1"/>
      <sheetName val="Day2"/>
      <sheetName val="Themes"/>
      <sheetName val="Excel"/>
      <sheetName val="C0"/>
      <sheetName val="C1"/>
      <sheetName val="VaR0"/>
      <sheetName val="VaR1"/>
      <sheetName val="Class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0">
          <cell r="C10">
            <v>0.30509841009160843</v>
          </cell>
        </row>
      </sheetData>
      <sheetData sheetId="6" refreshError="1"/>
      <sheetData sheetId="7" refreshError="1"/>
      <sheetData sheetId="8"/>
      <sheetData sheetId="9">
        <row r="17">
          <cell r="H17">
            <v>-0.1166666666666667</v>
          </cell>
          <cell r="I17">
            <v>2.0245155915678506E-2</v>
          </cell>
        </row>
        <row r="18">
          <cell r="H18">
            <v>-4.9180327868852514E-2</v>
          </cell>
          <cell r="I18">
            <v>6.5071250560345781E-2</v>
          </cell>
        </row>
        <row r="19">
          <cell r="H19">
            <v>0.15384615384615374</v>
          </cell>
          <cell r="I19">
            <v>2.6794211814285693E-2</v>
          </cell>
        </row>
        <row r="20">
          <cell r="H20">
            <v>0.14285714285714279</v>
          </cell>
          <cell r="I20">
            <v>2.4937183068847957E-2</v>
          </cell>
        </row>
        <row r="21">
          <cell r="H21">
            <v>-3.6363636363636376E-2</v>
          </cell>
          <cell r="I21">
            <v>1.5892990271841077E-2</v>
          </cell>
        </row>
        <row r="22">
          <cell r="H22">
            <v>-1.8867924528301883E-2</v>
          </cell>
          <cell r="I22">
            <v>5.8831979384951591E-2</v>
          </cell>
        </row>
        <row r="23">
          <cell r="H23">
            <v>0.1132075471698113</v>
          </cell>
          <cell r="I23">
            <v>7.4228248882322961E-2</v>
          </cell>
        </row>
        <row r="24">
          <cell r="H24">
            <v>1.8867924528301883E-2</v>
          </cell>
          <cell r="I24">
            <v>6.4200308208082923E-2</v>
          </cell>
        </row>
        <row r="25">
          <cell r="H25">
            <v>-1.8867924528301883E-2</v>
          </cell>
          <cell r="I25">
            <v>1.545227823709858E-2</v>
          </cell>
        </row>
        <row r="26">
          <cell r="H26">
            <v>1.6666666666666607E-2</v>
          </cell>
          <cell r="I26">
            <v>0.12966462370790238</v>
          </cell>
        </row>
        <row r="27">
          <cell r="H27">
            <v>1.7543859649122862E-2</v>
          </cell>
          <cell r="I27">
            <v>-4.107577011595627E-2</v>
          </cell>
        </row>
        <row r="28">
          <cell r="H28">
            <v>-4.9180327868852514E-2</v>
          </cell>
          <cell r="I28">
            <v>-2.1243179619709854E-2</v>
          </cell>
        </row>
        <row r="29">
          <cell r="H29">
            <v>-1.7857142857142905E-2</v>
          </cell>
          <cell r="I29">
            <v>1.8536815749281822E-2</v>
          </cell>
        </row>
        <row r="30">
          <cell r="H30">
            <v>-0.1166666666666667</v>
          </cell>
          <cell r="I30">
            <v>1.5875030725474269E-3</v>
          </cell>
        </row>
        <row r="31">
          <cell r="H31">
            <v>1.6666666666666607E-2</v>
          </cell>
          <cell r="I31">
            <v>3.9724024009065509E-2</v>
          </cell>
        </row>
        <row r="32">
          <cell r="H32">
            <v>6.0000000000000053E-2</v>
          </cell>
          <cell r="I32">
            <v>5.3058953609419236E-2</v>
          </cell>
        </row>
        <row r="33">
          <cell r="H33">
            <v>3.4482758620689724E-2</v>
          </cell>
          <cell r="I33">
            <v>0.12650277547431774</v>
          </cell>
        </row>
        <row r="34">
          <cell r="H34">
            <v>-0.15517241379310343</v>
          </cell>
          <cell r="I34">
            <v>-0.11588162663967204</v>
          </cell>
        </row>
        <row r="35">
          <cell r="H35">
            <v>-5.6603773584905648E-2</v>
          </cell>
          <cell r="I35">
            <v>-1.8620155866414394E-2</v>
          </cell>
        </row>
        <row r="36">
          <cell r="H36">
            <v>1.8867924528301883E-2</v>
          </cell>
          <cell r="I36">
            <v>0.11150048215732976</v>
          </cell>
        </row>
        <row r="37">
          <cell r="H37">
            <v>-6.6666666666666652E-2</v>
          </cell>
          <cell r="I37">
            <v>6.5105428925712083E-2</v>
          </cell>
        </row>
      </sheetData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tionsHW"/>
      <sheetName val="fxHW"/>
      <sheetName val="VaR_HW_Q1"/>
      <sheetName val="VaR_HW_Q2"/>
      <sheetName val="VaR_HW_2.4"/>
      <sheetName val="VaR_HW_1"/>
      <sheetName val="VaR_HW_2"/>
      <sheetName val="HW6"/>
      <sheetName val="Date0"/>
      <sheetName val="Date1"/>
      <sheetName val="Date2"/>
      <sheetName val="Date0Check1"/>
      <sheetName val="Date0Check2"/>
      <sheetName val="4.2"/>
      <sheetName val="4.3"/>
      <sheetName val="4.4"/>
    </sheetNames>
    <sheetDataSet>
      <sheetData sheetId="0">
        <row r="2">
          <cell r="C2">
            <v>67</v>
          </cell>
          <cell r="D2">
            <v>775</v>
          </cell>
          <cell r="E2">
            <v>237</v>
          </cell>
        </row>
        <row r="5">
          <cell r="C5">
            <v>1.15E-2</v>
          </cell>
          <cell r="D5">
            <v>8.0000000000000002E-3</v>
          </cell>
          <cell r="E5">
            <v>1.2500000000000001E-2</v>
          </cell>
        </row>
        <row r="6">
          <cell r="C6">
            <v>1.7500000000000002E-2</v>
          </cell>
          <cell r="D6">
            <v>0</v>
          </cell>
          <cell r="E6">
            <v>0</v>
          </cell>
        </row>
        <row r="7">
          <cell r="C7">
            <v>1</v>
          </cell>
          <cell r="D7">
            <v>0.5</v>
          </cell>
          <cell r="E7">
            <v>2</v>
          </cell>
        </row>
        <row r="9">
          <cell r="C9">
            <v>-0.2898674981254461</v>
          </cell>
          <cell r="D9">
            <v>0.21878196022681604</v>
          </cell>
          <cell r="E9">
            <v>-0.31731082335539412</v>
          </cell>
        </row>
        <row r="10">
          <cell r="C10">
            <v>-0.48986749812544611</v>
          </cell>
          <cell r="D10">
            <v>2.7863129306448187E-2</v>
          </cell>
          <cell r="E10">
            <v>-0.9112805195520941</v>
          </cell>
        </row>
        <row r="12">
          <cell r="C12">
            <v>0.38595880367242197</v>
          </cell>
          <cell r="D12">
            <v>0.58659004994372632</v>
          </cell>
          <cell r="E12">
            <v>0.37550388277557334</v>
          </cell>
        </row>
        <row r="13">
          <cell r="C13">
            <v>0.3121138317415072</v>
          </cell>
          <cell r="D13">
            <v>0.5111143422154043</v>
          </cell>
          <cell r="E13">
            <v>0.18107379394568301</v>
          </cell>
        </row>
        <row r="14">
          <cell r="C14">
            <v>0.61404119632757803</v>
          </cell>
          <cell r="D14">
            <v>0.41340995005627368</v>
          </cell>
          <cell r="E14">
            <v>0.62449611722442666</v>
          </cell>
        </row>
        <row r="15">
          <cell r="C15">
            <v>0.6878861682584928</v>
          </cell>
          <cell r="D15">
            <v>0.48888565778459575</v>
          </cell>
          <cell r="E15">
            <v>0.81892620605431699</v>
          </cell>
        </row>
        <row r="17">
          <cell r="C17">
            <v>65.837699789559906</v>
          </cell>
          <cell r="D17">
            <v>775</v>
          </cell>
          <cell r="E17">
            <v>237</v>
          </cell>
        </row>
        <row r="18">
          <cell r="C18">
            <v>71.176742801849741</v>
          </cell>
          <cell r="D18">
            <v>756.96607190143357</v>
          </cell>
          <cell r="E18">
            <v>341.35846920991639</v>
          </cell>
        </row>
        <row r="20">
          <cell r="C20">
            <v>3.1953939205575459</v>
          </cell>
          <cell r="D20">
            <v>67.711072787108264</v>
          </cell>
          <cell r="E20">
            <v>27.183347102480703</v>
          </cell>
        </row>
        <row r="26">
          <cell r="C26">
            <v>44776.119402985074</v>
          </cell>
          <cell r="D26">
            <v>1290.3225806451612</v>
          </cell>
          <cell r="E26">
            <v>21097.04641350211</v>
          </cell>
        </row>
      </sheetData>
      <sheetData sheetId="1">
        <row r="3">
          <cell r="F3">
            <v>1.385</v>
          </cell>
          <cell r="G3">
            <v>121.9</v>
          </cell>
          <cell r="H3">
            <v>18.899999999999999</v>
          </cell>
        </row>
        <row r="4">
          <cell r="F4">
            <v>1.15E-2</v>
          </cell>
          <cell r="G4">
            <v>-7.0000000000000001E-3</v>
          </cell>
          <cell r="H4">
            <v>-1.2999999999999999E-3</v>
          </cell>
        </row>
        <row r="5">
          <cell r="F5">
            <v>5.0000000000000001E-3</v>
          </cell>
          <cell r="G5">
            <v>1.1000000000000001E-3</v>
          </cell>
          <cell r="H5">
            <v>3.85E-2</v>
          </cell>
        </row>
      </sheetData>
      <sheetData sheetId="2"/>
      <sheetData sheetId="3"/>
      <sheetData sheetId="4"/>
      <sheetData sheetId="5">
        <row r="6">
          <cell r="C6">
            <v>1.0699999999999999E-2</v>
          </cell>
          <cell r="D6">
            <v>8.5000000000000006E-3</v>
          </cell>
        </row>
        <row r="7">
          <cell r="C7">
            <v>8.8000000000000005E-3</v>
          </cell>
          <cell r="D7">
            <v>5.8999999999999999E-3</v>
          </cell>
        </row>
        <row r="8">
          <cell r="C8">
            <v>0.95</v>
          </cell>
          <cell r="D8">
            <v>0.99</v>
          </cell>
        </row>
        <row r="9">
          <cell r="C9">
            <v>30</v>
          </cell>
          <cell r="D9">
            <v>1</v>
          </cell>
        </row>
        <row r="11">
          <cell r="C11">
            <v>-3.7747119171729505E-3</v>
          </cell>
          <cell r="D11">
            <v>-5.2254524568409594E-3</v>
          </cell>
        </row>
        <row r="13">
          <cell r="C13">
            <v>498112.64404141356</v>
          </cell>
          <cell r="D13">
            <v>4128314.3723041103</v>
          </cell>
        </row>
        <row r="14">
          <cell r="C14">
            <v>1887.3559585864423</v>
          </cell>
          <cell r="D14">
            <v>21685.627695889678</v>
          </cell>
        </row>
      </sheetData>
      <sheetData sheetId="6"/>
      <sheetData sheetId="7"/>
      <sheetData sheetId="8"/>
      <sheetData sheetId="9"/>
      <sheetData sheetId="10"/>
      <sheetData sheetId="11">
        <row r="4">
          <cell r="H4">
            <v>24</v>
          </cell>
        </row>
      </sheetData>
      <sheetData sheetId="12">
        <row r="4">
          <cell r="E4">
            <v>5.0000000000000001E-3</v>
          </cell>
        </row>
      </sheetData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"/>
      <sheetName val="Options0"/>
      <sheetName val="Options1"/>
      <sheetName val="Options2"/>
      <sheetName val="fx0"/>
      <sheetName val="fx1"/>
      <sheetName val="Futures"/>
      <sheetName val="Hedging"/>
      <sheetName val="Remember"/>
    </sheetNames>
    <sheetDataSet>
      <sheetData sheetId="0"/>
      <sheetData sheetId="1"/>
      <sheetData sheetId="2"/>
      <sheetData sheetId="3">
        <row r="6">
          <cell r="C6">
            <v>2.1837080457267475</v>
          </cell>
        </row>
        <row r="7">
          <cell r="C7">
            <v>-0.18370804572674748</v>
          </cell>
        </row>
      </sheetData>
      <sheetData sheetId="4">
        <row r="64">
          <cell r="C64">
            <v>2</v>
          </cell>
        </row>
        <row r="65">
          <cell r="C65">
            <v>0.08</v>
          </cell>
        </row>
        <row r="66">
          <cell r="C66">
            <v>0.04</v>
          </cell>
        </row>
        <row r="67">
          <cell r="C67">
            <v>2.0769230769230771</v>
          </cell>
        </row>
      </sheetData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8"/>
  <sheetViews>
    <sheetView tabSelected="1" workbookViewId="0"/>
  </sheetViews>
  <sheetFormatPr baseColWidth="10" defaultRowHeight="26" x14ac:dyDescent="0.3"/>
  <cols>
    <col min="1" max="16384" width="10.83203125" style="12"/>
  </cols>
  <sheetData>
    <row r="2" spans="2:2" x14ac:dyDescent="0.3">
      <c r="B2" s="12" t="s">
        <v>47</v>
      </c>
    </row>
    <row r="4" spans="2:2" x14ac:dyDescent="0.3">
      <c r="B4" s="12" t="s">
        <v>40</v>
      </c>
    </row>
    <row r="6" spans="2:2" x14ac:dyDescent="0.3">
      <c r="B6" s="12" t="s">
        <v>41</v>
      </c>
    </row>
    <row r="8" spans="2:2" x14ac:dyDescent="0.3">
      <c r="B8" s="12" t="s">
        <v>42</v>
      </c>
    </row>
    <row r="10" spans="2:2" x14ac:dyDescent="0.3">
      <c r="B10" s="12" t="s">
        <v>48</v>
      </c>
    </row>
    <row r="12" spans="2:2" x14ac:dyDescent="0.3">
      <c r="B12" s="12" t="s">
        <v>43</v>
      </c>
    </row>
    <row r="14" spans="2:2" x14ac:dyDescent="0.3">
      <c r="B14" s="12" t="s">
        <v>44</v>
      </c>
    </row>
    <row r="16" spans="2:2" x14ac:dyDescent="0.3">
      <c r="B16" s="12" t="s">
        <v>45</v>
      </c>
    </row>
    <row r="18" spans="2:2" x14ac:dyDescent="0.3">
      <c r="B18" s="1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zoomScale="130" zoomScaleNormal="130" zoomScalePageLayoutView="130" workbookViewId="0"/>
  </sheetViews>
  <sheetFormatPr baseColWidth="10" defaultColWidth="8.83203125" defaultRowHeight="21" x14ac:dyDescent="0.25"/>
  <cols>
    <col min="1" max="1" width="8.83203125" style="2"/>
    <col min="2" max="2" width="14" style="2" bestFit="1" customWidth="1"/>
    <col min="3" max="3" width="18.33203125" style="2" bestFit="1" customWidth="1"/>
    <col min="4" max="4" width="9" style="2" bestFit="1" customWidth="1"/>
    <col min="5" max="6" width="15" style="2" bestFit="1" customWidth="1"/>
    <col min="7" max="7" width="8.83203125" style="2"/>
    <col min="8" max="8" width="14.33203125" style="2" bestFit="1" customWidth="1"/>
    <col min="9" max="16384" width="8.83203125" style="2"/>
  </cols>
  <sheetData>
    <row r="1" spans="1:8" x14ac:dyDescent="0.25">
      <c r="A1" s="2" t="s">
        <v>29</v>
      </c>
    </row>
    <row r="4" spans="1:8" x14ac:dyDescent="0.25">
      <c r="B4" s="2" t="s">
        <v>13</v>
      </c>
      <c r="C4" s="3">
        <v>2000000</v>
      </c>
    </row>
    <row r="5" spans="1:8" x14ac:dyDescent="0.25">
      <c r="B5" s="2" t="s">
        <v>12</v>
      </c>
      <c r="C5" s="4">
        <v>3.5000000000000003E-2</v>
      </c>
      <c r="E5" s="2" t="s">
        <v>11</v>
      </c>
      <c r="F5" s="3">
        <f>face*couponrate/pmtperyear</f>
        <v>35000</v>
      </c>
      <c r="H5" s="5"/>
    </row>
    <row r="6" spans="1:8" x14ac:dyDescent="0.25">
      <c r="B6" s="2" t="s">
        <v>10</v>
      </c>
      <c r="C6" s="2">
        <v>2</v>
      </c>
      <c r="E6" s="2" t="s">
        <v>9</v>
      </c>
      <c r="F6" s="2">
        <f>years*pmtperyear</f>
        <v>14</v>
      </c>
    </row>
    <row r="7" spans="1:8" x14ac:dyDescent="0.25">
      <c r="B7" s="2" t="s">
        <v>8</v>
      </c>
      <c r="C7" s="2">
        <v>7</v>
      </c>
      <c r="E7" s="2" t="s">
        <v>7</v>
      </c>
      <c r="F7" s="3">
        <f t="array" ref="F7">SUM(pv*pmts)</f>
        <v>2127705.527484586</v>
      </c>
      <c r="G7" s="2" t="s">
        <v>6</v>
      </c>
    </row>
    <row r="8" spans="1:8" x14ac:dyDescent="0.25">
      <c r="B8" s="2" t="s">
        <v>5</v>
      </c>
      <c r="C8" s="4">
        <v>2.5000000000000001E-2</v>
      </c>
      <c r="E8" s="2" t="s">
        <v>4</v>
      </c>
      <c r="F8" s="5">
        <f>-PV(y/pmtperyear,years*pmtperyear,pmt,face)</f>
        <v>2127705.5274845855</v>
      </c>
      <c r="G8" s="2" t="s">
        <v>3</v>
      </c>
    </row>
    <row r="11" spans="1:8" s="7" customFormat="1" x14ac:dyDescent="0.25">
      <c r="C11" s="7" t="s">
        <v>2</v>
      </c>
      <c r="D11" s="7" t="s">
        <v>1</v>
      </c>
      <c r="E11" s="7" t="s">
        <v>0</v>
      </c>
    </row>
    <row r="12" spans="1:8" x14ac:dyDescent="0.25">
      <c r="C12" s="2">
        <v>1</v>
      </c>
      <c r="D12" s="8">
        <f t="shared" ref="D12:D25" si="0">(1+y/2)^-n</f>
        <v>0.98765432098765438</v>
      </c>
      <c r="E12" s="3">
        <f t="shared" ref="E12:E25" si="1">IF(years*pmtperyear=n,pmt+face,pmt)</f>
        <v>35000</v>
      </c>
    </row>
    <row r="13" spans="1:8" x14ac:dyDescent="0.25">
      <c r="C13" s="2">
        <v>2</v>
      </c>
      <c r="D13" s="8">
        <f t="shared" si="0"/>
        <v>0.97546105776558456</v>
      </c>
      <c r="E13" s="3">
        <f t="shared" si="1"/>
        <v>35000</v>
      </c>
    </row>
    <row r="14" spans="1:8" x14ac:dyDescent="0.25">
      <c r="C14" s="2">
        <v>3</v>
      </c>
      <c r="D14" s="8">
        <f t="shared" si="0"/>
        <v>0.96341832865736754</v>
      </c>
      <c r="E14" s="3">
        <f t="shared" si="1"/>
        <v>35000</v>
      </c>
    </row>
    <row r="15" spans="1:8" x14ac:dyDescent="0.25">
      <c r="C15" s="2">
        <v>4</v>
      </c>
      <c r="D15" s="8">
        <f t="shared" si="0"/>
        <v>0.9515242752171531</v>
      </c>
      <c r="E15" s="3">
        <f t="shared" si="1"/>
        <v>35000</v>
      </c>
    </row>
    <row r="16" spans="1:8" x14ac:dyDescent="0.25">
      <c r="C16" s="2">
        <v>5</v>
      </c>
      <c r="D16" s="8">
        <f t="shared" si="0"/>
        <v>0.93977706194286736</v>
      </c>
      <c r="E16" s="3">
        <f t="shared" si="1"/>
        <v>35000</v>
      </c>
    </row>
    <row r="17" spans="3:5" x14ac:dyDescent="0.25">
      <c r="C17" s="2">
        <v>6</v>
      </c>
      <c r="D17" s="8">
        <f t="shared" si="0"/>
        <v>0.92817487599295534</v>
      </c>
      <c r="E17" s="3">
        <f t="shared" si="1"/>
        <v>35000</v>
      </c>
    </row>
    <row r="18" spans="3:5" x14ac:dyDescent="0.25">
      <c r="C18" s="2">
        <v>7</v>
      </c>
      <c r="D18" s="8">
        <f t="shared" si="0"/>
        <v>0.91671592690662274</v>
      </c>
      <c r="E18" s="3">
        <f t="shared" si="1"/>
        <v>35000</v>
      </c>
    </row>
    <row r="19" spans="3:5" x14ac:dyDescent="0.25">
      <c r="C19" s="2">
        <v>8</v>
      </c>
      <c r="D19" s="8">
        <f t="shared" si="0"/>
        <v>0.90539844632752842</v>
      </c>
      <c r="E19" s="3">
        <f t="shared" si="1"/>
        <v>35000</v>
      </c>
    </row>
    <row r="20" spans="3:5" x14ac:dyDescent="0.25">
      <c r="C20" s="2">
        <v>9</v>
      </c>
      <c r="D20" s="8">
        <f t="shared" si="0"/>
        <v>0.89422068773089236</v>
      </c>
      <c r="E20" s="3">
        <f t="shared" si="1"/>
        <v>35000</v>
      </c>
    </row>
    <row r="21" spans="3:5" x14ac:dyDescent="0.25">
      <c r="C21" s="2">
        <v>10</v>
      </c>
      <c r="D21" s="8">
        <f t="shared" si="0"/>
        <v>0.88318092615396759</v>
      </c>
      <c r="E21" s="3">
        <f t="shared" si="1"/>
        <v>35000</v>
      </c>
    </row>
    <row r="22" spans="3:5" x14ac:dyDescent="0.25">
      <c r="C22" s="2">
        <v>11</v>
      </c>
      <c r="D22" s="8">
        <f t="shared" si="0"/>
        <v>0.87227745792984479</v>
      </c>
      <c r="E22" s="3">
        <f t="shared" si="1"/>
        <v>35000</v>
      </c>
    </row>
    <row r="23" spans="3:5" x14ac:dyDescent="0.25">
      <c r="C23" s="2">
        <v>12</v>
      </c>
      <c r="D23" s="8">
        <f t="shared" si="0"/>
        <v>0.86150860042453792</v>
      </c>
      <c r="E23" s="3">
        <f t="shared" si="1"/>
        <v>35000</v>
      </c>
    </row>
    <row r="24" spans="3:5" x14ac:dyDescent="0.25">
      <c r="C24" s="2">
        <v>13</v>
      </c>
      <c r="D24" s="8">
        <f t="shared" si="0"/>
        <v>0.85087269177732161</v>
      </c>
      <c r="E24" s="3">
        <f t="shared" si="1"/>
        <v>35000</v>
      </c>
    </row>
    <row r="25" spans="3:5" x14ac:dyDescent="0.25">
      <c r="C25" s="2">
        <v>14</v>
      </c>
      <c r="D25" s="8">
        <f t="shared" si="0"/>
        <v>0.8403680906442681</v>
      </c>
      <c r="E25" s="3">
        <f t="shared" si="1"/>
        <v>2035000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"/>
  <sheetViews>
    <sheetView zoomScale="130" zoomScaleNormal="130" zoomScalePageLayoutView="130" workbookViewId="0"/>
  </sheetViews>
  <sheetFormatPr baseColWidth="10" defaultColWidth="8.83203125" defaultRowHeight="21" x14ac:dyDescent="0.25"/>
  <cols>
    <col min="1" max="1" width="8.83203125" style="2"/>
    <col min="2" max="2" width="18.33203125" style="2" customWidth="1"/>
    <col min="3" max="3" width="18.33203125" style="2" bestFit="1" customWidth="1"/>
    <col min="4" max="4" width="9.1640625" style="2" bestFit="1" customWidth="1"/>
    <col min="5" max="7" width="15" style="2" bestFit="1" customWidth="1"/>
    <col min="8" max="8" width="14.33203125" style="2" bestFit="1" customWidth="1"/>
    <col min="9" max="16384" width="8.83203125" style="2"/>
  </cols>
  <sheetData>
    <row r="1" spans="1:8" x14ac:dyDescent="0.25">
      <c r="A1" s="2" t="s">
        <v>30</v>
      </c>
    </row>
    <row r="4" spans="1:8" x14ac:dyDescent="0.25">
      <c r="B4" s="2" t="s">
        <v>13</v>
      </c>
      <c r="C4" s="3">
        <v>2000000</v>
      </c>
    </row>
    <row r="5" spans="1:8" x14ac:dyDescent="0.25">
      <c r="B5" s="2" t="s">
        <v>12</v>
      </c>
      <c r="C5" s="4">
        <v>3.5000000000000003E-2</v>
      </c>
      <c r="E5" s="2" t="s">
        <v>11</v>
      </c>
      <c r="F5" s="3">
        <f>face*couponrate/pmtperyear</f>
        <v>35000</v>
      </c>
      <c r="H5" s="5"/>
    </row>
    <row r="6" spans="1:8" x14ac:dyDescent="0.25">
      <c r="B6" s="2" t="s">
        <v>10</v>
      </c>
      <c r="C6" s="2">
        <v>2</v>
      </c>
      <c r="E6" s="2" t="s">
        <v>9</v>
      </c>
      <c r="F6" s="2">
        <f>years*pmtperyear</f>
        <v>14</v>
      </c>
    </row>
    <row r="7" spans="1:8" x14ac:dyDescent="0.25">
      <c r="B7" s="2" t="s">
        <v>8</v>
      </c>
      <c r="C7" s="2">
        <v>7</v>
      </c>
      <c r="E7" s="2" t="s">
        <v>7</v>
      </c>
      <c r="F7" s="3">
        <f t="array" ref="F7">SUM(pv*pmts)</f>
        <v>2127705.527484586</v>
      </c>
      <c r="G7" s="2" t="s">
        <v>6</v>
      </c>
    </row>
    <row r="8" spans="1:8" x14ac:dyDescent="0.25">
      <c r="B8" s="2" t="s">
        <v>5</v>
      </c>
      <c r="C8" s="4">
        <v>2.5000000000000001E-2</v>
      </c>
      <c r="E8" s="2" t="s">
        <v>4</v>
      </c>
      <c r="F8" s="5">
        <f>PV(y/pmtperyear,years*pmtperyear,pmt,face)</f>
        <v>-2127705.5274845855</v>
      </c>
      <c r="G8" s="2" t="s">
        <v>3</v>
      </c>
    </row>
    <row r="10" spans="1:8" x14ac:dyDescent="0.25">
      <c r="F10" s="6" t="s">
        <v>28</v>
      </c>
    </row>
    <row r="11" spans="1:8" s="7" customFormat="1" x14ac:dyDescent="0.25">
      <c r="C11" s="7" t="s">
        <v>2</v>
      </c>
      <c r="D11" s="7" t="s">
        <v>1</v>
      </c>
      <c r="E11" s="7" t="s">
        <v>0</v>
      </c>
      <c r="G11" s="3">
        <f>F7</f>
        <v>2127705.527484586</v>
      </c>
    </row>
    <row r="12" spans="1:8" x14ac:dyDescent="0.25">
      <c r="C12" s="2">
        <v>1</v>
      </c>
      <c r="D12" s="8">
        <f t="shared" ref="D12:D25" si="0">(1+y/2)^-n</f>
        <v>0.98765432098765438</v>
      </c>
      <c r="E12" s="3">
        <f t="shared" ref="E12:E25" si="1">IF(years*pmtperyear=n,pmt+face,pmt)</f>
        <v>35000</v>
      </c>
      <c r="F12" s="9">
        <f>C12/100</f>
        <v>0.01</v>
      </c>
      <c r="G12" s="10">
        <f t="dataTable" ref="G12:G25" dt2D="0" dtr="0" r1="C8"/>
        <v>2337217.6942852056</v>
      </c>
    </row>
    <row r="13" spans="1:8" x14ac:dyDescent="0.25">
      <c r="C13" s="2">
        <v>2</v>
      </c>
      <c r="D13" s="8">
        <f t="shared" si="0"/>
        <v>0.97546105776558456</v>
      </c>
      <c r="E13" s="3">
        <f t="shared" si="1"/>
        <v>35000</v>
      </c>
      <c r="F13" s="9">
        <f t="shared" ref="F13:F25" si="2">C13/100</f>
        <v>0.02</v>
      </c>
      <c r="G13" s="10">
        <v>2195055.5456350055</v>
      </c>
    </row>
    <row r="14" spans="1:8" x14ac:dyDescent="0.25">
      <c r="C14" s="2">
        <v>3</v>
      </c>
      <c r="D14" s="8">
        <f t="shared" si="0"/>
        <v>0.96341832865736754</v>
      </c>
      <c r="E14" s="3">
        <f t="shared" si="1"/>
        <v>35000</v>
      </c>
      <c r="F14" s="9">
        <f t="shared" si="2"/>
        <v>0.03</v>
      </c>
      <c r="G14" s="10">
        <v>2062716.9075055178</v>
      </c>
    </row>
    <row r="15" spans="1:8" x14ac:dyDescent="0.25">
      <c r="C15" s="2">
        <v>4</v>
      </c>
      <c r="D15" s="8">
        <f t="shared" si="0"/>
        <v>0.9515242752171531</v>
      </c>
      <c r="E15" s="3">
        <f t="shared" si="1"/>
        <v>35000</v>
      </c>
      <c r="F15" s="9">
        <f t="shared" si="2"/>
        <v>0.04</v>
      </c>
      <c r="G15" s="10">
        <v>1939468.7561470724</v>
      </c>
    </row>
    <row r="16" spans="1:8" x14ac:dyDescent="0.25">
      <c r="C16" s="2">
        <v>5</v>
      </c>
      <c r="D16" s="8">
        <f t="shared" si="0"/>
        <v>0.93977706194286736</v>
      </c>
      <c r="E16" s="3">
        <f t="shared" si="1"/>
        <v>35000</v>
      </c>
      <c r="F16" s="9">
        <f t="shared" si="2"/>
        <v>0.05</v>
      </c>
      <c r="G16" s="10">
        <v>1824636.3174559777</v>
      </c>
    </row>
    <row r="17" spans="3:7" x14ac:dyDescent="0.25">
      <c r="C17" s="2">
        <v>6</v>
      </c>
      <c r="D17" s="8">
        <f t="shared" si="0"/>
        <v>0.92817487599295534</v>
      </c>
      <c r="E17" s="3">
        <f t="shared" si="1"/>
        <v>35000</v>
      </c>
      <c r="F17" s="9">
        <f t="shared" si="2"/>
        <v>0.06</v>
      </c>
      <c r="G17" s="10">
        <v>1717598.1715155162</v>
      </c>
    </row>
    <row r="18" spans="3:7" x14ac:dyDescent="0.25">
      <c r="C18" s="2">
        <v>7</v>
      </c>
      <c r="D18" s="8">
        <f t="shared" si="0"/>
        <v>0.91671592690662274</v>
      </c>
      <c r="E18" s="3">
        <f t="shared" si="1"/>
        <v>35000</v>
      </c>
      <c r="F18" s="9">
        <f t="shared" si="2"/>
        <v>7.0000000000000007E-2</v>
      </c>
      <c r="G18" s="10">
        <v>1617781.7902766736</v>
      </c>
    </row>
    <row r="19" spans="3:7" x14ac:dyDescent="0.25">
      <c r="C19" s="2">
        <v>8</v>
      </c>
      <c r="D19" s="8">
        <f t="shared" si="0"/>
        <v>0.90539844632752842</v>
      </c>
      <c r="E19" s="3">
        <f t="shared" si="1"/>
        <v>35000</v>
      </c>
      <c r="F19" s="9">
        <f t="shared" si="2"/>
        <v>0.08</v>
      </c>
      <c r="G19" s="10">
        <v>1524659.4681745311</v>
      </c>
    </row>
    <row r="20" spans="3:7" x14ac:dyDescent="0.25">
      <c r="C20" s="2">
        <v>9</v>
      </c>
      <c r="D20" s="8">
        <f t="shared" si="0"/>
        <v>0.89422068773089236</v>
      </c>
      <c r="E20" s="3">
        <f t="shared" si="1"/>
        <v>35000</v>
      </c>
      <c r="F20" s="9">
        <f t="shared" si="2"/>
        <v>0.09</v>
      </c>
      <c r="G20" s="10">
        <v>1437744.6093799735</v>
      </c>
    </row>
    <row r="21" spans="3:7" x14ac:dyDescent="0.25">
      <c r="C21" s="2">
        <v>10</v>
      </c>
      <c r="D21" s="8">
        <f t="shared" si="0"/>
        <v>0.88318092615396759</v>
      </c>
      <c r="E21" s="3">
        <f t="shared" si="1"/>
        <v>35000</v>
      </c>
      <c r="F21" s="9">
        <f t="shared" si="2"/>
        <v>0.1</v>
      </c>
      <c r="G21" s="10">
        <v>1356588.3388941744</v>
      </c>
    </row>
    <row r="22" spans="3:7" x14ac:dyDescent="0.25">
      <c r="C22" s="2">
        <v>11</v>
      </c>
      <c r="D22" s="8">
        <f t="shared" si="0"/>
        <v>0.87227745792984479</v>
      </c>
      <c r="E22" s="3">
        <f t="shared" si="1"/>
        <v>35000</v>
      </c>
      <c r="F22" s="9">
        <f t="shared" si="2"/>
        <v>0.11</v>
      </c>
      <c r="G22" s="10">
        <v>1280776.4078478282</v>
      </c>
    </row>
    <row r="23" spans="3:7" x14ac:dyDescent="0.25">
      <c r="C23" s="2">
        <v>12</v>
      </c>
      <c r="D23" s="8">
        <f t="shared" si="0"/>
        <v>0.86150860042453792</v>
      </c>
      <c r="E23" s="3">
        <f t="shared" si="1"/>
        <v>35000</v>
      </c>
      <c r="F23" s="9">
        <f t="shared" si="2"/>
        <v>0.12</v>
      </c>
      <c r="G23" s="10">
        <v>1209926.3662045363</v>
      </c>
    </row>
    <row r="24" spans="3:7" x14ac:dyDescent="0.25">
      <c r="C24" s="2">
        <v>13</v>
      </c>
      <c r="D24" s="8">
        <f t="shared" si="0"/>
        <v>0.85087269177732161</v>
      </c>
      <c r="E24" s="3">
        <f t="shared" si="1"/>
        <v>35000</v>
      </c>
      <c r="F24" s="9">
        <f t="shared" si="2"/>
        <v>0.13</v>
      </c>
      <c r="G24" s="10">
        <v>1143684.978622172</v>
      </c>
    </row>
    <row r="25" spans="3:7" x14ac:dyDescent="0.25">
      <c r="C25" s="2">
        <v>14</v>
      </c>
      <c r="D25" s="8">
        <f t="shared" si="0"/>
        <v>0.8403680906442681</v>
      </c>
      <c r="E25" s="3">
        <f t="shared" si="1"/>
        <v>2035000</v>
      </c>
      <c r="F25" s="9">
        <f t="shared" si="2"/>
        <v>0.14000000000000001</v>
      </c>
      <c r="G25" s="10">
        <v>1081725.8615259873</v>
      </c>
    </row>
  </sheetData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5"/>
  <sheetViews>
    <sheetView zoomScale="130" zoomScaleNormal="130" zoomScalePageLayoutView="130" workbookViewId="0">
      <selection activeCell="M27" sqref="M27"/>
    </sheetView>
  </sheetViews>
  <sheetFormatPr baseColWidth="10" defaultColWidth="8.83203125" defaultRowHeight="21" x14ac:dyDescent="0.25"/>
  <cols>
    <col min="1" max="1" width="7.33203125" style="2" customWidth="1"/>
    <col min="2" max="2" width="14" style="2" bestFit="1" customWidth="1"/>
    <col min="3" max="3" width="15" style="2" bestFit="1" customWidth="1"/>
    <col min="4" max="4" width="6" style="2" bestFit="1" customWidth="1"/>
    <col min="5" max="5" width="15" style="2" bestFit="1" customWidth="1"/>
    <col min="6" max="6" width="16.1640625" style="2" customWidth="1"/>
    <col min="7" max="7" width="15" style="2" bestFit="1" customWidth="1"/>
    <col min="8" max="8" width="29.1640625" style="2" bestFit="1" customWidth="1"/>
    <col min="9" max="9" width="17.5" style="2" bestFit="1" customWidth="1"/>
    <col min="10" max="10" width="12.33203125" style="2" bestFit="1" customWidth="1"/>
    <col min="11" max="16384" width="8.83203125" style="2"/>
  </cols>
  <sheetData>
    <row r="1" spans="1:10" x14ac:dyDescent="0.25">
      <c r="A1" s="2" t="s">
        <v>35</v>
      </c>
    </row>
    <row r="4" spans="1:10" x14ac:dyDescent="0.25">
      <c r="B4" s="2" t="s">
        <v>13</v>
      </c>
      <c r="C4" s="3">
        <v>2000000</v>
      </c>
    </row>
    <row r="5" spans="1:10" x14ac:dyDescent="0.25">
      <c r="B5" s="2" t="s">
        <v>12</v>
      </c>
      <c r="C5" s="4">
        <v>3.5000000000000003E-2</v>
      </c>
      <c r="E5" s="2" t="s">
        <v>11</v>
      </c>
      <c r="F5" s="3">
        <f>face*couponrate/pmtperyear</f>
        <v>35000</v>
      </c>
      <c r="H5" s="5"/>
    </row>
    <row r="6" spans="1:10" x14ac:dyDescent="0.25">
      <c r="B6" s="2" t="s">
        <v>10</v>
      </c>
      <c r="C6" s="2">
        <v>2</v>
      </c>
      <c r="E6" s="2" t="s">
        <v>9</v>
      </c>
      <c r="F6" s="2">
        <f>years*pmtperyear</f>
        <v>14</v>
      </c>
    </row>
    <row r="7" spans="1:10" x14ac:dyDescent="0.25">
      <c r="B7" s="2" t="s">
        <v>8</v>
      </c>
      <c r="C7" s="2">
        <v>7</v>
      </c>
      <c r="E7" s="2" t="s">
        <v>7</v>
      </c>
      <c r="F7" s="3">
        <f t="array" ref="F7">SUM(pv*pmts)</f>
        <v>2127705.527484586</v>
      </c>
      <c r="G7" s="2" t="s">
        <v>6</v>
      </c>
      <c r="H7" s="2" t="s">
        <v>31</v>
      </c>
    </row>
    <row r="8" spans="1:10" x14ac:dyDescent="0.25">
      <c r="B8" s="2" t="s">
        <v>5</v>
      </c>
      <c r="C8" s="4">
        <v>2.5000000000000001E-2</v>
      </c>
      <c r="E8" s="2" t="s">
        <v>4</v>
      </c>
      <c r="F8" s="5">
        <f>-PV(y/pmtperyear,years*pmtperyear,pmt,face)</f>
        <v>2127705.5274845855</v>
      </c>
      <c r="G8" s="2" t="s">
        <v>3</v>
      </c>
      <c r="H8" s="15">
        <f>(G19-G17)/(F19-F17)</f>
        <v>-9646935.1670492534</v>
      </c>
      <c r="I8" s="16"/>
    </row>
    <row r="10" spans="1:10" x14ac:dyDescent="0.25">
      <c r="F10" s="6" t="s">
        <v>28</v>
      </c>
      <c r="H10" s="2" t="s">
        <v>32</v>
      </c>
      <c r="I10" s="2" t="s">
        <v>33</v>
      </c>
      <c r="J10" s="2" t="s">
        <v>34</v>
      </c>
    </row>
    <row r="11" spans="1:10" s="7" customFormat="1" x14ac:dyDescent="0.25">
      <c r="C11" s="7" t="s">
        <v>2</v>
      </c>
      <c r="D11" s="7" t="s">
        <v>1</v>
      </c>
      <c r="E11" s="7" t="s">
        <v>0</v>
      </c>
      <c r="G11" s="3">
        <f>F7</f>
        <v>2127705.527484586</v>
      </c>
    </row>
    <row r="12" spans="1:10" x14ac:dyDescent="0.25">
      <c r="C12" s="2">
        <v>1</v>
      </c>
      <c r="D12" s="8">
        <f t="shared" ref="D12:D25" si="0">(1+y/2)^-n</f>
        <v>0.98765432098765438</v>
      </c>
      <c r="E12" s="3">
        <f t="shared" ref="E12:E25" si="1">IF(years*pmtperyear=n,pmt+face,pmt)</f>
        <v>35000</v>
      </c>
      <c r="F12" s="9">
        <f>C12/100</f>
        <v>0.01</v>
      </c>
      <c r="G12" s="10">
        <f t="dataTable" ref="G12:G25" dt2D="0" dtr="0" r1="C8"/>
        <v>2337217.6942852056</v>
      </c>
      <c r="H12" s="11">
        <f>F12-$F$18</f>
        <v>-6.0000000000000005E-2</v>
      </c>
      <c r="I12" s="15">
        <f t="shared" ref="I12:I17" si="2">H12*$H$8</f>
        <v>578816.11002295522</v>
      </c>
      <c r="J12" s="10">
        <f t="shared" ref="J12:J15" si="3">G$18+I12</f>
        <v>2196597.9002996287</v>
      </c>
    </row>
    <row r="13" spans="1:10" x14ac:dyDescent="0.25">
      <c r="C13" s="2">
        <v>2</v>
      </c>
      <c r="D13" s="8">
        <f t="shared" si="0"/>
        <v>0.97546105776558456</v>
      </c>
      <c r="E13" s="3">
        <f t="shared" si="1"/>
        <v>35000</v>
      </c>
      <c r="F13" s="9">
        <f t="shared" ref="F13:F25" si="4">C13/100</f>
        <v>0.02</v>
      </c>
      <c r="G13" s="10">
        <v>2195055.5456350055</v>
      </c>
      <c r="H13" s="11">
        <f t="shared" ref="H13:H25" si="5">F13-$F$18</f>
        <v>-0.05</v>
      </c>
      <c r="I13" s="15">
        <f t="shared" si="2"/>
        <v>482346.75835246267</v>
      </c>
      <c r="J13" s="10">
        <f t="shared" si="3"/>
        <v>2100128.5486291363</v>
      </c>
    </row>
    <row r="14" spans="1:10" x14ac:dyDescent="0.25">
      <c r="C14" s="2">
        <v>3</v>
      </c>
      <c r="D14" s="8">
        <f t="shared" si="0"/>
        <v>0.96341832865736754</v>
      </c>
      <c r="E14" s="3">
        <f t="shared" si="1"/>
        <v>35000</v>
      </c>
      <c r="F14" s="9">
        <f t="shared" si="4"/>
        <v>0.03</v>
      </c>
      <c r="G14" s="10">
        <v>2062716.9075055178</v>
      </c>
      <c r="H14" s="11">
        <f t="shared" si="5"/>
        <v>-4.0000000000000008E-2</v>
      </c>
      <c r="I14" s="15">
        <f t="shared" si="2"/>
        <v>385877.40668197023</v>
      </c>
      <c r="J14" s="10">
        <f t="shared" si="3"/>
        <v>2003659.1969586438</v>
      </c>
    </row>
    <row r="15" spans="1:10" x14ac:dyDescent="0.25">
      <c r="C15" s="2">
        <v>4</v>
      </c>
      <c r="D15" s="8">
        <f t="shared" si="0"/>
        <v>0.9515242752171531</v>
      </c>
      <c r="E15" s="3">
        <f t="shared" si="1"/>
        <v>35000</v>
      </c>
      <c r="F15" s="9">
        <f t="shared" si="4"/>
        <v>0.04</v>
      </c>
      <c r="G15" s="10">
        <v>1939468.7561470724</v>
      </c>
      <c r="H15" s="11">
        <f t="shared" si="5"/>
        <v>-3.0000000000000006E-2</v>
      </c>
      <c r="I15" s="15">
        <f t="shared" si="2"/>
        <v>289408.05501147767</v>
      </c>
      <c r="J15" s="10">
        <f t="shared" si="3"/>
        <v>1907189.8452881514</v>
      </c>
    </row>
    <row r="16" spans="1:10" x14ac:dyDescent="0.25">
      <c r="C16" s="2">
        <v>5</v>
      </c>
      <c r="D16" s="8">
        <f t="shared" si="0"/>
        <v>0.93977706194286736</v>
      </c>
      <c r="E16" s="3">
        <f t="shared" si="1"/>
        <v>35000</v>
      </c>
      <c r="F16" s="9">
        <f t="shared" si="4"/>
        <v>0.05</v>
      </c>
      <c r="G16" s="10">
        <v>1824636.3174559777</v>
      </c>
      <c r="H16" s="11">
        <f t="shared" si="5"/>
        <v>-2.0000000000000004E-2</v>
      </c>
      <c r="I16" s="15">
        <f t="shared" si="2"/>
        <v>192938.70334098511</v>
      </c>
      <c r="J16" s="10">
        <f t="shared" ref="J16:J25" si="6">G$18+I16</f>
        <v>1810720.4936176587</v>
      </c>
    </row>
    <row r="17" spans="3:10" x14ac:dyDescent="0.25">
      <c r="C17" s="2">
        <v>6</v>
      </c>
      <c r="D17" s="8">
        <f t="shared" si="0"/>
        <v>0.92817487599295534</v>
      </c>
      <c r="E17" s="3">
        <f t="shared" si="1"/>
        <v>35000</v>
      </c>
      <c r="F17" s="9">
        <f t="shared" si="4"/>
        <v>0.06</v>
      </c>
      <c r="G17" s="10">
        <v>1717598.1715155162</v>
      </c>
      <c r="H17" s="11">
        <f t="shared" si="5"/>
        <v>-1.0000000000000009E-2</v>
      </c>
      <c r="I17" s="15">
        <f t="shared" si="2"/>
        <v>96469.351670492615</v>
      </c>
      <c r="J17" s="10">
        <f t="shared" si="6"/>
        <v>1714251.1419471663</v>
      </c>
    </row>
    <row r="18" spans="3:10" x14ac:dyDescent="0.25">
      <c r="C18" s="2">
        <v>7</v>
      </c>
      <c r="D18" s="8">
        <f t="shared" si="0"/>
        <v>0.91671592690662274</v>
      </c>
      <c r="E18" s="3">
        <f t="shared" si="1"/>
        <v>35000</v>
      </c>
      <c r="F18" s="9">
        <f t="shared" si="4"/>
        <v>7.0000000000000007E-2</v>
      </c>
      <c r="G18" s="10">
        <v>1617781.7902766736</v>
      </c>
      <c r="H18" s="11">
        <f t="shared" si="5"/>
        <v>0</v>
      </c>
      <c r="I18" s="15">
        <f>H18*$H$8</f>
        <v>0</v>
      </c>
      <c r="J18" s="10">
        <f t="shared" si="6"/>
        <v>1617781.7902766736</v>
      </c>
    </row>
    <row r="19" spans="3:10" x14ac:dyDescent="0.25">
      <c r="C19" s="2">
        <v>8</v>
      </c>
      <c r="D19" s="8">
        <f t="shared" si="0"/>
        <v>0.90539844632752842</v>
      </c>
      <c r="E19" s="3">
        <f t="shared" si="1"/>
        <v>35000</v>
      </c>
      <c r="F19" s="9">
        <f t="shared" si="4"/>
        <v>0.08</v>
      </c>
      <c r="G19" s="10">
        <v>1524659.4681745311</v>
      </c>
      <c r="H19" s="11">
        <f t="shared" si="5"/>
        <v>9.999999999999995E-3</v>
      </c>
      <c r="I19" s="15">
        <f t="shared" ref="I19:I25" si="7">H19*$H$8</f>
        <v>-96469.351670492484</v>
      </c>
      <c r="J19" s="10">
        <f t="shared" si="6"/>
        <v>1521312.4386061812</v>
      </c>
    </row>
    <row r="20" spans="3:10" x14ac:dyDescent="0.25">
      <c r="C20" s="2">
        <v>9</v>
      </c>
      <c r="D20" s="8">
        <f t="shared" si="0"/>
        <v>0.89422068773089236</v>
      </c>
      <c r="E20" s="3">
        <f t="shared" si="1"/>
        <v>35000</v>
      </c>
      <c r="F20" s="9">
        <f t="shared" si="4"/>
        <v>0.09</v>
      </c>
      <c r="G20" s="10">
        <v>1437744.6093799735</v>
      </c>
      <c r="H20" s="11">
        <f t="shared" si="5"/>
        <v>1.999999999999999E-2</v>
      </c>
      <c r="I20" s="15">
        <f t="shared" si="7"/>
        <v>-192938.70334098497</v>
      </c>
      <c r="J20" s="10">
        <f t="shared" si="6"/>
        <v>1424843.0869356887</v>
      </c>
    </row>
    <row r="21" spans="3:10" x14ac:dyDescent="0.25">
      <c r="C21" s="2">
        <v>10</v>
      </c>
      <c r="D21" s="8">
        <f t="shared" si="0"/>
        <v>0.88318092615396759</v>
      </c>
      <c r="E21" s="3">
        <f t="shared" si="1"/>
        <v>35000</v>
      </c>
      <c r="F21" s="9">
        <f t="shared" si="4"/>
        <v>0.1</v>
      </c>
      <c r="G21" s="10">
        <v>1356588.3388941744</v>
      </c>
      <c r="H21" s="11">
        <f t="shared" si="5"/>
        <v>0.03</v>
      </c>
      <c r="I21" s="15">
        <f t="shared" si="7"/>
        <v>-289408.05501147761</v>
      </c>
      <c r="J21" s="10">
        <f t="shared" si="6"/>
        <v>1328373.7352651961</v>
      </c>
    </row>
    <row r="22" spans="3:10" x14ac:dyDescent="0.25">
      <c r="C22" s="2">
        <v>11</v>
      </c>
      <c r="D22" s="8">
        <f t="shared" si="0"/>
        <v>0.87227745792984479</v>
      </c>
      <c r="E22" s="3">
        <f t="shared" si="1"/>
        <v>35000</v>
      </c>
      <c r="F22" s="9">
        <f t="shared" si="4"/>
        <v>0.11</v>
      </c>
      <c r="G22" s="10">
        <v>1280776.4078478282</v>
      </c>
      <c r="H22" s="11">
        <f t="shared" si="5"/>
        <v>3.9999999999999994E-2</v>
      </c>
      <c r="I22" s="15">
        <f t="shared" si="7"/>
        <v>-385877.40668197005</v>
      </c>
      <c r="J22" s="10">
        <f t="shared" si="6"/>
        <v>1231904.3835947036</v>
      </c>
    </row>
    <row r="23" spans="3:10" x14ac:dyDescent="0.25">
      <c r="C23" s="2">
        <v>12</v>
      </c>
      <c r="D23" s="8">
        <f t="shared" si="0"/>
        <v>0.86150860042453792</v>
      </c>
      <c r="E23" s="3">
        <f t="shared" si="1"/>
        <v>35000</v>
      </c>
      <c r="F23" s="9">
        <f t="shared" si="4"/>
        <v>0.12</v>
      </c>
      <c r="G23" s="10">
        <v>1209926.3662045363</v>
      </c>
      <c r="H23" s="11">
        <f t="shared" si="5"/>
        <v>4.9999999999999989E-2</v>
      </c>
      <c r="I23" s="15">
        <f t="shared" si="7"/>
        <v>-482346.75835246255</v>
      </c>
      <c r="J23" s="10">
        <f t="shared" si="6"/>
        <v>1135435.031924211</v>
      </c>
    </row>
    <row r="24" spans="3:10" x14ac:dyDescent="0.25">
      <c r="C24" s="2">
        <v>13</v>
      </c>
      <c r="D24" s="8">
        <f t="shared" si="0"/>
        <v>0.85087269177732161</v>
      </c>
      <c r="E24" s="3">
        <f t="shared" si="1"/>
        <v>35000</v>
      </c>
      <c r="F24" s="9">
        <f t="shared" si="4"/>
        <v>0.13</v>
      </c>
      <c r="G24" s="10">
        <v>1143684.978622172</v>
      </c>
      <c r="H24" s="11">
        <f t="shared" si="5"/>
        <v>0.06</v>
      </c>
      <c r="I24" s="15">
        <f t="shared" si="7"/>
        <v>-578816.11002295522</v>
      </c>
      <c r="J24" s="10">
        <f t="shared" si="6"/>
        <v>1038965.6802537184</v>
      </c>
    </row>
    <row r="25" spans="3:10" x14ac:dyDescent="0.25">
      <c r="C25" s="2">
        <v>14</v>
      </c>
      <c r="D25" s="8">
        <f t="shared" si="0"/>
        <v>0.8403680906442681</v>
      </c>
      <c r="E25" s="3">
        <f t="shared" si="1"/>
        <v>2035000</v>
      </c>
      <c r="F25" s="9">
        <f t="shared" si="4"/>
        <v>0.14000000000000001</v>
      </c>
      <c r="G25" s="10">
        <v>1081725.8615259873</v>
      </c>
      <c r="H25" s="11">
        <f t="shared" si="5"/>
        <v>7.0000000000000007E-2</v>
      </c>
      <c r="I25" s="15">
        <f t="shared" si="7"/>
        <v>-675285.46169344778</v>
      </c>
      <c r="J25" s="10">
        <f t="shared" si="6"/>
        <v>942496.32858322584</v>
      </c>
    </row>
  </sheetData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workbookViewId="0"/>
  </sheetViews>
  <sheetFormatPr baseColWidth="10" defaultColWidth="8.83203125" defaultRowHeight="26" x14ac:dyDescent="0.3"/>
  <cols>
    <col min="1" max="1" width="8.83203125" style="12"/>
    <col min="2" max="2" width="77.5" style="12" bestFit="1" customWidth="1"/>
    <col min="3" max="16384" width="8.83203125" style="12"/>
  </cols>
  <sheetData>
    <row r="1" spans="1:2" x14ac:dyDescent="0.3">
      <c r="A1" s="12" t="s">
        <v>36</v>
      </c>
    </row>
    <row r="3" spans="1:2" x14ac:dyDescent="0.3">
      <c r="B3" s="12" t="s">
        <v>24</v>
      </c>
    </row>
    <row r="4" spans="1:2" x14ac:dyDescent="0.3">
      <c r="B4" s="13" t="s">
        <v>23</v>
      </c>
    </row>
    <row r="5" spans="1:2" ht="30" x14ac:dyDescent="0.4">
      <c r="B5" s="13" t="s">
        <v>22</v>
      </c>
    </row>
    <row r="7" spans="1:2" x14ac:dyDescent="0.3">
      <c r="B7" s="12" t="s">
        <v>21</v>
      </c>
    </row>
    <row r="8" spans="1:2" ht="30" x14ac:dyDescent="0.4">
      <c r="B8" s="13" t="s">
        <v>20</v>
      </c>
    </row>
    <row r="9" spans="1:2" ht="30" x14ac:dyDescent="0.4">
      <c r="B9" s="13" t="s">
        <v>19</v>
      </c>
    </row>
    <row r="10" spans="1:2" ht="31" x14ac:dyDescent="0.4">
      <c r="B10" s="13" t="s">
        <v>18</v>
      </c>
    </row>
    <row r="12" spans="1:2" x14ac:dyDescent="0.3">
      <c r="B12" s="12" t="s">
        <v>17</v>
      </c>
    </row>
    <row r="13" spans="1:2" ht="31" x14ac:dyDescent="0.4">
      <c r="B13" s="13" t="s">
        <v>16</v>
      </c>
    </row>
    <row r="14" spans="1:2" x14ac:dyDescent="0.3">
      <c r="B14" s="13" t="s">
        <v>15</v>
      </c>
    </row>
    <row r="15" spans="1:2" x14ac:dyDescent="0.3">
      <c r="B15" s="13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5"/>
  <sheetViews>
    <sheetView zoomScale="130" zoomScaleNormal="130" zoomScalePageLayoutView="130" workbookViewId="0">
      <selection activeCell="M12" sqref="M12"/>
    </sheetView>
  </sheetViews>
  <sheetFormatPr baseColWidth="10" defaultColWidth="8.83203125" defaultRowHeight="21" x14ac:dyDescent="0.25"/>
  <cols>
    <col min="1" max="1" width="8.83203125" style="2"/>
    <col min="2" max="2" width="14" style="2" bestFit="1" customWidth="1"/>
    <col min="3" max="3" width="14.83203125" style="2" bestFit="1" customWidth="1"/>
    <col min="4" max="4" width="9" style="2" bestFit="1" customWidth="1"/>
    <col min="5" max="6" width="18.6640625" style="2" bestFit="1" customWidth="1"/>
    <col min="7" max="7" width="9" style="2" bestFit="1" customWidth="1"/>
    <col min="8" max="8" width="3.5" style="2" customWidth="1"/>
    <col min="9" max="9" width="15" style="2" bestFit="1" customWidth="1"/>
    <col min="10" max="16384" width="8.83203125" style="2"/>
  </cols>
  <sheetData>
    <row r="1" spans="1:10" x14ac:dyDescent="0.25">
      <c r="A1" s="2" t="s">
        <v>37</v>
      </c>
    </row>
    <row r="2" spans="1:10" x14ac:dyDescent="0.25">
      <c r="A2" s="14"/>
    </row>
    <row r="4" spans="1:10" x14ac:dyDescent="0.25">
      <c r="B4" s="2" t="s">
        <v>13</v>
      </c>
      <c r="C4" s="10">
        <v>2000000</v>
      </c>
    </row>
    <row r="5" spans="1:10" x14ac:dyDescent="0.25">
      <c r="B5" s="2" t="s">
        <v>12</v>
      </c>
      <c r="C5" s="4">
        <v>3.5000000000000003E-2</v>
      </c>
      <c r="E5" s="2" t="s">
        <v>11</v>
      </c>
      <c r="F5" s="3">
        <f>face*couponrate/pmtperyear</f>
        <v>35000</v>
      </c>
      <c r="I5" s="5"/>
    </row>
    <row r="6" spans="1:10" x14ac:dyDescent="0.25">
      <c r="B6" s="2" t="s">
        <v>10</v>
      </c>
      <c r="C6" s="2">
        <v>2</v>
      </c>
      <c r="E6" s="2" t="s">
        <v>9</v>
      </c>
      <c r="F6" s="2">
        <f>years*pmtperyear</f>
        <v>14</v>
      </c>
    </row>
    <row r="7" spans="1:10" x14ac:dyDescent="0.25">
      <c r="B7" s="2" t="s">
        <v>8</v>
      </c>
      <c r="C7" s="2">
        <v>7</v>
      </c>
      <c r="E7" s="2" t="s">
        <v>7</v>
      </c>
      <c r="F7" s="3">
        <f t="array" ref="F7">SUM(pv*pmts)</f>
        <v>2127705.527484586</v>
      </c>
      <c r="G7" s="2" t="s">
        <v>6</v>
      </c>
    </row>
    <row r="8" spans="1:10" x14ac:dyDescent="0.25">
      <c r="B8" s="2" t="s">
        <v>5</v>
      </c>
      <c r="C8" s="4">
        <v>2.5000000000000001E-2</v>
      </c>
      <c r="E8" s="2" t="s">
        <v>4</v>
      </c>
      <c r="F8" s="5">
        <f>-PV(y/pmtperyear,years*pmtperyear,pmt,face)</f>
        <v>2127705.5274845855</v>
      </c>
      <c r="G8" s="2" t="s">
        <v>3</v>
      </c>
    </row>
    <row r="11" spans="1:10" s="7" customFormat="1" x14ac:dyDescent="0.25">
      <c r="C11" s="7" t="s">
        <v>2</v>
      </c>
      <c r="D11" s="7" t="s">
        <v>1</v>
      </c>
      <c r="E11" s="7" t="s">
        <v>0</v>
      </c>
      <c r="G11" s="7" t="s">
        <v>27</v>
      </c>
      <c r="I11" s="7" t="s">
        <v>26</v>
      </c>
      <c r="J11" s="2" t="s">
        <v>38</v>
      </c>
    </row>
    <row r="12" spans="1:10" x14ac:dyDescent="0.25">
      <c r="C12" s="2">
        <v>1</v>
      </c>
      <c r="D12" s="8">
        <f t="shared" ref="D12:D25" si="0">(1+y/pmtperyear)^-n</f>
        <v>0.98765432098765438</v>
      </c>
      <c r="E12" s="3">
        <f t="shared" ref="E12:E25" si="1">IF(years*pmtperyear=n,pmt+face,pmt)</f>
        <v>35000</v>
      </c>
      <c r="G12" s="8">
        <f>(1+(y+0.01%)/pmtperyear)^-n</f>
        <v>0.98760555034319286</v>
      </c>
      <c r="H12" s="8"/>
      <c r="I12" s="3">
        <f t="array" ref="I12">SUM(pv2_*pmts)</f>
        <v>2126382.9183726022</v>
      </c>
    </row>
    <row r="13" spans="1:10" x14ac:dyDescent="0.25">
      <c r="C13" s="2">
        <v>2</v>
      </c>
      <c r="D13" s="8">
        <f t="shared" si="0"/>
        <v>0.97546105776558456</v>
      </c>
      <c r="E13" s="3">
        <f t="shared" si="1"/>
        <v>35000</v>
      </c>
      <c r="G13" s="8">
        <f t="shared" ref="G13:G25" si="2">(1+(y+0.01%)/pmtperyear)^-n</f>
        <v>0.97536472306868083</v>
      </c>
      <c r="H13" s="8"/>
    </row>
    <row r="14" spans="1:10" x14ac:dyDescent="0.25">
      <c r="C14" s="2">
        <v>3</v>
      </c>
      <c r="D14" s="8">
        <f t="shared" si="0"/>
        <v>0.96341832865736754</v>
      </c>
      <c r="E14" s="3">
        <f t="shared" si="1"/>
        <v>35000</v>
      </c>
      <c r="G14" s="8">
        <f t="shared" si="2"/>
        <v>0.96327561411158036</v>
      </c>
      <c r="H14" s="8"/>
      <c r="I14" s="7" t="s">
        <v>25</v>
      </c>
      <c r="J14" s="2" t="s">
        <v>38</v>
      </c>
    </row>
    <row r="15" spans="1:10" x14ac:dyDescent="0.25">
      <c r="C15" s="2">
        <v>4</v>
      </c>
      <c r="D15" s="8">
        <f t="shared" si="0"/>
        <v>0.9515242752171531</v>
      </c>
      <c r="E15" s="3">
        <f t="shared" si="1"/>
        <v>35000</v>
      </c>
      <c r="G15" s="8">
        <f t="shared" si="2"/>
        <v>0.95133634300684455</v>
      </c>
      <c r="H15" s="8"/>
      <c r="I15" s="3">
        <f>value_01-value</f>
        <v>-1322.6091119837947</v>
      </c>
    </row>
    <row r="16" spans="1:10" x14ac:dyDescent="0.25">
      <c r="C16" s="2">
        <v>5</v>
      </c>
      <c r="D16" s="8">
        <f t="shared" si="0"/>
        <v>0.93977706194286736</v>
      </c>
      <c r="E16" s="3">
        <f t="shared" si="1"/>
        <v>35000</v>
      </c>
      <c r="G16" s="8">
        <f t="shared" si="2"/>
        <v>0.93954505259675514</v>
      </c>
      <c r="H16" s="8"/>
    </row>
    <row r="17" spans="3:10" x14ac:dyDescent="0.25">
      <c r="C17" s="2">
        <v>6</v>
      </c>
      <c r="D17" s="8">
        <f t="shared" si="0"/>
        <v>0.92817487599295534</v>
      </c>
      <c r="E17" s="3">
        <f t="shared" si="1"/>
        <v>35000</v>
      </c>
      <c r="G17" s="8">
        <f t="shared" si="2"/>
        <v>0.92789990874204242</v>
      </c>
      <c r="H17" s="8"/>
      <c r="I17" s="7" t="s">
        <v>21</v>
      </c>
      <c r="J17" s="2" t="s">
        <v>39</v>
      </c>
    </row>
    <row r="18" spans="3:10" x14ac:dyDescent="0.25">
      <c r="C18" s="2">
        <v>7</v>
      </c>
      <c r="D18" s="8">
        <f t="shared" si="0"/>
        <v>0.91671592690662274</v>
      </c>
      <c r="E18" s="3">
        <f t="shared" si="1"/>
        <v>35000</v>
      </c>
      <c r="G18" s="8">
        <f t="shared" si="2"/>
        <v>0.9163991000365832</v>
      </c>
      <c r="H18" s="8"/>
      <c r="I18" s="8">
        <f t="array" ref="I18">SUM(pv*n/2*pmts)/SUM(pv*pmts)/(1+y/2)</f>
        <v>6.2183473660436253</v>
      </c>
    </row>
    <row r="19" spans="3:10" x14ac:dyDescent="0.25">
      <c r="C19" s="2">
        <v>8</v>
      </c>
      <c r="D19" s="8">
        <f t="shared" si="0"/>
        <v>0.90539844632752842</v>
      </c>
      <c r="E19" s="3">
        <f t="shared" si="1"/>
        <v>35000</v>
      </c>
      <c r="G19" s="8">
        <f t="shared" si="2"/>
        <v>0.90504083752563647</v>
      </c>
      <c r="H19" s="8"/>
    </row>
    <row r="20" spans="3:10" x14ac:dyDescent="0.25">
      <c r="C20" s="2">
        <v>9</v>
      </c>
      <c r="D20" s="8">
        <f t="shared" si="0"/>
        <v>0.89422068773089236</v>
      </c>
      <c r="E20" s="3">
        <f t="shared" si="1"/>
        <v>35000</v>
      </c>
      <c r="G20" s="8">
        <f t="shared" si="2"/>
        <v>0.89382335442757033</v>
      </c>
      <c r="H20" s="8"/>
      <c r="I20" s="7" t="s">
        <v>25</v>
      </c>
      <c r="J20" s="2" t="s">
        <v>39</v>
      </c>
    </row>
    <row r="21" spans="3:10" x14ac:dyDescent="0.25">
      <c r="C21" s="2">
        <v>10</v>
      </c>
      <c r="D21" s="8">
        <f t="shared" si="0"/>
        <v>0.88318092615396759</v>
      </c>
      <c r="E21" s="3">
        <f t="shared" si="1"/>
        <v>35000</v>
      </c>
      <c r="G21" s="8">
        <f t="shared" si="2"/>
        <v>0.88274490585903931</v>
      </c>
      <c r="H21" s="8"/>
      <c r="I21" s="3">
        <f>-Duration*value*0.0001</f>
        <v>-1323.0812062550237</v>
      </c>
    </row>
    <row r="22" spans="3:10" x14ac:dyDescent="0.25">
      <c r="C22" s="2">
        <v>11</v>
      </c>
      <c r="D22" s="8">
        <f t="shared" si="0"/>
        <v>0.87227745792984479</v>
      </c>
      <c r="E22" s="3">
        <f t="shared" si="1"/>
        <v>35000</v>
      </c>
      <c r="G22" s="8">
        <f t="shared" si="2"/>
        <v>0.87180376856356656</v>
      </c>
      <c r="H22" s="8"/>
    </row>
    <row r="23" spans="3:10" x14ac:dyDescent="0.25">
      <c r="C23" s="2">
        <v>12</v>
      </c>
      <c r="D23" s="8">
        <f t="shared" si="0"/>
        <v>0.86150860042453792</v>
      </c>
      <c r="E23" s="3">
        <f t="shared" si="1"/>
        <v>35000</v>
      </c>
      <c r="G23" s="8">
        <f t="shared" si="2"/>
        <v>0.86099824064349073</v>
      </c>
      <c r="H23" s="8"/>
    </row>
    <row r="24" spans="3:10" x14ac:dyDescent="0.25">
      <c r="C24" s="2">
        <v>13</v>
      </c>
      <c r="D24" s="8">
        <f t="shared" si="0"/>
        <v>0.85087269177732161</v>
      </c>
      <c r="E24" s="3">
        <f t="shared" si="1"/>
        <v>35000</v>
      </c>
      <c r="G24" s="8">
        <f t="shared" si="2"/>
        <v>0.85032664129523539</v>
      </c>
      <c r="H24" s="8"/>
    </row>
    <row r="25" spans="3:10" x14ac:dyDescent="0.25">
      <c r="C25" s="2">
        <v>14</v>
      </c>
      <c r="D25" s="8">
        <f t="shared" si="0"/>
        <v>0.8403680906442681</v>
      </c>
      <c r="E25" s="3">
        <f t="shared" si="1"/>
        <v>2035000</v>
      </c>
      <c r="G25" s="8">
        <f t="shared" si="2"/>
        <v>0.83978731054785982</v>
      </c>
      <c r="H25" s="8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RowHeight="15" x14ac:dyDescent="0.2"/>
  <cols>
    <col min="1" max="16384" width="10.832031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44</vt:i4>
      </vt:variant>
    </vt:vector>
  </HeadingPairs>
  <TitlesOfParts>
    <vt:vector size="51" baseType="lpstr">
      <vt:lpstr>Bonds</vt:lpstr>
      <vt:lpstr>Bonds1</vt:lpstr>
      <vt:lpstr>Bonds2</vt:lpstr>
      <vt:lpstr>Bonds3</vt:lpstr>
      <vt:lpstr>Duration</vt:lpstr>
      <vt:lpstr>BPV</vt:lpstr>
      <vt:lpstr>Remember</vt:lpstr>
      <vt:lpstr>Bonds2!couponrate</vt:lpstr>
      <vt:lpstr>Bonds3!couponrate</vt:lpstr>
      <vt:lpstr>BPV!couponrate</vt:lpstr>
      <vt:lpstr>couponrate</vt:lpstr>
      <vt:lpstr>Duration</vt:lpstr>
      <vt:lpstr>Bonds2!face</vt:lpstr>
      <vt:lpstr>Bonds3!face</vt:lpstr>
      <vt:lpstr>BPV!face</vt:lpstr>
      <vt:lpstr>face</vt:lpstr>
      <vt:lpstr>Bonds2!n</vt:lpstr>
      <vt:lpstr>Bonds3!n</vt:lpstr>
      <vt:lpstr>BPV!n</vt:lpstr>
      <vt:lpstr>n</vt:lpstr>
      <vt:lpstr>Bonds2!p</vt:lpstr>
      <vt:lpstr>Bonds3!p</vt:lpstr>
      <vt:lpstr>BPV!p</vt:lpstr>
      <vt:lpstr>p</vt:lpstr>
      <vt:lpstr>Bonds2!pmt</vt:lpstr>
      <vt:lpstr>Bonds3!pmt</vt:lpstr>
      <vt:lpstr>BPV!pmt</vt:lpstr>
      <vt:lpstr>pmt</vt:lpstr>
      <vt:lpstr>Bonds2!pmtperyear</vt:lpstr>
      <vt:lpstr>Bonds3!pmtperyear</vt:lpstr>
      <vt:lpstr>BPV!pmtperyear</vt:lpstr>
      <vt:lpstr>pmtperyear</vt:lpstr>
      <vt:lpstr>Bonds2!pmts</vt:lpstr>
      <vt:lpstr>Bonds3!pmts</vt:lpstr>
      <vt:lpstr>BPV!pmts</vt:lpstr>
      <vt:lpstr>pmts</vt:lpstr>
      <vt:lpstr>Bonds2!pv</vt:lpstr>
      <vt:lpstr>Bonds3!pv</vt:lpstr>
      <vt:lpstr>BPV!pv</vt:lpstr>
      <vt:lpstr>pv</vt:lpstr>
      <vt:lpstr>pv2_</vt:lpstr>
      <vt:lpstr>BPV!value</vt:lpstr>
      <vt:lpstr>value_01</vt:lpstr>
      <vt:lpstr>Bonds2!y</vt:lpstr>
      <vt:lpstr>Bonds3!y</vt:lpstr>
      <vt:lpstr>BPV!y</vt:lpstr>
      <vt:lpstr>y</vt:lpstr>
      <vt:lpstr>Bonds2!years</vt:lpstr>
      <vt:lpstr>Bonds3!years</vt:lpstr>
      <vt:lpstr>BPV!years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2017-04-03T00:48:48Z</dcterms:created>
  <dcterms:modified xsi:type="dcterms:W3CDTF">2018-10-21T16:34:50Z</dcterms:modified>
</cp:coreProperties>
</file>