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Users\dmrose\Documents\DCArcFlash\ArcModelValidation\ArcFlashCalculator\"/>
    </mc:Choice>
  </mc:AlternateContent>
  <xr:revisionPtr revIDLastSave="0" documentId="13_ncr:1_{754D8F13-6F5D-47DE-BB5A-7F37BB023B81}" xr6:coauthVersionLast="47" xr6:coauthVersionMax="47" xr10:uidLastSave="{00000000-0000-0000-0000-000000000000}"/>
  <bookViews>
    <workbookView xWindow="-120" yWindow="-120" windowWidth="38640" windowHeight="21120" xr2:uid="{D4F21237-859F-409A-8BDE-62C477E4C1D5}"/>
  </bookViews>
  <sheets>
    <sheet name="Max Power" sheetId="1" r:id="rId1"/>
    <sheet name="Arc Resistance" sheetId="3" r:id="rId2"/>
    <sheet name="Self-Extinguish" sheetId="2" r:id="rId3"/>
    <sheet name="Model Parameter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1" l="1"/>
  <c r="X38" i="1"/>
  <c r="Y38" i="1" s="1"/>
  <c r="W39" i="1" s="1"/>
  <c r="B16" i="1"/>
  <c r="W38" i="1" s="1"/>
  <c r="B17" i="3"/>
  <c r="W38" i="3" s="1"/>
  <c r="B17" i="2"/>
  <c r="BB104" i="2" s="1"/>
  <c r="X39" i="1" l="1"/>
  <c r="BB73" i="2"/>
  <c r="Y39" i="1" l="1"/>
  <c r="W40" i="1" s="1"/>
  <c r="X40" i="1" s="1"/>
  <c r="Y40" i="1" l="1"/>
  <c r="W41" i="1" s="1"/>
  <c r="X41" i="1" s="1"/>
  <c r="Y41" i="1" l="1"/>
  <c r="W42" i="1" s="1"/>
  <c r="X42" i="1" s="1"/>
  <c r="Y42" i="1" l="1"/>
  <c r="W43" i="1" s="1"/>
  <c r="X43" i="1" s="1"/>
  <c r="Y43" i="1" l="1"/>
  <c r="W44" i="1" s="1"/>
  <c r="X44" i="1" s="1"/>
  <c r="Y44" i="1" l="1"/>
  <c r="W45" i="1" s="1"/>
  <c r="X45" i="1" s="1"/>
  <c r="Y45" i="1" l="1"/>
  <c r="W46" i="1" s="1"/>
  <c r="X46" i="1" s="1"/>
  <c r="Y46" i="1" l="1"/>
  <c r="W47" i="1" s="1"/>
  <c r="X47" i="1" s="1"/>
  <c r="Y47" i="1" l="1"/>
  <c r="W48" i="1" s="1"/>
  <c r="X48" i="1"/>
  <c r="Y48" i="1" l="1"/>
  <c r="W49" i="1" s="1"/>
  <c r="X49" i="1" s="1"/>
  <c r="Y49" i="1" l="1"/>
  <c r="W50" i="1" s="1"/>
  <c r="X50" i="1" s="1"/>
  <c r="Y50" i="1" l="1"/>
  <c r="W51" i="1" s="1"/>
  <c r="X51" i="1" s="1"/>
  <c r="Y51" i="1" l="1"/>
  <c r="W52" i="1" s="1"/>
  <c r="X52" i="1"/>
  <c r="Y52" i="1" l="1"/>
  <c r="W53" i="1" s="1"/>
  <c r="X53" i="1" s="1"/>
  <c r="Y53" i="1" l="1"/>
  <c r="W54" i="1" s="1"/>
  <c r="X54" i="1" s="1"/>
  <c r="Y54" i="1" l="1"/>
  <c r="W55" i="1" s="1"/>
  <c r="X55" i="1" s="1"/>
  <c r="Y55" i="1" l="1"/>
  <c r="W56" i="1" s="1"/>
  <c r="X56" i="1" s="1"/>
  <c r="Y56" i="1" l="1"/>
  <c r="W57" i="1" s="1"/>
  <c r="X57" i="1" s="1"/>
  <c r="Y57" i="1" l="1"/>
  <c r="W58" i="1" s="1"/>
  <c r="X58" i="1"/>
  <c r="Y58" i="1" l="1"/>
  <c r="W59" i="1" s="1"/>
  <c r="X59" i="1" s="1"/>
  <c r="Y59" i="1" l="1"/>
  <c r="W60" i="1" s="1"/>
  <c r="X60" i="1"/>
  <c r="Y60" i="1" l="1"/>
  <c r="W61" i="1" s="1"/>
  <c r="X61" i="1"/>
  <c r="Y61" i="1" l="1"/>
  <c r="W62" i="1" s="1"/>
  <c r="X62" i="1" s="1"/>
  <c r="Y62" i="1" l="1"/>
  <c r="W63" i="1" s="1"/>
  <c r="X63" i="1"/>
  <c r="Y63" i="1" s="1"/>
  <c r="AL104" i="2" l="1"/>
  <c r="AL73" i="2"/>
  <c r="AL74" i="2" s="1"/>
  <c r="AL105" i="2"/>
  <c r="AL106" i="2" s="1"/>
  <c r="AL107" i="2" s="1"/>
  <c r="AL108" i="2" s="1"/>
  <c r="AL109" i="2" s="1"/>
  <c r="AL110" i="2" s="1"/>
  <c r="AL111" i="2" s="1"/>
  <c r="AL112" i="2" s="1"/>
  <c r="AL113" i="2" s="1"/>
  <c r="AL114" i="2" s="1"/>
  <c r="AL115" i="2" s="1"/>
  <c r="AL116" i="2" s="1"/>
  <c r="AL117" i="2" s="1"/>
  <c r="AL118" i="2" s="1"/>
  <c r="AL119" i="2" s="1"/>
  <c r="AL120" i="2" s="1"/>
  <c r="AL121" i="2" s="1"/>
  <c r="AL122" i="2" s="1"/>
  <c r="AL123" i="2" s="1"/>
  <c r="AL124" i="2" s="1"/>
  <c r="AL125" i="2" s="1"/>
  <c r="AL126" i="2" s="1"/>
  <c r="AL127" i="2" s="1"/>
  <c r="AL128" i="2" s="1"/>
  <c r="AL129" i="2" s="1"/>
  <c r="AC42" i="2"/>
  <c r="AD42" i="2" s="1"/>
  <c r="AE42" i="2" s="1"/>
  <c r="AC11" i="2"/>
  <c r="X3" i="3"/>
  <c r="Z3" i="3" s="1"/>
  <c r="B24" i="2"/>
  <c r="AL75" i="2" l="1"/>
  <c r="AH42" i="2"/>
  <c r="AE11" i="2"/>
  <c r="B13" i="3"/>
  <c r="AB3" i="3" s="1"/>
  <c r="AC3" i="3" s="1"/>
  <c r="B23" i="2"/>
  <c r="B25" i="1"/>
  <c r="B24" i="1"/>
  <c r="B49" i="3"/>
  <c r="B48" i="3"/>
  <c r="B44" i="3"/>
  <c r="B45" i="3" s="1"/>
  <c r="B36" i="3"/>
  <c r="B35" i="3"/>
  <c r="B34" i="3"/>
  <c r="B25" i="3"/>
  <c r="B85" i="2"/>
  <c r="B84" i="2"/>
  <c r="B80" i="2"/>
  <c r="B81" i="2" s="1"/>
  <c r="B72" i="2"/>
  <c r="B71" i="2"/>
  <c r="B70" i="2"/>
  <c r="B32" i="2"/>
  <c r="B13" i="2"/>
  <c r="B20" i="1"/>
  <c r="B39" i="1"/>
  <c r="B38" i="1"/>
  <c r="B26" i="1"/>
  <c r="B34" i="1"/>
  <c r="AL76" i="2" l="1"/>
  <c r="AF42" i="2"/>
  <c r="AG42" i="2" s="1"/>
  <c r="B68" i="2"/>
  <c r="B69" i="2" s="1"/>
  <c r="AG11" i="2"/>
  <c r="AH11" i="2" s="1"/>
  <c r="AI42" i="2"/>
  <c r="AC43" i="2" s="1"/>
  <c r="AD11" i="2"/>
  <c r="AF11" i="2" s="1"/>
  <c r="Y3" i="3"/>
  <c r="AA3" i="3" s="1"/>
  <c r="X4" i="3" s="1"/>
  <c r="Y4" i="3" s="1"/>
  <c r="B32" i="3"/>
  <c r="B33" i="3" s="1"/>
  <c r="B13" i="1"/>
  <c r="B35" i="1"/>
  <c r="AL77" i="2" l="1"/>
  <c r="AH43" i="2"/>
  <c r="AI43" i="2" s="1"/>
  <c r="AD43" i="2"/>
  <c r="AF43" i="2" s="1"/>
  <c r="AC12" i="2"/>
  <c r="AB4" i="3"/>
  <c r="AC4" i="3" s="1"/>
  <c r="B22" i="1"/>
  <c r="B23" i="1" s="1"/>
  <c r="AL78" i="2" l="1"/>
  <c r="AE43" i="2"/>
  <c r="AG43" i="2" s="1"/>
  <c r="AC44" i="2" s="1"/>
  <c r="AE12" i="2"/>
  <c r="AD12" i="2"/>
  <c r="AG12" i="2"/>
  <c r="AH12" i="2" s="1"/>
  <c r="Z4" i="3"/>
  <c r="AA4" i="3" s="1"/>
  <c r="AL79" i="2" l="1"/>
  <c r="AF12" i="2"/>
  <c r="AC13" i="2"/>
  <c r="AH44" i="2"/>
  <c r="AI44" i="2" s="1"/>
  <c r="AD44" i="2"/>
  <c r="AF44" i="2" s="1"/>
  <c r="AG13" i="2"/>
  <c r="AH13" i="2" s="1"/>
  <c r="AE13" i="2"/>
  <c r="AD13" i="2"/>
  <c r="X5" i="3"/>
  <c r="Y5" i="3" s="1"/>
  <c r="AL80" i="2" l="1"/>
  <c r="AE44" i="2"/>
  <c r="AG44" i="2" s="1"/>
  <c r="AC45" i="2" s="1"/>
  <c r="AF13" i="2"/>
  <c r="AC14" i="2" s="1"/>
  <c r="Z5" i="3"/>
  <c r="AB5" i="3"/>
  <c r="AC5" i="3" s="1"/>
  <c r="AA5" i="3"/>
  <c r="AL81" i="2" l="1"/>
  <c r="AH45" i="2"/>
  <c r="AI45" i="2" s="1"/>
  <c r="AD45" i="2"/>
  <c r="AF45" i="2" s="1"/>
  <c r="AG14" i="2"/>
  <c r="AH14" i="2" s="1"/>
  <c r="AE14" i="2"/>
  <c r="AD14" i="2"/>
  <c r="X6" i="3"/>
  <c r="Y6" i="3" s="1"/>
  <c r="AL82" i="2" l="1"/>
  <c r="AE45" i="2"/>
  <c r="AG45" i="2" s="1"/>
  <c r="AC46" i="2" s="1"/>
  <c r="AF14" i="2"/>
  <c r="AC15" i="2" s="1"/>
  <c r="AB6" i="3"/>
  <c r="AC6" i="3" s="1"/>
  <c r="Z6" i="3"/>
  <c r="AA6" i="3" s="1"/>
  <c r="X7" i="3" s="1"/>
  <c r="Y7" i="3" s="1"/>
  <c r="AL83" i="2" l="1"/>
  <c r="AD46" i="2"/>
  <c r="AH46" i="2"/>
  <c r="AI46" i="2" s="1"/>
  <c r="AD15" i="2"/>
  <c r="AE15" i="2"/>
  <c r="AG15" i="2"/>
  <c r="AH15" i="2" s="1"/>
  <c r="Z7" i="3"/>
  <c r="AA7" i="3" s="1"/>
  <c r="AB7" i="3"/>
  <c r="AC7" i="3" s="1"/>
  <c r="AL84" i="2" l="1"/>
  <c r="AF46" i="2"/>
  <c r="AE46" i="2"/>
  <c r="AF15" i="2"/>
  <c r="AC16" i="2" s="1"/>
  <c r="X8" i="3"/>
  <c r="Y8" i="3" s="1"/>
  <c r="AL85" i="2" l="1"/>
  <c r="AG46" i="2"/>
  <c r="AC47" i="2" s="1"/>
  <c r="AD16" i="2"/>
  <c r="AG16" i="2"/>
  <c r="AH16" i="2" s="1"/>
  <c r="AE16" i="2"/>
  <c r="AB8" i="3"/>
  <c r="AC8" i="3" s="1"/>
  <c r="Z8" i="3"/>
  <c r="AA8" i="3" s="1"/>
  <c r="X9" i="3" s="1"/>
  <c r="Y9" i="3" s="1"/>
  <c r="AL86" i="2" l="1"/>
  <c r="AD47" i="2"/>
  <c r="AF47" i="2" s="1"/>
  <c r="AH47" i="2"/>
  <c r="AI47" i="2" s="1"/>
  <c r="AE47" i="2"/>
  <c r="AF16" i="2"/>
  <c r="AC17" i="2" s="1"/>
  <c r="AB9" i="3"/>
  <c r="Z9" i="3"/>
  <c r="AA9" i="3" s="1"/>
  <c r="AL87" i="2" l="1"/>
  <c r="AG47" i="2"/>
  <c r="AC48" i="2" s="1"/>
  <c r="AE17" i="2"/>
  <c r="AG17" i="2"/>
  <c r="AH17" i="2" s="1"/>
  <c r="AD17" i="2"/>
  <c r="AC9" i="3"/>
  <c r="X10" i="3" s="1"/>
  <c r="AL88" i="2" l="1"/>
  <c r="AH48" i="2"/>
  <c r="AI48" i="2" s="1"/>
  <c r="AD48" i="2"/>
  <c r="AF48" i="2" s="1"/>
  <c r="AF17" i="2"/>
  <c r="AC18" i="2" s="1"/>
  <c r="Y10" i="3"/>
  <c r="Z10" i="3"/>
  <c r="AA10" i="3" s="1"/>
  <c r="AB10" i="3"/>
  <c r="AC10" i="3" s="1"/>
  <c r="X11" i="3" s="1"/>
  <c r="Y11" i="3" s="1"/>
  <c r="AL89" i="2" l="1"/>
  <c r="AE48" i="2"/>
  <c r="AG48" i="2" s="1"/>
  <c r="AC49" i="2" s="1"/>
  <c r="AD18" i="2"/>
  <c r="AE18" i="2"/>
  <c r="AG18" i="2"/>
  <c r="AH18" i="2" s="1"/>
  <c r="Z11" i="3"/>
  <c r="AA11" i="3" s="1"/>
  <c r="AB11" i="3"/>
  <c r="AC11" i="3" s="1"/>
  <c r="AL90" i="2" l="1"/>
  <c r="AD49" i="2"/>
  <c r="AF49" i="2" s="1"/>
  <c r="AH49" i="2"/>
  <c r="AI49" i="2" s="1"/>
  <c r="AE49" i="2"/>
  <c r="AF18" i="2"/>
  <c r="AC19" i="2" s="1"/>
  <c r="X12" i="3"/>
  <c r="Y12" i="3" s="1"/>
  <c r="AG49" i="2" l="1"/>
  <c r="AC50" i="2" s="1"/>
  <c r="AL91" i="2"/>
  <c r="AG19" i="2"/>
  <c r="AH19" i="2" s="1"/>
  <c r="AD19" i="2"/>
  <c r="AE19" i="2"/>
  <c r="AD50" i="2"/>
  <c r="AH50" i="2"/>
  <c r="AI50" i="2" s="1"/>
  <c r="AB12" i="3"/>
  <c r="AC12" i="3" s="1"/>
  <c r="Z12" i="3"/>
  <c r="AF19" i="2" l="1"/>
  <c r="AL92" i="2"/>
  <c r="AC20" i="2"/>
  <c r="AF50" i="2"/>
  <c r="AE50" i="2"/>
  <c r="AE20" i="2"/>
  <c r="AD20" i="2"/>
  <c r="AG20" i="2"/>
  <c r="AH20" i="2" s="1"/>
  <c r="AF20" i="2" l="1"/>
  <c r="AL93" i="2"/>
  <c r="AG50" i="2"/>
  <c r="AC51" i="2" s="1"/>
  <c r="AC21" i="2"/>
  <c r="AL94" i="2" l="1"/>
  <c r="AH51" i="2"/>
  <c r="AI51" i="2" s="1"/>
  <c r="AD51" i="2"/>
  <c r="AF51" i="2" s="1"/>
  <c r="AE21" i="2"/>
  <c r="AD21" i="2"/>
  <c r="AG21" i="2"/>
  <c r="AH21" i="2" s="1"/>
  <c r="AL95" i="2" l="1"/>
  <c r="AF21" i="2"/>
  <c r="AC22" i="2" s="1"/>
  <c r="AE51" i="2"/>
  <c r="AG51" i="2" s="1"/>
  <c r="AC52" i="2" s="1"/>
  <c r="AL96" i="2" l="1"/>
  <c r="AG22" i="2"/>
  <c r="AH22" i="2" s="1"/>
  <c r="AE22" i="2"/>
  <c r="AD22" i="2"/>
  <c r="AD52" i="2"/>
  <c r="AF52" i="2" s="1"/>
  <c r="AH52" i="2"/>
  <c r="AI52" i="2" s="1"/>
  <c r="AE52" i="2"/>
  <c r="AG52" i="2" s="1"/>
  <c r="AF22" i="2"/>
  <c r="AC23" i="2" s="1"/>
  <c r="AC53" i="2" l="1"/>
  <c r="AH53" i="2" s="1"/>
  <c r="AI53" i="2" s="1"/>
  <c r="AL97" i="2"/>
  <c r="AG23" i="2"/>
  <c r="AH23" i="2" s="1"/>
  <c r="AE23" i="2"/>
  <c r="AD23" i="2"/>
  <c r="AD53" i="2" l="1"/>
  <c r="AF53" i="2" s="1"/>
  <c r="AL98" i="2"/>
  <c r="AF23" i="2"/>
  <c r="AC24" i="2"/>
  <c r="AE53" i="2" l="1"/>
  <c r="AG53" i="2" s="1"/>
  <c r="AC54" i="2" s="1"/>
  <c r="AD54" i="2" s="1"/>
  <c r="AF54" i="2" s="1"/>
  <c r="AG24" i="2"/>
  <c r="AH24" i="2" s="1"/>
  <c r="AE24" i="2"/>
  <c r="AD24" i="2"/>
  <c r="AH54" i="2" l="1"/>
  <c r="AI54" i="2" s="1"/>
  <c r="AE54" i="2"/>
  <c r="AF24" i="2"/>
  <c r="AC25" i="2" s="1"/>
  <c r="AG54" i="2"/>
  <c r="AE25" i="2"/>
  <c r="AC55" i="2" l="1"/>
  <c r="AD55" i="2" s="1"/>
  <c r="AD25" i="2"/>
  <c r="AF25" i="2" s="1"/>
  <c r="AG25" i="2"/>
  <c r="AH25" i="2" s="1"/>
  <c r="AH55" i="2" l="1"/>
  <c r="AI55" i="2" s="1"/>
  <c r="AC26" i="2"/>
  <c r="AF55" i="2"/>
  <c r="AE55" i="2"/>
  <c r="AD26" i="2" l="1"/>
  <c r="AG26" i="2"/>
  <c r="AH26" i="2" s="1"/>
  <c r="AE26" i="2"/>
  <c r="AG55" i="2"/>
  <c r="AC56" i="2" s="1"/>
  <c r="AD56" i="2" s="1"/>
  <c r="AH56" i="2" l="1"/>
  <c r="AI56" i="2" s="1"/>
  <c r="AF26" i="2"/>
  <c r="AC27" i="2" s="1"/>
  <c r="AF56" i="2"/>
  <c r="AE56" i="2"/>
  <c r="AG56" i="2" l="1"/>
  <c r="AC57" i="2" s="1"/>
  <c r="AE27" i="2"/>
  <c r="AG27" i="2"/>
  <c r="AH27" i="2" s="1"/>
  <c r="AD27" i="2"/>
  <c r="AF27" i="2" s="1"/>
  <c r="AH57" i="2"/>
  <c r="AI57" i="2" s="1"/>
  <c r="AD57" i="2"/>
  <c r="AC28" i="2" l="1"/>
  <c r="AF57" i="2"/>
  <c r="AE57" i="2"/>
  <c r="AG57" i="2" s="1"/>
  <c r="AC58" i="2" s="1"/>
  <c r="AD28" i="2" l="1"/>
  <c r="AG28" i="2"/>
  <c r="AH28" i="2" s="1"/>
  <c r="AE28" i="2"/>
  <c r="AH58" i="2"/>
  <c r="AI58" i="2" s="1"/>
  <c r="AD58" i="2"/>
  <c r="AF28" i="2" l="1"/>
  <c r="AC29" i="2" s="1"/>
  <c r="AF58" i="2"/>
  <c r="AE58" i="2"/>
  <c r="AG58" i="2" l="1"/>
  <c r="AC59" i="2" s="1"/>
  <c r="AG29" i="2"/>
  <c r="AH29" i="2" s="1"/>
  <c r="AE29" i="2"/>
  <c r="AD29" i="2"/>
  <c r="AH59" i="2"/>
  <c r="AI59" i="2" s="1"/>
  <c r="AD59" i="2"/>
  <c r="AF29" i="2" l="1"/>
  <c r="AC30" i="2" s="1"/>
  <c r="AF59" i="2"/>
  <c r="AE59" i="2"/>
  <c r="AE30" i="2" l="1"/>
  <c r="AD30" i="2"/>
  <c r="AF30" i="2" s="1"/>
  <c r="AG30" i="2"/>
  <c r="AH30" i="2" s="1"/>
  <c r="AG59" i="2"/>
  <c r="AC60" i="2" s="1"/>
  <c r="AC31" i="2" l="1"/>
  <c r="AH60" i="2"/>
  <c r="AI60" i="2" s="1"/>
  <c r="AD60" i="2"/>
  <c r="AF60" i="2" s="1"/>
  <c r="AG31" i="2" l="1"/>
  <c r="AH31" i="2" s="1"/>
  <c r="AD31" i="2"/>
  <c r="AE31" i="2"/>
  <c r="AE60" i="2"/>
  <c r="AG60" i="2" s="1"/>
  <c r="AC61" i="2" s="1"/>
  <c r="AF31" i="2" l="1"/>
  <c r="AC32" i="2" s="1"/>
  <c r="AH61" i="2"/>
  <c r="AI61" i="2" s="1"/>
  <c r="AD61" i="2"/>
  <c r="AF61" i="2" s="1"/>
  <c r="AE32" i="2" l="1"/>
  <c r="AG32" i="2"/>
  <c r="AH32" i="2" s="1"/>
  <c r="AD32" i="2"/>
  <c r="AF32" i="2" s="1"/>
  <c r="AC33" i="2" s="1"/>
  <c r="AE61" i="2"/>
  <c r="AG61" i="2" s="1"/>
  <c r="AC62" i="2" s="1"/>
  <c r="AD33" i="2" l="1"/>
  <c r="AG33" i="2"/>
  <c r="AH33" i="2" s="1"/>
  <c r="AE33" i="2"/>
  <c r="AH62" i="2"/>
  <c r="AI62" i="2" s="1"/>
  <c r="AD62" i="2"/>
  <c r="AF62" i="2" s="1"/>
  <c r="AF33" i="2" l="1"/>
  <c r="AC34" i="2" s="1"/>
  <c r="AE62" i="2"/>
  <c r="AG62" i="2" s="1"/>
  <c r="AC63" i="2" s="1"/>
  <c r="AD34" i="2" l="1"/>
  <c r="AE34" i="2"/>
  <c r="AG34" i="2"/>
  <c r="AH34" i="2" s="1"/>
  <c r="AD63" i="2"/>
  <c r="AF63" i="2" s="1"/>
  <c r="AH63" i="2"/>
  <c r="AI63" i="2" s="1"/>
  <c r="AE63" i="2"/>
  <c r="AF34" i="2" l="1"/>
  <c r="AC35" i="2" s="1"/>
  <c r="AG63" i="2"/>
  <c r="AC64" i="2" s="1"/>
  <c r="AE35" i="2" l="1"/>
  <c r="AD35" i="2"/>
  <c r="AF35" i="2" s="1"/>
  <c r="AG35" i="2"/>
  <c r="AH35" i="2" s="1"/>
  <c r="AH64" i="2"/>
  <c r="AI64" i="2" s="1"/>
  <c r="AD64" i="2"/>
  <c r="AF64" i="2" s="1"/>
  <c r="AE64" i="2" l="1"/>
  <c r="AC36" i="2"/>
  <c r="AG64" i="2"/>
  <c r="AC65" i="2" s="1"/>
  <c r="AD36" i="2" l="1"/>
  <c r="AE36" i="2"/>
  <c r="B29" i="2" s="1"/>
  <c r="B33" i="2" s="1"/>
  <c r="AG36" i="2"/>
  <c r="AH36" i="2" s="1"/>
  <c r="B27" i="2"/>
  <c r="B34" i="2" s="1"/>
  <c r="AH65" i="2"/>
  <c r="AI65" i="2" s="1"/>
  <c r="AD65" i="2"/>
  <c r="AF65" i="2" s="1"/>
  <c r="AE65" i="2"/>
  <c r="AG65" i="2" s="1"/>
  <c r="AC66" i="2" l="1"/>
  <c r="B28" i="2"/>
  <c r="B30" i="2" s="1"/>
  <c r="B31" i="2" s="1"/>
  <c r="AF36" i="2"/>
  <c r="AD66" i="2"/>
  <c r="AF66" i="2" s="1"/>
  <c r="AH66" i="2"/>
  <c r="AI66" i="2" s="1"/>
  <c r="AE66" i="2"/>
  <c r="AA12" i="3"/>
  <c r="X13" i="3"/>
  <c r="AG66" i="2" l="1"/>
  <c r="AC67" i="2" s="1"/>
  <c r="AC104" i="2" s="1"/>
  <c r="Y13" i="3"/>
  <c r="AB13" i="3"/>
  <c r="AC13" i="3" s="1"/>
  <c r="Z13" i="3"/>
  <c r="AA13" i="3" s="1"/>
  <c r="AC73" i="2" l="1"/>
  <c r="B37" i="2"/>
  <c r="AH67" i="2"/>
  <c r="AI67" i="2" s="1"/>
  <c r="AD67" i="2"/>
  <c r="X14" i="3"/>
  <c r="Y14" i="3" s="1"/>
  <c r="AB14" i="3"/>
  <c r="AC14" i="3" s="1"/>
  <c r="Z14" i="3"/>
  <c r="AA14" i="3" s="1"/>
  <c r="AD73" i="2" l="1"/>
  <c r="AM73" i="2"/>
  <c r="AM74" i="2"/>
  <c r="AM75" i="2"/>
  <c r="AM76" i="2"/>
  <c r="AM77" i="2"/>
  <c r="AM78" i="2"/>
  <c r="AM79" i="2"/>
  <c r="AM80" i="2"/>
  <c r="AM81" i="2"/>
  <c r="AM82" i="2"/>
  <c r="AM83" i="2"/>
  <c r="AM84" i="2"/>
  <c r="AM85" i="2"/>
  <c r="AM86" i="2"/>
  <c r="AM87" i="2"/>
  <c r="AM88" i="2"/>
  <c r="AM89" i="2"/>
  <c r="AM90" i="2"/>
  <c r="AM91" i="2"/>
  <c r="AM92" i="2"/>
  <c r="AM93" i="2"/>
  <c r="AM94" i="2"/>
  <c r="AM95" i="2"/>
  <c r="AM96" i="2"/>
  <c r="AM97" i="2"/>
  <c r="AM98" i="2"/>
  <c r="AF67" i="2"/>
  <c r="B38" i="2"/>
  <c r="AG73" i="2" s="1"/>
  <c r="AH73" i="2" s="1"/>
  <c r="B40" i="2"/>
  <c r="AM112" i="2" s="1"/>
  <c r="AM115" i="2"/>
  <c r="AM118" i="2"/>
  <c r="AM123" i="2"/>
  <c r="AM128" i="2"/>
  <c r="AM126" i="2"/>
  <c r="AM129" i="2"/>
  <c r="AM114" i="2"/>
  <c r="AM127" i="2"/>
  <c r="AM113" i="2"/>
  <c r="AM111" i="2"/>
  <c r="AM107" i="2"/>
  <c r="AM121" i="2"/>
  <c r="AM125" i="2"/>
  <c r="AM124" i="2"/>
  <c r="AM104" i="2"/>
  <c r="AM120" i="2"/>
  <c r="AM109" i="2"/>
  <c r="AM105" i="2"/>
  <c r="AM122" i="2"/>
  <c r="AM108" i="2"/>
  <c r="AM117" i="2"/>
  <c r="AM106" i="2"/>
  <c r="AM110" i="2"/>
  <c r="AM116" i="2"/>
  <c r="AM119" i="2"/>
  <c r="AE67" i="2"/>
  <c r="B39" i="2" s="1"/>
  <c r="X15" i="3"/>
  <c r="Y15" i="3" s="1"/>
  <c r="AB15" i="3" l="1"/>
  <c r="AC15" i="3" s="1"/>
  <c r="Z15" i="3"/>
  <c r="AA15" i="3" s="1"/>
  <c r="X16" i="3" s="1"/>
  <c r="Y16" i="3" s="1"/>
  <c r="AN73" i="2"/>
  <c r="AO73" i="2" s="1"/>
  <c r="AN74" i="2"/>
  <c r="AO74" i="2" s="1"/>
  <c r="AN75" i="2"/>
  <c r="AO75" i="2" s="1"/>
  <c r="AN76" i="2"/>
  <c r="AO76" i="2" s="1"/>
  <c r="AN77" i="2"/>
  <c r="AO77" i="2" s="1"/>
  <c r="AN78" i="2"/>
  <c r="AO78" i="2" s="1"/>
  <c r="AN79" i="2"/>
  <c r="AO79" i="2" s="1"/>
  <c r="AN80" i="2"/>
  <c r="AO80" i="2" s="1"/>
  <c r="AN81" i="2"/>
  <c r="AO81" i="2" s="1"/>
  <c r="AN82" i="2"/>
  <c r="AO82" i="2" s="1"/>
  <c r="AN83" i="2"/>
  <c r="AO83" i="2" s="1"/>
  <c r="AN84" i="2"/>
  <c r="AO84" i="2" s="1"/>
  <c r="AN85" i="2"/>
  <c r="AO85" i="2" s="1"/>
  <c r="AN86" i="2"/>
  <c r="AO86" i="2" s="1"/>
  <c r="AN87" i="2"/>
  <c r="AO87" i="2" s="1"/>
  <c r="AN88" i="2"/>
  <c r="AO88" i="2" s="1"/>
  <c r="AN89" i="2"/>
  <c r="AO89" i="2" s="1"/>
  <c r="AN90" i="2"/>
  <c r="AO90" i="2" s="1"/>
  <c r="AN91" i="2"/>
  <c r="AN92" i="2"/>
  <c r="AO92" i="2" s="1"/>
  <c r="AN93" i="2"/>
  <c r="AO93" i="2" s="1"/>
  <c r="AN94" i="2"/>
  <c r="AO94" i="2" s="1"/>
  <c r="AN95" i="2"/>
  <c r="AN96" i="2"/>
  <c r="AO96" i="2" s="1"/>
  <c r="AN97" i="2"/>
  <c r="AO97" i="2" s="1"/>
  <c r="AN98" i="2"/>
  <c r="AO98" i="2" s="1"/>
  <c r="AO95" i="2"/>
  <c r="AO91" i="2"/>
  <c r="AE73" i="2"/>
  <c r="AN128" i="2"/>
  <c r="AO128" i="2" s="1"/>
  <c r="AN117" i="2"/>
  <c r="AO117" i="2" s="1"/>
  <c r="AN108" i="2"/>
  <c r="AO108" i="2" s="1"/>
  <c r="AN119" i="2"/>
  <c r="AO119" i="2" s="1"/>
  <c r="AN105" i="2"/>
  <c r="AO105" i="2" s="1"/>
  <c r="AN123" i="2"/>
  <c r="AO123" i="2" s="1"/>
  <c r="AN104" i="2"/>
  <c r="AO104" i="2" s="1"/>
  <c r="AN121" i="2"/>
  <c r="AO121" i="2" s="1"/>
  <c r="AN122" i="2"/>
  <c r="AO122" i="2" s="1"/>
  <c r="AN107" i="2"/>
  <c r="AO107" i="2" s="1"/>
  <c r="AN106" i="2"/>
  <c r="AO106" i="2" s="1"/>
  <c r="AN125" i="2"/>
  <c r="AO125" i="2" s="1"/>
  <c r="AN109" i="2"/>
  <c r="AO109" i="2" s="1"/>
  <c r="AN126" i="2"/>
  <c r="AO126" i="2" s="1"/>
  <c r="AN111" i="2"/>
  <c r="AO111" i="2" s="1"/>
  <c r="AN112" i="2"/>
  <c r="AO112" i="2" s="1"/>
  <c r="AN110" i="2"/>
  <c r="AO110" i="2" s="1"/>
  <c r="AN113" i="2"/>
  <c r="AO113" i="2" s="1"/>
  <c r="AN115" i="2"/>
  <c r="AO115" i="2" s="1"/>
  <c r="AN120" i="2"/>
  <c r="AO120" i="2" s="1"/>
  <c r="AN129" i="2"/>
  <c r="AO129" i="2" s="1"/>
  <c r="AN124" i="2"/>
  <c r="AO124" i="2" s="1"/>
  <c r="AN114" i="2"/>
  <c r="AO114" i="2" s="1"/>
  <c r="AN116" i="2"/>
  <c r="AO116" i="2" s="1"/>
  <c r="AN127" i="2"/>
  <c r="AO127" i="2" s="1"/>
  <c r="AN118" i="2"/>
  <c r="AO118" i="2" s="1"/>
  <c r="AG67" i="2"/>
  <c r="AB16" i="3"/>
  <c r="AC16" i="3" s="1"/>
  <c r="Z16" i="3"/>
  <c r="AA16" i="3" s="1"/>
  <c r="X17" i="3" l="1"/>
  <c r="Y17" i="3" s="1"/>
  <c r="AF73" i="2"/>
  <c r="AC74" i="2"/>
  <c r="AE74" i="2" s="1"/>
  <c r="AD74" i="2"/>
  <c r="AF74" i="2" s="1"/>
  <c r="Z17" i="3"/>
  <c r="AB17" i="3"/>
  <c r="AC17" i="3" s="1"/>
  <c r="AA17" i="3"/>
  <c r="AG74" i="2" l="1"/>
  <c r="X18" i="3"/>
  <c r="Y18" i="3" s="1"/>
  <c r="AB18" i="3"/>
  <c r="AC18" i="3" s="1"/>
  <c r="Z18" i="3"/>
  <c r="AA18" i="3" s="1"/>
  <c r="AH74" i="2" l="1"/>
  <c r="AC75" i="2" s="1"/>
  <c r="X19" i="3"/>
  <c r="Y19" i="3" s="1"/>
  <c r="AB19" i="3"/>
  <c r="AC19" i="3" s="1"/>
  <c r="Z19" i="3"/>
  <c r="AA19" i="3" s="1"/>
  <c r="X20" i="3" s="1"/>
  <c r="Y20" i="3" s="1"/>
  <c r="AD75" i="2" l="1"/>
  <c r="AE75" i="2"/>
  <c r="AG75" i="2"/>
  <c r="AH75" i="2" s="1"/>
  <c r="AB20" i="3"/>
  <c r="AC20" i="3" s="1"/>
  <c r="Z20" i="3"/>
  <c r="AA20" i="3" s="1"/>
  <c r="X21" i="3" l="1"/>
  <c r="Y21" i="3" s="1"/>
  <c r="AF75" i="2"/>
  <c r="AC76" i="2" s="1"/>
  <c r="AE76" i="2"/>
  <c r="AG76" i="2"/>
  <c r="AH76" i="2" s="1"/>
  <c r="AD76" i="2"/>
  <c r="AF76" i="2" s="1"/>
  <c r="AC77" i="2" s="1"/>
  <c r="AB21" i="3"/>
  <c r="AC21" i="3" s="1"/>
  <c r="Z21" i="3"/>
  <c r="AA21" i="3" s="1"/>
  <c r="X22" i="3" l="1"/>
  <c r="Y22" i="3" s="1"/>
  <c r="AG77" i="2"/>
  <c r="AH77" i="2" s="1"/>
  <c r="AE77" i="2"/>
  <c r="AD77" i="2"/>
  <c r="AF77" i="2" s="1"/>
  <c r="AC78" i="2" s="1"/>
  <c r="Z22" i="3"/>
  <c r="AB22" i="3"/>
  <c r="AC22" i="3" s="1"/>
  <c r="AA22" i="3"/>
  <c r="X23" i="3" l="1"/>
  <c r="Y23" i="3" s="1"/>
  <c r="AG78" i="2"/>
  <c r="AH78" i="2" s="1"/>
  <c r="AE78" i="2"/>
  <c r="AD78" i="2"/>
  <c r="AB23" i="3"/>
  <c r="AC23" i="3" s="1"/>
  <c r="Z23" i="3"/>
  <c r="AA23" i="3" s="1"/>
  <c r="X24" i="3" s="1"/>
  <c r="Y24" i="3" s="1"/>
  <c r="AF78" i="2" l="1"/>
  <c r="AC79" i="2" s="1"/>
  <c r="AB24" i="3"/>
  <c r="AC24" i="3" s="1"/>
  <c r="Z24" i="3"/>
  <c r="AA24" i="3" s="1"/>
  <c r="X25" i="3" s="1"/>
  <c r="Y25" i="3" s="1"/>
  <c r="AE79" i="2" l="1"/>
  <c r="AD79" i="2"/>
  <c r="AF79" i="2" s="1"/>
  <c r="AG79" i="2"/>
  <c r="AH79" i="2" s="1"/>
  <c r="AC80" i="2" s="1"/>
  <c r="Z25" i="3"/>
  <c r="AB25" i="3"/>
  <c r="AC25" i="3" s="1"/>
  <c r="AA25" i="3"/>
  <c r="X26" i="3" l="1"/>
  <c r="Y26" i="3" s="1"/>
  <c r="AD80" i="2"/>
  <c r="AE80" i="2"/>
  <c r="AG80" i="2"/>
  <c r="AH80" i="2" s="1"/>
  <c r="AF80" i="2"/>
  <c r="Z26" i="3"/>
  <c r="AB26" i="3"/>
  <c r="AC26" i="3" s="1"/>
  <c r="AA26" i="3"/>
  <c r="AC81" i="2" l="1"/>
  <c r="AG81" i="2"/>
  <c r="AH81" i="2" s="1"/>
  <c r="AD81" i="2"/>
  <c r="AE81" i="2"/>
  <c r="X27" i="3"/>
  <c r="Y27" i="3" s="1"/>
  <c r="Z27" i="3"/>
  <c r="AB27" i="3"/>
  <c r="AC27" i="3" s="1"/>
  <c r="AA27" i="3"/>
  <c r="AF81" i="2" l="1"/>
  <c r="AC82" i="2" s="1"/>
  <c r="AD82" i="2" s="1"/>
  <c r="AG82" i="2"/>
  <c r="AH82" i="2" s="1"/>
  <c r="X28" i="3"/>
  <c r="B20" i="3"/>
  <c r="B27" i="3" s="1"/>
  <c r="AB28" i="3"/>
  <c r="AC28" i="3" s="1"/>
  <c r="Z28" i="3" l="1"/>
  <c r="B22" i="3" s="1"/>
  <c r="B30" i="3" s="1"/>
  <c r="X38" i="3" s="1"/>
  <c r="Y28" i="3"/>
  <c r="AE82" i="2"/>
  <c r="AF82" i="2" s="1"/>
  <c r="AC83" i="2"/>
  <c r="B26" i="3"/>
  <c r="AA28" i="3" l="1"/>
  <c r="B21" i="3"/>
  <c r="B23" i="3" s="1"/>
  <c r="B24" i="3" s="1"/>
  <c r="Y38" i="3"/>
  <c r="W39" i="3" s="1"/>
  <c r="X39" i="3" s="1"/>
  <c r="Y39" i="3" s="1"/>
  <c r="W40" i="3" s="1"/>
  <c r="X40" i="3" s="1"/>
  <c r="Y40" i="3" s="1"/>
  <c r="W41" i="3" s="1"/>
  <c r="X41" i="3" s="1"/>
  <c r="Y41" i="3" s="1"/>
  <c r="W42" i="3" s="1"/>
  <c r="X42" i="3" s="1"/>
  <c r="Y42" i="3" s="1"/>
  <c r="W43" i="3" s="1"/>
  <c r="X43" i="3" s="1"/>
  <c r="AG83" i="2"/>
  <c r="AH83" i="2" s="1"/>
  <c r="AE83" i="2"/>
  <c r="AD83" i="2"/>
  <c r="AF83" i="2" s="1"/>
  <c r="Y43" i="3" l="1"/>
  <c r="W44" i="3" s="1"/>
  <c r="X44" i="3" s="1"/>
  <c r="Y44" i="3" s="1"/>
  <c r="W45" i="3" s="1"/>
  <c r="X45" i="3" s="1"/>
  <c r="Y45" i="3" s="1"/>
  <c r="W46" i="3" s="1"/>
  <c r="X46" i="3" s="1"/>
  <c r="Y46" i="3" s="1"/>
  <c r="W47" i="3" s="1"/>
  <c r="X47" i="3" s="1"/>
  <c r="Y47" i="3" s="1"/>
  <c r="W48" i="3" s="1"/>
  <c r="X48" i="3" s="1"/>
  <c r="Y48" i="3" s="1"/>
  <c r="W49" i="3" s="1"/>
  <c r="X49" i="3" s="1"/>
  <c r="Y49" i="3" s="1"/>
  <c r="W50" i="3" s="1"/>
  <c r="X50" i="3" s="1"/>
  <c r="Y50" i="3" s="1"/>
  <c r="W51" i="3" s="1"/>
  <c r="X51" i="3" s="1"/>
  <c r="Y51" i="3" s="1"/>
  <c r="W52" i="3" s="1"/>
  <c r="X52" i="3" s="1"/>
  <c r="Y52" i="3" s="1"/>
  <c r="W53" i="3" s="1"/>
  <c r="X53" i="3" s="1"/>
  <c r="Y53" i="3" s="1"/>
  <c r="W54" i="3" s="1"/>
  <c r="X54" i="3" s="1"/>
  <c r="Y54" i="3" s="1"/>
  <c r="W55" i="3" s="1"/>
  <c r="X55" i="3" s="1"/>
  <c r="Y55" i="3" s="1"/>
  <c r="W56" i="3" s="1"/>
  <c r="X56" i="3" s="1"/>
  <c r="Y56" i="3" s="1"/>
  <c r="W57" i="3" s="1"/>
  <c r="X57" i="3" s="1"/>
  <c r="Y57" i="3" s="1"/>
  <c r="W58" i="3" s="1"/>
  <c r="X58" i="3" s="1"/>
  <c r="Y58" i="3" s="1"/>
  <c r="W59" i="3" s="1"/>
  <c r="X59" i="3" s="1"/>
  <c r="Y59" i="3" s="1"/>
  <c r="W60" i="3" s="1"/>
  <c r="X60" i="3" s="1"/>
  <c r="Y60" i="3" s="1"/>
  <c r="W61" i="3" s="1"/>
  <c r="X61" i="3" s="1"/>
  <c r="Y61" i="3" s="1"/>
  <c r="W62" i="3" s="1"/>
  <c r="X62" i="3" s="1"/>
  <c r="Y62" i="3" s="1"/>
  <c r="W63" i="3" s="1"/>
  <c r="X63" i="3" s="1"/>
  <c r="Y63" i="3" s="1"/>
  <c r="B31" i="3" s="1"/>
  <c r="AC84" i="2"/>
  <c r="AG84" i="2" s="1"/>
  <c r="AH84" i="2" s="1"/>
  <c r="AE84" i="2"/>
  <c r="AD84" i="2"/>
  <c r="AF84" i="2" l="1"/>
  <c r="AC85" i="2" s="1"/>
  <c r="AG85" i="2"/>
  <c r="AH85" i="2" s="1"/>
  <c r="AE85" i="2"/>
  <c r="AD85" i="2"/>
  <c r="AF85" i="2" l="1"/>
  <c r="AC86" i="2"/>
  <c r="AG86" i="2" l="1"/>
  <c r="AH86" i="2" s="1"/>
  <c r="AD86" i="2"/>
  <c r="AE86" i="2"/>
  <c r="AF86" i="2" l="1"/>
  <c r="AC87" i="2" s="1"/>
  <c r="AD87" i="2" l="1"/>
  <c r="AG87" i="2"/>
  <c r="AH87" i="2" s="1"/>
  <c r="AE87" i="2"/>
  <c r="AF87" i="2" l="1"/>
  <c r="AC88" i="2" s="1"/>
  <c r="AD88" i="2" l="1"/>
  <c r="AG88" i="2"/>
  <c r="AH88" i="2" s="1"/>
  <c r="AE88" i="2"/>
  <c r="AF88" i="2" s="1"/>
  <c r="AC89" i="2" l="1"/>
  <c r="AD89" i="2"/>
  <c r="AG89" i="2"/>
  <c r="AH89" i="2" s="1"/>
  <c r="AE89" i="2"/>
  <c r="AF89" i="2" s="1"/>
  <c r="AC90" i="2" l="1"/>
  <c r="AE90" i="2" l="1"/>
  <c r="AG90" i="2"/>
  <c r="AH90" i="2" s="1"/>
  <c r="AD90" i="2"/>
  <c r="AF90" i="2" s="1"/>
  <c r="AC91" i="2" l="1"/>
  <c r="AE91" i="2"/>
  <c r="AD91" i="2"/>
  <c r="AG91" i="2"/>
  <c r="AH91" i="2" s="1"/>
  <c r="AF91" i="2" l="1"/>
  <c r="AC92" i="2" s="1"/>
  <c r="AE92" i="2" l="1"/>
  <c r="AD92" i="2"/>
  <c r="AF92" i="2" s="1"/>
  <c r="AG92" i="2"/>
  <c r="AH92" i="2" s="1"/>
  <c r="AC93" i="2" l="1"/>
  <c r="AD93" i="2" l="1"/>
  <c r="AG93" i="2"/>
  <c r="AH93" i="2" s="1"/>
  <c r="AE93" i="2"/>
  <c r="AF93" i="2" s="1"/>
  <c r="AC94" i="2" l="1"/>
  <c r="AE94" i="2"/>
  <c r="AD94" i="2"/>
  <c r="AG94" i="2"/>
  <c r="AH94" i="2" s="1"/>
  <c r="AF94" i="2" l="1"/>
  <c r="AC95" i="2"/>
  <c r="AG95" i="2"/>
  <c r="AH95" i="2" s="1"/>
  <c r="AE95" i="2"/>
  <c r="AD95" i="2"/>
  <c r="AF95" i="2" l="1"/>
  <c r="AC96" i="2" s="1"/>
  <c r="AE96" i="2" l="1"/>
  <c r="AD96" i="2"/>
  <c r="AF96" i="2" s="1"/>
  <c r="AG96" i="2"/>
  <c r="AH96" i="2" l="1"/>
  <c r="AC97" i="2" s="1"/>
  <c r="AG97" i="2" l="1"/>
  <c r="AH97" i="2" s="1"/>
  <c r="AD97" i="2"/>
  <c r="AE97" i="2"/>
  <c r="AF97" i="2" l="1"/>
  <c r="AC98" i="2" s="1"/>
  <c r="B43" i="2"/>
  <c r="AG98" i="2"/>
  <c r="AH98" i="2" s="1"/>
  <c r="AE98" i="2"/>
  <c r="B44" i="2" s="1"/>
  <c r="AD98" i="2"/>
  <c r="AF98" i="2" l="1"/>
  <c r="AG104" i="2"/>
  <c r="AH104" i="2" s="1"/>
  <c r="AD104" i="2"/>
  <c r="AE104" i="2" s="1"/>
  <c r="B45" i="2"/>
  <c r="B46" i="2" l="1"/>
  <c r="B49" i="2" s="1"/>
  <c r="B47" i="2"/>
  <c r="B48" i="2"/>
  <c r="AF104" i="2"/>
  <c r="AC105" i="2" s="1"/>
  <c r="B50" i="2" l="1"/>
  <c r="BC73" i="2" s="1"/>
  <c r="BD73" i="2" s="1"/>
  <c r="BB74" i="2" s="1"/>
  <c r="BC74" i="2" s="1"/>
  <c r="BD74" i="2" s="1"/>
  <c r="BB75" i="2" s="1"/>
  <c r="BC75" i="2" s="1"/>
  <c r="BD75" i="2" s="1"/>
  <c r="BB76" i="2" s="1"/>
  <c r="BC76" i="2" s="1"/>
  <c r="BD76" i="2" s="1"/>
  <c r="BB77" i="2" s="1"/>
  <c r="BC77" i="2" s="1"/>
  <c r="BD77" i="2" s="1"/>
  <c r="BB78" i="2" s="1"/>
  <c r="BC78" i="2" s="1"/>
  <c r="BD78" i="2" s="1"/>
  <c r="BB79" i="2" s="1"/>
  <c r="BC79" i="2" s="1"/>
  <c r="BD79" i="2" s="1"/>
  <c r="BB80" i="2" s="1"/>
  <c r="BC80" i="2" s="1"/>
  <c r="BD80" i="2" s="1"/>
  <c r="BB81" i="2" s="1"/>
  <c r="BC81" i="2" s="1"/>
  <c r="AD105" i="2"/>
  <c r="AG105" i="2"/>
  <c r="AH105" i="2" s="1"/>
  <c r="AE105" i="2"/>
  <c r="BD81" i="2" l="1"/>
  <c r="BB82" i="2" s="1"/>
  <c r="BC82" i="2" s="1"/>
  <c r="BD82" i="2" s="1"/>
  <c r="BB83" i="2" s="1"/>
  <c r="BC83" i="2" s="1"/>
  <c r="BD83" i="2" s="1"/>
  <c r="BB84" i="2" s="1"/>
  <c r="BC84" i="2" s="1"/>
  <c r="BD84" i="2" s="1"/>
  <c r="BB85" i="2" s="1"/>
  <c r="BC85" i="2" s="1"/>
  <c r="BD85" i="2" s="1"/>
  <c r="BB86" i="2" s="1"/>
  <c r="BC86" i="2" s="1"/>
  <c r="BD86" i="2" s="1"/>
  <c r="BB87" i="2" s="1"/>
  <c r="BC87" i="2" s="1"/>
  <c r="BD87" i="2" s="1"/>
  <c r="BB88" i="2" s="1"/>
  <c r="BC88" i="2" s="1"/>
  <c r="BD88" i="2" s="1"/>
  <c r="BB89" i="2" s="1"/>
  <c r="BC89" i="2" s="1"/>
  <c r="BD89" i="2" s="1"/>
  <c r="BB90" i="2" s="1"/>
  <c r="BC90" i="2" s="1"/>
  <c r="BD90" i="2" s="1"/>
  <c r="BB91" i="2" s="1"/>
  <c r="BC91" i="2" s="1"/>
  <c r="BD91" i="2" s="1"/>
  <c r="BB92" i="2" s="1"/>
  <c r="BC92" i="2" s="1"/>
  <c r="BD92" i="2" s="1"/>
  <c r="BB93" i="2" s="1"/>
  <c r="BC93" i="2" s="1"/>
  <c r="BD93" i="2" s="1"/>
  <c r="BB94" i="2" s="1"/>
  <c r="BC94" i="2" s="1"/>
  <c r="BD94" i="2" s="1"/>
  <c r="BB95" i="2" s="1"/>
  <c r="BC95" i="2" s="1"/>
  <c r="BD95" i="2" s="1"/>
  <c r="BB96" i="2" s="1"/>
  <c r="BC96" i="2" s="1"/>
  <c r="BD96" i="2" s="1"/>
  <c r="BB97" i="2" s="1"/>
  <c r="BC97" i="2" s="1"/>
  <c r="BD97" i="2" s="1"/>
  <c r="BB98" i="2" s="1"/>
  <c r="BC98" i="2" s="1"/>
  <c r="BD98" i="2" s="1"/>
  <c r="B65" i="2" s="1"/>
  <c r="B64" i="2"/>
  <c r="AF105" i="2"/>
  <c r="AC106" i="2"/>
  <c r="AD106" i="2" s="1"/>
  <c r="AG106" i="2"/>
  <c r="AH106" i="2" s="1"/>
  <c r="AE106" i="2"/>
  <c r="AF106" i="2" l="1"/>
  <c r="AC107" i="2" s="1"/>
  <c r="AG107" i="2" l="1"/>
  <c r="AH107" i="2" s="1"/>
  <c r="AD107" i="2"/>
  <c r="AE107" i="2"/>
  <c r="AF107" i="2" l="1"/>
  <c r="AC108" i="2"/>
  <c r="AD108" i="2"/>
  <c r="AG108" i="2"/>
  <c r="AH108" i="2" s="1"/>
  <c r="AE108" i="2"/>
  <c r="AF108" i="2" s="1"/>
  <c r="AC109" i="2" l="1"/>
  <c r="AG109" i="2"/>
  <c r="AH109" i="2" s="1"/>
  <c r="AD109" i="2"/>
  <c r="AE109" i="2"/>
  <c r="AF109" i="2" l="1"/>
  <c r="AC110" i="2" s="1"/>
  <c r="AG110" i="2" l="1"/>
  <c r="AH110" i="2" s="1"/>
  <c r="AD110" i="2"/>
  <c r="AE110" i="2" s="1"/>
  <c r="AF110" i="2" l="1"/>
  <c r="AC111" i="2"/>
  <c r="AG111" i="2"/>
  <c r="AH111" i="2" s="1"/>
  <c r="AD111" i="2"/>
  <c r="AE111" i="2"/>
  <c r="AF111" i="2" l="1"/>
  <c r="AC112" i="2" s="1"/>
  <c r="AD112" i="2" l="1"/>
  <c r="AG112" i="2"/>
  <c r="AH112" i="2" s="1"/>
  <c r="AE112" i="2"/>
  <c r="AF112" i="2" s="1"/>
  <c r="AC113" i="2" l="1"/>
  <c r="AD113" i="2"/>
  <c r="AG113" i="2"/>
  <c r="AH113" i="2" s="1"/>
  <c r="AE113" i="2" l="1"/>
  <c r="AF113" i="2" s="1"/>
  <c r="AC114" i="2" s="1"/>
  <c r="AD114" i="2" l="1"/>
  <c r="AG114" i="2"/>
  <c r="AH114" i="2" s="1"/>
  <c r="AE114" i="2" l="1"/>
  <c r="AF114" i="2" s="1"/>
  <c r="AC115" i="2" s="1"/>
  <c r="AD115" i="2" l="1"/>
  <c r="AG115" i="2"/>
  <c r="AH115" i="2" s="1"/>
  <c r="AE115" i="2" l="1"/>
  <c r="AF115" i="2" s="1"/>
  <c r="AC116" i="2" s="1"/>
  <c r="AG116" i="2" l="1"/>
  <c r="AH116" i="2" s="1"/>
  <c r="AD116" i="2"/>
  <c r="AE116" i="2" l="1"/>
  <c r="AF116" i="2" s="1"/>
  <c r="AC117" i="2" s="1"/>
  <c r="AD117" i="2" l="1"/>
  <c r="AG117" i="2"/>
  <c r="AH117" i="2" s="1"/>
  <c r="AE117" i="2" l="1"/>
  <c r="AF117" i="2" s="1"/>
  <c r="AC118" i="2" s="1"/>
  <c r="AD118" i="2" l="1"/>
  <c r="AG118" i="2"/>
  <c r="AH118" i="2" s="1"/>
  <c r="AE118" i="2" l="1"/>
  <c r="AF118" i="2" s="1"/>
  <c r="AC119" i="2" s="1"/>
  <c r="AG119" i="2" l="1"/>
  <c r="AH119" i="2" s="1"/>
  <c r="AD119" i="2"/>
  <c r="AE119" i="2" l="1"/>
  <c r="AF119" i="2" s="1"/>
  <c r="AC120" i="2" s="1"/>
  <c r="AD120" i="2" l="1"/>
  <c r="AG120" i="2"/>
  <c r="AH120" i="2" s="1"/>
  <c r="AE120" i="2" l="1"/>
  <c r="AF120" i="2" s="1"/>
  <c r="AC121" i="2" s="1"/>
  <c r="AD121" i="2" l="1"/>
  <c r="AG121" i="2"/>
  <c r="AH121" i="2" s="1"/>
  <c r="AE121" i="2" l="1"/>
  <c r="AF121" i="2" s="1"/>
  <c r="AC122" i="2" s="1"/>
  <c r="AD122" i="2" l="1"/>
  <c r="AG122" i="2"/>
  <c r="AH122" i="2" s="1"/>
  <c r="AE122" i="2" l="1"/>
  <c r="AF122" i="2" s="1"/>
  <c r="AC123" i="2" s="1"/>
  <c r="AG123" i="2" l="1"/>
  <c r="AH123" i="2" s="1"/>
  <c r="AD123" i="2"/>
  <c r="AE123" i="2" l="1"/>
  <c r="AF123" i="2" s="1"/>
  <c r="AC124" i="2" s="1"/>
  <c r="AD124" i="2" l="1"/>
  <c r="AG124" i="2"/>
  <c r="AH124" i="2" s="1"/>
  <c r="AE124" i="2" l="1"/>
  <c r="AF124" i="2" s="1"/>
  <c r="AC125" i="2" s="1"/>
  <c r="AD125" i="2" l="1"/>
  <c r="AG125" i="2"/>
  <c r="AH125" i="2" s="1"/>
  <c r="AE125" i="2" l="1"/>
  <c r="AF125" i="2" s="1"/>
  <c r="AC126" i="2" s="1"/>
  <c r="AD126" i="2" l="1"/>
  <c r="AG126" i="2"/>
  <c r="AH126" i="2" s="1"/>
  <c r="AE126" i="2" l="1"/>
  <c r="AF126" i="2" s="1"/>
  <c r="AC127" i="2" s="1"/>
  <c r="AD127" i="2" l="1"/>
  <c r="AG127" i="2"/>
  <c r="AH127" i="2" s="1"/>
  <c r="AE127" i="2" l="1"/>
  <c r="AF127" i="2" s="1"/>
  <c r="AC128" i="2" s="1"/>
  <c r="AG128" i="2" l="1"/>
  <c r="AH128" i="2" s="1"/>
  <c r="AD128" i="2"/>
  <c r="AE128" i="2" l="1"/>
  <c r="AF128" i="2" s="1"/>
  <c r="AC129" i="2" s="1"/>
  <c r="B53" i="2" l="1"/>
  <c r="AG129" i="2"/>
  <c r="AH129" i="2" s="1"/>
  <c r="AD129" i="2" l="1"/>
  <c r="B54" i="2" s="1"/>
  <c r="AE129" i="2"/>
  <c r="AF129" i="2" l="1"/>
  <c r="B55" i="2"/>
  <c r="B56" i="2" l="1"/>
  <c r="B58" i="2"/>
  <c r="B57" i="2"/>
  <c r="B59" i="2"/>
  <c r="B60" i="2" l="1"/>
  <c r="BC104" i="2" s="1"/>
  <c r="BD104" i="2" s="1"/>
  <c r="BB105" i="2" s="1"/>
  <c r="BC105" i="2" s="1"/>
  <c r="BD105" i="2" s="1"/>
  <c r="BB106" i="2" s="1"/>
  <c r="BC106" i="2" s="1"/>
  <c r="BD106" i="2" s="1"/>
  <c r="BB107" i="2" s="1"/>
  <c r="BC107" i="2" s="1"/>
  <c r="BD107" i="2" s="1"/>
  <c r="BB108" i="2" s="1"/>
  <c r="BC108" i="2" s="1"/>
  <c r="BD108" i="2" s="1"/>
  <c r="BB109" i="2" s="1"/>
  <c r="BC109" i="2" s="1"/>
  <c r="BD109" i="2" s="1"/>
  <c r="BB110" i="2" s="1"/>
  <c r="BC110" i="2" s="1"/>
  <c r="BD110" i="2" s="1"/>
  <c r="BB111" i="2" s="1"/>
  <c r="BC111" i="2" s="1"/>
  <c r="BD111" i="2" s="1"/>
  <c r="BB112" i="2" s="1"/>
  <c r="BC112" i="2" s="1"/>
  <c r="BD112" i="2" s="1"/>
  <c r="BB113" i="2" s="1"/>
  <c r="BC113" i="2" s="1"/>
  <c r="BD113" i="2" s="1"/>
  <c r="BB114" i="2" s="1"/>
  <c r="BC114" i="2" s="1"/>
  <c r="BD114" i="2" s="1"/>
  <c r="BB115" i="2" s="1"/>
  <c r="BC115" i="2" s="1"/>
  <c r="BD115" i="2" s="1"/>
  <c r="BB116" i="2" s="1"/>
  <c r="BC116" i="2" s="1"/>
  <c r="BD116" i="2" s="1"/>
  <c r="BB117" i="2" s="1"/>
  <c r="BC117" i="2" s="1"/>
  <c r="BD117" i="2" s="1"/>
  <c r="BB118" i="2" s="1"/>
  <c r="BC118" i="2" s="1"/>
  <c r="BD118" i="2" s="1"/>
  <c r="BB119" i="2" s="1"/>
  <c r="BC119" i="2" s="1"/>
  <c r="BD119" i="2" s="1"/>
  <c r="BB120" i="2" s="1"/>
  <c r="BC120" i="2" s="1"/>
  <c r="BD120" i="2" s="1"/>
  <c r="BB121" i="2" s="1"/>
  <c r="BC121" i="2" s="1"/>
  <c r="BD121" i="2" l="1"/>
  <c r="BB122" i="2" s="1"/>
  <c r="BC122" i="2" s="1"/>
  <c r="BD122" i="2" s="1"/>
  <c r="BB123" i="2" s="1"/>
  <c r="BC123" i="2" s="1"/>
  <c r="B66" i="2"/>
  <c r="BD123" i="2" l="1"/>
  <c r="BB124" i="2" s="1"/>
  <c r="BC124" i="2" s="1"/>
  <c r="BD124" i="2" s="1"/>
  <c r="BB125" i="2" s="1"/>
  <c r="BC125" i="2" s="1"/>
  <c r="BD125" i="2" l="1"/>
  <c r="BB126" i="2" s="1"/>
  <c r="BC126" i="2" s="1"/>
  <c r="BD126" i="2" s="1"/>
  <c r="BB127" i="2" s="1"/>
  <c r="BC127" i="2" s="1"/>
  <c r="BD127" i="2" s="1"/>
  <c r="BB128" i="2" s="1"/>
  <c r="BC128" i="2" s="1"/>
  <c r="BD128" i="2" s="1"/>
  <c r="BB129" i="2" s="1"/>
  <c r="BC129" i="2" s="1"/>
  <c r="BD129" i="2" s="1"/>
  <c r="B67" i="2" s="1"/>
</calcChain>
</file>

<file path=xl/sharedStrings.xml><?xml version="1.0" encoding="utf-8"?>
<sst xmlns="http://schemas.openxmlformats.org/spreadsheetml/2006/main" count="350" uniqueCount="125">
  <si>
    <t>Battery cell resistance</t>
  </si>
  <si>
    <t>Cell connector resistance</t>
  </si>
  <si>
    <t>Number of connectors</t>
  </si>
  <si>
    <t>Calculated short circuit current</t>
  </si>
  <si>
    <t xml:space="preserve">Battery Nominal Voltage = </t>
  </si>
  <si>
    <t>Calculation of Short Circuit Current</t>
  </si>
  <si>
    <t>Battery Short Circuit Current =</t>
  </si>
  <si>
    <t>V</t>
  </si>
  <si>
    <t>A</t>
  </si>
  <si>
    <t>Total string resistance</t>
  </si>
  <si>
    <t xml:space="preserve">User input field </t>
  </si>
  <si>
    <t>calculated field</t>
  </si>
  <si>
    <t xml:space="preserve">Gap in the Battery Circuit = </t>
  </si>
  <si>
    <t>mm</t>
  </si>
  <si>
    <t>Results</t>
  </si>
  <si>
    <t>Battery Circuit Resistance =</t>
  </si>
  <si>
    <t>Ω</t>
  </si>
  <si>
    <t>Goal seek to 0</t>
  </si>
  <si>
    <t>Arc Current (Goal Seek Input)</t>
  </si>
  <si>
    <t>#</t>
  </si>
  <si>
    <t>s</t>
  </si>
  <si>
    <t>cal/cm^2</t>
  </si>
  <si>
    <t>Units</t>
  </si>
  <si>
    <t>Value</t>
  </si>
  <si>
    <t>Arc Time (if no OCP use 2 s) =</t>
  </si>
  <si>
    <t>arc-in-a-box factor (1 or 1.6) =</t>
  </si>
  <si>
    <t>Battery Circuit Data Input</t>
  </si>
  <si>
    <t>Constants</t>
  </si>
  <si>
    <t xml:space="preserve">cm / in </t>
  </si>
  <si>
    <t>Input Error Checking</t>
  </si>
  <si>
    <t xml:space="preserve">Max Power Transfer IE [1] </t>
  </si>
  <si>
    <t>none</t>
  </si>
  <si>
    <t xml:space="preserve">Battery Arc Voltage </t>
  </si>
  <si>
    <t>Air Arc Voltage</t>
  </si>
  <si>
    <t>Number of cells in Series</t>
  </si>
  <si>
    <t>Number of strings in parallel</t>
  </si>
  <si>
    <t>Max Power Transfer Arc Boundry [1]</t>
  </si>
  <si>
    <t>cm</t>
  </si>
  <si>
    <t>Contact Thermal Hazard</t>
  </si>
  <si>
    <t>W</t>
  </si>
  <si>
    <t>Contact Thermal PPE</t>
  </si>
  <si>
    <t>Limited Approach Boundry</t>
  </si>
  <si>
    <t>Restricted Approach Boundry</t>
  </si>
  <si>
    <t>Shock PPE</t>
  </si>
  <si>
    <t>Arc Current Calculation</t>
  </si>
  <si>
    <t>1 / 4 pi</t>
  </si>
  <si>
    <t xml:space="preserve">cal/J </t>
  </si>
  <si>
    <t>Working Distance (use 45.72 cm) =</t>
  </si>
  <si>
    <t xml:space="preserve">Arc Resistance Method [2,3] IE </t>
  </si>
  <si>
    <t xml:space="preserve">Arc Resistance Method ([2,3]) Arc Boundry  </t>
  </si>
  <si>
    <t>Interupt Gap Calculation</t>
  </si>
  <si>
    <t>z'</t>
  </si>
  <si>
    <t>I'</t>
  </si>
  <si>
    <t>V'</t>
  </si>
  <si>
    <t>Interupt Model Parameters</t>
  </si>
  <si>
    <t xml:space="preserve">Electrod Erosion Rate Constant Kg </t>
  </si>
  <si>
    <t>mm/(A s)</t>
  </si>
  <si>
    <t>Inline</t>
  </si>
  <si>
    <t>Electrod Configuration</t>
  </si>
  <si>
    <t>a5</t>
  </si>
  <si>
    <t>b5</t>
  </si>
  <si>
    <t>a50</t>
  </si>
  <si>
    <t>b50</t>
  </si>
  <si>
    <t>a95</t>
  </si>
  <si>
    <t>b95</t>
  </si>
  <si>
    <t>Open Parallel Configuration</t>
  </si>
  <si>
    <t>c5</t>
  </si>
  <si>
    <t>d5</t>
  </si>
  <si>
    <t>c50</t>
  </si>
  <si>
    <t>d50</t>
  </si>
  <si>
    <t>c95</t>
  </si>
  <si>
    <t>d95</t>
  </si>
  <si>
    <t>Inline Configuration</t>
  </si>
  <si>
    <t>β (Midian Prediction)</t>
  </si>
  <si>
    <t>β (&lt;5% Chance Prediction)</t>
  </si>
  <si>
    <t>Goal seek to 0 by setting arc current</t>
  </si>
  <si>
    <t>Overcurrent Trip Time (if no OCP use 2 s) =</t>
  </si>
  <si>
    <t>Tarc</t>
  </si>
  <si>
    <t xml:space="preserve">Gap in the Battery Circuit (z0) = </t>
  </si>
  <si>
    <t>z0 - z'</t>
  </si>
  <si>
    <t>Final Gap (z1)</t>
  </si>
  <si>
    <t>Tarc with OCP</t>
  </si>
  <si>
    <t>Final Gap Based on Tarc with OCP</t>
  </si>
  <si>
    <t>IE Midian Prediction</t>
  </si>
  <si>
    <t>IE  &lt;5% Chance Prediction</t>
  </si>
  <si>
    <t>Tarc with minimum arc time</t>
  </si>
  <si>
    <t>Minimum Arc Time</t>
  </si>
  <si>
    <t>Configuration Options</t>
  </si>
  <si>
    <t>Self-Extinguish Method IE [4] Midian Result</t>
  </si>
  <si>
    <t>Self-Extinguish Method Arc Boundry [4] &lt;5% Chance</t>
  </si>
  <si>
    <t>Self-Extinguish Method IE [4] &lt;5% Chance</t>
  </si>
  <si>
    <t>Self-Extinguish Method Arc Boundry [4] Midian Result</t>
  </si>
  <si>
    <t xml:space="preserve">Model parameters for β </t>
  </si>
  <si>
    <t>β  = a *Voltage + b</t>
  </si>
  <si>
    <t>β  = a * Voltage ^ b + c * Voltage^ d</t>
  </si>
  <si>
    <t>(a)</t>
  </si>
  <si>
    <t>(b)</t>
  </si>
  <si>
    <t xml:space="preserve">(c) </t>
  </si>
  <si>
    <t>Open Parallel</t>
  </si>
  <si>
    <t>Closed Parallel</t>
  </si>
  <si>
    <t>&lt;5% Chance Prediction</t>
  </si>
  <si>
    <t>Midian Prediction</t>
  </si>
  <si>
    <t>Closed Parallel Configuration</t>
  </si>
  <si>
    <t>Arc Current</t>
  </si>
  <si>
    <t>Step-Size</t>
  </si>
  <si>
    <t>Error</t>
  </si>
  <si>
    <t>Slope of Error</t>
  </si>
  <si>
    <t>Step</t>
  </si>
  <si>
    <t>Vbat</t>
  </si>
  <si>
    <t>z1</t>
  </si>
  <si>
    <t>Tarc Erosion</t>
  </si>
  <si>
    <t>Tarc Extinguish</t>
  </si>
  <si>
    <t xml:space="preserve">Im </t>
  </si>
  <si>
    <t>A/s</t>
  </si>
  <si>
    <t>Vm</t>
  </si>
  <si>
    <t>V/s</t>
  </si>
  <si>
    <t>Plot of Midian Arc Time Intersection</t>
  </si>
  <si>
    <t>Plot of &lt;5% Chance Arc Time Intersection</t>
  </si>
  <si>
    <t>Midian Prediction Arc Flash Boundry Adjustment for Arc-in-a-box factor</t>
  </si>
  <si>
    <t>&lt;5% Chance Prediction Arc Flash Boundry Adjustment for Arc-in-a-box factor</t>
  </si>
  <si>
    <t>Arc in a box factor @ the working distance</t>
  </si>
  <si>
    <t>IEm</t>
  </si>
  <si>
    <t>Arc Boundry</t>
  </si>
  <si>
    <t>Arc-in-a-box Type</t>
  </si>
  <si>
    <t>arc-in-a-box factor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</si>
</sst>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9" formatCode="0.000"/>
  </numFmts>
  <fonts count="7" x14ac:knownFonts="1">
    <font>
      <sz val="11"/>
      <color theme="1"/>
      <name val="Calibri"/>
      <family val="2"/>
      <scheme val="minor"/>
    </font>
    <font>
      <sz val="11"/>
      <color rgb="FF3F3F76"/>
      <name val="Calibri"/>
      <family val="2"/>
      <scheme val="minor"/>
    </font>
    <font>
      <b/>
      <sz val="11"/>
      <color rgb="FFFA7D00"/>
      <name val="Calibri"/>
      <family val="2"/>
      <scheme val="minor"/>
    </font>
    <font>
      <sz val="11"/>
      <color rgb="FFFA7D00"/>
      <name val="Calibri"/>
      <family val="2"/>
      <scheme val="minor"/>
    </font>
    <font>
      <b/>
      <sz val="11"/>
      <color theme="1"/>
      <name val="Calibri"/>
      <family val="2"/>
      <scheme val="minor"/>
    </font>
    <font>
      <sz val="11"/>
      <color theme="1"/>
      <name val="Calibri"/>
      <family val="2"/>
    </font>
    <font>
      <sz val="8"/>
      <color rgb="FF000000"/>
      <name val="Segoe UI"/>
      <family val="2"/>
    </font>
  </fonts>
  <fills count="4">
    <fill>
      <patternFill patternType="none"/>
    </fill>
    <fill>
      <patternFill patternType="gray125"/>
    </fill>
    <fill>
      <patternFill patternType="solid">
        <fgColor rgb="FFFFCC99"/>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
    <xf numFmtId="0" fontId="0" fillId="0" borderId="0"/>
    <xf numFmtId="0" fontId="1" fillId="2" borderId="1" applyNumberFormat="0" applyAlignment="0" applyProtection="0"/>
    <xf numFmtId="0" fontId="2" fillId="3" borderId="1" applyNumberFormat="0" applyAlignment="0" applyProtection="0"/>
    <xf numFmtId="0" fontId="3" fillId="0" borderId="2" applyNumberFormat="0" applyFill="0" applyAlignment="0" applyProtection="0"/>
  </cellStyleXfs>
  <cellXfs count="35">
    <xf numFmtId="0" fontId="0" fillId="0" borderId="0" xfId="0"/>
    <xf numFmtId="0" fontId="4" fillId="0" borderId="0" xfId="0" applyFont="1"/>
    <xf numFmtId="0" fontId="1" fillId="2" borderId="1" xfId="1"/>
    <xf numFmtId="0" fontId="2" fillId="3" borderId="1" xfId="2"/>
    <xf numFmtId="0" fontId="5" fillId="0" borderId="0" xfId="0" applyFont="1"/>
    <xf numFmtId="0" fontId="5" fillId="0" borderId="0" xfId="0" applyFont="1" applyFill="1" applyBorder="1"/>
    <xf numFmtId="2" fontId="0" fillId="0" borderId="0" xfId="0" applyNumberFormat="1"/>
    <xf numFmtId="2" fontId="1" fillId="2" borderId="1" xfId="1" applyNumberFormat="1"/>
    <xf numFmtId="2" fontId="2" fillId="3" borderId="1" xfId="2" applyNumberFormat="1"/>
    <xf numFmtId="2" fontId="3" fillId="0" borderId="2" xfId="3" applyNumberFormat="1"/>
    <xf numFmtId="1" fontId="1" fillId="2" borderId="1" xfId="1" applyNumberFormat="1"/>
    <xf numFmtId="2" fontId="4" fillId="0" borderId="0" xfId="0" applyNumberFormat="1" applyFont="1"/>
    <xf numFmtId="0" fontId="0" fillId="0" borderId="0" xfId="0" quotePrefix="1"/>
    <xf numFmtId="164" fontId="2" fillId="3" borderId="1" xfId="2" applyNumberFormat="1"/>
    <xf numFmtId="164" fontId="1" fillId="2" borderId="1" xfId="1" applyNumberFormat="1"/>
    <xf numFmtId="1" fontId="2" fillId="3" borderId="1" xfId="2" applyNumberFormat="1"/>
    <xf numFmtId="3" fontId="2" fillId="3" borderId="1" xfId="2" applyNumberFormat="1"/>
    <xf numFmtId="2" fontId="2" fillId="3" borderId="1" xfId="2" applyNumberFormat="1" applyAlignment="1">
      <alignment horizontal="right"/>
    </xf>
    <xf numFmtId="2" fontId="2" fillId="3" borderId="1" xfId="2" applyNumberFormat="1" applyAlignment="1">
      <alignment horizontal="left"/>
    </xf>
    <xf numFmtId="0" fontId="0" fillId="0" borderId="0" xfId="0" applyFont="1"/>
    <xf numFmtId="11" fontId="1" fillId="2" borderId="1" xfId="1" applyNumberFormat="1"/>
    <xf numFmtId="11" fontId="0" fillId="0" borderId="0" xfId="0" applyNumberFormat="1"/>
    <xf numFmtId="0" fontId="0" fillId="0" borderId="0" xfId="0" quotePrefix="1" applyFont="1" applyFill="1" applyBorder="1"/>
    <xf numFmtId="11" fontId="2" fillId="3" borderId="1" xfId="2" applyNumberFormat="1"/>
    <xf numFmtId="0" fontId="0" fillId="0" borderId="0" xfId="0" applyFont="1" applyFill="1" applyBorder="1"/>
    <xf numFmtId="0" fontId="0" fillId="0" borderId="0" xfId="0" quotePrefix="1" applyFill="1" applyBorder="1"/>
    <xf numFmtId="0" fontId="0" fillId="0" borderId="0" xfId="0"/>
    <xf numFmtId="2" fontId="1" fillId="2" borderId="1" xfId="1" applyNumberFormat="1"/>
    <xf numFmtId="2" fontId="2" fillId="3" borderId="1" xfId="2" applyNumberFormat="1"/>
    <xf numFmtId="1" fontId="1" fillId="2" borderId="1" xfId="1" applyNumberFormat="1"/>
    <xf numFmtId="0" fontId="0" fillId="0" borderId="0" xfId="0" quotePrefix="1" applyFont="1" applyFill="1" applyBorder="1"/>
    <xf numFmtId="0" fontId="0" fillId="0" borderId="0" xfId="0" applyFont="1" applyFill="1" applyBorder="1"/>
    <xf numFmtId="1" fontId="0" fillId="0" borderId="0" xfId="0" applyNumberFormat="1"/>
    <xf numFmtId="0" fontId="1" fillId="2" borderId="1" xfId="1" applyProtection="1">
      <protection locked="0"/>
    </xf>
    <xf numFmtId="169" fontId="2" fillId="3" borderId="1" xfId="2" applyNumberFormat="1"/>
  </cellXfs>
  <cellStyles count="4">
    <cellStyle name="Calculation" xfId="2" builtinId="22"/>
    <cellStyle name="Input" xfId="1" builtinId="20"/>
    <cellStyle name="Linked Cell" xfId="3" builtinId="24"/>
    <cellStyle name="Normal" xfId="0" builtinId="0"/>
  </cellStyles>
  <dxfs count="16">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'Self-Extinguish'!$AM$103</c:f>
              <c:strCache>
                <c:ptCount val="1"/>
                <c:pt idx="0">
                  <c:v>Tarc Extinguish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'Self-Extinguish'!$AL$104:$AL$129</c:f>
              <c:numCache>
                <c:formatCode>General</c:formatCode>
                <c:ptCount val="26"/>
                <c:pt idx="0" formatCode="0.00">
                  <c:v>80</c:v>
                </c:pt>
                <c:pt idx="1">
                  <c:v>93.6</c:v>
                </c:pt>
                <c:pt idx="2">
                  <c:v>109.51199999999999</c:v>
                </c:pt>
                <c:pt idx="3">
                  <c:v>128.12903999999997</c:v>
                </c:pt>
                <c:pt idx="4">
                  <c:v>149.91097679999996</c:v>
                </c:pt>
                <c:pt idx="5">
                  <c:v>175.39584285599994</c:v>
                </c:pt>
                <c:pt idx="6">
                  <c:v>205.21313614151993</c:v>
                </c:pt>
                <c:pt idx="7">
                  <c:v>240.09936928557829</c:v>
                </c:pt>
                <c:pt idx="8">
                  <c:v>280.91626206412656</c:v>
                </c:pt>
                <c:pt idx="9">
                  <c:v>328.67202661502807</c:v>
                </c:pt>
                <c:pt idx="10">
                  <c:v>384.54627113958281</c:v>
                </c:pt>
                <c:pt idx="11">
                  <c:v>449.91913723331186</c:v>
                </c:pt>
                <c:pt idx="12">
                  <c:v>526.40539056297484</c:v>
                </c:pt>
                <c:pt idx="13">
                  <c:v>615.89430695868054</c:v>
                </c:pt>
                <c:pt idx="14">
                  <c:v>720.59633914165624</c:v>
                </c:pt>
                <c:pt idx="15">
                  <c:v>843.09771679573771</c:v>
                </c:pt>
                <c:pt idx="16">
                  <c:v>986.42432865101307</c:v>
                </c:pt>
                <c:pt idx="17">
                  <c:v>1154.1164645216852</c:v>
                </c:pt>
                <c:pt idx="18">
                  <c:v>1350.3162634903715</c:v>
                </c:pt>
                <c:pt idx="19">
                  <c:v>1579.8700282837347</c:v>
                </c:pt>
                <c:pt idx="20">
                  <c:v>1848.4479330919694</c:v>
                </c:pt>
                <c:pt idx="21">
                  <c:v>2162.6840817176039</c:v>
                </c:pt>
                <c:pt idx="22">
                  <c:v>2530.3403756095963</c:v>
                </c:pt>
                <c:pt idx="23">
                  <c:v>2960.4982394632275</c:v>
                </c:pt>
                <c:pt idx="24">
                  <c:v>3463.782940171976</c:v>
                </c:pt>
                <c:pt idx="25">
                  <c:v>4052.6260400012115</c:v>
                </c:pt>
              </c:numCache>
            </c:numRef>
          </c:xVal>
          <c:yVal>
            <c:numRef>
              <c:f>'Self-Extinguish'!$AM$104:$AM$129</c:f>
              <c:numCache>
                <c:formatCode>General</c:formatCode>
                <c:ptCount val="26"/>
                <c:pt idx="0">
                  <c:v>0</c:v>
                </c:pt>
                <c:pt idx="1">
                  <c:v>0.23919971501086523</c:v>
                </c:pt>
                <c:pt idx="2">
                  <c:v>0.38860639522661461</c:v>
                </c:pt>
                <c:pt idx="3">
                  <c:v>0.45168667190810635</c:v>
                </c:pt>
                <c:pt idx="4">
                  <c:v>0.44145903962791883</c:v>
                </c:pt>
                <c:pt idx="5">
                  <c:v>0.37890907358218978</c:v>
                </c:pt>
                <c:pt idx="6">
                  <c:v>0.28912673221826096</c:v>
                </c:pt>
                <c:pt idx="7">
                  <c:v>0.19598117181635075</c:v>
                </c:pt>
                <c:pt idx="8">
                  <c:v>0.11705012371292639</c:v>
                </c:pt>
                <c:pt idx="9">
                  <c:v>6.0770978500785902E-2</c:v>
                </c:pt>
                <c:pt idx="10">
                  <c:v>2.6933712269719863E-2</c:v>
                </c:pt>
                <c:pt idx="11">
                  <c:v>9.9604940818469358E-3</c:v>
                </c:pt>
                <c:pt idx="12">
                  <c:v>2.9897505937943655E-3</c:v>
                </c:pt>
                <c:pt idx="13">
                  <c:v>7.0467760296331916E-4</c:v>
                </c:pt>
                <c:pt idx="14">
                  <c:v>1.2540433715100581E-4</c:v>
                </c:pt>
                <c:pt idx="15">
                  <c:v>1.6088067906532024E-5</c:v>
                </c:pt>
                <c:pt idx="16">
                  <c:v>1.4090427823241429E-6</c:v>
                </c:pt>
                <c:pt idx="17">
                  <c:v>7.9034480042831027E-8</c:v>
                </c:pt>
                <c:pt idx="18">
                  <c:v>2.6340804066322413E-9</c:v>
                </c:pt>
                <c:pt idx="19">
                  <c:v>4.7776526221235342E-11</c:v>
                </c:pt>
                <c:pt idx="20">
                  <c:v>4.2549301505171795E-13</c:v>
                </c:pt>
                <c:pt idx="21">
                  <c:v>1.6494776522837572E-15</c:v>
                </c:pt>
                <c:pt idx="22">
                  <c:v>2.4173204453449988E-18</c:v>
                </c:pt>
                <c:pt idx="23">
                  <c:v>1.1354698449643751E-21</c:v>
                </c:pt>
                <c:pt idx="24">
                  <c:v>1.4092326613910317E-25</c:v>
                </c:pt>
                <c:pt idx="25">
                  <c:v>3.6862804883325885E-30</c:v>
                </c:pt>
              </c:numCache>
            </c:numRef>
          </c:yVal>
          <c:smooth val="0"/>
          <c:extLst>
            <c:ext xmlns:c16="http://schemas.microsoft.com/office/drawing/2014/chart" uri="{C3380CC4-5D6E-409C-BE32-E72D297353CC}">
              <c16:uniqueId val="{00000000-4873-441E-B5BD-A34DD01A7EDC}"/>
            </c:ext>
          </c:extLst>
        </c:ser>
        <c:ser>
          <c:idx val="1"/>
          <c:order val="1"/>
          <c:tx>
            <c:strRef>
              <c:f>'Self-Extinguish'!$AN$103</c:f>
              <c:strCache>
                <c:ptCount val="1"/>
                <c:pt idx="0">
                  <c:v>Tarc Erosion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'Self-Extinguish'!$AL$104:$AL$129</c:f>
              <c:numCache>
                <c:formatCode>General</c:formatCode>
                <c:ptCount val="26"/>
                <c:pt idx="0" formatCode="0.00">
                  <c:v>80</c:v>
                </c:pt>
                <c:pt idx="1">
                  <c:v>93.6</c:v>
                </c:pt>
                <c:pt idx="2">
                  <c:v>109.51199999999999</c:v>
                </c:pt>
                <c:pt idx="3">
                  <c:v>128.12903999999997</c:v>
                </c:pt>
                <c:pt idx="4">
                  <c:v>149.91097679999996</c:v>
                </c:pt>
                <c:pt idx="5">
                  <c:v>175.39584285599994</c:v>
                </c:pt>
                <c:pt idx="6">
                  <c:v>205.21313614151993</c:v>
                </c:pt>
                <c:pt idx="7">
                  <c:v>240.09936928557829</c:v>
                </c:pt>
                <c:pt idx="8">
                  <c:v>280.91626206412656</c:v>
                </c:pt>
                <c:pt idx="9">
                  <c:v>328.67202661502807</c:v>
                </c:pt>
                <c:pt idx="10">
                  <c:v>384.54627113958281</c:v>
                </c:pt>
                <c:pt idx="11">
                  <c:v>449.91913723331186</c:v>
                </c:pt>
                <c:pt idx="12">
                  <c:v>526.40539056297484</c:v>
                </c:pt>
                <c:pt idx="13">
                  <c:v>615.89430695868054</c:v>
                </c:pt>
                <c:pt idx="14">
                  <c:v>720.59633914165624</c:v>
                </c:pt>
                <c:pt idx="15">
                  <c:v>843.09771679573771</c:v>
                </c:pt>
                <c:pt idx="16">
                  <c:v>986.42432865101307</c:v>
                </c:pt>
                <c:pt idx="17">
                  <c:v>1154.1164645216852</c:v>
                </c:pt>
                <c:pt idx="18">
                  <c:v>1350.3162634903715</c:v>
                </c:pt>
                <c:pt idx="19">
                  <c:v>1579.8700282837347</c:v>
                </c:pt>
                <c:pt idx="20">
                  <c:v>1848.4479330919694</c:v>
                </c:pt>
                <c:pt idx="21">
                  <c:v>2162.6840817176039</c:v>
                </c:pt>
                <c:pt idx="22">
                  <c:v>2530.3403756095963</c:v>
                </c:pt>
                <c:pt idx="23">
                  <c:v>2960.4982394632275</c:v>
                </c:pt>
                <c:pt idx="24">
                  <c:v>3463.782940171976</c:v>
                </c:pt>
                <c:pt idx="25">
                  <c:v>4052.6260400012115</c:v>
                </c:pt>
              </c:numCache>
            </c:numRef>
          </c:xVal>
          <c:yVal>
            <c:numRef>
              <c:f>'Self-Extinguish'!$AN$104:$AN$129</c:f>
              <c:numCache>
                <c:formatCode>General</c:formatCode>
                <c:ptCount val="26"/>
                <c:pt idx="0">
                  <c:v>0</c:v>
                </c:pt>
                <c:pt idx="1">
                  <c:v>0.9301750004987438</c:v>
                </c:pt>
                <c:pt idx="2">
                  <c:v>2.0184797510822738</c:v>
                </c:pt>
                <c:pt idx="3">
                  <c:v>3.2917963092650044</c:v>
                </c:pt>
                <c:pt idx="4">
                  <c:v>4.7815766823387982</c:v>
                </c:pt>
                <c:pt idx="5">
                  <c:v>6.5246197188351376</c:v>
                </c:pt>
                <c:pt idx="6">
                  <c:v>8.5639800715358554</c:v>
                </c:pt>
                <c:pt idx="7">
                  <c:v>10.950031684195693</c:v>
                </c:pt>
                <c:pt idx="8">
                  <c:v>13.741712071007703</c:v>
                </c:pt>
                <c:pt idx="9">
                  <c:v>17.007978123577757</c:v>
                </c:pt>
                <c:pt idx="10">
                  <c:v>20.829509405084718</c:v>
                </c:pt>
                <c:pt idx="11">
                  <c:v>25.300701004447859</c:v>
                </c:pt>
                <c:pt idx="12">
                  <c:v>30.53199517570274</c:v>
                </c:pt>
                <c:pt idx="13">
                  <c:v>36.652609356070947</c:v>
                </c:pt>
                <c:pt idx="14">
                  <c:v>43.813727947101754</c:v>
                </c:pt>
                <c:pt idx="15">
                  <c:v>52.192236698607786</c:v>
                </c:pt>
                <c:pt idx="16">
                  <c:v>61.995091937869852</c:v>
                </c:pt>
                <c:pt idx="17">
                  <c:v>73.464432567806469</c:v>
                </c:pt>
                <c:pt idx="18">
                  <c:v>86.883561104832296</c:v>
                </c:pt>
                <c:pt idx="19">
                  <c:v>102.58394149315254</c:v>
                </c:pt>
                <c:pt idx="20">
                  <c:v>120.9533865474872</c:v>
                </c:pt>
                <c:pt idx="21">
                  <c:v>142.44563726105875</c:v>
                </c:pt>
                <c:pt idx="22">
                  <c:v>167.59157059593747</c:v>
                </c:pt>
                <c:pt idx="23">
                  <c:v>197.01231259774556</c:v>
                </c:pt>
                <c:pt idx="24">
                  <c:v>231.43458073986102</c:v>
                </c:pt>
                <c:pt idx="25">
                  <c:v>271.70863446613612</c:v>
                </c:pt>
              </c:numCache>
            </c:numRef>
          </c:yVal>
          <c:smooth val="0"/>
          <c:extLst>
            <c:ext xmlns:c16="http://schemas.microsoft.com/office/drawing/2014/chart" uri="{C3380CC4-5D6E-409C-BE32-E72D297353CC}">
              <c16:uniqueId val="{00000001-4873-441E-B5BD-A34DD01A7EDC}"/>
            </c:ext>
          </c:extLst>
        </c:ser>
        <c:ser>
          <c:idx val="2"/>
          <c:order val="2"/>
          <c:tx>
            <c:strRef>
              <c:f>'Self-Extinguish'!$AO$103</c:f>
              <c:strCache>
                <c:ptCount val="1"/>
                <c:pt idx="0">
                  <c:v>Error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'Self-Extinguish'!$AL$104:$AL$129</c:f>
              <c:numCache>
                <c:formatCode>General</c:formatCode>
                <c:ptCount val="26"/>
                <c:pt idx="0" formatCode="0.00">
                  <c:v>80</c:v>
                </c:pt>
                <c:pt idx="1">
                  <c:v>93.6</c:v>
                </c:pt>
                <c:pt idx="2">
                  <c:v>109.51199999999999</c:v>
                </c:pt>
                <c:pt idx="3">
                  <c:v>128.12903999999997</c:v>
                </c:pt>
                <c:pt idx="4">
                  <c:v>149.91097679999996</c:v>
                </c:pt>
                <c:pt idx="5">
                  <c:v>175.39584285599994</c:v>
                </c:pt>
                <c:pt idx="6">
                  <c:v>205.21313614151993</c:v>
                </c:pt>
                <c:pt idx="7">
                  <c:v>240.09936928557829</c:v>
                </c:pt>
                <c:pt idx="8">
                  <c:v>280.91626206412656</c:v>
                </c:pt>
                <c:pt idx="9">
                  <c:v>328.67202661502807</c:v>
                </c:pt>
                <c:pt idx="10">
                  <c:v>384.54627113958281</c:v>
                </c:pt>
                <c:pt idx="11">
                  <c:v>449.91913723331186</c:v>
                </c:pt>
                <c:pt idx="12">
                  <c:v>526.40539056297484</c:v>
                </c:pt>
                <c:pt idx="13">
                  <c:v>615.89430695868054</c:v>
                </c:pt>
                <c:pt idx="14">
                  <c:v>720.59633914165624</c:v>
                </c:pt>
                <c:pt idx="15">
                  <c:v>843.09771679573771</c:v>
                </c:pt>
                <c:pt idx="16">
                  <c:v>986.42432865101307</c:v>
                </c:pt>
                <c:pt idx="17">
                  <c:v>1154.1164645216852</c:v>
                </c:pt>
                <c:pt idx="18">
                  <c:v>1350.3162634903715</c:v>
                </c:pt>
                <c:pt idx="19">
                  <c:v>1579.8700282837347</c:v>
                </c:pt>
                <c:pt idx="20">
                  <c:v>1848.4479330919694</c:v>
                </c:pt>
                <c:pt idx="21">
                  <c:v>2162.6840817176039</c:v>
                </c:pt>
                <c:pt idx="22">
                  <c:v>2530.3403756095963</c:v>
                </c:pt>
                <c:pt idx="23">
                  <c:v>2960.4982394632275</c:v>
                </c:pt>
                <c:pt idx="24">
                  <c:v>3463.782940171976</c:v>
                </c:pt>
                <c:pt idx="25">
                  <c:v>4052.6260400012115</c:v>
                </c:pt>
              </c:numCache>
            </c:numRef>
          </c:xVal>
          <c:yVal>
            <c:numRef>
              <c:f>'Self-Extinguish'!$AO$104:$AO$129</c:f>
              <c:numCache>
                <c:formatCode>General</c:formatCode>
                <c:ptCount val="26"/>
                <c:pt idx="0">
                  <c:v>0</c:v>
                </c:pt>
                <c:pt idx="1">
                  <c:v>-0.69097528548787857</c:v>
                </c:pt>
                <c:pt idx="2">
                  <c:v>-1.6298733558556593</c:v>
                </c:pt>
                <c:pt idx="3">
                  <c:v>-2.8401096373568979</c:v>
                </c:pt>
                <c:pt idx="4">
                  <c:v>-4.3401176427108794</c:v>
                </c:pt>
                <c:pt idx="5">
                  <c:v>-6.1457106452529482</c:v>
                </c:pt>
                <c:pt idx="6">
                  <c:v>-8.2748533393175947</c:v>
                </c:pt>
                <c:pt idx="7">
                  <c:v>-10.754050512379342</c:v>
                </c:pt>
                <c:pt idx="8">
                  <c:v>-13.624661947294776</c:v>
                </c:pt>
                <c:pt idx="9">
                  <c:v>-16.947207145076973</c:v>
                </c:pt>
                <c:pt idx="10">
                  <c:v>-20.802575692814997</c:v>
                </c:pt>
                <c:pt idx="11">
                  <c:v>-25.290740510366014</c:v>
                </c:pt>
                <c:pt idx="12">
                  <c:v>-30.529005425108945</c:v>
                </c:pt>
                <c:pt idx="13">
                  <c:v>-36.651904678467986</c:v>
                </c:pt>
                <c:pt idx="14">
                  <c:v>-43.813602542764606</c:v>
                </c:pt>
                <c:pt idx="15">
                  <c:v>-52.192220610539877</c:v>
                </c:pt>
                <c:pt idx="16">
                  <c:v>-61.99509052882707</c:v>
                </c:pt>
                <c:pt idx="17">
                  <c:v>-73.46443248877199</c:v>
                </c:pt>
                <c:pt idx="18">
                  <c:v>-86.883561102198215</c:v>
                </c:pt>
                <c:pt idx="19">
                  <c:v>-102.58394149310476</c:v>
                </c:pt>
                <c:pt idx="20">
                  <c:v>-120.95338654748677</c:v>
                </c:pt>
                <c:pt idx="21">
                  <c:v>-142.44563726105875</c:v>
                </c:pt>
                <c:pt idx="22">
                  <c:v>-167.59157059593747</c:v>
                </c:pt>
                <c:pt idx="23">
                  <c:v>-197.01231259774556</c:v>
                </c:pt>
                <c:pt idx="24">
                  <c:v>-231.43458073986102</c:v>
                </c:pt>
                <c:pt idx="25">
                  <c:v>-271.70863446613612</c:v>
                </c:pt>
              </c:numCache>
            </c:numRef>
          </c:yVal>
          <c:smooth val="0"/>
          <c:extLst>
            <c:ext xmlns:c16="http://schemas.microsoft.com/office/drawing/2014/chart" uri="{C3380CC4-5D6E-409C-BE32-E72D297353CC}">
              <c16:uniqueId val="{00000002-4873-441E-B5BD-A34DD01A7EDC}"/>
            </c:ext>
          </c:extLst>
        </c:ser>
        <c:dLbls>
          <c:showLegendKey val="0"/>
          <c:showVal val="0"/>
          <c:showCatName val="0"/>
          <c:showSerName val="0"/>
          <c:showPercent val="0"/>
          <c:showBubbleSize val="0"/>
        </c:dLbls>
        <c:axId val="371405392"/>
        <c:axId val="1262880735"/>
      </c:scatterChart>
      <c:valAx>
        <c:axId val="371405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Final</a:t>
                </a:r>
                <a:r>
                  <a:rPr lang="en-US" baseline="0"/>
                  <a:t> Arc Gap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80735"/>
        <c:crosses val="autoZero"/>
        <c:crossBetween val="midCat"/>
      </c:valAx>
      <c:valAx>
        <c:axId val="1262880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&lt;5% Self-Extinguishing</a:t>
                </a:r>
                <a:r>
                  <a:rPr lang="en-US" baseline="0"/>
                  <a:t> Time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4053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'Self-Extinguish'!$AM$72</c:f>
              <c:strCache>
                <c:ptCount val="1"/>
                <c:pt idx="0">
                  <c:v>Tarc Extinguish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'Self-Extinguish'!$AL$73:$AL$98</c:f>
              <c:numCache>
                <c:formatCode>General</c:formatCode>
                <c:ptCount val="26"/>
                <c:pt idx="0" formatCode="0.00">
                  <c:v>80</c:v>
                </c:pt>
                <c:pt idx="1">
                  <c:v>93.6</c:v>
                </c:pt>
                <c:pt idx="2">
                  <c:v>109.51199999999999</c:v>
                </c:pt>
                <c:pt idx="3">
                  <c:v>128.12903999999997</c:v>
                </c:pt>
                <c:pt idx="4">
                  <c:v>149.91097679999996</c:v>
                </c:pt>
                <c:pt idx="5">
                  <c:v>175.39584285599994</c:v>
                </c:pt>
                <c:pt idx="6">
                  <c:v>205.21313614151993</c:v>
                </c:pt>
                <c:pt idx="7">
                  <c:v>240.09936928557829</c:v>
                </c:pt>
                <c:pt idx="8">
                  <c:v>280.91626206412656</c:v>
                </c:pt>
                <c:pt idx="9">
                  <c:v>328.67202661502807</c:v>
                </c:pt>
                <c:pt idx="10">
                  <c:v>384.54627113958281</c:v>
                </c:pt>
                <c:pt idx="11">
                  <c:v>449.91913723331186</c:v>
                </c:pt>
                <c:pt idx="12">
                  <c:v>526.40539056297484</c:v>
                </c:pt>
                <c:pt idx="13">
                  <c:v>615.89430695868054</c:v>
                </c:pt>
                <c:pt idx="14">
                  <c:v>720.59633914165624</c:v>
                </c:pt>
                <c:pt idx="15">
                  <c:v>843.09771679573771</c:v>
                </c:pt>
                <c:pt idx="16">
                  <c:v>986.42432865101307</c:v>
                </c:pt>
                <c:pt idx="17">
                  <c:v>1154.1164645216852</c:v>
                </c:pt>
                <c:pt idx="18">
                  <c:v>1350.3162634903715</c:v>
                </c:pt>
                <c:pt idx="19">
                  <c:v>1579.8700282837347</c:v>
                </c:pt>
                <c:pt idx="20">
                  <c:v>1848.4479330919694</c:v>
                </c:pt>
                <c:pt idx="21">
                  <c:v>2162.6840817176039</c:v>
                </c:pt>
                <c:pt idx="22">
                  <c:v>2530.3403756095963</c:v>
                </c:pt>
                <c:pt idx="23">
                  <c:v>2960.4982394632275</c:v>
                </c:pt>
                <c:pt idx="24">
                  <c:v>3463.782940171976</c:v>
                </c:pt>
                <c:pt idx="25">
                  <c:v>4052.6260400012115</c:v>
                </c:pt>
              </c:numCache>
            </c:numRef>
          </c:xVal>
          <c:yVal>
            <c:numRef>
              <c:f>'Self-Extinguish'!$AM$73:$AM$98</c:f>
              <c:numCache>
                <c:formatCode>General</c:formatCode>
                <c:ptCount val="26"/>
                <c:pt idx="0">
                  <c:v>0</c:v>
                </c:pt>
                <c:pt idx="1">
                  <c:v>0.20686938992582846</c:v>
                </c:pt>
                <c:pt idx="2">
                  <c:v>0.3945250823175655</c:v>
                </c:pt>
                <c:pt idx="3">
                  <c:v>0.55318194684629607</c:v>
                </c:pt>
                <c:pt idx="4">
                  <c:v>0.67334309608270426</c:v>
                </c:pt>
                <c:pt idx="5">
                  <c:v>0.7471363634900885</c:v>
                </c:pt>
                <c:pt idx="6">
                  <c:v>0.76989269061128252</c:v>
                </c:pt>
                <c:pt idx="7">
                  <c:v>0.74167643759601143</c:v>
                </c:pt>
                <c:pt idx="8">
                  <c:v>0.66831634608219048</c:v>
                </c:pt>
                <c:pt idx="9">
                  <c:v>0.56141010156413229</c:v>
                </c:pt>
                <c:pt idx="10">
                  <c:v>0.4368974810105804</c:v>
                </c:pt>
                <c:pt idx="11">
                  <c:v>0.31219678283942376</c:v>
                </c:pt>
                <c:pt idx="12">
                  <c:v>0.20252453164927603</c:v>
                </c:pt>
                <c:pt idx="13">
                  <c:v>0.11760517999646554</c:v>
                </c:pt>
                <c:pt idx="14">
                  <c:v>6.010529161747543E-2</c:v>
                </c:pt>
                <c:pt idx="15">
                  <c:v>2.6494523922076709E-2</c:v>
                </c:pt>
                <c:pt idx="16">
                  <c:v>9.8346144790020327E-3</c:v>
                </c:pt>
                <c:pt idx="17">
                  <c:v>2.9884875448285223E-3</c:v>
                </c:pt>
                <c:pt idx="18">
                  <c:v>7.1913736429525608E-4</c:v>
                </c:pt>
                <c:pt idx="19">
                  <c:v>1.317948766825444E-4</c:v>
                </c:pt>
                <c:pt idx="20">
                  <c:v>1.7572870904964109E-5</c:v>
                </c:pt>
                <c:pt idx="21">
                  <c:v>1.6156910517384388E-6</c:v>
                </c:pt>
                <c:pt idx="22">
                  <c:v>9.6198473648456192E-8</c:v>
                </c:pt>
                <c:pt idx="23">
                  <c:v>3.4461278499147496E-9</c:v>
                </c:pt>
                <c:pt idx="24">
                  <c:v>6.8148298245855803E-11</c:v>
                </c:pt>
                <c:pt idx="25">
                  <c:v>6.7262195404104329E-13</c:v>
                </c:pt>
              </c:numCache>
            </c:numRef>
          </c:yVal>
          <c:smooth val="0"/>
          <c:extLst>
            <c:ext xmlns:c16="http://schemas.microsoft.com/office/drawing/2014/chart" uri="{C3380CC4-5D6E-409C-BE32-E72D297353CC}">
              <c16:uniqueId val="{00000000-1344-4764-8D2E-72CC71D8454F}"/>
            </c:ext>
          </c:extLst>
        </c:ser>
        <c:ser>
          <c:idx val="1"/>
          <c:order val="1"/>
          <c:tx>
            <c:strRef>
              <c:f>'Self-Extinguish'!$AN$72</c:f>
              <c:strCache>
                <c:ptCount val="1"/>
                <c:pt idx="0">
                  <c:v>Tarc Erosion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'Self-Extinguish'!$AL$73:$AL$98</c:f>
              <c:numCache>
                <c:formatCode>General</c:formatCode>
                <c:ptCount val="26"/>
                <c:pt idx="0" formatCode="0.00">
                  <c:v>80</c:v>
                </c:pt>
                <c:pt idx="1">
                  <c:v>93.6</c:v>
                </c:pt>
                <c:pt idx="2">
                  <c:v>109.51199999999999</c:v>
                </c:pt>
                <c:pt idx="3">
                  <c:v>128.12903999999997</c:v>
                </c:pt>
                <c:pt idx="4">
                  <c:v>149.91097679999996</c:v>
                </c:pt>
                <c:pt idx="5">
                  <c:v>175.39584285599994</c:v>
                </c:pt>
                <c:pt idx="6">
                  <c:v>205.21313614151993</c:v>
                </c:pt>
                <c:pt idx="7">
                  <c:v>240.09936928557829</c:v>
                </c:pt>
                <c:pt idx="8">
                  <c:v>280.91626206412656</c:v>
                </c:pt>
                <c:pt idx="9">
                  <c:v>328.67202661502807</c:v>
                </c:pt>
                <c:pt idx="10">
                  <c:v>384.54627113958281</c:v>
                </c:pt>
                <c:pt idx="11">
                  <c:v>449.91913723331186</c:v>
                </c:pt>
                <c:pt idx="12">
                  <c:v>526.40539056297484</c:v>
                </c:pt>
                <c:pt idx="13">
                  <c:v>615.89430695868054</c:v>
                </c:pt>
                <c:pt idx="14">
                  <c:v>720.59633914165624</c:v>
                </c:pt>
                <c:pt idx="15">
                  <c:v>843.09771679573771</c:v>
                </c:pt>
                <c:pt idx="16">
                  <c:v>986.42432865101307</c:v>
                </c:pt>
                <c:pt idx="17">
                  <c:v>1154.1164645216852</c:v>
                </c:pt>
                <c:pt idx="18">
                  <c:v>1350.3162634903715</c:v>
                </c:pt>
                <c:pt idx="19">
                  <c:v>1579.8700282837347</c:v>
                </c:pt>
                <c:pt idx="20">
                  <c:v>1848.4479330919694</c:v>
                </c:pt>
                <c:pt idx="21">
                  <c:v>2162.6840817176039</c:v>
                </c:pt>
                <c:pt idx="22">
                  <c:v>2530.3403756095963</c:v>
                </c:pt>
                <c:pt idx="23">
                  <c:v>2960.4982394632275</c:v>
                </c:pt>
                <c:pt idx="24">
                  <c:v>3463.782940171976</c:v>
                </c:pt>
                <c:pt idx="25">
                  <c:v>4052.6260400012115</c:v>
                </c:pt>
              </c:numCache>
            </c:numRef>
          </c:xVal>
          <c:yVal>
            <c:numRef>
              <c:f>'Self-Extinguish'!$AN$73:$AN$98</c:f>
              <c:numCache>
                <c:formatCode>General</c:formatCode>
                <c:ptCount val="26"/>
                <c:pt idx="0">
                  <c:v>0</c:v>
                </c:pt>
                <c:pt idx="1">
                  <c:v>0.9301750004987438</c:v>
                </c:pt>
                <c:pt idx="2">
                  <c:v>2.0184797510822738</c:v>
                </c:pt>
                <c:pt idx="3">
                  <c:v>3.2917963092650044</c:v>
                </c:pt>
                <c:pt idx="4">
                  <c:v>4.7815766823387982</c:v>
                </c:pt>
                <c:pt idx="5">
                  <c:v>6.5246197188351376</c:v>
                </c:pt>
                <c:pt idx="6">
                  <c:v>8.5639800715358554</c:v>
                </c:pt>
                <c:pt idx="7">
                  <c:v>10.950031684195693</c:v>
                </c:pt>
                <c:pt idx="8">
                  <c:v>13.741712071007703</c:v>
                </c:pt>
                <c:pt idx="9">
                  <c:v>17.007978123577757</c:v>
                </c:pt>
                <c:pt idx="10">
                  <c:v>20.829509405084718</c:v>
                </c:pt>
                <c:pt idx="11">
                  <c:v>25.300701004447859</c:v>
                </c:pt>
                <c:pt idx="12">
                  <c:v>30.53199517570274</c:v>
                </c:pt>
                <c:pt idx="13">
                  <c:v>36.652609356070947</c:v>
                </c:pt>
                <c:pt idx="14">
                  <c:v>43.813727947101754</c:v>
                </c:pt>
                <c:pt idx="15">
                  <c:v>52.192236698607786</c:v>
                </c:pt>
                <c:pt idx="16">
                  <c:v>61.995091937869852</c:v>
                </c:pt>
                <c:pt idx="17">
                  <c:v>73.464432567806469</c:v>
                </c:pt>
                <c:pt idx="18">
                  <c:v>86.883561104832296</c:v>
                </c:pt>
                <c:pt idx="19">
                  <c:v>102.58394149315254</c:v>
                </c:pt>
                <c:pt idx="20">
                  <c:v>120.9533865474872</c:v>
                </c:pt>
                <c:pt idx="21">
                  <c:v>142.44563726105875</c:v>
                </c:pt>
                <c:pt idx="22">
                  <c:v>167.59157059593747</c:v>
                </c:pt>
                <c:pt idx="23">
                  <c:v>197.01231259774556</c:v>
                </c:pt>
                <c:pt idx="24">
                  <c:v>231.43458073986102</c:v>
                </c:pt>
                <c:pt idx="25">
                  <c:v>271.70863446613612</c:v>
                </c:pt>
              </c:numCache>
            </c:numRef>
          </c:yVal>
          <c:smooth val="0"/>
          <c:extLst>
            <c:ext xmlns:c16="http://schemas.microsoft.com/office/drawing/2014/chart" uri="{C3380CC4-5D6E-409C-BE32-E72D297353CC}">
              <c16:uniqueId val="{00000001-1344-4764-8D2E-72CC71D8454F}"/>
            </c:ext>
          </c:extLst>
        </c:ser>
        <c:ser>
          <c:idx val="2"/>
          <c:order val="2"/>
          <c:tx>
            <c:strRef>
              <c:f>'Self-Extinguish'!$AO$72</c:f>
              <c:strCache>
                <c:ptCount val="1"/>
                <c:pt idx="0">
                  <c:v>Error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'Self-Extinguish'!$AL$73:$AL$98</c:f>
              <c:numCache>
                <c:formatCode>General</c:formatCode>
                <c:ptCount val="26"/>
                <c:pt idx="0" formatCode="0.00">
                  <c:v>80</c:v>
                </c:pt>
                <c:pt idx="1">
                  <c:v>93.6</c:v>
                </c:pt>
                <c:pt idx="2">
                  <c:v>109.51199999999999</c:v>
                </c:pt>
                <c:pt idx="3">
                  <c:v>128.12903999999997</c:v>
                </c:pt>
                <c:pt idx="4">
                  <c:v>149.91097679999996</c:v>
                </c:pt>
                <c:pt idx="5">
                  <c:v>175.39584285599994</c:v>
                </c:pt>
                <c:pt idx="6">
                  <c:v>205.21313614151993</c:v>
                </c:pt>
                <c:pt idx="7">
                  <c:v>240.09936928557829</c:v>
                </c:pt>
                <c:pt idx="8">
                  <c:v>280.91626206412656</c:v>
                </c:pt>
                <c:pt idx="9">
                  <c:v>328.67202661502807</c:v>
                </c:pt>
                <c:pt idx="10">
                  <c:v>384.54627113958281</c:v>
                </c:pt>
                <c:pt idx="11">
                  <c:v>449.91913723331186</c:v>
                </c:pt>
                <c:pt idx="12">
                  <c:v>526.40539056297484</c:v>
                </c:pt>
                <c:pt idx="13">
                  <c:v>615.89430695868054</c:v>
                </c:pt>
                <c:pt idx="14">
                  <c:v>720.59633914165624</c:v>
                </c:pt>
                <c:pt idx="15">
                  <c:v>843.09771679573771</c:v>
                </c:pt>
                <c:pt idx="16">
                  <c:v>986.42432865101307</c:v>
                </c:pt>
                <c:pt idx="17">
                  <c:v>1154.1164645216852</c:v>
                </c:pt>
                <c:pt idx="18">
                  <c:v>1350.3162634903715</c:v>
                </c:pt>
                <c:pt idx="19">
                  <c:v>1579.8700282837347</c:v>
                </c:pt>
                <c:pt idx="20">
                  <c:v>1848.4479330919694</c:v>
                </c:pt>
                <c:pt idx="21">
                  <c:v>2162.6840817176039</c:v>
                </c:pt>
                <c:pt idx="22">
                  <c:v>2530.3403756095963</c:v>
                </c:pt>
                <c:pt idx="23">
                  <c:v>2960.4982394632275</c:v>
                </c:pt>
                <c:pt idx="24">
                  <c:v>3463.782940171976</c:v>
                </c:pt>
                <c:pt idx="25">
                  <c:v>4052.6260400012115</c:v>
                </c:pt>
              </c:numCache>
            </c:numRef>
          </c:xVal>
          <c:yVal>
            <c:numRef>
              <c:f>'Self-Extinguish'!$AO$73:$AO$98</c:f>
              <c:numCache>
                <c:formatCode>General</c:formatCode>
                <c:ptCount val="26"/>
                <c:pt idx="0">
                  <c:v>0</c:v>
                </c:pt>
                <c:pt idx="1">
                  <c:v>-0.72330561057291531</c:v>
                </c:pt>
                <c:pt idx="2">
                  <c:v>-1.6239546687647084</c:v>
                </c:pt>
                <c:pt idx="3">
                  <c:v>-2.7386143624187085</c:v>
                </c:pt>
                <c:pt idx="4">
                  <c:v>-4.1082335862560937</c:v>
                </c:pt>
                <c:pt idx="5">
                  <c:v>-5.7774833553450495</c:v>
                </c:pt>
                <c:pt idx="6">
                  <c:v>-7.794087380924573</c:v>
                </c:pt>
                <c:pt idx="7">
                  <c:v>-10.208355246599682</c:v>
                </c:pt>
                <c:pt idx="8">
                  <c:v>-13.073395724925511</c:v>
                </c:pt>
                <c:pt idx="9">
                  <c:v>-16.446568022013626</c:v>
                </c:pt>
                <c:pt idx="10">
                  <c:v>-20.392611924074139</c:v>
                </c:pt>
                <c:pt idx="11">
                  <c:v>-24.988504221608434</c:v>
                </c:pt>
                <c:pt idx="12">
                  <c:v>-30.329470644053465</c:v>
                </c:pt>
                <c:pt idx="13">
                  <c:v>-36.53500417607448</c:v>
                </c:pt>
                <c:pt idx="14">
                  <c:v>-43.753622655484278</c:v>
                </c:pt>
                <c:pt idx="15">
                  <c:v>-52.165742174685711</c:v>
                </c:pt>
                <c:pt idx="16">
                  <c:v>-61.985257323390847</c:v>
                </c:pt>
                <c:pt idx="17">
                  <c:v>-73.461444080261643</c:v>
                </c:pt>
                <c:pt idx="18">
                  <c:v>-86.882841967467996</c:v>
                </c:pt>
                <c:pt idx="19">
                  <c:v>-102.58380969827586</c:v>
                </c:pt>
                <c:pt idx="20">
                  <c:v>-120.9533689746163</c:v>
                </c:pt>
                <c:pt idx="21">
                  <c:v>-142.4456356453677</c:v>
                </c:pt>
                <c:pt idx="22">
                  <c:v>-167.59157049973899</c:v>
                </c:pt>
                <c:pt idx="23">
                  <c:v>-197.01231259429943</c:v>
                </c:pt>
                <c:pt idx="24">
                  <c:v>-231.43458073979286</c:v>
                </c:pt>
                <c:pt idx="25">
                  <c:v>-271.70863446613544</c:v>
                </c:pt>
              </c:numCache>
            </c:numRef>
          </c:yVal>
          <c:smooth val="0"/>
          <c:extLst>
            <c:ext xmlns:c16="http://schemas.microsoft.com/office/drawing/2014/chart" uri="{C3380CC4-5D6E-409C-BE32-E72D297353CC}">
              <c16:uniqueId val="{00000002-1344-4764-8D2E-72CC71D8454F}"/>
            </c:ext>
          </c:extLst>
        </c:ser>
        <c:dLbls>
          <c:showLegendKey val="0"/>
          <c:showVal val="0"/>
          <c:showCatName val="0"/>
          <c:showSerName val="0"/>
          <c:showPercent val="0"/>
          <c:showBubbleSize val="0"/>
        </c:dLbls>
        <c:axId val="371406320"/>
        <c:axId val="855571727"/>
      </c:scatterChart>
      <c:valAx>
        <c:axId val="3714063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571727"/>
        <c:crosses val="autoZero"/>
        <c:crossBetween val="midCat"/>
      </c:valAx>
      <c:valAx>
        <c:axId val="85557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406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D$13" lockText="1" noThreeD="1"/>
</file>

<file path=xl/ctrlProps/ctrlProp10.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Radio" firstButton="1" fmlaLink="$D$13" noThreeD="1"/>
</file>

<file path=xl/ctrlProps/ctrlProp12.xml><?xml version="1.0" encoding="utf-8"?>
<formControlPr xmlns="http://schemas.microsoft.com/office/spreadsheetml/2009/9/main" objectType="Radio" noThreeD="1"/>
</file>

<file path=xl/ctrlProps/ctrlProp13.xml><?xml version="1.0" encoding="utf-8"?>
<formControlPr xmlns="http://schemas.microsoft.com/office/spreadsheetml/2009/9/main" objectType="Radio" noThreeD="1"/>
</file>

<file path=xl/ctrlProps/ctrlProp14.xml><?xml version="1.0" encoding="utf-8"?>
<formControlPr xmlns="http://schemas.microsoft.com/office/spreadsheetml/2009/9/main" objectType="Radio" checked="Checked" noThreeD="1"/>
</file>

<file path=xl/ctrlProps/ctrlProp15.xml><?xml version="1.0" encoding="utf-8"?>
<formControlPr xmlns="http://schemas.microsoft.com/office/spreadsheetml/2009/9/main" objectType="Radio"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checked="Checked" firstButton="1" fmlaLink="$D$13"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9.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5.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0.png"/><Relationship Id="rId2" Type="http://schemas.openxmlformats.org/officeDocument/2006/relationships/image" Target="../media/image2.png"/><Relationship Id="rId1" Type="http://schemas.openxmlformats.org/officeDocument/2006/relationships/image" Target="../media/image9.png"/><Relationship Id="rId6" Type="http://schemas.openxmlformats.org/officeDocument/2006/relationships/image" Target="../media/image6.png"/><Relationship Id="rId11" Type="http://schemas.openxmlformats.org/officeDocument/2006/relationships/image" Target="../media/image14.png"/><Relationship Id="rId5" Type="http://schemas.openxmlformats.org/officeDocument/2006/relationships/image" Target="../media/image5.png"/><Relationship Id="rId15" Type="http://schemas.openxmlformats.org/officeDocument/2006/relationships/chart" Target="../charts/chart2.xml"/><Relationship Id="rId10" Type="http://schemas.openxmlformats.org/officeDocument/2006/relationships/image" Target="../media/image13.png"/><Relationship Id="rId4" Type="http://schemas.openxmlformats.org/officeDocument/2006/relationships/image" Target="../media/image4.png"/><Relationship Id="rId9" Type="http://schemas.openxmlformats.org/officeDocument/2006/relationships/image" Target="../media/image12.png"/><Relationship Id="rId1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140529</xdr:colOff>
      <xdr:row>1</xdr:row>
      <xdr:rowOff>38100</xdr:rowOff>
    </xdr:from>
    <xdr:to>
      <xdr:col>4</xdr:col>
      <xdr:colOff>556846</xdr:colOff>
      <xdr:row>4</xdr:row>
      <xdr:rowOff>129540</xdr:rowOff>
    </xdr:to>
    <xdr:sp macro="" textlink="">
      <xdr:nvSpPr>
        <xdr:cNvPr id="2" name="Rectangle 1">
          <a:extLst>
            <a:ext uri="{FF2B5EF4-FFF2-40B4-BE49-F238E27FC236}">
              <a16:creationId xmlns:a16="http://schemas.microsoft.com/office/drawing/2014/main" id="{FF2806FD-1A58-38DF-D944-6EDB3B2B8A40}"/>
            </a:ext>
          </a:extLst>
        </xdr:cNvPr>
        <xdr:cNvSpPr/>
      </xdr:nvSpPr>
      <xdr:spPr>
        <a:xfrm>
          <a:off x="140529" y="228600"/>
          <a:ext cx="5490211" cy="66294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chemeClr val="tx1"/>
              </a:solidFill>
            </a:rPr>
            <a:t>Battery Hazard Calculator (Maximum Power Method)</a:t>
          </a:r>
        </a:p>
        <a:p>
          <a:pPr algn="l"/>
          <a:r>
            <a:rPr lang="en-US" sz="1600" b="0">
              <a:solidFill>
                <a:schemeClr val="tx1"/>
              </a:solidFill>
            </a:rPr>
            <a:t>Developed by David Rosewater (Sandia</a:t>
          </a:r>
          <a:r>
            <a:rPr lang="en-US" sz="1600" b="0" baseline="0">
              <a:solidFill>
                <a:schemeClr val="tx1"/>
              </a:solidFill>
            </a:rPr>
            <a:t> National Laboratories)</a:t>
          </a:r>
          <a:endParaRPr lang="en-US" sz="1600" b="0">
            <a:solidFill>
              <a:schemeClr val="tx1"/>
            </a:solidFill>
          </a:endParaRPr>
        </a:p>
      </xdr:txBody>
    </xdr:sp>
    <xdr:clientData/>
  </xdr:twoCellAnchor>
  <xdr:twoCellAnchor>
    <xdr:from>
      <xdr:col>9</xdr:col>
      <xdr:colOff>66676</xdr:colOff>
      <xdr:row>6</xdr:row>
      <xdr:rowOff>38100</xdr:rowOff>
    </xdr:from>
    <xdr:to>
      <xdr:col>16</xdr:col>
      <xdr:colOff>180976</xdr:colOff>
      <xdr:row>22</xdr:row>
      <xdr:rowOff>76200</xdr:rowOff>
    </xdr:to>
    <xdr:sp macro="" textlink="">
      <xdr:nvSpPr>
        <xdr:cNvPr id="5" name="Rectangle 4">
          <a:extLst>
            <a:ext uri="{FF2B5EF4-FFF2-40B4-BE49-F238E27FC236}">
              <a16:creationId xmlns:a16="http://schemas.microsoft.com/office/drawing/2014/main" id="{59A9C1B9-FF4A-4191-B5ED-BC32D0166AE1}"/>
            </a:ext>
          </a:extLst>
        </xdr:cNvPr>
        <xdr:cNvSpPr/>
      </xdr:nvSpPr>
      <xdr:spPr>
        <a:xfrm>
          <a:off x="9696451" y="1181100"/>
          <a:ext cx="4381500" cy="308610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Directions</a:t>
          </a:r>
          <a:endParaRPr lang="en-US" sz="1100" b="1">
            <a:solidFill>
              <a:schemeClr val="tx1"/>
            </a:solidFill>
            <a:effectLst/>
            <a:latin typeface="+mn-lt"/>
            <a:ea typeface="+mn-ea"/>
            <a:cs typeface="+mn-cs"/>
          </a:endParaRPr>
        </a:p>
        <a:p>
          <a:r>
            <a:rPr lang="en-US" sz="1100" b="1">
              <a:solidFill>
                <a:schemeClr val="tx1"/>
              </a:solidFill>
              <a:effectLst/>
              <a:latin typeface="+mn-lt"/>
              <a:ea typeface="+mn-ea"/>
              <a:cs typeface="+mn-cs"/>
            </a:rPr>
            <a:t>Step</a:t>
          </a:r>
          <a:r>
            <a:rPr lang="en-US" sz="1100" b="1" baseline="0">
              <a:solidFill>
                <a:schemeClr val="tx1"/>
              </a:solidFill>
              <a:effectLst/>
              <a:latin typeface="+mn-lt"/>
              <a:ea typeface="+mn-ea"/>
              <a:cs typeface="+mn-cs"/>
            </a:rPr>
            <a:t> 1: Battery Circuit Data Input</a:t>
          </a:r>
        </a:p>
        <a:p>
          <a:r>
            <a:rPr lang="en-US" sz="1100" baseline="0">
              <a:solidFill>
                <a:schemeClr val="tx1"/>
              </a:solidFill>
              <a:effectLst/>
              <a:latin typeface="+mn-lt"/>
              <a:ea typeface="+mn-ea"/>
              <a:cs typeface="+mn-cs"/>
            </a:rPr>
            <a:t>-Fill out the battery voltage and short circuit current. If short circuit current is not known, then fill out the Calculation of Short Circuit Current section at the bottom of this sheet. Then copy the calculated short circuit current into field B12.</a:t>
          </a:r>
        </a:p>
        <a:p>
          <a:r>
            <a:rPr lang="en-US" sz="1100" baseline="0">
              <a:solidFill>
                <a:schemeClr val="tx1"/>
              </a:solidFill>
              <a:effectLst/>
              <a:latin typeface="+mn-lt"/>
              <a:ea typeface="+mn-ea"/>
              <a:cs typeface="+mn-cs"/>
            </a:rPr>
            <a:t>-Fill out the arc time (Based on the overcurrent protection (OCP) trip curve). If no OCP is in the battery circuit then use 2 seconds.</a:t>
          </a:r>
        </a:p>
        <a:p>
          <a:r>
            <a:rPr lang="en-US" sz="1100" baseline="0">
              <a:solidFill>
                <a:schemeClr val="tx1"/>
              </a:solidFill>
              <a:effectLst/>
              <a:latin typeface="+mn-lt"/>
              <a:ea typeface="+mn-ea"/>
              <a:cs typeface="+mn-cs"/>
            </a:rPr>
            <a:t>-Fill out the arc gap and the arc-in-a-box multiplication factor. </a:t>
          </a:r>
        </a:p>
        <a:p>
          <a:endParaRPr lang="en-US" sz="1100" baseline="0">
            <a:solidFill>
              <a:schemeClr val="tx1"/>
            </a:solidFill>
            <a:effectLst/>
            <a:latin typeface="+mn-lt"/>
            <a:ea typeface="+mn-ea"/>
            <a:cs typeface="+mn-cs"/>
          </a:endParaRPr>
        </a:p>
        <a:p>
          <a:r>
            <a:rPr lang="en-US" sz="1100" b="1">
              <a:solidFill>
                <a:schemeClr val="tx1"/>
              </a:solidFill>
              <a:effectLst/>
              <a:latin typeface="+mn-lt"/>
              <a:ea typeface="+mn-ea"/>
              <a:cs typeface="+mn-cs"/>
            </a:rPr>
            <a:t>Step 3: Results</a:t>
          </a:r>
        </a:p>
        <a:p>
          <a:r>
            <a:rPr lang="en-US" sz="1100" baseline="0">
              <a:solidFill>
                <a:schemeClr val="tx1"/>
              </a:solidFill>
              <a:effectLst/>
              <a:latin typeface="+mn-lt"/>
              <a:ea typeface="+mn-ea"/>
              <a:cs typeface="+mn-cs"/>
            </a:rPr>
            <a:t>-The Max Power Transfer method does not consider the arc gap and has been shown to be overly conservative. Generally, this should not be used unless the gap length is completely unknown. </a:t>
          </a:r>
        </a:p>
        <a:p>
          <a:endParaRPr lang="en-US" sz="1100" baseline="0">
            <a:solidFill>
              <a:schemeClr val="tx1"/>
            </a:solidFill>
            <a:effectLst/>
            <a:latin typeface="+mn-lt"/>
            <a:ea typeface="+mn-ea"/>
            <a:cs typeface="+mn-cs"/>
          </a:endParaRPr>
        </a:p>
      </xdr:txBody>
    </xdr:sp>
    <xdr:clientData/>
  </xdr:twoCellAnchor>
  <xdr:twoCellAnchor>
    <xdr:from>
      <xdr:col>9</xdr:col>
      <xdr:colOff>77200</xdr:colOff>
      <xdr:row>23</xdr:row>
      <xdr:rowOff>102393</xdr:rowOff>
    </xdr:from>
    <xdr:to>
      <xdr:col>16</xdr:col>
      <xdr:colOff>185501</xdr:colOff>
      <xdr:row>30</xdr:row>
      <xdr:rowOff>171450</xdr:rowOff>
    </xdr:to>
    <xdr:sp macro="" textlink="">
      <xdr:nvSpPr>
        <xdr:cNvPr id="12" name="Rectangle 11">
          <a:extLst>
            <a:ext uri="{FF2B5EF4-FFF2-40B4-BE49-F238E27FC236}">
              <a16:creationId xmlns:a16="http://schemas.microsoft.com/office/drawing/2014/main" id="{2106EBA8-0F9C-451A-BB2B-DD7903CDD991}"/>
            </a:ext>
          </a:extLst>
        </xdr:cNvPr>
        <xdr:cNvSpPr/>
      </xdr:nvSpPr>
      <xdr:spPr>
        <a:xfrm>
          <a:off x="9630775" y="4483893"/>
          <a:ext cx="4375501" cy="1402557"/>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References</a:t>
          </a:r>
          <a:endParaRPr lang="en-US" sz="1100" b="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[1] </a:t>
          </a:r>
          <a:r>
            <a:rPr lang="en-US" sz="1100">
              <a:solidFill>
                <a:schemeClr val="tx1"/>
              </a:solidFill>
              <a:effectLst/>
              <a:latin typeface="+mn-lt"/>
              <a:ea typeface="+mn-ea"/>
              <a:cs typeface="+mn-cs"/>
            </a:rPr>
            <a:t>Doan, D. R., “Arc Flash Calculations for Exposures to DC Systems,” IEEE Transactions on Industry Applications, vol. 46, no. 6, pp. 2299–2302, November/December 2010.</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[5]  "Simple Improved Equations for Arc Flash Analysis," Wilkins, R.,        IEEE Electrical Safety Forum, posted August 30, 2004.</a:t>
          </a:r>
        </a:p>
      </xdr:txBody>
    </xdr:sp>
    <xdr:clientData/>
  </xdr:twoCellAnchor>
  <xdr:twoCellAnchor editAs="oneCell">
    <xdr:from>
      <xdr:col>16</xdr:col>
      <xdr:colOff>563167</xdr:colOff>
      <xdr:row>6</xdr:row>
      <xdr:rowOff>61912</xdr:rowOff>
    </xdr:from>
    <xdr:to>
      <xdr:col>21</xdr:col>
      <xdr:colOff>137876</xdr:colOff>
      <xdr:row>15</xdr:row>
      <xdr:rowOff>86042</xdr:rowOff>
    </xdr:to>
    <xdr:pic>
      <xdr:nvPicPr>
        <xdr:cNvPr id="13" name="Picture 12">
          <a:extLst>
            <a:ext uri="{FF2B5EF4-FFF2-40B4-BE49-F238E27FC236}">
              <a16:creationId xmlns:a16="http://schemas.microsoft.com/office/drawing/2014/main" id="{500F4C73-30EF-8092-83E7-13D94260E2AA}"/>
            </a:ext>
          </a:extLst>
        </xdr:cNvPr>
        <xdr:cNvPicPr>
          <a:picLocks noChangeAspect="1"/>
        </xdr:cNvPicPr>
      </xdr:nvPicPr>
      <xdr:blipFill>
        <a:blip xmlns:r="http://schemas.openxmlformats.org/officeDocument/2006/relationships" r:embed="rId1"/>
        <a:stretch>
          <a:fillRect/>
        </a:stretch>
      </xdr:blipFill>
      <xdr:spPr>
        <a:xfrm>
          <a:off x="14460142" y="1204912"/>
          <a:ext cx="2622709" cy="1738630"/>
        </a:xfrm>
        <a:prstGeom prst="rect">
          <a:avLst/>
        </a:prstGeom>
        <a:solidFill>
          <a:schemeClr val="bg1"/>
        </a:solidFill>
      </xdr:spPr>
    </xdr:pic>
    <xdr:clientData/>
  </xdr:twoCellAnchor>
  <xdr:twoCellAnchor editAs="oneCell">
    <xdr:from>
      <xdr:col>16</xdr:col>
      <xdr:colOff>260568</xdr:colOff>
      <xdr:row>16</xdr:row>
      <xdr:rowOff>75010</xdr:rowOff>
    </xdr:from>
    <xdr:to>
      <xdr:col>20</xdr:col>
      <xdr:colOff>565369</xdr:colOff>
      <xdr:row>19</xdr:row>
      <xdr:rowOff>100503</xdr:rowOff>
    </xdr:to>
    <xdr:pic>
      <xdr:nvPicPr>
        <xdr:cNvPr id="14" name="Picture 13">
          <a:extLst>
            <a:ext uri="{FF2B5EF4-FFF2-40B4-BE49-F238E27FC236}">
              <a16:creationId xmlns:a16="http://schemas.microsoft.com/office/drawing/2014/main" id="{3244F5CF-EE17-8006-A369-87F0A3C1A38D}"/>
            </a:ext>
          </a:extLst>
        </xdr:cNvPr>
        <xdr:cNvPicPr>
          <a:picLocks noChangeAspect="1"/>
        </xdr:cNvPicPr>
      </xdr:nvPicPr>
      <xdr:blipFill>
        <a:blip xmlns:r="http://schemas.openxmlformats.org/officeDocument/2006/relationships" r:embed="rId2"/>
        <a:stretch>
          <a:fillRect/>
        </a:stretch>
      </xdr:blipFill>
      <xdr:spPr>
        <a:xfrm>
          <a:off x="14157543" y="3123010"/>
          <a:ext cx="2743201" cy="596993"/>
        </a:xfrm>
        <a:prstGeom prst="rect">
          <a:avLst/>
        </a:prstGeom>
      </xdr:spPr>
    </xdr:pic>
    <xdr:clientData/>
  </xdr:twoCellAnchor>
  <xdr:twoCellAnchor editAs="oneCell">
    <xdr:from>
      <xdr:col>16</xdr:col>
      <xdr:colOff>260568</xdr:colOff>
      <xdr:row>25</xdr:row>
      <xdr:rowOff>110728</xdr:rowOff>
    </xdr:from>
    <xdr:to>
      <xdr:col>25</xdr:col>
      <xdr:colOff>579703</xdr:colOff>
      <xdr:row>30</xdr:row>
      <xdr:rowOff>140528</xdr:rowOff>
    </xdr:to>
    <xdr:pic>
      <xdr:nvPicPr>
        <xdr:cNvPr id="15" name="Picture 14">
          <a:extLst>
            <a:ext uri="{FF2B5EF4-FFF2-40B4-BE49-F238E27FC236}">
              <a16:creationId xmlns:a16="http://schemas.microsoft.com/office/drawing/2014/main" id="{05B44699-D819-F34D-84F2-B66CA266F5CC}"/>
            </a:ext>
          </a:extLst>
        </xdr:cNvPr>
        <xdr:cNvPicPr>
          <a:picLocks noChangeAspect="1"/>
        </xdr:cNvPicPr>
      </xdr:nvPicPr>
      <xdr:blipFill>
        <a:blip xmlns:r="http://schemas.openxmlformats.org/officeDocument/2006/relationships" r:embed="rId3"/>
        <a:stretch>
          <a:fillRect/>
        </a:stretch>
      </xdr:blipFill>
      <xdr:spPr>
        <a:xfrm>
          <a:off x="14157543" y="4873228"/>
          <a:ext cx="5805535" cy="982300"/>
        </a:xfrm>
        <a:prstGeom prst="rect">
          <a:avLst/>
        </a:prstGeom>
      </xdr:spPr>
    </xdr:pic>
    <xdr:clientData/>
  </xdr:twoCellAnchor>
  <xdr:twoCellAnchor editAs="oneCell">
    <xdr:from>
      <xdr:col>10</xdr:col>
      <xdr:colOff>365343</xdr:colOff>
      <xdr:row>31</xdr:row>
      <xdr:rowOff>78753</xdr:rowOff>
    </xdr:from>
    <xdr:to>
      <xdr:col>20</xdr:col>
      <xdr:colOff>180559</xdr:colOff>
      <xdr:row>38</xdr:row>
      <xdr:rowOff>186478</xdr:rowOff>
    </xdr:to>
    <xdr:pic>
      <xdr:nvPicPr>
        <xdr:cNvPr id="18" name="Picture 17">
          <a:extLst>
            <a:ext uri="{FF2B5EF4-FFF2-40B4-BE49-F238E27FC236}">
              <a16:creationId xmlns:a16="http://schemas.microsoft.com/office/drawing/2014/main" id="{2EA136E8-5869-761E-A542-39B354B6B893}"/>
            </a:ext>
          </a:extLst>
        </xdr:cNvPr>
        <xdr:cNvPicPr>
          <a:picLocks noChangeAspect="1"/>
        </xdr:cNvPicPr>
      </xdr:nvPicPr>
      <xdr:blipFill>
        <a:blip xmlns:r="http://schemas.openxmlformats.org/officeDocument/2006/relationships" r:embed="rId4"/>
        <a:stretch>
          <a:fillRect/>
        </a:stretch>
      </xdr:blipFill>
      <xdr:spPr>
        <a:xfrm>
          <a:off x="10604718" y="5984253"/>
          <a:ext cx="5911216" cy="1441225"/>
        </a:xfrm>
        <a:prstGeom prst="rect">
          <a:avLst/>
        </a:prstGeom>
      </xdr:spPr>
    </xdr:pic>
    <xdr:clientData/>
  </xdr:twoCellAnchor>
  <xdr:twoCellAnchor>
    <xdr:from>
      <xdr:col>0</xdr:col>
      <xdr:colOff>53153</xdr:colOff>
      <xdr:row>43</xdr:row>
      <xdr:rowOff>90409</xdr:rowOff>
    </xdr:from>
    <xdr:to>
      <xdr:col>10</xdr:col>
      <xdr:colOff>183035</xdr:colOff>
      <xdr:row>50</xdr:row>
      <xdr:rowOff>153865</xdr:rowOff>
    </xdr:to>
    <xdr:sp macro="" textlink="">
      <xdr:nvSpPr>
        <xdr:cNvPr id="3" name="Rectangle 2">
          <a:extLst>
            <a:ext uri="{FF2B5EF4-FFF2-40B4-BE49-F238E27FC236}">
              <a16:creationId xmlns:a16="http://schemas.microsoft.com/office/drawing/2014/main" id="{9F7F9742-C46F-40BC-A0EA-62883BB1BD99}"/>
            </a:ext>
          </a:extLst>
        </xdr:cNvPr>
        <xdr:cNvSpPr/>
      </xdr:nvSpPr>
      <xdr:spPr>
        <a:xfrm>
          <a:off x="53153" y="8897371"/>
          <a:ext cx="8852584" cy="1396956"/>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baseline="0">
              <a:solidFill>
                <a:schemeClr val="tx1"/>
              </a:solidFill>
              <a:effectLst/>
              <a:latin typeface="+mn-lt"/>
              <a:ea typeface="+mn-ea"/>
              <a:cs typeface="+mn-cs"/>
            </a:rPr>
            <a:t>Funding Statement</a:t>
          </a:r>
        </a:p>
        <a:p>
          <a:r>
            <a:rPr lang="en-US" sz="1100" b="0" i="1">
              <a:solidFill>
                <a:schemeClr val="tx1"/>
              </a:solidFill>
              <a:effectLst/>
              <a:latin typeface="+mn-lt"/>
              <a:ea typeface="+mn-ea"/>
              <a:cs typeface="+mn-cs"/>
            </a:rPr>
            <a:t>This article has been authored by an employee of National Technology &amp; Engineering Solutions of Sandia, LLC under Contract No. DE-NA0003525 with the U.S. Department of Energy (DOE). The employee owns all right, title and interest in and to the article and is solely responsible for its contents. The United States Government retains and the publisher, by accepting the article for publication, acknowledges that the United States Government retains a non-exclusive, paid-up, irrevocable, world-wide license to publish or reproduce the published form of this article or allow others to do so, for United States Government purposes. The DOE will provide public access to these results of federally sponsored research in accordance with the DOE Public Access Plan </a:t>
          </a:r>
          <a:r>
            <a:rPr lang="en-US" sz="1100" b="0" i="1">
              <a:solidFill>
                <a:schemeClr val="lt1"/>
              </a:solidFill>
              <a:effectLst/>
              <a:latin typeface="+mn-lt"/>
              <a:ea typeface="+mn-ea"/>
              <a:cs typeface="+mn-cs"/>
              <a:hlinkClick xmlns:r="http://schemas.openxmlformats.org/officeDocument/2006/relationships" r:id=""/>
            </a:rPr>
            <a:t>https://www.energy.gov/downloads/doe-public-access-plan</a:t>
          </a:r>
          <a:r>
            <a:rPr lang="en-US" sz="1100" b="0" i="1">
              <a:solidFill>
                <a:schemeClr val="lt1"/>
              </a:solidFill>
              <a:effectLst/>
              <a:latin typeface="+mn-lt"/>
              <a:ea typeface="+mn-ea"/>
              <a:cs typeface="+mn-cs"/>
            </a:rPr>
            <a:t> .</a:t>
          </a:r>
          <a:endParaRPr lang="en-US" sz="1100" baseline="0">
            <a:solidFill>
              <a:schemeClr val="tx1"/>
            </a:solidFill>
            <a:effectLst/>
            <a:latin typeface="+mn-lt"/>
            <a:ea typeface="+mn-ea"/>
            <a:cs typeface="+mn-cs"/>
          </a:endParaRPr>
        </a:p>
      </xdr:txBody>
    </xdr:sp>
    <xdr:clientData/>
  </xdr:twoCellAnchor>
  <xdr:twoCellAnchor editAs="oneCell">
    <xdr:from>
      <xdr:col>10</xdr:col>
      <xdr:colOff>307484</xdr:colOff>
      <xdr:row>43</xdr:row>
      <xdr:rowOff>168274</xdr:rowOff>
    </xdr:from>
    <xdr:to>
      <xdr:col>13</xdr:col>
      <xdr:colOff>302722</xdr:colOff>
      <xdr:row>46</xdr:row>
      <xdr:rowOff>54146</xdr:rowOff>
    </xdr:to>
    <xdr:pic>
      <xdr:nvPicPr>
        <xdr:cNvPr id="7" name="Picture 6">
          <a:extLst>
            <a:ext uri="{FF2B5EF4-FFF2-40B4-BE49-F238E27FC236}">
              <a16:creationId xmlns:a16="http://schemas.microsoft.com/office/drawing/2014/main" id="{6C717A6F-1789-D157-7DBB-7792305EFDD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030186" y="8975236"/>
          <a:ext cx="1819641" cy="457371"/>
        </a:xfrm>
        <a:prstGeom prst="rect">
          <a:avLst/>
        </a:prstGeom>
      </xdr:spPr>
    </xdr:pic>
    <xdr:clientData/>
  </xdr:twoCellAnchor>
  <xdr:twoCellAnchor editAs="oneCell">
    <xdr:from>
      <xdr:col>10</xdr:col>
      <xdr:colOff>307484</xdr:colOff>
      <xdr:row>47</xdr:row>
      <xdr:rowOff>20833</xdr:rowOff>
    </xdr:from>
    <xdr:to>
      <xdr:col>13</xdr:col>
      <xdr:colOff>304627</xdr:colOff>
      <xdr:row>50</xdr:row>
      <xdr:rowOff>568</xdr:rowOff>
    </xdr:to>
    <xdr:pic>
      <xdr:nvPicPr>
        <xdr:cNvPr id="20" name="Picture 19">
          <a:extLst>
            <a:ext uri="{FF2B5EF4-FFF2-40B4-BE49-F238E27FC236}">
              <a16:creationId xmlns:a16="http://schemas.microsoft.com/office/drawing/2014/main" id="{04A887EB-BAA9-6805-E2C4-5BC9F83D128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030186" y="9589795"/>
          <a:ext cx="1821546" cy="546855"/>
        </a:xfrm>
        <a:prstGeom prst="rect">
          <a:avLst/>
        </a:prstGeom>
      </xdr:spPr>
    </xdr:pic>
    <xdr:clientData/>
  </xdr:twoCellAnchor>
  <xdr:twoCellAnchor editAs="oneCell">
    <xdr:from>
      <xdr:col>5</xdr:col>
      <xdr:colOff>59832</xdr:colOff>
      <xdr:row>1</xdr:row>
      <xdr:rowOff>21512</xdr:rowOff>
    </xdr:from>
    <xdr:to>
      <xdr:col>9</xdr:col>
      <xdr:colOff>339505</xdr:colOff>
      <xdr:row>5</xdr:row>
      <xdr:rowOff>5987</xdr:rowOff>
    </xdr:to>
    <xdr:pic>
      <xdr:nvPicPr>
        <xdr:cNvPr id="22" name="Picture 21">
          <a:extLst>
            <a:ext uri="{FF2B5EF4-FFF2-40B4-BE49-F238E27FC236}">
              <a16:creationId xmlns:a16="http://schemas.microsoft.com/office/drawing/2014/main" id="{1DA1FA4D-7698-ACD0-48D8-C2D42805C46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251207" y="212012"/>
          <a:ext cx="2718073" cy="746475"/>
        </a:xfrm>
        <a:prstGeom prst="rect">
          <a:avLst/>
        </a:prstGeom>
        <a:solidFill>
          <a:schemeClr val="bg1"/>
        </a:solidFill>
      </xdr:spPr>
    </xdr:pic>
    <xdr:clientData/>
  </xdr:twoCellAnchor>
  <xdr:twoCellAnchor editAs="oneCell">
    <xdr:from>
      <xdr:col>16</xdr:col>
      <xdr:colOff>260568</xdr:colOff>
      <xdr:row>19</xdr:row>
      <xdr:rowOff>148504</xdr:rowOff>
    </xdr:from>
    <xdr:to>
      <xdr:col>20</xdr:col>
      <xdr:colOff>270093</xdr:colOff>
      <xdr:row>25</xdr:row>
      <xdr:rowOff>77712</xdr:rowOff>
    </xdr:to>
    <xdr:pic>
      <xdr:nvPicPr>
        <xdr:cNvPr id="8" name="Picture 7">
          <a:extLst>
            <a:ext uri="{FF2B5EF4-FFF2-40B4-BE49-F238E27FC236}">
              <a16:creationId xmlns:a16="http://schemas.microsoft.com/office/drawing/2014/main" id="{92CA241B-F42D-4695-AE0D-B28536CAA5E7}"/>
            </a:ext>
          </a:extLst>
        </xdr:cNvPr>
        <xdr:cNvPicPr>
          <a:picLocks noChangeAspect="1"/>
        </xdr:cNvPicPr>
      </xdr:nvPicPr>
      <xdr:blipFill>
        <a:blip xmlns:r="http://schemas.openxmlformats.org/officeDocument/2006/relationships" r:embed="rId8"/>
        <a:stretch>
          <a:fillRect/>
        </a:stretch>
      </xdr:blipFill>
      <xdr:spPr>
        <a:xfrm>
          <a:off x="14157543" y="3768004"/>
          <a:ext cx="2447925" cy="1072208"/>
        </a:xfrm>
        <a:prstGeom prst="rect">
          <a:avLst/>
        </a:prstGeom>
      </xdr:spPr>
    </xdr:pic>
    <xdr:clientData/>
  </xdr:twoCellAnchor>
  <xdr:twoCellAnchor>
    <xdr:from>
      <xdr:col>21</xdr:col>
      <xdr:colOff>137140</xdr:colOff>
      <xdr:row>16</xdr:row>
      <xdr:rowOff>92869</xdr:rowOff>
    </xdr:from>
    <xdr:to>
      <xdr:col>24</xdr:col>
      <xdr:colOff>422889</xdr:colOff>
      <xdr:row>18</xdr:row>
      <xdr:rowOff>54769</xdr:rowOff>
    </xdr:to>
    <xdr:sp macro="" textlink="">
      <xdr:nvSpPr>
        <xdr:cNvPr id="11" name="Rectangle 10">
          <a:extLst>
            <a:ext uri="{FF2B5EF4-FFF2-40B4-BE49-F238E27FC236}">
              <a16:creationId xmlns:a16="http://schemas.microsoft.com/office/drawing/2014/main" id="{982CA423-6490-472E-B6A1-A9B6D7E4F568}"/>
            </a:ext>
          </a:extLst>
        </xdr:cNvPr>
        <xdr:cNvSpPr/>
      </xdr:nvSpPr>
      <xdr:spPr>
        <a:xfrm>
          <a:off x="17082115" y="3140869"/>
          <a:ext cx="2114549" cy="34290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Battery Arc Voltage </a:t>
          </a:r>
          <a:endParaRPr lang="en-US" sz="1100" b="1">
            <a:solidFill>
              <a:schemeClr val="tx1"/>
            </a:solidFill>
            <a:effectLst/>
            <a:latin typeface="+mn-lt"/>
            <a:ea typeface="+mn-ea"/>
            <a:cs typeface="+mn-cs"/>
          </a:endParaRPr>
        </a:p>
      </xdr:txBody>
    </xdr:sp>
    <xdr:clientData/>
  </xdr:twoCellAnchor>
  <xdr:twoCellAnchor>
    <xdr:from>
      <xdr:col>21</xdr:col>
      <xdr:colOff>79990</xdr:colOff>
      <xdr:row>21</xdr:row>
      <xdr:rowOff>73819</xdr:rowOff>
    </xdr:from>
    <xdr:to>
      <xdr:col>24</xdr:col>
      <xdr:colOff>365739</xdr:colOff>
      <xdr:row>23</xdr:row>
      <xdr:rowOff>35719</xdr:rowOff>
    </xdr:to>
    <xdr:sp macro="" textlink="">
      <xdr:nvSpPr>
        <xdr:cNvPr id="19" name="Rectangle 18">
          <a:extLst>
            <a:ext uri="{FF2B5EF4-FFF2-40B4-BE49-F238E27FC236}">
              <a16:creationId xmlns:a16="http://schemas.microsoft.com/office/drawing/2014/main" id="{741C2944-934E-4967-BB62-CCFE1453D15D}"/>
            </a:ext>
          </a:extLst>
        </xdr:cNvPr>
        <xdr:cNvSpPr/>
      </xdr:nvSpPr>
      <xdr:spPr>
        <a:xfrm>
          <a:off x="17024965" y="4074319"/>
          <a:ext cx="2114549" cy="34290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Max Power IE</a:t>
          </a:r>
          <a:endParaRPr lang="en-US" sz="1100" b="1">
            <a:solidFill>
              <a:schemeClr val="tx1"/>
            </a:solidFill>
            <a:effectLst/>
            <a:latin typeface="+mn-lt"/>
            <a:ea typeface="+mn-ea"/>
            <a:cs typeface="+mn-cs"/>
          </a:endParaRPr>
        </a:p>
      </xdr:txBody>
    </xdr:sp>
    <xdr:clientData/>
  </xdr:twoCellAnchor>
  <xdr:twoCellAnchor>
    <xdr:from>
      <xdr:col>0</xdr:col>
      <xdr:colOff>66676</xdr:colOff>
      <xdr:row>51</xdr:row>
      <xdr:rowOff>19049</xdr:rowOff>
    </xdr:from>
    <xdr:to>
      <xdr:col>10</xdr:col>
      <xdr:colOff>190501</xdr:colOff>
      <xdr:row>62</xdr:row>
      <xdr:rowOff>104774</xdr:rowOff>
    </xdr:to>
    <xdr:sp macro="" textlink="">
      <xdr:nvSpPr>
        <xdr:cNvPr id="4" name="Rectangle 3">
          <a:extLst>
            <a:ext uri="{FF2B5EF4-FFF2-40B4-BE49-F238E27FC236}">
              <a16:creationId xmlns:a16="http://schemas.microsoft.com/office/drawing/2014/main" id="{F1C1DE96-4C8A-4837-A462-54C5201CA7AB}"/>
            </a:ext>
          </a:extLst>
        </xdr:cNvPr>
        <xdr:cNvSpPr/>
      </xdr:nvSpPr>
      <xdr:spPr>
        <a:xfrm>
          <a:off x="66676" y="9734549"/>
          <a:ext cx="10363200" cy="218122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baseline="0">
              <a:solidFill>
                <a:schemeClr val="tx1"/>
              </a:solidFill>
              <a:effectLst/>
              <a:latin typeface="+mn-lt"/>
              <a:ea typeface="+mn-ea"/>
              <a:cs typeface="+mn-cs"/>
            </a:rPr>
            <a:t>MIT Open Source Software License</a:t>
          </a:r>
        </a:p>
        <a:p>
          <a:r>
            <a:rPr lang="en-US" sz="1100" b="0" i="1">
              <a:solidFill>
                <a:schemeClr val="tx1"/>
              </a:solidFill>
              <a:effectLst/>
              <a:latin typeface="+mn-lt"/>
              <a:ea typeface="+mn-ea"/>
              <a:cs typeface="+mn-cs"/>
            </a:rPr>
            <a:t>Copyright</a:t>
          </a:r>
          <a:r>
            <a:rPr lang="en-US" sz="1100" b="0" i="1" baseline="0">
              <a:solidFill>
                <a:schemeClr val="tx1"/>
              </a:solidFill>
              <a:effectLst/>
              <a:latin typeface="+mn-lt"/>
              <a:ea typeface="+mn-ea"/>
              <a:cs typeface="+mn-cs"/>
            </a:rPr>
            <a:t> 2024</a:t>
          </a:r>
          <a:r>
            <a:rPr lang="en-US" sz="1100" b="0" i="1">
              <a:solidFill>
                <a:schemeClr val="tx1"/>
              </a:solidFill>
              <a:effectLst/>
              <a:latin typeface="+mn-lt"/>
              <a:ea typeface="+mn-ea"/>
              <a:cs typeface="+mn-cs"/>
            </a:rPr>
            <a:t> National Technology &amp; Engineering Solutions of Sandia, LLC (NTESS). Under the terms of Contract DE-NA0003525 with NTESS, the U.S. Government retains certain rights in this software.</a:t>
          </a:r>
        </a:p>
        <a:p>
          <a:endParaRPr lang="en-US" sz="1100" b="0" i="1">
            <a:solidFill>
              <a:schemeClr val="tx1"/>
            </a:solidFill>
            <a:effectLst/>
            <a:latin typeface="+mn-lt"/>
            <a:ea typeface="+mn-ea"/>
            <a:cs typeface="+mn-cs"/>
          </a:endParaRPr>
        </a:p>
        <a:p>
          <a:r>
            <a:rPr lang="en-US" sz="1100" b="0" i="1">
              <a:solidFill>
                <a:schemeClr val="tx1"/>
              </a:solidFill>
              <a:effectLst/>
              <a:latin typeface="+mn-lt"/>
              <a:ea typeface="+mn-ea"/>
              <a:cs typeface="+mn-cs"/>
            </a:rPr>
            <a:t>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a:t>
          </a:r>
        </a:p>
        <a:p>
          <a:r>
            <a:rPr lang="en-US" sz="1100" b="0" i="1">
              <a:solidFill>
                <a:schemeClr val="tx1"/>
              </a:solidFill>
              <a:effectLst/>
              <a:latin typeface="+mn-lt"/>
              <a:ea typeface="+mn-ea"/>
              <a:cs typeface="+mn-cs"/>
            </a:rPr>
            <a:t>The above copyright notice and this permission notice shall be included in all copies or substantial portions of the Software.</a:t>
          </a:r>
        </a:p>
        <a:p>
          <a:r>
            <a:rPr lang="en-US" sz="1100" b="0" i="1">
              <a:solidFill>
                <a:schemeClr val="tx1"/>
              </a:solidFill>
              <a:effectLst/>
              <a:latin typeface="+mn-lt"/>
              <a:ea typeface="+mn-ea"/>
              <a:cs typeface="+mn-cs"/>
            </a:rPr>
            <a:t>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a:t>
          </a:r>
        </a:p>
      </xdr:txBody>
    </xdr:sp>
    <xdr:clientData/>
  </xdr:twoCellAnchor>
  <mc:AlternateContent xmlns:mc="http://schemas.openxmlformats.org/markup-compatibility/2006">
    <mc:Choice xmlns:a14="http://schemas.microsoft.com/office/drawing/2010/main" Requires="a14">
      <xdr:twoCellAnchor editAs="oneCell">
        <xdr:from>
          <xdr:col>3</xdr:col>
          <xdr:colOff>57150</xdr:colOff>
          <xdr:row>11</xdr:row>
          <xdr:rowOff>180975</xdr:rowOff>
        </xdr:from>
        <xdr:to>
          <xdr:col>4</xdr:col>
          <xdr:colOff>314325</xdr:colOff>
          <xdr:row>13</xdr:row>
          <xdr:rowOff>9525</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Open Air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12</xdr:row>
          <xdr:rowOff>180975</xdr:rowOff>
        </xdr:from>
        <xdr:to>
          <xdr:col>6</xdr:col>
          <xdr:colOff>219075</xdr:colOff>
          <xdr:row>14</xdr:row>
          <xdr:rowOff>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NFPA 70E 2015 D.5.1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13</xdr:row>
          <xdr:rowOff>152400</xdr:rowOff>
        </xdr:from>
        <xdr:to>
          <xdr:col>8</xdr:col>
          <xdr:colOff>552450</xdr:colOff>
          <xdr:row>15</xdr:row>
          <xdr:rowOff>47625</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Large Switchgear (MV) (1143mm x 762mm x 762mm)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9</xdr:col>
          <xdr:colOff>0</xdr:colOff>
          <xdr:row>16</xdr:row>
          <xdr:rowOff>19050</xdr:rowOff>
        </xdr:to>
        <xdr:sp macro="" textlink="">
          <xdr:nvSpPr>
            <xdr:cNvPr id="1028" name="Option 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Medium Switchgear (LV) (508mm x 508mm x 508mm)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19050</xdr:rowOff>
        </xdr:from>
        <xdr:to>
          <xdr:col>8</xdr:col>
          <xdr:colOff>495300</xdr:colOff>
          <xdr:row>17</xdr:row>
          <xdr:rowOff>28575</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Small Panel (LV)  (305mm x 356mm x 191mm)</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140528</xdr:colOff>
      <xdr:row>1</xdr:row>
      <xdr:rowOff>38100</xdr:rowOff>
    </xdr:from>
    <xdr:to>
      <xdr:col>5</xdr:col>
      <xdr:colOff>291702</xdr:colOff>
      <xdr:row>4</xdr:row>
      <xdr:rowOff>129540</xdr:rowOff>
    </xdr:to>
    <xdr:sp macro="" textlink="">
      <xdr:nvSpPr>
        <xdr:cNvPr id="2" name="Rectangle 1">
          <a:extLst>
            <a:ext uri="{FF2B5EF4-FFF2-40B4-BE49-F238E27FC236}">
              <a16:creationId xmlns:a16="http://schemas.microsoft.com/office/drawing/2014/main" id="{49652C5B-6211-4B29-B832-6519B5DF1345}"/>
            </a:ext>
          </a:extLst>
        </xdr:cNvPr>
        <xdr:cNvSpPr/>
      </xdr:nvSpPr>
      <xdr:spPr>
        <a:xfrm>
          <a:off x="140528" y="228600"/>
          <a:ext cx="5889987" cy="66294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chemeClr val="tx1"/>
              </a:solidFill>
            </a:rPr>
            <a:t>Battery Hazard Calculator (Arc Resistance Method)</a:t>
          </a:r>
        </a:p>
        <a:p>
          <a:pPr algn="l"/>
          <a:r>
            <a:rPr lang="en-US" sz="1600" b="0">
              <a:solidFill>
                <a:schemeClr val="tx1"/>
              </a:solidFill>
            </a:rPr>
            <a:t>Developed by David Rosewater (Sandia</a:t>
          </a:r>
          <a:r>
            <a:rPr lang="en-US" sz="1600" b="0" baseline="0">
              <a:solidFill>
                <a:schemeClr val="tx1"/>
              </a:solidFill>
            </a:rPr>
            <a:t> National Laboratories)</a:t>
          </a:r>
          <a:endParaRPr lang="en-US" sz="1600" b="0">
            <a:solidFill>
              <a:schemeClr val="tx1"/>
            </a:solidFill>
          </a:endParaRPr>
        </a:p>
      </xdr:txBody>
    </xdr:sp>
    <xdr:clientData/>
  </xdr:twoCellAnchor>
  <xdr:twoCellAnchor editAs="oneCell">
    <xdr:from>
      <xdr:col>14</xdr:col>
      <xdr:colOff>76200</xdr:colOff>
      <xdr:row>18</xdr:row>
      <xdr:rowOff>87990</xdr:rowOff>
    </xdr:from>
    <xdr:to>
      <xdr:col>18</xdr:col>
      <xdr:colOff>424815</xdr:colOff>
      <xdr:row>21</xdr:row>
      <xdr:rowOff>15049</xdr:rowOff>
    </xdr:to>
    <xdr:pic>
      <xdr:nvPicPr>
        <xdr:cNvPr id="3" name="Picture 2">
          <a:extLst>
            <a:ext uri="{FF2B5EF4-FFF2-40B4-BE49-F238E27FC236}">
              <a16:creationId xmlns:a16="http://schemas.microsoft.com/office/drawing/2014/main" id="{939D9D48-F010-4911-85D8-EC4287476153}"/>
            </a:ext>
          </a:extLst>
        </xdr:cNvPr>
        <xdr:cNvPicPr>
          <a:picLocks noChangeAspect="1"/>
        </xdr:cNvPicPr>
      </xdr:nvPicPr>
      <xdr:blipFill>
        <a:blip xmlns:r="http://schemas.openxmlformats.org/officeDocument/2006/relationships" r:embed="rId1"/>
        <a:stretch>
          <a:fillRect/>
        </a:stretch>
      </xdr:blipFill>
      <xdr:spPr>
        <a:xfrm>
          <a:off x="12411075" y="3516990"/>
          <a:ext cx="2787015" cy="517609"/>
        </a:xfrm>
        <a:prstGeom prst="rect">
          <a:avLst/>
        </a:prstGeom>
      </xdr:spPr>
    </xdr:pic>
    <xdr:clientData/>
  </xdr:twoCellAnchor>
  <xdr:twoCellAnchor>
    <xdr:from>
      <xdr:col>9</xdr:col>
      <xdr:colOff>57150</xdr:colOff>
      <xdr:row>5</xdr:row>
      <xdr:rowOff>95249</xdr:rowOff>
    </xdr:from>
    <xdr:to>
      <xdr:col>14</xdr:col>
      <xdr:colOff>0</xdr:colOff>
      <xdr:row>30</xdr:row>
      <xdr:rowOff>0</xdr:rowOff>
    </xdr:to>
    <xdr:sp macro="" textlink="">
      <xdr:nvSpPr>
        <xdr:cNvPr id="4" name="Rectangle 3">
          <a:extLst>
            <a:ext uri="{FF2B5EF4-FFF2-40B4-BE49-F238E27FC236}">
              <a16:creationId xmlns:a16="http://schemas.microsoft.com/office/drawing/2014/main" id="{46299A95-CE1E-4076-B468-84EFE55E537C}"/>
            </a:ext>
          </a:extLst>
        </xdr:cNvPr>
        <xdr:cNvSpPr/>
      </xdr:nvSpPr>
      <xdr:spPr>
        <a:xfrm>
          <a:off x="9344025" y="1047749"/>
          <a:ext cx="2990850" cy="4695826"/>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Directions</a:t>
          </a:r>
          <a:endParaRPr lang="en-US" sz="1100" b="1">
            <a:solidFill>
              <a:schemeClr val="tx1"/>
            </a:solidFill>
            <a:effectLst/>
            <a:latin typeface="+mn-lt"/>
            <a:ea typeface="+mn-ea"/>
            <a:cs typeface="+mn-cs"/>
          </a:endParaRPr>
        </a:p>
        <a:p>
          <a:r>
            <a:rPr lang="en-US" sz="1100" b="1">
              <a:solidFill>
                <a:schemeClr val="tx1"/>
              </a:solidFill>
              <a:effectLst/>
              <a:latin typeface="+mn-lt"/>
              <a:ea typeface="+mn-ea"/>
              <a:cs typeface="+mn-cs"/>
            </a:rPr>
            <a:t>Step</a:t>
          </a:r>
          <a:r>
            <a:rPr lang="en-US" sz="1100" b="1" baseline="0">
              <a:solidFill>
                <a:schemeClr val="tx1"/>
              </a:solidFill>
              <a:effectLst/>
              <a:latin typeface="+mn-lt"/>
              <a:ea typeface="+mn-ea"/>
              <a:cs typeface="+mn-cs"/>
            </a:rPr>
            <a:t> 1: Battery Circuit Data Input</a:t>
          </a:r>
        </a:p>
        <a:p>
          <a:r>
            <a:rPr lang="en-US" sz="1100" baseline="0">
              <a:solidFill>
                <a:schemeClr val="tx1"/>
              </a:solidFill>
              <a:effectLst/>
              <a:latin typeface="+mn-lt"/>
              <a:ea typeface="+mn-ea"/>
              <a:cs typeface="+mn-cs"/>
            </a:rPr>
            <a:t>-Fill out the battery voltage and short circuit current. If short circuit current is not known, then fill out the Calculation of Short Circuit Current section at the bottom of this sheet. Then copy the calculated short circuit current into field B12.</a:t>
          </a:r>
        </a:p>
        <a:p>
          <a:r>
            <a:rPr lang="en-US" sz="1100" baseline="0">
              <a:solidFill>
                <a:schemeClr val="tx1"/>
              </a:solidFill>
              <a:effectLst/>
              <a:latin typeface="+mn-lt"/>
              <a:ea typeface="+mn-ea"/>
              <a:cs typeface="+mn-cs"/>
            </a:rPr>
            <a:t>-Fill out the arc time (Based on the overcurrent protection (OCP) trip curve). If no OCP is in the battery circuit then use 2 seconds.</a:t>
          </a:r>
        </a:p>
        <a:p>
          <a:r>
            <a:rPr lang="en-US" sz="1100" baseline="0">
              <a:solidFill>
                <a:schemeClr val="tx1"/>
              </a:solidFill>
              <a:effectLst/>
              <a:latin typeface="+mn-lt"/>
              <a:ea typeface="+mn-ea"/>
              <a:cs typeface="+mn-cs"/>
            </a:rPr>
            <a:t>-Fill out the arc gap and the arc-in-a-box multiplication factor. </a:t>
          </a:r>
        </a:p>
        <a:p>
          <a:r>
            <a:rPr lang="en-US" sz="1100" b="1" baseline="0">
              <a:solidFill>
                <a:schemeClr val="tx1"/>
              </a:solidFill>
              <a:effectLst/>
              <a:latin typeface="+mn-lt"/>
              <a:ea typeface="+mn-ea"/>
              <a:cs typeface="+mn-cs"/>
            </a:rPr>
            <a:t>Step 2: Calculation</a:t>
          </a:r>
        </a:p>
        <a:p>
          <a:r>
            <a:rPr lang="en-US" sz="1100">
              <a:solidFill>
                <a:schemeClr val="tx1"/>
              </a:solidFill>
              <a:effectLst/>
              <a:latin typeface="+mn-lt"/>
              <a:ea typeface="+mn-ea"/>
              <a:cs typeface="+mn-cs"/>
            </a:rPr>
            <a:t>-This spreadsheet solves the iterative problem using fields W2 through AC28 with gradient</a:t>
          </a:r>
          <a:r>
            <a:rPr lang="en-US" sz="1100" baseline="0">
              <a:solidFill>
                <a:schemeClr val="tx1"/>
              </a:solidFill>
              <a:effectLst/>
              <a:latin typeface="+mn-lt"/>
              <a:ea typeface="+mn-ea"/>
              <a:cs typeface="+mn-cs"/>
            </a:rPr>
            <a:t> decent to drive the voltage error (the difference between the battery voltage and the arc voltage) to zero by changing the arc current.  Once AA23 = 0, the arc current and arc voltage fields are correct and the results can be read. </a:t>
          </a:r>
        </a:p>
        <a:p>
          <a:r>
            <a:rPr lang="en-US" sz="1100" baseline="0">
              <a:solidFill>
                <a:schemeClr val="tx1"/>
              </a:solidFill>
              <a:effectLst/>
              <a:latin typeface="+mn-lt"/>
              <a:ea typeface="+mn-ea"/>
              <a:cs typeface="+mn-cs"/>
            </a:rPr>
            <a:t>-the Input Error Checking fields will warn you if one of the inputs invalidates the calculation. </a:t>
          </a:r>
          <a:endParaRPr lang="en-US">
            <a:solidFill>
              <a:schemeClr val="tx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Step 3: Results</a:t>
          </a:r>
          <a:endParaRPr lang="en-US">
            <a:solidFill>
              <a:schemeClr val="tx1"/>
            </a:solidFill>
            <a:effectLst/>
          </a:endParaRPr>
        </a:p>
        <a:p>
          <a:r>
            <a:rPr lang="en-US" sz="1100" baseline="0">
              <a:solidFill>
                <a:schemeClr val="tx1"/>
              </a:solidFill>
              <a:effectLst/>
              <a:latin typeface="+mn-lt"/>
              <a:ea typeface="+mn-ea"/>
              <a:cs typeface="+mn-cs"/>
            </a:rPr>
            <a:t>-The arc resistance method (also called the Ammerman Method, which relies on a model developed by Stokes and Oppenlander), considers the arc gap resistance but does not consider magnetic forces or electrode erosion. </a:t>
          </a:r>
        </a:p>
      </xdr:txBody>
    </xdr:sp>
    <xdr:clientData/>
  </xdr:twoCellAnchor>
  <xdr:twoCellAnchor>
    <xdr:from>
      <xdr:col>7</xdr:col>
      <xdr:colOff>266700</xdr:colOff>
      <xdr:row>30</xdr:row>
      <xdr:rowOff>26061</xdr:rowOff>
    </xdr:from>
    <xdr:to>
      <xdr:col>14</xdr:col>
      <xdr:colOff>15241</xdr:colOff>
      <xdr:row>40</xdr:row>
      <xdr:rowOff>14233</xdr:rowOff>
    </xdr:to>
    <xdr:sp macro="" textlink="">
      <xdr:nvSpPr>
        <xdr:cNvPr id="7" name="Rectangle 6">
          <a:extLst>
            <a:ext uri="{FF2B5EF4-FFF2-40B4-BE49-F238E27FC236}">
              <a16:creationId xmlns:a16="http://schemas.microsoft.com/office/drawing/2014/main" id="{5EA1D60C-B6A5-4A67-A4D7-59C9E5657321}"/>
            </a:ext>
          </a:extLst>
        </xdr:cNvPr>
        <xdr:cNvSpPr/>
      </xdr:nvSpPr>
      <xdr:spPr>
        <a:xfrm>
          <a:off x="8334375" y="5769636"/>
          <a:ext cx="4015741" cy="1893172"/>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References</a:t>
          </a:r>
          <a:endParaRPr lang="en-US" sz="1100" b="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[2]  </a:t>
          </a:r>
          <a:r>
            <a:rPr lang="en-US" sz="1100">
              <a:solidFill>
                <a:schemeClr val="tx1"/>
              </a:solidFill>
              <a:effectLst/>
              <a:latin typeface="+mn-lt"/>
              <a:ea typeface="+mn-ea"/>
              <a:cs typeface="+mn-cs"/>
            </a:rPr>
            <a:t>R. F. Ammerman, T. Gammon, P. K. Sen, and J. P. Nelson, “DC-Arc Models and Incident-Energy Calculations,” in IEEE Transactions on Industry Applications, vol. 46, no. 5, pp. 1810-1819, Sept.-Oct. 2010, doi: 10.1109/TIA.2010.2057497.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[3] A. D. Stokes and W. T. Oppenlander, ``Electric arcs in open air,'' J. Phys. D: Appl. Phys. Vol 24, pp. 26-35, 6 April 1990</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[5]  "Simple Improved Equations for Arc Flash Analysis," Wilkins, R.,        IEEE Electrical Safety Forum, posted August 30, 2004.</a:t>
          </a:r>
        </a:p>
      </xdr:txBody>
    </xdr:sp>
    <xdr:clientData/>
  </xdr:twoCellAnchor>
  <xdr:twoCellAnchor editAs="oneCell">
    <xdr:from>
      <xdr:col>14</xdr:col>
      <xdr:colOff>76200</xdr:colOff>
      <xdr:row>14</xdr:row>
      <xdr:rowOff>180974</xdr:rowOff>
    </xdr:from>
    <xdr:to>
      <xdr:col>18</xdr:col>
      <xdr:colOff>381000</xdr:colOff>
      <xdr:row>18</xdr:row>
      <xdr:rowOff>15967</xdr:rowOff>
    </xdr:to>
    <xdr:pic>
      <xdr:nvPicPr>
        <xdr:cNvPr id="9" name="Picture 8">
          <a:extLst>
            <a:ext uri="{FF2B5EF4-FFF2-40B4-BE49-F238E27FC236}">
              <a16:creationId xmlns:a16="http://schemas.microsoft.com/office/drawing/2014/main" id="{76EDE176-4045-4FC4-A0D4-6B0BAA42E80C}"/>
            </a:ext>
          </a:extLst>
        </xdr:cNvPr>
        <xdr:cNvPicPr>
          <a:picLocks noChangeAspect="1"/>
        </xdr:cNvPicPr>
      </xdr:nvPicPr>
      <xdr:blipFill>
        <a:blip xmlns:r="http://schemas.openxmlformats.org/officeDocument/2006/relationships" r:embed="rId2"/>
        <a:stretch>
          <a:fillRect/>
        </a:stretch>
      </xdr:blipFill>
      <xdr:spPr>
        <a:xfrm>
          <a:off x="12411075" y="2847974"/>
          <a:ext cx="2743200" cy="596993"/>
        </a:xfrm>
        <a:prstGeom prst="rect">
          <a:avLst/>
        </a:prstGeom>
      </xdr:spPr>
    </xdr:pic>
    <xdr:clientData/>
  </xdr:twoCellAnchor>
  <xdr:twoCellAnchor editAs="oneCell">
    <xdr:from>
      <xdr:col>14</xdr:col>
      <xdr:colOff>76201</xdr:colOff>
      <xdr:row>22</xdr:row>
      <xdr:rowOff>8463</xdr:rowOff>
    </xdr:from>
    <xdr:to>
      <xdr:col>22</xdr:col>
      <xdr:colOff>76201</xdr:colOff>
      <xdr:row>26</xdr:row>
      <xdr:rowOff>48570</xdr:rowOff>
    </xdr:to>
    <xdr:pic>
      <xdr:nvPicPr>
        <xdr:cNvPr id="10" name="Picture 9">
          <a:extLst>
            <a:ext uri="{FF2B5EF4-FFF2-40B4-BE49-F238E27FC236}">
              <a16:creationId xmlns:a16="http://schemas.microsoft.com/office/drawing/2014/main" id="{11B939E5-04B7-46B2-BC73-1010F83DCA1B}"/>
            </a:ext>
          </a:extLst>
        </xdr:cNvPr>
        <xdr:cNvPicPr>
          <a:picLocks noChangeAspect="1"/>
        </xdr:cNvPicPr>
      </xdr:nvPicPr>
      <xdr:blipFill>
        <a:blip xmlns:r="http://schemas.openxmlformats.org/officeDocument/2006/relationships" r:embed="rId3"/>
        <a:stretch>
          <a:fillRect/>
        </a:stretch>
      </xdr:blipFill>
      <xdr:spPr>
        <a:xfrm>
          <a:off x="12411076" y="4218513"/>
          <a:ext cx="4876800" cy="821157"/>
        </a:xfrm>
        <a:prstGeom prst="rect">
          <a:avLst/>
        </a:prstGeom>
      </xdr:spPr>
    </xdr:pic>
    <xdr:clientData/>
  </xdr:twoCellAnchor>
  <xdr:twoCellAnchor>
    <xdr:from>
      <xdr:col>18</xdr:col>
      <xdr:colOff>369312</xdr:colOff>
      <xdr:row>15</xdr:row>
      <xdr:rowOff>95249</xdr:rowOff>
    </xdr:from>
    <xdr:to>
      <xdr:col>22</xdr:col>
      <xdr:colOff>45461</xdr:colOff>
      <xdr:row>17</xdr:row>
      <xdr:rowOff>76200</xdr:rowOff>
    </xdr:to>
    <xdr:sp macro="" textlink="">
      <xdr:nvSpPr>
        <xdr:cNvPr id="11" name="Rectangle 10">
          <a:extLst>
            <a:ext uri="{FF2B5EF4-FFF2-40B4-BE49-F238E27FC236}">
              <a16:creationId xmlns:a16="http://schemas.microsoft.com/office/drawing/2014/main" id="{EBAECB21-368B-4CC0-AA03-16C99AA7E90C}"/>
            </a:ext>
          </a:extLst>
        </xdr:cNvPr>
        <xdr:cNvSpPr/>
      </xdr:nvSpPr>
      <xdr:spPr>
        <a:xfrm>
          <a:off x="15142587" y="2952749"/>
          <a:ext cx="2114549" cy="361951"/>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Battery Arc Voltage </a:t>
          </a:r>
          <a:endParaRPr lang="en-US" sz="1100" b="1">
            <a:solidFill>
              <a:schemeClr val="tx1"/>
            </a:solidFill>
            <a:effectLst/>
            <a:latin typeface="+mn-lt"/>
            <a:ea typeface="+mn-ea"/>
            <a:cs typeface="+mn-cs"/>
          </a:endParaRPr>
        </a:p>
      </xdr:txBody>
    </xdr:sp>
    <xdr:clientData/>
  </xdr:twoCellAnchor>
  <xdr:twoCellAnchor>
    <xdr:from>
      <xdr:col>19</xdr:col>
      <xdr:colOff>178812</xdr:colOff>
      <xdr:row>18</xdr:row>
      <xdr:rowOff>148950</xdr:rowOff>
    </xdr:from>
    <xdr:to>
      <xdr:col>22</xdr:col>
      <xdr:colOff>45461</xdr:colOff>
      <xdr:row>20</xdr:row>
      <xdr:rowOff>115604</xdr:rowOff>
    </xdr:to>
    <xdr:sp macro="" textlink="">
      <xdr:nvSpPr>
        <xdr:cNvPr id="12" name="Rectangle 11">
          <a:extLst>
            <a:ext uri="{FF2B5EF4-FFF2-40B4-BE49-F238E27FC236}">
              <a16:creationId xmlns:a16="http://schemas.microsoft.com/office/drawing/2014/main" id="{8D5E3D0A-4153-4711-8BD0-0BAED1651460}"/>
            </a:ext>
          </a:extLst>
        </xdr:cNvPr>
        <xdr:cNvSpPr/>
      </xdr:nvSpPr>
      <xdr:spPr>
        <a:xfrm>
          <a:off x="15561687" y="3577950"/>
          <a:ext cx="1695449" cy="357179"/>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Air Arc Voltage </a:t>
          </a:r>
          <a:endParaRPr lang="en-US" sz="1100" b="1">
            <a:solidFill>
              <a:schemeClr val="tx1"/>
            </a:solidFill>
            <a:effectLst/>
            <a:latin typeface="+mn-lt"/>
            <a:ea typeface="+mn-ea"/>
            <a:cs typeface="+mn-cs"/>
          </a:endParaRPr>
        </a:p>
      </xdr:txBody>
    </xdr:sp>
    <xdr:clientData/>
  </xdr:twoCellAnchor>
  <xdr:twoCellAnchor editAs="oneCell">
    <xdr:from>
      <xdr:col>14</xdr:col>
      <xdr:colOff>57150</xdr:colOff>
      <xdr:row>27</xdr:row>
      <xdr:rowOff>45417</xdr:rowOff>
    </xdr:from>
    <xdr:to>
      <xdr:col>22</xdr:col>
      <xdr:colOff>114300</xdr:colOff>
      <xdr:row>33</xdr:row>
      <xdr:rowOff>105373</xdr:rowOff>
    </xdr:to>
    <xdr:pic>
      <xdr:nvPicPr>
        <xdr:cNvPr id="13" name="Picture 12">
          <a:extLst>
            <a:ext uri="{FF2B5EF4-FFF2-40B4-BE49-F238E27FC236}">
              <a16:creationId xmlns:a16="http://schemas.microsoft.com/office/drawing/2014/main" id="{8F74E9D6-496D-4250-B824-842DC790C83D}"/>
            </a:ext>
          </a:extLst>
        </xdr:cNvPr>
        <xdr:cNvPicPr>
          <a:picLocks noChangeAspect="1"/>
        </xdr:cNvPicPr>
      </xdr:nvPicPr>
      <xdr:blipFill>
        <a:blip xmlns:r="http://schemas.openxmlformats.org/officeDocument/2006/relationships" r:embed="rId4"/>
        <a:stretch>
          <a:fillRect/>
        </a:stretch>
      </xdr:blipFill>
      <xdr:spPr>
        <a:xfrm>
          <a:off x="12392025" y="5217492"/>
          <a:ext cx="4933950" cy="1202956"/>
        </a:xfrm>
        <a:prstGeom prst="rect">
          <a:avLst/>
        </a:prstGeom>
      </xdr:spPr>
    </xdr:pic>
    <xdr:clientData/>
  </xdr:twoCellAnchor>
  <xdr:twoCellAnchor>
    <xdr:from>
      <xdr:col>0</xdr:col>
      <xdr:colOff>53153</xdr:colOff>
      <xdr:row>53</xdr:row>
      <xdr:rowOff>90409</xdr:rowOff>
    </xdr:from>
    <xdr:to>
      <xdr:col>10</xdr:col>
      <xdr:colOff>183035</xdr:colOff>
      <xdr:row>60</xdr:row>
      <xdr:rowOff>153865</xdr:rowOff>
    </xdr:to>
    <xdr:sp macro="" textlink="">
      <xdr:nvSpPr>
        <xdr:cNvPr id="14" name="Rectangle 13">
          <a:extLst>
            <a:ext uri="{FF2B5EF4-FFF2-40B4-BE49-F238E27FC236}">
              <a16:creationId xmlns:a16="http://schemas.microsoft.com/office/drawing/2014/main" id="{AE751092-4676-4FEC-A082-0290F373844F}"/>
            </a:ext>
          </a:extLst>
        </xdr:cNvPr>
        <xdr:cNvSpPr/>
      </xdr:nvSpPr>
      <xdr:spPr>
        <a:xfrm>
          <a:off x="53153" y="10606009"/>
          <a:ext cx="8921457" cy="1396956"/>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baseline="0">
              <a:solidFill>
                <a:schemeClr val="tx1"/>
              </a:solidFill>
              <a:effectLst/>
              <a:latin typeface="+mn-lt"/>
              <a:ea typeface="+mn-ea"/>
              <a:cs typeface="+mn-cs"/>
            </a:rPr>
            <a:t>Funding Statement</a:t>
          </a:r>
        </a:p>
        <a:p>
          <a:r>
            <a:rPr lang="en-US" sz="1100" b="0" i="1">
              <a:solidFill>
                <a:schemeClr val="tx1"/>
              </a:solidFill>
              <a:effectLst/>
              <a:latin typeface="+mn-lt"/>
              <a:ea typeface="+mn-ea"/>
              <a:cs typeface="+mn-cs"/>
            </a:rPr>
            <a:t>This article has been authored by an employee of National Technology &amp; Engineering Solutions of Sandia, LLC under Contract No. DE-NA0003525 with the U.S. Department of Energy (DOE). The employee owns all right, title and interest in and to the article and is solely responsible for its contents. The United States Government retains and the publisher, by accepting the article for publication, acknowledges that the United States Government retains a non-exclusive, paid-up, irrevocable, world-wide license to publish or reproduce the published form of this article or allow others to do so, for United States Government purposes. The DOE will provide public access to these results of federally sponsored research in accordance with the DOE Public Access Plan </a:t>
          </a:r>
          <a:r>
            <a:rPr lang="en-US" sz="1100" b="0" i="1">
              <a:solidFill>
                <a:schemeClr val="lt1"/>
              </a:solidFill>
              <a:effectLst/>
              <a:latin typeface="+mn-lt"/>
              <a:ea typeface="+mn-ea"/>
              <a:cs typeface="+mn-cs"/>
              <a:hlinkClick xmlns:r="http://schemas.openxmlformats.org/officeDocument/2006/relationships" r:id=""/>
            </a:rPr>
            <a:t>https://www.energy.gov/downloads/doe-public-access-plan</a:t>
          </a:r>
          <a:r>
            <a:rPr lang="en-US" sz="1100" b="0" i="1">
              <a:solidFill>
                <a:schemeClr val="lt1"/>
              </a:solidFill>
              <a:effectLst/>
              <a:latin typeface="+mn-lt"/>
              <a:ea typeface="+mn-ea"/>
              <a:cs typeface="+mn-cs"/>
            </a:rPr>
            <a:t> .</a:t>
          </a:r>
          <a:endParaRPr lang="en-US" sz="1100" baseline="0">
            <a:solidFill>
              <a:schemeClr val="tx1"/>
            </a:solidFill>
            <a:effectLst/>
            <a:latin typeface="+mn-lt"/>
            <a:ea typeface="+mn-ea"/>
            <a:cs typeface="+mn-cs"/>
          </a:endParaRPr>
        </a:p>
      </xdr:txBody>
    </xdr:sp>
    <xdr:clientData/>
  </xdr:twoCellAnchor>
  <xdr:twoCellAnchor editAs="oneCell">
    <xdr:from>
      <xdr:col>10</xdr:col>
      <xdr:colOff>307484</xdr:colOff>
      <xdr:row>53</xdr:row>
      <xdr:rowOff>168274</xdr:rowOff>
    </xdr:from>
    <xdr:to>
      <xdr:col>13</xdr:col>
      <xdr:colOff>302721</xdr:colOff>
      <xdr:row>56</xdr:row>
      <xdr:rowOff>54146</xdr:rowOff>
    </xdr:to>
    <xdr:pic>
      <xdr:nvPicPr>
        <xdr:cNvPr id="15" name="Picture 14">
          <a:extLst>
            <a:ext uri="{FF2B5EF4-FFF2-40B4-BE49-F238E27FC236}">
              <a16:creationId xmlns:a16="http://schemas.microsoft.com/office/drawing/2014/main" id="{A7A26E92-69E8-41CF-8272-BC22573AEE7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099059" y="10683874"/>
          <a:ext cx="1824037" cy="457372"/>
        </a:xfrm>
        <a:prstGeom prst="rect">
          <a:avLst/>
        </a:prstGeom>
      </xdr:spPr>
    </xdr:pic>
    <xdr:clientData/>
  </xdr:twoCellAnchor>
  <xdr:twoCellAnchor editAs="oneCell">
    <xdr:from>
      <xdr:col>10</xdr:col>
      <xdr:colOff>307484</xdr:colOff>
      <xdr:row>57</xdr:row>
      <xdr:rowOff>20833</xdr:rowOff>
    </xdr:from>
    <xdr:to>
      <xdr:col>13</xdr:col>
      <xdr:colOff>304626</xdr:colOff>
      <xdr:row>60</xdr:row>
      <xdr:rowOff>568</xdr:rowOff>
    </xdr:to>
    <xdr:pic>
      <xdr:nvPicPr>
        <xdr:cNvPr id="16" name="Picture 15">
          <a:extLst>
            <a:ext uri="{FF2B5EF4-FFF2-40B4-BE49-F238E27FC236}">
              <a16:creationId xmlns:a16="http://schemas.microsoft.com/office/drawing/2014/main" id="{9455EEF0-30EA-42A9-913D-883F39B7886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099059" y="11298433"/>
          <a:ext cx="1825942" cy="551235"/>
        </a:xfrm>
        <a:prstGeom prst="rect">
          <a:avLst/>
        </a:prstGeom>
      </xdr:spPr>
    </xdr:pic>
    <xdr:clientData/>
  </xdr:twoCellAnchor>
  <xdr:twoCellAnchor editAs="oneCell">
    <xdr:from>
      <xdr:col>5</xdr:col>
      <xdr:colOff>430116</xdr:colOff>
      <xdr:row>1</xdr:row>
      <xdr:rowOff>7225</xdr:rowOff>
    </xdr:from>
    <xdr:to>
      <xdr:col>10</xdr:col>
      <xdr:colOff>100190</xdr:colOff>
      <xdr:row>4</xdr:row>
      <xdr:rowOff>182200</xdr:rowOff>
    </xdr:to>
    <xdr:pic>
      <xdr:nvPicPr>
        <xdr:cNvPr id="17" name="Picture 16">
          <a:extLst>
            <a:ext uri="{FF2B5EF4-FFF2-40B4-BE49-F238E27FC236}">
              <a16:creationId xmlns:a16="http://schemas.microsoft.com/office/drawing/2014/main" id="{2FB08659-BD60-4CC8-8066-785FBD3181A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278591" y="197725"/>
          <a:ext cx="2718074" cy="746475"/>
        </a:xfrm>
        <a:prstGeom prst="rect">
          <a:avLst/>
        </a:prstGeom>
        <a:solidFill>
          <a:schemeClr val="bg1"/>
        </a:solidFill>
      </xdr:spPr>
    </xdr:pic>
    <xdr:clientData/>
  </xdr:twoCellAnchor>
  <xdr:twoCellAnchor editAs="oneCell">
    <xdr:from>
      <xdr:col>14</xdr:col>
      <xdr:colOff>161925</xdr:colOff>
      <xdr:row>3</xdr:row>
      <xdr:rowOff>76200</xdr:rowOff>
    </xdr:from>
    <xdr:to>
      <xdr:col>19</xdr:col>
      <xdr:colOff>242547</xdr:colOff>
      <xdr:row>14</xdr:row>
      <xdr:rowOff>99814</xdr:rowOff>
    </xdr:to>
    <xdr:pic>
      <xdr:nvPicPr>
        <xdr:cNvPr id="18" name="Picture 17">
          <a:extLst>
            <a:ext uri="{FF2B5EF4-FFF2-40B4-BE49-F238E27FC236}">
              <a16:creationId xmlns:a16="http://schemas.microsoft.com/office/drawing/2014/main" id="{C88D71A0-2FE9-4FCD-B7CA-F9D505C54A8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496800" y="647700"/>
          <a:ext cx="3128622" cy="2119114"/>
        </a:xfrm>
        <a:prstGeom prst="rect">
          <a:avLst/>
        </a:prstGeom>
        <a:solidFill>
          <a:schemeClr val="bg1"/>
        </a:solidFill>
      </xdr:spPr>
    </xdr:pic>
    <xdr:clientData/>
  </xdr:twoCellAnchor>
  <xdr:twoCellAnchor>
    <xdr:from>
      <xdr:col>0</xdr:col>
      <xdr:colOff>66676</xdr:colOff>
      <xdr:row>60</xdr:row>
      <xdr:rowOff>190499</xdr:rowOff>
    </xdr:from>
    <xdr:to>
      <xdr:col>10</xdr:col>
      <xdr:colOff>190501</xdr:colOff>
      <xdr:row>72</xdr:row>
      <xdr:rowOff>152400</xdr:rowOff>
    </xdr:to>
    <xdr:sp macro="" textlink="">
      <xdr:nvSpPr>
        <xdr:cNvPr id="5" name="Rectangle 4">
          <a:extLst>
            <a:ext uri="{FF2B5EF4-FFF2-40B4-BE49-F238E27FC236}">
              <a16:creationId xmlns:a16="http://schemas.microsoft.com/office/drawing/2014/main" id="{B78742F4-81D9-40B4-AC9D-1F1846748AC1}"/>
            </a:ext>
          </a:extLst>
        </xdr:cNvPr>
        <xdr:cNvSpPr/>
      </xdr:nvSpPr>
      <xdr:spPr>
        <a:xfrm>
          <a:off x="66676" y="11649074"/>
          <a:ext cx="10020300" cy="2247901"/>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baseline="0">
              <a:solidFill>
                <a:schemeClr val="tx1"/>
              </a:solidFill>
              <a:effectLst/>
              <a:latin typeface="+mn-lt"/>
              <a:ea typeface="+mn-ea"/>
              <a:cs typeface="+mn-cs"/>
            </a:rPr>
            <a:t>MIT Open Source Software License</a:t>
          </a:r>
        </a:p>
        <a:p>
          <a:r>
            <a:rPr lang="en-US" sz="1100" b="0" i="1">
              <a:solidFill>
                <a:schemeClr val="tx1"/>
              </a:solidFill>
              <a:effectLst/>
              <a:latin typeface="+mn-lt"/>
              <a:ea typeface="+mn-ea"/>
              <a:cs typeface="+mn-cs"/>
            </a:rPr>
            <a:t>Copyright</a:t>
          </a:r>
          <a:r>
            <a:rPr lang="en-US" sz="1100" b="0" i="1" baseline="0">
              <a:solidFill>
                <a:schemeClr val="tx1"/>
              </a:solidFill>
              <a:effectLst/>
              <a:latin typeface="+mn-lt"/>
              <a:ea typeface="+mn-ea"/>
              <a:cs typeface="+mn-cs"/>
            </a:rPr>
            <a:t> 2024</a:t>
          </a:r>
          <a:r>
            <a:rPr lang="en-US" sz="1100" b="0" i="1">
              <a:solidFill>
                <a:schemeClr val="tx1"/>
              </a:solidFill>
              <a:effectLst/>
              <a:latin typeface="+mn-lt"/>
              <a:ea typeface="+mn-ea"/>
              <a:cs typeface="+mn-cs"/>
            </a:rPr>
            <a:t> National Technology &amp; Engineering Solutions of Sandia, LLC (NTESS). Under the terms of Contract DE-NA0003525 with NTESS, the U.S. Government retains certain rights in this software.</a:t>
          </a:r>
        </a:p>
        <a:p>
          <a:endParaRPr lang="en-US" sz="1100" b="0" i="1">
            <a:solidFill>
              <a:schemeClr val="tx1"/>
            </a:solidFill>
            <a:effectLst/>
            <a:latin typeface="+mn-lt"/>
            <a:ea typeface="+mn-ea"/>
            <a:cs typeface="+mn-cs"/>
          </a:endParaRPr>
        </a:p>
        <a:p>
          <a:r>
            <a:rPr lang="en-US" sz="1100" b="0" i="1">
              <a:solidFill>
                <a:schemeClr val="tx1"/>
              </a:solidFill>
              <a:effectLst/>
              <a:latin typeface="+mn-lt"/>
              <a:ea typeface="+mn-ea"/>
              <a:cs typeface="+mn-cs"/>
            </a:rPr>
            <a:t>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a:t>
          </a:r>
        </a:p>
        <a:p>
          <a:r>
            <a:rPr lang="en-US" sz="1100" b="0" i="1">
              <a:solidFill>
                <a:schemeClr val="tx1"/>
              </a:solidFill>
              <a:effectLst/>
              <a:latin typeface="+mn-lt"/>
              <a:ea typeface="+mn-ea"/>
              <a:cs typeface="+mn-cs"/>
            </a:rPr>
            <a:t>The above copyright notice and this permission notice shall be included in all copies or substantial portions of the Software.</a:t>
          </a:r>
        </a:p>
        <a:p>
          <a:r>
            <a:rPr lang="en-US" sz="1100" b="0" i="1">
              <a:solidFill>
                <a:schemeClr val="tx1"/>
              </a:solidFill>
              <a:effectLst/>
              <a:latin typeface="+mn-lt"/>
              <a:ea typeface="+mn-ea"/>
              <a:cs typeface="+mn-cs"/>
            </a:rPr>
            <a:t>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a:t>
          </a:r>
        </a:p>
      </xdr:txBody>
    </xdr:sp>
    <xdr:clientData/>
  </xdr:twoCellAnchor>
  <mc:AlternateContent xmlns:mc="http://schemas.openxmlformats.org/markup-compatibility/2006">
    <mc:Choice xmlns:a14="http://schemas.microsoft.com/office/drawing/2010/main" Requires="a14">
      <xdr:twoCellAnchor editAs="oneCell">
        <xdr:from>
          <xdr:col>3</xdr:col>
          <xdr:colOff>57150</xdr:colOff>
          <xdr:row>11</xdr:row>
          <xdr:rowOff>180975</xdr:rowOff>
        </xdr:from>
        <xdr:to>
          <xdr:col>4</xdr:col>
          <xdr:colOff>238125</xdr:colOff>
          <xdr:row>13</xdr:row>
          <xdr:rowOff>9525</xdr:rowOff>
        </xdr:to>
        <xdr:sp macro="" textlink="">
          <xdr:nvSpPr>
            <xdr:cNvPr id="2062" name="Option Button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Open Air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12</xdr:row>
          <xdr:rowOff>180975</xdr:rowOff>
        </xdr:from>
        <xdr:to>
          <xdr:col>5</xdr:col>
          <xdr:colOff>495300</xdr:colOff>
          <xdr:row>14</xdr:row>
          <xdr:rowOff>0</xdr:rowOff>
        </xdr:to>
        <xdr:sp macro="" textlink="">
          <xdr:nvSpPr>
            <xdr:cNvPr id="2063" name="Option Button 15" descr="Closed Box - NFPA 70E 2015 D.5.1"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NFPA 70E 2015 D.5.1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13</xdr:row>
          <xdr:rowOff>190500</xdr:rowOff>
        </xdr:from>
        <xdr:to>
          <xdr:col>8</xdr:col>
          <xdr:colOff>447675</xdr:colOff>
          <xdr:row>15</xdr:row>
          <xdr:rowOff>19050</xdr:rowOff>
        </xdr:to>
        <xdr:sp macro="" textlink="">
          <xdr:nvSpPr>
            <xdr:cNvPr id="2064" name="Option Button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Large Switchgear (MV) (1143mm x 762mm x 762mm)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xdr:row>
          <xdr:rowOff>9525</xdr:rowOff>
        </xdr:from>
        <xdr:to>
          <xdr:col>8</xdr:col>
          <xdr:colOff>504825</xdr:colOff>
          <xdr:row>16</xdr:row>
          <xdr:rowOff>28575</xdr:rowOff>
        </xdr:to>
        <xdr:sp macro="" textlink="">
          <xdr:nvSpPr>
            <xdr:cNvPr id="2065" name="Option Button 17" descr="Closed Box - Wilkins - Medium Switchgear (LV) (508mm x 508mm x 508mm)"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Medium Switchgear (LV) (508mm x 508mm x 508mm)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16</xdr:row>
          <xdr:rowOff>0</xdr:rowOff>
        </xdr:from>
        <xdr:to>
          <xdr:col>8</xdr:col>
          <xdr:colOff>381000</xdr:colOff>
          <xdr:row>17</xdr:row>
          <xdr:rowOff>0</xdr:rowOff>
        </xdr:to>
        <xdr:sp macro="" textlink="">
          <xdr:nvSpPr>
            <xdr:cNvPr id="2066" name="Option Button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Small Panel (LV)  (305mm x 356mm x 191mm)</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140530</xdr:colOff>
      <xdr:row>1</xdr:row>
      <xdr:rowOff>38100</xdr:rowOff>
    </xdr:from>
    <xdr:to>
      <xdr:col>3</xdr:col>
      <xdr:colOff>235325</xdr:colOff>
      <xdr:row>4</xdr:row>
      <xdr:rowOff>129540</xdr:rowOff>
    </xdr:to>
    <xdr:sp macro="" textlink="">
      <xdr:nvSpPr>
        <xdr:cNvPr id="2" name="Rectangle 1">
          <a:extLst>
            <a:ext uri="{FF2B5EF4-FFF2-40B4-BE49-F238E27FC236}">
              <a16:creationId xmlns:a16="http://schemas.microsoft.com/office/drawing/2014/main" id="{5EDCB56F-31C0-446C-8B73-C0E5BE9F3910}"/>
            </a:ext>
          </a:extLst>
        </xdr:cNvPr>
        <xdr:cNvSpPr/>
      </xdr:nvSpPr>
      <xdr:spPr>
        <a:xfrm>
          <a:off x="140530" y="228600"/>
          <a:ext cx="5899442" cy="66294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chemeClr val="tx1"/>
              </a:solidFill>
            </a:rPr>
            <a:t>Battery Hazard Calculator (Self-Extinguish Method)</a:t>
          </a:r>
        </a:p>
        <a:p>
          <a:pPr algn="l"/>
          <a:r>
            <a:rPr lang="en-US" sz="1600" b="0">
              <a:solidFill>
                <a:schemeClr val="tx1"/>
              </a:solidFill>
            </a:rPr>
            <a:t>Developed by David Rosewater (Sandia</a:t>
          </a:r>
          <a:r>
            <a:rPr lang="en-US" sz="1600" b="0" baseline="0">
              <a:solidFill>
                <a:schemeClr val="tx1"/>
              </a:solidFill>
            </a:rPr>
            <a:t> National Laboratories)</a:t>
          </a:r>
          <a:endParaRPr lang="en-US" sz="1600" b="0">
            <a:solidFill>
              <a:schemeClr val="tx1"/>
            </a:solidFill>
          </a:endParaRPr>
        </a:p>
      </xdr:txBody>
    </xdr:sp>
    <xdr:clientData/>
  </xdr:twoCellAnchor>
  <xdr:twoCellAnchor editAs="oneCell">
    <xdr:from>
      <xdr:col>15</xdr:col>
      <xdr:colOff>549588</xdr:colOff>
      <xdr:row>19</xdr:row>
      <xdr:rowOff>7308</xdr:rowOff>
    </xdr:from>
    <xdr:to>
      <xdr:col>20</xdr:col>
      <xdr:colOff>293086</xdr:colOff>
      <xdr:row>21</xdr:row>
      <xdr:rowOff>147278</xdr:rowOff>
    </xdr:to>
    <xdr:pic>
      <xdr:nvPicPr>
        <xdr:cNvPr id="3" name="Picture 2">
          <a:extLst>
            <a:ext uri="{FF2B5EF4-FFF2-40B4-BE49-F238E27FC236}">
              <a16:creationId xmlns:a16="http://schemas.microsoft.com/office/drawing/2014/main" id="{49808E7B-628B-4673-AB02-EF5883555482}"/>
            </a:ext>
          </a:extLst>
        </xdr:cNvPr>
        <xdr:cNvPicPr>
          <a:picLocks noChangeAspect="1"/>
        </xdr:cNvPicPr>
      </xdr:nvPicPr>
      <xdr:blipFill>
        <a:blip xmlns:r="http://schemas.openxmlformats.org/officeDocument/2006/relationships" r:embed="rId1"/>
        <a:stretch>
          <a:fillRect/>
        </a:stretch>
      </xdr:blipFill>
      <xdr:spPr>
        <a:xfrm>
          <a:off x="13268264" y="3626808"/>
          <a:ext cx="2769086" cy="520970"/>
        </a:xfrm>
        <a:prstGeom prst="rect">
          <a:avLst/>
        </a:prstGeom>
      </xdr:spPr>
    </xdr:pic>
    <xdr:clientData/>
  </xdr:twoCellAnchor>
  <xdr:twoCellAnchor>
    <xdr:from>
      <xdr:col>8</xdr:col>
      <xdr:colOff>302560</xdr:colOff>
      <xdr:row>5</xdr:row>
      <xdr:rowOff>171450</xdr:rowOff>
    </xdr:from>
    <xdr:to>
      <xdr:col>15</xdr:col>
      <xdr:colOff>416860</xdr:colOff>
      <xdr:row>35</xdr:row>
      <xdr:rowOff>157313</xdr:rowOff>
    </xdr:to>
    <xdr:sp macro="" textlink="">
      <xdr:nvSpPr>
        <xdr:cNvPr id="4" name="Rectangle 3">
          <a:extLst>
            <a:ext uri="{FF2B5EF4-FFF2-40B4-BE49-F238E27FC236}">
              <a16:creationId xmlns:a16="http://schemas.microsoft.com/office/drawing/2014/main" id="{12022576-DDB5-4B9E-8A85-E9116DCE9A4E}"/>
            </a:ext>
          </a:extLst>
        </xdr:cNvPr>
        <xdr:cNvSpPr/>
      </xdr:nvSpPr>
      <xdr:spPr>
        <a:xfrm>
          <a:off x="10018060" y="1123950"/>
          <a:ext cx="4350124" cy="5745687"/>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Directions</a:t>
          </a:r>
          <a:endParaRPr lang="en-US" sz="1100" b="1">
            <a:solidFill>
              <a:schemeClr val="tx1"/>
            </a:solidFill>
            <a:effectLst/>
            <a:latin typeface="+mn-lt"/>
            <a:ea typeface="+mn-ea"/>
            <a:cs typeface="+mn-cs"/>
          </a:endParaRPr>
        </a:p>
        <a:p>
          <a:r>
            <a:rPr lang="en-US" sz="1100" b="1">
              <a:solidFill>
                <a:schemeClr val="tx1"/>
              </a:solidFill>
              <a:effectLst/>
              <a:latin typeface="+mn-lt"/>
              <a:ea typeface="+mn-ea"/>
              <a:cs typeface="+mn-cs"/>
            </a:rPr>
            <a:t>Step</a:t>
          </a:r>
          <a:r>
            <a:rPr lang="en-US" sz="1100" b="1" baseline="0">
              <a:solidFill>
                <a:schemeClr val="tx1"/>
              </a:solidFill>
              <a:effectLst/>
              <a:latin typeface="+mn-lt"/>
              <a:ea typeface="+mn-ea"/>
              <a:cs typeface="+mn-cs"/>
            </a:rPr>
            <a:t> 1: Battery Circuit Data Input</a:t>
          </a:r>
        </a:p>
        <a:p>
          <a:r>
            <a:rPr lang="en-US" sz="1100" baseline="0">
              <a:solidFill>
                <a:schemeClr val="tx1"/>
              </a:solidFill>
              <a:effectLst/>
              <a:latin typeface="+mn-lt"/>
              <a:ea typeface="+mn-ea"/>
              <a:cs typeface="+mn-cs"/>
            </a:rPr>
            <a:t>-Fill out the battery voltage and short circuit current. If short circuit current is not known, then fill out the Calculation of Short Circuit Current section at the bottom of this sheet. Then copy the calculated short circuit current into field B12.</a:t>
          </a:r>
        </a:p>
        <a:p>
          <a:r>
            <a:rPr lang="en-US" sz="1100" baseline="0">
              <a:solidFill>
                <a:schemeClr val="tx1"/>
              </a:solidFill>
              <a:effectLst/>
              <a:latin typeface="+mn-lt"/>
              <a:ea typeface="+mn-ea"/>
              <a:cs typeface="+mn-cs"/>
            </a:rPr>
            <a:t>-Fill out the arc time (Based on the overcurrent protection (OCP) trip curve). If no OCP is in the battery circuit then use 2 seconds.</a:t>
          </a:r>
        </a:p>
        <a:p>
          <a:r>
            <a:rPr lang="en-US" sz="1100" baseline="0">
              <a:solidFill>
                <a:schemeClr val="tx1"/>
              </a:solidFill>
              <a:effectLst/>
              <a:latin typeface="+mn-lt"/>
              <a:ea typeface="+mn-ea"/>
              <a:cs typeface="+mn-cs"/>
            </a:rPr>
            <a:t>-Fill out the arc gap and the arc-in-a-box multiplication factor. </a:t>
          </a:r>
        </a:p>
        <a:p>
          <a:r>
            <a:rPr lang="en-US" sz="1100" baseline="0">
              <a:solidFill>
                <a:schemeClr val="tx1"/>
              </a:solidFill>
              <a:effectLst/>
              <a:latin typeface="+mn-lt"/>
              <a:ea typeface="+mn-ea"/>
              <a:cs typeface="+mn-cs"/>
            </a:rPr>
            <a:t>-Fill out the electrode configuration</a:t>
          </a:r>
        </a:p>
        <a:p>
          <a:r>
            <a:rPr lang="en-US" sz="1100" baseline="0">
              <a:solidFill>
                <a:schemeClr val="tx1"/>
              </a:solidFill>
              <a:effectLst/>
              <a:latin typeface="+mn-lt"/>
              <a:ea typeface="+mn-ea"/>
              <a:cs typeface="+mn-cs"/>
            </a:rPr>
            <a:t>-Fill out the Electrode Erosion Rate Constant (0.004962 mm A</a:t>
          </a:r>
          <a:r>
            <a:rPr lang="en-US" sz="1100" baseline="30000">
              <a:solidFill>
                <a:schemeClr val="tx1"/>
              </a:solidFill>
              <a:effectLst/>
              <a:latin typeface="+mn-lt"/>
              <a:ea typeface="+mn-ea"/>
              <a:cs typeface="+mn-cs"/>
            </a:rPr>
            <a:t>-1</a:t>
          </a:r>
          <a:r>
            <a:rPr lang="en-US" sz="1100" baseline="0">
              <a:solidFill>
                <a:schemeClr val="tx1"/>
              </a:solidFill>
              <a:effectLst/>
              <a:latin typeface="+mn-lt"/>
              <a:ea typeface="+mn-ea"/>
              <a:cs typeface="+mn-cs"/>
            </a:rPr>
            <a:t> s</a:t>
          </a:r>
          <a:r>
            <a:rPr lang="en-US" sz="1100" baseline="30000">
              <a:solidFill>
                <a:schemeClr val="tx1"/>
              </a:solidFill>
              <a:effectLst/>
              <a:latin typeface="+mn-lt"/>
              <a:ea typeface="+mn-ea"/>
              <a:cs typeface="+mn-cs"/>
            </a:rPr>
            <a:t>-1</a:t>
          </a:r>
          <a:r>
            <a:rPr lang="en-US" sz="1100" baseline="0">
              <a:solidFill>
                <a:schemeClr val="tx1"/>
              </a:solidFill>
              <a:effectLst/>
              <a:latin typeface="+mn-lt"/>
              <a:ea typeface="+mn-ea"/>
              <a:cs typeface="+mn-cs"/>
            </a:rPr>
            <a:t> can be used for 25mm diameter coper electrodes).</a:t>
          </a:r>
        </a:p>
        <a:p>
          <a:r>
            <a:rPr lang="en-US" sz="1100" baseline="0">
              <a:solidFill>
                <a:schemeClr val="tx1"/>
              </a:solidFill>
              <a:effectLst/>
              <a:latin typeface="+mn-lt"/>
              <a:ea typeface="+mn-ea"/>
              <a:cs typeface="+mn-cs"/>
            </a:rPr>
            <a:t>-Fill out the minimum arc time (0.05 s can be used to avoid a few cases of IE underestimation) </a:t>
          </a:r>
        </a:p>
        <a:p>
          <a:r>
            <a:rPr lang="en-US" sz="1100" b="1" baseline="0">
              <a:solidFill>
                <a:schemeClr val="tx1"/>
              </a:solidFill>
              <a:effectLst/>
              <a:latin typeface="+mn-lt"/>
              <a:ea typeface="+mn-ea"/>
              <a:cs typeface="+mn-cs"/>
            </a:rPr>
            <a:t>Step 2: Calculation</a:t>
          </a:r>
        </a:p>
        <a:p>
          <a:r>
            <a:rPr lang="en-US" sz="1100">
              <a:solidFill>
                <a:schemeClr val="tx1"/>
              </a:solidFill>
              <a:effectLst/>
              <a:latin typeface="+mn-lt"/>
              <a:ea typeface="+mn-ea"/>
              <a:cs typeface="+mn-cs"/>
            </a:rPr>
            <a:t>-This spreadsheet solves</a:t>
          </a:r>
          <a:r>
            <a:rPr lang="en-US" sz="1100" baseline="0">
              <a:solidFill>
                <a:schemeClr val="tx1"/>
              </a:solidFill>
              <a:effectLst/>
              <a:latin typeface="+mn-lt"/>
              <a:ea typeface="+mn-ea"/>
              <a:cs typeface="+mn-cs"/>
            </a:rPr>
            <a:t> four sequential iterative problems using fields AB8 through AH129. </a:t>
          </a:r>
        </a:p>
        <a:p>
          <a:r>
            <a:rPr lang="en-US" sz="1100" baseline="0">
              <a:solidFill>
                <a:schemeClr val="tx1"/>
              </a:solidFill>
              <a:effectLst/>
              <a:latin typeface="+mn-lt"/>
              <a:ea typeface="+mn-ea"/>
              <a:cs typeface="+mn-cs"/>
            </a:rPr>
            <a:t>-These problems are solved with gradient decent method to 1) find the initial arc current and voltage, 2) find the gap at which the arc is likely to self extinguish, 3) predict the arc time and final gap, 4) predict the arc energy and incident energy (IE) that a worker could be exposed to. </a:t>
          </a:r>
        </a:p>
        <a:p>
          <a:r>
            <a:rPr lang="en-US" sz="1100" baseline="0">
              <a:solidFill>
                <a:schemeClr val="tx1"/>
              </a:solidFill>
              <a:effectLst/>
              <a:latin typeface="+mn-lt"/>
              <a:ea typeface="+mn-ea"/>
              <a:cs typeface="+mn-cs"/>
            </a:rPr>
            <a:t>-the Input Error Checking fields will warn you if one of the inputs invalidates the calculation. </a:t>
          </a:r>
          <a:endParaRPr lang="en-US">
            <a:solidFill>
              <a:schemeClr val="tx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Step 3: Results</a:t>
          </a:r>
          <a:endParaRPr lang="en-US">
            <a:solidFill>
              <a:schemeClr val="tx1"/>
            </a:solidFill>
            <a:effectLst/>
          </a:endParaRPr>
        </a:p>
        <a:p>
          <a:r>
            <a:rPr lang="en-US" sz="1100" baseline="0">
              <a:solidFill>
                <a:schemeClr val="tx1"/>
              </a:solidFill>
              <a:effectLst/>
              <a:latin typeface="+mn-lt"/>
              <a:ea typeface="+mn-ea"/>
              <a:cs typeface="+mn-cs"/>
            </a:rPr>
            <a:t>-The Self-Extinguishing Method provides two results: a median prediction (cell B50) and a &lt;5% chance prediction (cell B60). When comparted to experimental data, the median prediction has the lowest average error. However the median prediction underestimates IE in roughly have of the experiments while overestimating IE in the other half. The &lt;5% chance prediction is intended to be a conservative estimation that will overestimate the IE in 95% of experiments. Some configurations will have a higher gap between these predictions than others. </a:t>
          </a:r>
        </a:p>
      </xdr:txBody>
    </xdr:sp>
    <xdr:clientData/>
  </xdr:twoCellAnchor>
  <xdr:twoCellAnchor>
    <xdr:from>
      <xdr:col>8</xdr:col>
      <xdr:colOff>297420</xdr:colOff>
      <xdr:row>36</xdr:row>
      <xdr:rowOff>47179</xdr:rowOff>
    </xdr:from>
    <xdr:to>
      <xdr:col>15</xdr:col>
      <xdr:colOff>405721</xdr:colOff>
      <xdr:row>43</xdr:row>
      <xdr:rowOff>0</xdr:rowOff>
    </xdr:to>
    <xdr:sp macro="" textlink="">
      <xdr:nvSpPr>
        <xdr:cNvPr id="7" name="Rectangle 6">
          <a:extLst>
            <a:ext uri="{FF2B5EF4-FFF2-40B4-BE49-F238E27FC236}">
              <a16:creationId xmlns:a16="http://schemas.microsoft.com/office/drawing/2014/main" id="{15A49661-0C8C-4097-963E-70FFD996B997}"/>
            </a:ext>
          </a:extLst>
        </xdr:cNvPr>
        <xdr:cNvSpPr/>
      </xdr:nvSpPr>
      <xdr:spPr>
        <a:xfrm>
          <a:off x="10012920" y="6950003"/>
          <a:ext cx="4344125" cy="1286321"/>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References</a:t>
          </a:r>
          <a:endParaRPr lang="en-US" sz="1100" b="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[4] </a:t>
          </a:r>
          <a:r>
            <a:rPr lang="en-US" sz="1100">
              <a:solidFill>
                <a:schemeClr val="tx1"/>
              </a:solidFill>
              <a:effectLst/>
              <a:latin typeface="+mn-lt"/>
              <a:ea typeface="+mn-ea"/>
              <a:cs typeface="+mn-cs"/>
            </a:rPr>
            <a:t>D. M.</a:t>
          </a:r>
          <a:r>
            <a:rPr lang="en-US" sz="1100" baseline="0">
              <a:solidFill>
                <a:schemeClr val="tx1"/>
              </a:solidFill>
              <a:effectLst/>
              <a:latin typeface="+mn-lt"/>
              <a:ea typeface="+mn-ea"/>
              <a:cs typeface="+mn-cs"/>
            </a:rPr>
            <a:t> Rosewater, L. Gordon, W. Cantor, "Practical Battery Arc Flash Models" Submitted to the 2025 IEEE IAS Electrical Safety Workshop, October 2024</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[5]  "Simple Improved Equations for Arc Flash Analysis," Wilkins, R.,        IEEE Electrical Safety Forum, posted August 30, 2004.</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xdr:txBody>
    </xdr:sp>
    <xdr:clientData/>
  </xdr:twoCellAnchor>
  <xdr:twoCellAnchor editAs="oneCell">
    <xdr:from>
      <xdr:col>15</xdr:col>
      <xdr:colOff>476250</xdr:colOff>
      <xdr:row>15</xdr:row>
      <xdr:rowOff>66674</xdr:rowOff>
    </xdr:from>
    <xdr:to>
      <xdr:col>20</xdr:col>
      <xdr:colOff>171451</xdr:colOff>
      <xdr:row>18</xdr:row>
      <xdr:rowOff>92167</xdr:rowOff>
    </xdr:to>
    <xdr:pic>
      <xdr:nvPicPr>
        <xdr:cNvPr id="9" name="Picture 8">
          <a:extLst>
            <a:ext uri="{FF2B5EF4-FFF2-40B4-BE49-F238E27FC236}">
              <a16:creationId xmlns:a16="http://schemas.microsoft.com/office/drawing/2014/main" id="{6F2D0EA8-2A47-40B3-ABE5-EB405D5377F5}"/>
            </a:ext>
          </a:extLst>
        </xdr:cNvPr>
        <xdr:cNvPicPr>
          <a:picLocks noChangeAspect="1"/>
        </xdr:cNvPicPr>
      </xdr:nvPicPr>
      <xdr:blipFill>
        <a:blip xmlns:r="http://schemas.openxmlformats.org/officeDocument/2006/relationships" r:embed="rId2"/>
        <a:stretch>
          <a:fillRect/>
        </a:stretch>
      </xdr:blipFill>
      <xdr:spPr>
        <a:xfrm>
          <a:off x="12315825" y="2924174"/>
          <a:ext cx="2743200" cy="596993"/>
        </a:xfrm>
        <a:prstGeom prst="rect">
          <a:avLst/>
        </a:prstGeom>
      </xdr:spPr>
    </xdr:pic>
    <xdr:clientData/>
  </xdr:twoCellAnchor>
  <xdr:twoCellAnchor editAs="oneCell">
    <xdr:from>
      <xdr:col>15</xdr:col>
      <xdr:colOff>494687</xdr:colOff>
      <xdr:row>22</xdr:row>
      <xdr:rowOff>95869</xdr:rowOff>
    </xdr:from>
    <xdr:to>
      <xdr:col>25</xdr:col>
      <xdr:colOff>204221</xdr:colOff>
      <xdr:row>27</xdr:row>
      <xdr:rowOff>113063</xdr:rowOff>
    </xdr:to>
    <xdr:pic>
      <xdr:nvPicPr>
        <xdr:cNvPr id="10" name="Picture 9">
          <a:extLst>
            <a:ext uri="{FF2B5EF4-FFF2-40B4-BE49-F238E27FC236}">
              <a16:creationId xmlns:a16="http://schemas.microsoft.com/office/drawing/2014/main" id="{7C909F3A-7745-41D0-AF6E-7CDCDAB69F19}"/>
            </a:ext>
          </a:extLst>
        </xdr:cNvPr>
        <xdr:cNvPicPr>
          <a:picLocks noChangeAspect="1"/>
        </xdr:cNvPicPr>
      </xdr:nvPicPr>
      <xdr:blipFill>
        <a:blip xmlns:r="http://schemas.openxmlformats.org/officeDocument/2006/relationships" r:embed="rId3"/>
        <a:stretch>
          <a:fillRect/>
        </a:stretch>
      </xdr:blipFill>
      <xdr:spPr>
        <a:xfrm>
          <a:off x="13706422" y="4286869"/>
          <a:ext cx="5760711" cy="980900"/>
        </a:xfrm>
        <a:prstGeom prst="rect">
          <a:avLst/>
        </a:prstGeom>
      </xdr:spPr>
    </xdr:pic>
    <xdr:clientData/>
  </xdr:twoCellAnchor>
  <xdr:twoCellAnchor>
    <xdr:from>
      <xdr:col>20</xdr:col>
      <xdr:colOff>159762</xdr:colOff>
      <xdr:row>15</xdr:row>
      <xdr:rowOff>171449</xdr:rowOff>
    </xdr:from>
    <xdr:to>
      <xdr:col>23</xdr:col>
      <xdr:colOff>445511</xdr:colOff>
      <xdr:row>17</xdr:row>
      <xdr:rowOff>168088</xdr:rowOff>
    </xdr:to>
    <xdr:sp macro="" textlink="">
      <xdr:nvSpPr>
        <xdr:cNvPr id="11" name="Rectangle 10">
          <a:extLst>
            <a:ext uri="{FF2B5EF4-FFF2-40B4-BE49-F238E27FC236}">
              <a16:creationId xmlns:a16="http://schemas.microsoft.com/office/drawing/2014/main" id="{74376E0C-2DB8-432A-89AC-55831E6EE8A0}"/>
            </a:ext>
          </a:extLst>
        </xdr:cNvPr>
        <xdr:cNvSpPr/>
      </xdr:nvSpPr>
      <xdr:spPr>
        <a:xfrm>
          <a:off x="15904027" y="3028949"/>
          <a:ext cx="2101102" cy="377639"/>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Battery Arc Voltage </a:t>
          </a:r>
          <a:endParaRPr lang="en-US" sz="1100" b="1">
            <a:solidFill>
              <a:schemeClr val="tx1"/>
            </a:solidFill>
            <a:effectLst/>
            <a:latin typeface="+mn-lt"/>
            <a:ea typeface="+mn-ea"/>
            <a:cs typeface="+mn-cs"/>
          </a:endParaRPr>
        </a:p>
      </xdr:txBody>
    </xdr:sp>
    <xdr:clientData/>
  </xdr:twoCellAnchor>
  <xdr:twoCellAnchor>
    <xdr:from>
      <xdr:col>20</xdr:col>
      <xdr:colOff>399568</xdr:colOff>
      <xdr:row>19</xdr:row>
      <xdr:rowOff>57062</xdr:rowOff>
    </xdr:from>
    <xdr:to>
      <xdr:col>23</xdr:col>
      <xdr:colOff>266217</xdr:colOff>
      <xdr:row>21</xdr:row>
      <xdr:rowOff>34922</xdr:rowOff>
    </xdr:to>
    <xdr:sp macro="" textlink="">
      <xdr:nvSpPr>
        <xdr:cNvPr id="12" name="Rectangle 11">
          <a:extLst>
            <a:ext uri="{FF2B5EF4-FFF2-40B4-BE49-F238E27FC236}">
              <a16:creationId xmlns:a16="http://schemas.microsoft.com/office/drawing/2014/main" id="{DCB98304-93B6-472A-92D7-00F4D807946F}"/>
            </a:ext>
          </a:extLst>
        </xdr:cNvPr>
        <xdr:cNvSpPr/>
      </xdr:nvSpPr>
      <xdr:spPr>
        <a:xfrm>
          <a:off x="16143833" y="3676562"/>
          <a:ext cx="1682002" cy="35886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Air Arc Voltage </a:t>
          </a:r>
          <a:endParaRPr lang="en-US" sz="1100" b="1">
            <a:solidFill>
              <a:schemeClr val="tx1"/>
            </a:solidFill>
            <a:effectLst/>
            <a:latin typeface="+mn-lt"/>
            <a:ea typeface="+mn-ea"/>
            <a:cs typeface="+mn-cs"/>
          </a:endParaRPr>
        </a:p>
      </xdr:txBody>
    </xdr:sp>
    <xdr:clientData/>
  </xdr:twoCellAnchor>
  <xdr:twoCellAnchor editAs="oneCell">
    <xdr:from>
      <xdr:col>15</xdr:col>
      <xdr:colOff>497923</xdr:colOff>
      <xdr:row>28</xdr:row>
      <xdr:rowOff>27486</xdr:rowOff>
    </xdr:from>
    <xdr:to>
      <xdr:col>25</xdr:col>
      <xdr:colOff>313138</xdr:colOff>
      <xdr:row>35</xdr:row>
      <xdr:rowOff>112799</xdr:rowOff>
    </xdr:to>
    <xdr:pic>
      <xdr:nvPicPr>
        <xdr:cNvPr id="13" name="Picture 12">
          <a:extLst>
            <a:ext uri="{FF2B5EF4-FFF2-40B4-BE49-F238E27FC236}">
              <a16:creationId xmlns:a16="http://schemas.microsoft.com/office/drawing/2014/main" id="{48140CA0-9F04-4FB7-ABD8-93BC8A1BE2A3}"/>
            </a:ext>
          </a:extLst>
        </xdr:cNvPr>
        <xdr:cNvPicPr>
          <a:picLocks noChangeAspect="1"/>
        </xdr:cNvPicPr>
      </xdr:nvPicPr>
      <xdr:blipFill>
        <a:blip xmlns:r="http://schemas.openxmlformats.org/officeDocument/2006/relationships" r:embed="rId4"/>
        <a:stretch>
          <a:fillRect/>
        </a:stretch>
      </xdr:blipFill>
      <xdr:spPr>
        <a:xfrm>
          <a:off x="13709658" y="5383898"/>
          <a:ext cx="5866392" cy="1441225"/>
        </a:xfrm>
        <a:prstGeom prst="rect">
          <a:avLst/>
        </a:prstGeom>
      </xdr:spPr>
    </xdr:pic>
    <xdr:clientData/>
  </xdr:twoCellAnchor>
  <xdr:twoCellAnchor>
    <xdr:from>
      <xdr:col>0</xdr:col>
      <xdr:colOff>53153</xdr:colOff>
      <xdr:row>91</xdr:row>
      <xdr:rowOff>90409</xdr:rowOff>
    </xdr:from>
    <xdr:to>
      <xdr:col>10</xdr:col>
      <xdr:colOff>183035</xdr:colOff>
      <xdr:row>98</xdr:row>
      <xdr:rowOff>153865</xdr:rowOff>
    </xdr:to>
    <xdr:sp macro="" textlink="">
      <xdr:nvSpPr>
        <xdr:cNvPr id="14" name="Rectangle 13">
          <a:extLst>
            <a:ext uri="{FF2B5EF4-FFF2-40B4-BE49-F238E27FC236}">
              <a16:creationId xmlns:a16="http://schemas.microsoft.com/office/drawing/2014/main" id="{9E2257CA-364D-4EB5-95D6-517F074E7CF2}"/>
            </a:ext>
          </a:extLst>
        </xdr:cNvPr>
        <xdr:cNvSpPr/>
      </xdr:nvSpPr>
      <xdr:spPr>
        <a:xfrm>
          <a:off x="53153" y="10606009"/>
          <a:ext cx="8921457" cy="1396956"/>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baseline="0">
              <a:solidFill>
                <a:schemeClr val="tx1"/>
              </a:solidFill>
              <a:effectLst/>
              <a:latin typeface="+mn-lt"/>
              <a:ea typeface="+mn-ea"/>
              <a:cs typeface="+mn-cs"/>
            </a:rPr>
            <a:t>Funding Statement</a:t>
          </a:r>
        </a:p>
        <a:p>
          <a:r>
            <a:rPr lang="en-US" sz="1100" b="0" i="1">
              <a:solidFill>
                <a:schemeClr val="tx1"/>
              </a:solidFill>
              <a:effectLst/>
              <a:latin typeface="+mn-lt"/>
              <a:ea typeface="+mn-ea"/>
              <a:cs typeface="+mn-cs"/>
            </a:rPr>
            <a:t>This article has been authored by an employee of National Technology &amp; Engineering Solutions of Sandia, LLC under Contract No. DE-NA0003525 with the U.S. Department of Energy (DOE). The employee owns all right, title and interest in and to the article and is solely responsible for its contents. The United States Government retains and the publisher, by accepting the article for publication, acknowledges that the United States Government retains a non-exclusive, paid-up, irrevocable, world-wide license to publish or reproduce the published form of this article or allow others to do so, for United States Government purposes. The DOE will provide public access to these results of federally sponsored research in accordance with the DOE Public Access Plan </a:t>
          </a:r>
          <a:r>
            <a:rPr lang="en-US" sz="1100" b="0" i="1">
              <a:solidFill>
                <a:schemeClr val="lt1"/>
              </a:solidFill>
              <a:effectLst/>
              <a:latin typeface="+mn-lt"/>
              <a:ea typeface="+mn-ea"/>
              <a:cs typeface="+mn-cs"/>
              <a:hlinkClick xmlns:r="http://schemas.openxmlformats.org/officeDocument/2006/relationships" r:id=""/>
            </a:rPr>
            <a:t>https://www.energy.gov/downloads/doe-public-access-plan</a:t>
          </a:r>
          <a:r>
            <a:rPr lang="en-US" sz="1100" b="0" i="1">
              <a:solidFill>
                <a:schemeClr val="lt1"/>
              </a:solidFill>
              <a:effectLst/>
              <a:latin typeface="+mn-lt"/>
              <a:ea typeface="+mn-ea"/>
              <a:cs typeface="+mn-cs"/>
            </a:rPr>
            <a:t> .</a:t>
          </a:r>
          <a:endParaRPr lang="en-US" sz="1100" baseline="0">
            <a:solidFill>
              <a:schemeClr val="tx1"/>
            </a:solidFill>
            <a:effectLst/>
            <a:latin typeface="+mn-lt"/>
            <a:ea typeface="+mn-ea"/>
            <a:cs typeface="+mn-cs"/>
          </a:endParaRPr>
        </a:p>
      </xdr:txBody>
    </xdr:sp>
    <xdr:clientData/>
  </xdr:twoCellAnchor>
  <xdr:twoCellAnchor editAs="oneCell">
    <xdr:from>
      <xdr:col>10</xdr:col>
      <xdr:colOff>307484</xdr:colOff>
      <xdr:row>91</xdr:row>
      <xdr:rowOff>168274</xdr:rowOff>
    </xdr:from>
    <xdr:to>
      <xdr:col>13</xdr:col>
      <xdr:colOff>302722</xdr:colOff>
      <xdr:row>94</xdr:row>
      <xdr:rowOff>54146</xdr:rowOff>
    </xdr:to>
    <xdr:pic>
      <xdr:nvPicPr>
        <xdr:cNvPr id="15" name="Picture 14">
          <a:extLst>
            <a:ext uri="{FF2B5EF4-FFF2-40B4-BE49-F238E27FC236}">
              <a16:creationId xmlns:a16="http://schemas.microsoft.com/office/drawing/2014/main" id="{D599CDB5-8901-4A8B-AF8E-4501932EF55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099059" y="10683874"/>
          <a:ext cx="1824037" cy="457372"/>
        </a:xfrm>
        <a:prstGeom prst="rect">
          <a:avLst/>
        </a:prstGeom>
      </xdr:spPr>
    </xdr:pic>
    <xdr:clientData/>
  </xdr:twoCellAnchor>
  <xdr:twoCellAnchor editAs="oneCell">
    <xdr:from>
      <xdr:col>10</xdr:col>
      <xdr:colOff>307484</xdr:colOff>
      <xdr:row>95</xdr:row>
      <xdr:rowOff>20833</xdr:rowOff>
    </xdr:from>
    <xdr:to>
      <xdr:col>13</xdr:col>
      <xdr:colOff>304627</xdr:colOff>
      <xdr:row>98</xdr:row>
      <xdr:rowOff>568</xdr:rowOff>
    </xdr:to>
    <xdr:pic>
      <xdr:nvPicPr>
        <xdr:cNvPr id="16" name="Picture 15">
          <a:extLst>
            <a:ext uri="{FF2B5EF4-FFF2-40B4-BE49-F238E27FC236}">
              <a16:creationId xmlns:a16="http://schemas.microsoft.com/office/drawing/2014/main" id="{599F0EB6-7C42-4149-B549-8BDAD6008B5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099059" y="11298433"/>
          <a:ext cx="1825942" cy="551235"/>
        </a:xfrm>
        <a:prstGeom prst="rect">
          <a:avLst/>
        </a:prstGeom>
      </xdr:spPr>
    </xdr:pic>
    <xdr:clientData/>
  </xdr:twoCellAnchor>
  <xdr:twoCellAnchor editAs="oneCell">
    <xdr:from>
      <xdr:col>3</xdr:col>
      <xdr:colOff>338578</xdr:colOff>
      <xdr:row>1</xdr:row>
      <xdr:rowOff>18431</xdr:rowOff>
    </xdr:from>
    <xdr:to>
      <xdr:col>6</xdr:col>
      <xdr:colOff>436577</xdr:colOff>
      <xdr:row>5</xdr:row>
      <xdr:rowOff>2906</xdr:rowOff>
    </xdr:to>
    <xdr:pic>
      <xdr:nvPicPr>
        <xdr:cNvPr id="17" name="Picture 16">
          <a:extLst>
            <a:ext uri="{FF2B5EF4-FFF2-40B4-BE49-F238E27FC236}">
              <a16:creationId xmlns:a16="http://schemas.microsoft.com/office/drawing/2014/main" id="{9A489686-D140-4D29-BC1C-3BC356F5C5C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386953" y="208931"/>
          <a:ext cx="2707849" cy="746475"/>
        </a:xfrm>
        <a:prstGeom prst="rect">
          <a:avLst/>
        </a:prstGeom>
        <a:solidFill>
          <a:schemeClr val="bg1"/>
        </a:solidFill>
      </xdr:spPr>
    </xdr:pic>
    <xdr:clientData/>
  </xdr:twoCellAnchor>
  <xdr:twoCellAnchor editAs="oneCell">
    <xdr:from>
      <xdr:col>16</xdr:col>
      <xdr:colOff>81802</xdr:colOff>
      <xdr:row>59</xdr:row>
      <xdr:rowOff>162006</xdr:rowOff>
    </xdr:from>
    <xdr:to>
      <xdr:col>25</xdr:col>
      <xdr:colOff>48186</xdr:colOff>
      <xdr:row>76</xdr:row>
      <xdr:rowOff>114432</xdr:rowOff>
    </xdr:to>
    <xdr:pic>
      <xdr:nvPicPr>
        <xdr:cNvPr id="22" name="Picture 21">
          <a:extLst>
            <a:ext uri="{FF2B5EF4-FFF2-40B4-BE49-F238E27FC236}">
              <a16:creationId xmlns:a16="http://schemas.microsoft.com/office/drawing/2014/main" id="{6A111C08-1A61-B82E-8F51-56203F89D757}"/>
            </a:ext>
          </a:extLst>
        </xdr:cNvPr>
        <xdr:cNvPicPr>
          <a:picLocks noChangeAspect="1"/>
        </xdr:cNvPicPr>
      </xdr:nvPicPr>
      <xdr:blipFill>
        <a:blip xmlns:r="http://schemas.openxmlformats.org/officeDocument/2006/relationships" r:embed="rId8"/>
        <a:stretch>
          <a:fillRect/>
        </a:stretch>
      </xdr:blipFill>
      <xdr:spPr>
        <a:xfrm>
          <a:off x="14638243" y="11446330"/>
          <a:ext cx="5412443" cy="3190926"/>
        </a:xfrm>
        <a:prstGeom prst="rect">
          <a:avLst/>
        </a:prstGeom>
      </xdr:spPr>
    </xdr:pic>
    <xdr:clientData/>
  </xdr:twoCellAnchor>
  <xdr:twoCellAnchor editAs="oneCell">
    <xdr:from>
      <xdr:col>16</xdr:col>
      <xdr:colOff>112059</xdr:colOff>
      <xdr:row>51</xdr:row>
      <xdr:rowOff>0</xdr:rowOff>
    </xdr:from>
    <xdr:to>
      <xdr:col>21</xdr:col>
      <xdr:colOff>323447</xdr:colOff>
      <xdr:row>56</xdr:row>
      <xdr:rowOff>149262</xdr:rowOff>
    </xdr:to>
    <xdr:pic>
      <xdr:nvPicPr>
        <xdr:cNvPr id="23" name="Picture 22">
          <a:extLst>
            <a:ext uri="{FF2B5EF4-FFF2-40B4-BE49-F238E27FC236}">
              <a16:creationId xmlns:a16="http://schemas.microsoft.com/office/drawing/2014/main" id="{698FCF3B-1769-F621-4456-9BC94C40E65E}"/>
            </a:ext>
          </a:extLst>
        </xdr:cNvPr>
        <xdr:cNvPicPr>
          <a:picLocks noChangeAspect="1"/>
        </xdr:cNvPicPr>
      </xdr:nvPicPr>
      <xdr:blipFill>
        <a:blip xmlns:r="http://schemas.openxmlformats.org/officeDocument/2006/relationships" r:embed="rId9"/>
        <a:stretch>
          <a:fillRect/>
        </a:stretch>
      </xdr:blipFill>
      <xdr:spPr>
        <a:xfrm>
          <a:off x="13928912" y="10459422"/>
          <a:ext cx="3236976" cy="1097280"/>
        </a:xfrm>
        <a:prstGeom prst="rect">
          <a:avLst/>
        </a:prstGeom>
      </xdr:spPr>
    </xdr:pic>
    <xdr:clientData/>
  </xdr:twoCellAnchor>
  <xdr:twoCellAnchor editAs="oneCell">
    <xdr:from>
      <xdr:col>21</xdr:col>
      <xdr:colOff>354106</xdr:colOff>
      <xdr:row>51</xdr:row>
      <xdr:rowOff>16329</xdr:rowOff>
    </xdr:from>
    <xdr:to>
      <xdr:col>25</xdr:col>
      <xdr:colOff>437091</xdr:colOff>
      <xdr:row>56</xdr:row>
      <xdr:rowOff>165591</xdr:rowOff>
    </xdr:to>
    <xdr:pic>
      <xdr:nvPicPr>
        <xdr:cNvPr id="25" name="Picture 24">
          <a:extLst>
            <a:ext uri="{FF2B5EF4-FFF2-40B4-BE49-F238E27FC236}">
              <a16:creationId xmlns:a16="http://schemas.microsoft.com/office/drawing/2014/main" id="{EDC9BD7E-60EA-7CD6-26C9-0309245CF75D}"/>
            </a:ext>
          </a:extLst>
        </xdr:cNvPr>
        <xdr:cNvPicPr>
          <a:picLocks noChangeAspect="1"/>
        </xdr:cNvPicPr>
      </xdr:nvPicPr>
      <xdr:blipFill>
        <a:blip xmlns:r="http://schemas.openxmlformats.org/officeDocument/2006/relationships" r:embed="rId10"/>
        <a:stretch>
          <a:fillRect/>
        </a:stretch>
      </xdr:blipFill>
      <xdr:spPr>
        <a:xfrm>
          <a:off x="18157692" y="9862458"/>
          <a:ext cx="2521385" cy="1096319"/>
        </a:xfrm>
        <a:prstGeom prst="rect">
          <a:avLst/>
        </a:prstGeom>
      </xdr:spPr>
    </xdr:pic>
    <xdr:clientData/>
  </xdr:twoCellAnchor>
  <xdr:twoCellAnchor editAs="oneCell">
    <xdr:from>
      <xdr:col>16</xdr:col>
      <xdr:colOff>268963</xdr:colOff>
      <xdr:row>39</xdr:row>
      <xdr:rowOff>112059</xdr:rowOff>
    </xdr:from>
    <xdr:to>
      <xdr:col>25</xdr:col>
      <xdr:colOff>497642</xdr:colOff>
      <xdr:row>51</xdr:row>
      <xdr:rowOff>88784</xdr:rowOff>
    </xdr:to>
    <xdr:pic>
      <xdr:nvPicPr>
        <xdr:cNvPr id="28" name="Picture 27">
          <a:extLst>
            <a:ext uri="{FF2B5EF4-FFF2-40B4-BE49-F238E27FC236}">
              <a16:creationId xmlns:a16="http://schemas.microsoft.com/office/drawing/2014/main" id="{E0E31687-9ADB-7042-305C-1C167981A0F3}"/>
            </a:ext>
          </a:extLst>
        </xdr:cNvPr>
        <xdr:cNvPicPr>
          <a:picLocks noChangeAspect="1"/>
        </xdr:cNvPicPr>
      </xdr:nvPicPr>
      <xdr:blipFill>
        <a:blip xmlns:r="http://schemas.openxmlformats.org/officeDocument/2006/relationships" r:embed="rId11"/>
        <a:stretch>
          <a:fillRect/>
        </a:stretch>
      </xdr:blipFill>
      <xdr:spPr>
        <a:xfrm>
          <a:off x="14085816" y="7608794"/>
          <a:ext cx="5674738" cy="2286000"/>
        </a:xfrm>
        <a:prstGeom prst="rect">
          <a:avLst/>
        </a:prstGeom>
      </xdr:spPr>
    </xdr:pic>
    <xdr:clientData/>
  </xdr:twoCellAnchor>
  <xdr:twoCellAnchor>
    <xdr:from>
      <xdr:col>16</xdr:col>
      <xdr:colOff>316645</xdr:colOff>
      <xdr:row>37</xdr:row>
      <xdr:rowOff>70508</xdr:rowOff>
    </xdr:from>
    <xdr:to>
      <xdr:col>22</xdr:col>
      <xdr:colOff>593912</xdr:colOff>
      <xdr:row>39</xdr:row>
      <xdr:rowOff>37162</xdr:rowOff>
    </xdr:to>
    <xdr:sp macro="" textlink="">
      <xdr:nvSpPr>
        <xdr:cNvPr id="29" name="Rectangle 28">
          <a:extLst>
            <a:ext uri="{FF2B5EF4-FFF2-40B4-BE49-F238E27FC236}">
              <a16:creationId xmlns:a16="http://schemas.microsoft.com/office/drawing/2014/main" id="{A9BAF66D-A7FF-4B50-8C34-042BB630CF5B}"/>
            </a:ext>
          </a:extLst>
        </xdr:cNvPr>
        <xdr:cNvSpPr/>
      </xdr:nvSpPr>
      <xdr:spPr>
        <a:xfrm>
          <a:off x="14133498" y="7175037"/>
          <a:ext cx="3907973" cy="35886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Example probability</a:t>
          </a:r>
          <a:r>
            <a:rPr lang="en-US" sz="1800" b="1" baseline="0">
              <a:solidFill>
                <a:schemeClr val="tx1"/>
              </a:solidFill>
              <a:effectLst/>
              <a:latin typeface="+mn-lt"/>
              <a:ea typeface="+mn-ea"/>
              <a:cs typeface="+mn-cs"/>
            </a:rPr>
            <a:t> distributions of </a:t>
          </a:r>
          <a:r>
            <a:rPr lang="el-GR" sz="1800" b="1" baseline="0">
              <a:solidFill>
                <a:schemeClr val="tx1"/>
              </a:solidFill>
              <a:effectLst/>
              <a:latin typeface="+mn-lt"/>
              <a:ea typeface="+mn-ea"/>
              <a:cs typeface="+mn-cs"/>
            </a:rPr>
            <a:t>β</a:t>
          </a:r>
          <a:r>
            <a:rPr lang="en-US" sz="1800" b="1" baseline="0">
              <a:solidFill>
                <a:schemeClr val="tx1"/>
              </a:solidFill>
              <a:effectLst/>
              <a:latin typeface="+mn-lt"/>
              <a:ea typeface="+mn-ea"/>
              <a:cs typeface="+mn-cs"/>
            </a:rPr>
            <a:t> </a:t>
          </a:r>
          <a:endParaRPr lang="en-US" sz="1100" b="1">
            <a:solidFill>
              <a:schemeClr val="tx1"/>
            </a:solidFill>
            <a:effectLst/>
            <a:latin typeface="+mn-lt"/>
            <a:ea typeface="+mn-ea"/>
            <a:cs typeface="+mn-cs"/>
          </a:endParaRPr>
        </a:p>
      </xdr:txBody>
    </xdr:sp>
    <xdr:clientData/>
  </xdr:twoCellAnchor>
  <xdr:twoCellAnchor>
    <xdr:from>
      <xdr:col>16</xdr:col>
      <xdr:colOff>159285</xdr:colOff>
      <xdr:row>57</xdr:row>
      <xdr:rowOff>94449</xdr:rowOff>
    </xdr:from>
    <xdr:to>
      <xdr:col>23</xdr:col>
      <xdr:colOff>360992</xdr:colOff>
      <xdr:row>59</xdr:row>
      <xdr:rowOff>61423</xdr:rowOff>
    </xdr:to>
    <xdr:sp macro="" textlink="">
      <xdr:nvSpPr>
        <xdr:cNvPr id="30" name="Rectangle 29">
          <a:extLst>
            <a:ext uri="{FF2B5EF4-FFF2-40B4-BE49-F238E27FC236}">
              <a16:creationId xmlns:a16="http://schemas.microsoft.com/office/drawing/2014/main" id="{AB6625E4-53D1-4437-91B2-952AC287B0D1}"/>
            </a:ext>
          </a:extLst>
        </xdr:cNvPr>
        <xdr:cNvSpPr/>
      </xdr:nvSpPr>
      <xdr:spPr>
        <a:xfrm>
          <a:off x="14715726" y="10997773"/>
          <a:ext cx="4437531" cy="347974"/>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800" b="1">
              <a:solidFill>
                <a:schemeClr val="tx1"/>
              </a:solidFill>
              <a:effectLst/>
              <a:latin typeface="+mn-lt"/>
              <a:ea typeface="+mn-ea"/>
              <a:cs typeface="+mn-cs"/>
            </a:rPr>
            <a:t>Linear approximations</a:t>
          </a:r>
          <a:r>
            <a:rPr lang="en-US" sz="1800" b="1" baseline="0">
              <a:solidFill>
                <a:schemeClr val="tx1"/>
              </a:solidFill>
              <a:effectLst/>
              <a:latin typeface="+mn-lt"/>
              <a:ea typeface="+mn-ea"/>
              <a:cs typeface="+mn-cs"/>
            </a:rPr>
            <a:t> for I and V over time.  </a:t>
          </a:r>
          <a:endParaRPr lang="en-US" sz="1100" b="1">
            <a:solidFill>
              <a:schemeClr val="tx1"/>
            </a:solidFill>
            <a:effectLst/>
            <a:latin typeface="+mn-lt"/>
            <a:ea typeface="+mn-ea"/>
            <a:cs typeface="+mn-cs"/>
          </a:endParaRPr>
        </a:p>
      </xdr:txBody>
    </xdr:sp>
    <xdr:clientData/>
  </xdr:twoCellAnchor>
  <xdr:twoCellAnchor editAs="oneCell">
    <xdr:from>
      <xdr:col>15</xdr:col>
      <xdr:colOff>571500</xdr:colOff>
      <xdr:row>4</xdr:row>
      <xdr:rowOff>0</xdr:rowOff>
    </xdr:from>
    <xdr:to>
      <xdr:col>21</xdr:col>
      <xdr:colOff>42522</xdr:colOff>
      <xdr:row>15</xdr:row>
      <xdr:rowOff>23614</xdr:rowOff>
    </xdr:to>
    <xdr:pic>
      <xdr:nvPicPr>
        <xdr:cNvPr id="5" name="Picture 4">
          <a:extLst>
            <a:ext uri="{FF2B5EF4-FFF2-40B4-BE49-F238E27FC236}">
              <a16:creationId xmlns:a16="http://schemas.microsoft.com/office/drawing/2014/main" id="{92E3CD85-07C3-F093-54B2-BDE577E0247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582775" y="762000"/>
          <a:ext cx="3128622" cy="2119114"/>
        </a:xfrm>
        <a:prstGeom prst="rect">
          <a:avLst/>
        </a:prstGeom>
        <a:solidFill>
          <a:schemeClr val="bg1"/>
        </a:solidFill>
      </xdr:spPr>
    </xdr:pic>
    <xdr:clientData/>
  </xdr:twoCellAnchor>
  <xdr:twoCellAnchor editAs="oneCell">
    <xdr:from>
      <xdr:col>3</xdr:col>
      <xdr:colOff>71718</xdr:colOff>
      <xdr:row>23</xdr:row>
      <xdr:rowOff>106686</xdr:rowOff>
    </xdr:from>
    <xdr:to>
      <xdr:col>6</xdr:col>
      <xdr:colOff>604820</xdr:colOff>
      <xdr:row>32</xdr:row>
      <xdr:rowOff>40821</xdr:rowOff>
    </xdr:to>
    <xdr:pic>
      <xdr:nvPicPr>
        <xdr:cNvPr id="6" name="Picture 5">
          <a:extLst>
            <a:ext uri="{FF2B5EF4-FFF2-40B4-BE49-F238E27FC236}">
              <a16:creationId xmlns:a16="http://schemas.microsoft.com/office/drawing/2014/main" id="{28526C0C-271E-8C20-6E34-EF9A6870916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5990825" y="4488186"/>
          <a:ext cx="3145674" cy="1703064"/>
        </a:xfrm>
        <a:prstGeom prst="rect">
          <a:avLst/>
        </a:prstGeom>
        <a:solidFill>
          <a:schemeClr val="bg1"/>
        </a:solidFill>
      </xdr:spPr>
    </xdr:pic>
    <xdr:clientData/>
  </xdr:twoCellAnchor>
  <xdr:twoCellAnchor>
    <xdr:from>
      <xdr:col>41</xdr:col>
      <xdr:colOff>160645</xdr:colOff>
      <xdr:row>102</xdr:row>
      <xdr:rowOff>75518</xdr:rowOff>
    </xdr:from>
    <xdr:to>
      <xdr:col>52</xdr:col>
      <xdr:colOff>145677</xdr:colOff>
      <xdr:row>133</xdr:row>
      <xdr:rowOff>163285</xdr:rowOff>
    </xdr:to>
    <xdr:graphicFrame macro="">
      <xdr:nvGraphicFramePr>
        <xdr:cNvPr id="8" name="Chart 7">
          <a:extLst>
            <a:ext uri="{FF2B5EF4-FFF2-40B4-BE49-F238E27FC236}">
              <a16:creationId xmlns:a16="http://schemas.microsoft.com/office/drawing/2014/main" id="{0CB09F01-F3E2-FDCF-66C8-42C598C5B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41</xdr:col>
      <xdr:colOff>156480</xdr:colOff>
      <xdr:row>69</xdr:row>
      <xdr:rowOff>166006</xdr:rowOff>
    </xdr:from>
    <xdr:to>
      <xdr:col>52</xdr:col>
      <xdr:colOff>190499</xdr:colOff>
      <xdr:row>101</xdr:row>
      <xdr:rowOff>81642</xdr:rowOff>
    </xdr:to>
    <xdr:graphicFrame macro="">
      <xdr:nvGraphicFramePr>
        <xdr:cNvPr id="20" name="Chart 19">
          <a:extLst>
            <a:ext uri="{FF2B5EF4-FFF2-40B4-BE49-F238E27FC236}">
              <a16:creationId xmlns:a16="http://schemas.microsoft.com/office/drawing/2014/main" id="{44D20B47-6C6B-54F7-7DA8-BCA93242F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67235</xdr:colOff>
      <xdr:row>99</xdr:row>
      <xdr:rowOff>0</xdr:rowOff>
    </xdr:from>
    <xdr:to>
      <xdr:col>10</xdr:col>
      <xdr:colOff>168089</xdr:colOff>
      <xdr:row>109</xdr:row>
      <xdr:rowOff>112058</xdr:rowOff>
    </xdr:to>
    <xdr:sp macro="" textlink="">
      <xdr:nvSpPr>
        <xdr:cNvPr id="18" name="Rectangle 17">
          <a:extLst>
            <a:ext uri="{FF2B5EF4-FFF2-40B4-BE49-F238E27FC236}">
              <a16:creationId xmlns:a16="http://schemas.microsoft.com/office/drawing/2014/main" id="{A5365961-883F-4C3D-80EC-922121C72FC0}"/>
            </a:ext>
          </a:extLst>
        </xdr:cNvPr>
        <xdr:cNvSpPr/>
      </xdr:nvSpPr>
      <xdr:spPr>
        <a:xfrm>
          <a:off x="67235" y="18904324"/>
          <a:ext cx="11026589" cy="2017058"/>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baseline="0">
              <a:solidFill>
                <a:schemeClr val="tx1"/>
              </a:solidFill>
              <a:effectLst/>
              <a:latin typeface="+mn-lt"/>
              <a:ea typeface="+mn-ea"/>
              <a:cs typeface="+mn-cs"/>
            </a:rPr>
            <a:t>MIT Open Source Software License</a:t>
          </a:r>
        </a:p>
        <a:p>
          <a:r>
            <a:rPr lang="en-US" sz="1100" b="0" i="1">
              <a:solidFill>
                <a:schemeClr val="tx1"/>
              </a:solidFill>
              <a:effectLst/>
              <a:latin typeface="+mn-lt"/>
              <a:ea typeface="+mn-ea"/>
              <a:cs typeface="+mn-cs"/>
            </a:rPr>
            <a:t>Copyright</a:t>
          </a:r>
          <a:r>
            <a:rPr lang="en-US" sz="1100" b="0" i="1" baseline="0">
              <a:solidFill>
                <a:schemeClr val="tx1"/>
              </a:solidFill>
              <a:effectLst/>
              <a:latin typeface="+mn-lt"/>
              <a:ea typeface="+mn-ea"/>
              <a:cs typeface="+mn-cs"/>
            </a:rPr>
            <a:t> 2024</a:t>
          </a:r>
          <a:r>
            <a:rPr lang="en-US" sz="1100" b="0" i="1">
              <a:solidFill>
                <a:schemeClr val="tx1"/>
              </a:solidFill>
              <a:effectLst/>
              <a:latin typeface="+mn-lt"/>
              <a:ea typeface="+mn-ea"/>
              <a:cs typeface="+mn-cs"/>
            </a:rPr>
            <a:t> National Technology &amp; Engineering Solutions of Sandia, LLC (NTESS). Under the terms of Contract DE-NA0003525 with NTESS, the U.S. Government retains certain rights in this software.</a:t>
          </a:r>
        </a:p>
        <a:p>
          <a:endParaRPr lang="en-US" sz="1100" b="0" i="1">
            <a:solidFill>
              <a:schemeClr val="tx1"/>
            </a:solidFill>
            <a:effectLst/>
            <a:latin typeface="+mn-lt"/>
            <a:ea typeface="+mn-ea"/>
            <a:cs typeface="+mn-cs"/>
          </a:endParaRPr>
        </a:p>
        <a:p>
          <a:r>
            <a:rPr lang="en-US" sz="1100" b="0" i="1">
              <a:solidFill>
                <a:schemeClr val="tx1"/>
              </a:solidFill>
              <a:effectLst/>
              <a:latin typeface="+mn-lt"/>
              <a:ea typeface="+mn-ea"/>
              <a:cs typeface="+mn-cs"/>
            </a:rPr>
            <a:t>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a:t>
          </a:r>
        </a:p>
        <a:p>
          <a:r>
            <a:rPr lang="en-US" sz="1100" b="0" i="1">
              <a:solidFill>
                <a:schemeClr val="tx1"/>
              </a:solidFill>
              <a:effectLst/>
              <a:latin typeface="+mn-lt"/>
              <a:ea typeface="+mn-ea"/>
              <a:cs typeface="+mn-cs"/>
            </a:rPr>
            <a:t>The above copyright notice and this permission notice shall be included in all copies or substantial portions of the Software.</a:t>
          </a:r>
        </a:p>
        <a:p>
          <a:r>
            <a:rPr lang="en-US" sz="1100" b="0" i="1">
              <a:solidFill>
                <a:schemeClr val="tx1"/>
              </a:solidFill>
              <a:effectLst/>
              <a:latin typeface="+mn-lt"/>
              <a:ea typeface="+mn-ea"/>
              <a:cs typeface="+mn-cs"/>
            </a:rPr>
            <a:t>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a:t>
          </a:r>
        </a:p>
      </xdr:txBody>
    </xdr:sp>
    <xdr:clientData/>
  </xdr:twoCellAnchor>
  <mc:AlternateContent xmlns:mc="http://schemas.openxmlformats.org/markup-compatibility/2006">
    <mc:Choice xmlns:a14="http://schemas.microsoft.com/office/drawing/2010/main" Requires="a14">
      <xdr:twoCellAnchor editAs="oneCell">
        <xdr:from>
          <xdr:col>3</xdr:col>
          <xdr:colOff>419100</xdr:colOff>
          <xdr:row>11</xdr:row>
          <xdr:rowOff>180975</xdr:rowOff>
        </xdr:from>
        <xdr:to>
          <xdr:col>4</xdr:col>
          <xdr:colOff>38100</xdr:colOff>
          <xdr:row>13</xdr:row>
          <xdr:rowOff>9525</xdr:rowOff>
        </xdr:to>
        <xdr:sp macro="" textlink="">
          <xdr:nvSpPr>
            <xdr:cNvPr id="3078" name="Option Button 6"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Open Air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13</xdr:row>
          <xdr:rowOff>9525</xdr:rowOff>
        </xdr:from>
        <xdr:to>
          <xdr:col>5</xdr:col>
          <xdr:colOff>257175</xdr:colOff>
          <xdr:row>14</xdr:row>
          <xdr:rowOff>9525</xdr:rowOff>
        </xdr:to>
        <xdr:sp macro="" textlink="">
          <xdr:nvSpPr>
            <xdr:cNvPr id="3079" name="Option Button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NFPA 70E 2015 D.5.1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14</xdr:row>
          <xdr:rowOff>9525</xdr:rowOff>
        </xdr:from>
        <xdr:to>
          <xdr:col>9</xdr:col>
          <xdr:colOff>190500</xdr:colOff>
          <xdr:row>15</xdr:row>
          <xdr:rowOff>19050</xdr:rowOff>
        </xdr:to>
        <xdr:sp macro="" textlink="">
          <xdr:nvSpPr>
            <xdr:cNvPr id="3080" name="Option Button 8"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Large Switchgear (MV) (1143mm x 762mm x 762mm)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15</xdr:row>
          <xdr:rowOff>19050</xdr:rowOff>
        </xdr:from>
        <xdr:to>
          <xdr:col>9</xdr:col>
          <xdr:colOff>123825</xdr:colOff>
          <xdr:row>16</xdr:row>
          <xdr:rowOff>28575</xdr:rowOff>
        </xdr:to>
        <xdr:sp macro="" textlink="">
          <xdr:nvSpPr>
            <xdr:cNvPr id="3081" name="Option Button 9"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Medium Switchgear (LV) (508mm x 508mm x 508mm)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428625</xdr:colOff>
          <xdr:row>16</xdr:row>
          <xdr:rowOff>28575</xdr:rowOff>
        </xdr:from>
        <xdr:to>
          <xdr:col>8</xdr:col>
          <xdr:colOff>466725</xdr:colOff>
          <xdr:row>17</xdr:row>
          <xdr:rowOff>38100</xdr:rowOff>
        </xdr:to>
        <xdr:sp macro="" textlink="">
          <xdr:nvSpPr>
            <xdr:cNvPr id="3082" name="Option Button 10"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Closed Box - Wilkins - Small Panel (LV)  (305mm x 356mm x 191mm)</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6.xml"/><Relationship Id="rId7" Type="http://schemas.openxmlformats.org/officeDocument/2006/relationships/ctrlProp" Target="../ctrlProps/ctrlProp10.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9.xml"/><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5.xml"/><Relationship Id="rId3" Type="http://schemas.openxmlformats.org/officeDocument/2006/relationships/vmlDrawing" Target="../drawings/vmlDrawing3.vml"/><Relationship Id="rId7" Type="http://schemas.openxmlformats.org/officeDocument/2006/relationships/ctrlProp" Target="../ctrlProps/ctrlProp14.xml"/><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ctrlProp" Target="../ctrlProps/ctrlProp13.xml"/><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670B-F600-4898-B40B-0D50AA7FA3B1}">
  <sheetPr codeName="Sheet1"/>
  <dimension ref="A7:Y63"/>
  <sheetViews>
    <sheetView tabSelected="1" zoomScaleNormal="100" workbookViewId="0">
      <selection activeCell="B11" sqref="B11:B12"/>
    </sheetView>
  </sheetViews>
  <sheetFormatPr defaultRowHeight="15" x14ac:dyDescent="0.25"/>
  <cols>
    <col min="1" max="1" width="46.7109375" customWidth="1"/>
    <col min="2" max="2" width="29.42578125" customWidth="1"/>
    <col min="3" max="3" width="9.140625" customWidth="1"/>
    <col min="4" max="4" width="12.28515625" customWidth="1"/>
  </cols>
  <sheetData>
    <row r="7" spans="1:4" x14ac:dyDescent="0.25">
      <c r="B7" s="2" t="s">
        <v>10</v>
      </c>
    </row>
    <row r="8" spans="1:4" x14ac:dyDescent="0.25">
      <c r="B8" s="3" t="s">
        <v>11</v>
      </c>
    </row>
    <row r="9" spans="1:4" x14ac:dyDescent="0.25">
      <c r="B9" s="6"/>
    </row>
    <row r="10" spans="1:4" x14ac:dyDescent="0.25">
      <c r="A10" s="1" t="s">
        <v>26</v>
      </c>
      <c r="B10" s="11" t="s">
        <v>23</v>
      </c>
      <c r="C10" s="1" t="s">
        <v>22</v>
      </c>
    </row>
    <row r="11" spans="1:4" x14ac:dyDescent="0.25">
      <c r="A11" t="s">
        <v>4</v>
      </c>
      <c r="B11" s="29">
        <v>258</v>
      </c>
      <c r="C11" t="s">
        <v>7</v>
      </c>
      <c r="D11" s="26"/>
    </row>
    <row r="12" spans="1:4" x14ac:dyDescent="0.25">
      <c r="A12" t="s">
        <v>6</v>
      </c>
      <c r="B12" s="29">
        <v>18700</v>
      </c>
      <c r="C12" t="s">
        <v>8</v>
      </c>
      <c r="D12" s="1" t="s">
        <v>123</v>
      </c>
    </row>
    <row r="13" spans="1:4" x14ac:dyDescent="0.25">
      <c r="A13" t="s">
        <v>15</v>
      </c>
      <c r="B13" s="13">
        <f>B11/B12</f>
        <v>1.3796791443850267E-2</v>
      </c>
      <c r="C13" s="4" t="s">
        <v>16</v>
      </c>
      <c r="D13" s="33">
        <v>1</v>
      </c>
    </row>
    <row r="14" spans="1:4" x14ac:dyDescent="0.25">
      <c r="A14" t="s">
        <v>24</v>
      </c>
      <c r="B14" s="7">
        <v>2</v>
      </c>
      <c r="C14" s="5" t="s">
        <v>20</v>
      </c>
      <c r="D14" s="2"/>
    </row>
    <row r="15" spans="1:4" x14ac:dyDescent="0.25">
      <c r="A15" t="s">
        <v>47</v>
      </c>
      <c r="B15" s="7">
        <v>45.72</v>
      </c>
      <c r="C15" s="5" t="s">
        <v>37</v>
      </c>
      <c r="D15" s="2"/>
    </row>
    <row r="16" spans="1:4" x14ac:dyDescent="0.25">
      <c r="A16" s="12" t="s">
        <v>25</v>
      </c>
      <c r="B16" s="28">
        <f>IF(CHOOSE($D$13,1,3,5.22761/(1+(95/B15)^2),3.9207/(1+(40/B15)^2),1.59593/(1+(10/B15)^2))&lt;1,1,CHOOSE($D$13,1,3,5.22761/(1+(95/B15)^2),3.9207/(1+(40/B15)^2),1.59593/(1+(10/B15)^2)))</f>
        <v>1</v>
      </c>
      <c r="C16" t="s">
        <v>31</v>
      </c>
      <c r="D16" s="2"/>
    </row>
    <row r="17" spans="1:4" x14ac:dyDescent="0.25">
      <c r="B17" s="6"/>
      <c r="D17" s="2"/>
    </row>
    <row r="18" spans="1:4" x14ac:dyDescent="0.25">
      <c r="B18" s="6"/>
      <c r="D18" s="26"/>
    </row>
    <row r="19" spans="1:4" x14ac:dyDescent="0.25">
      <c r="A19" s="1" t="s">
        <v>14</v>
      </c>
      <c r="B19" s="11" t="s">
        <v>23</v>
      </c>
      <c r="C19" s="1" t="s">
        <v>22</v>
      </c>
      <c r="D19" s="26"/>
    </row>
    <row r="20" spans="1:4" x14ac:dyDescent="0.25">
      <c r="A20" t="s">
        <v>30</v>
      </c>
      <c r="B20" s="8">
        <f>B16*0.01*B11*(B12/2)*B14/((B15)^2)</f>
        <v>23.080694309536767</v>
      </c>
      <c r="C20" t="s">
        <v>21</v>
      </c>
      <c r="D20" s="26"/>
    </row>
    <row r="21" spans="1:4" x14ac:dyDescent="0.25">
      <c r="A21" t="s">
        <v>36</v>
      </c>
      <c r="B21" s="8">
        <f>Y63</f>
        <v>186.65111840007819</v>
      </c>
      <c r="C21" t="s">
        <v>37</v>
      </c>
      <c r="D21" s="26"/>
    </row>
    <row r="22" spans="1:4" x14ac:dyDescent="0.25">
      <c r="A22" t="s">
        <v>38</v>
      </c>
      <c r="B22" s="16">
        <f>(B11^2)/(2*B13)</f>
        <v>2412300</v>
      </c>
      <c r="C22" t="s">
        <v>39</v>
      </c>
      <c r="D22" s="26"/>
    </row>
    <row r="23" spans="1:4" x14ac:dyDescent="0.25">
      <c r="A23" t="s">
        <v>40</v>
      </c>
      <c r="B23" s="8" t="str">
        <f>IF(B22&lt;30000,IF(B22&lt;1000,"None","Light Duty Leather Gloves"),"Heavy Duty Leather Gloves")</f>
        <v>Heavy Duty Leather Gloves</v>
      </c>
    </row>
    <row r="24" spans="1:4" x14ac:dyDescent="0.25">
      <c r="A24" t="s">
        <v>41</v>
      </c>
      <c r="B24" s="17" t="str">
        <f>IF(B11&lt;1000,IF(B11&lt;100,"Not Spesified","1 m"),"1.5 m")</f>
        <v>1 m</v>
      </c>
    </row>
    <row r="25" spans="1:4" x14ac:dyDescent="0.25">
      <c r="A25" t="s">
        <v>42</v>
      </c>
      <c r="B25" s="17" t="str">
        <f>IF(B11&lt;1000,IF(B11&lt;300,IF(B11&lt;100,"Not Spesified","Avoid Contact"),"0.3 m"),"0.5 m")</f>
        <v>Avoid Contact</v>
      </c>
    </row>
    <row r="26" spans="1:4" x14ac:dyDescent="0.25">
      <c r="A26" t="s">
        <v>43</v>
      </c>
      <c r="B26" s="18" t="str">
        <f>IF(B11&lt;1500,IF(B11&lt;750,IF(B11&lt;100,"Not Spesified","Class 00 Gloves + Leather Outers"),"Class 0 Gloves + Leather Outers"),"Class 1 Gloves + Leather Outers")</f>
        <v>Class 00 Gloves + Leather Outers</v>
      </c>
    </row>
    <row r="27" spans="1:4" x14ac:dyDescent="0.25">
      <c r="B27" s="6"/>
    </row>
    <row r="28" spans="1:4" x14ac:dyDescent="0.25">
      <c r="A28" s="1" t="s">
        <v>5</v>
      </c>
      <c r="B28" s="11" t="s">
        <v>23</v>
      </c>
      <c r="C28" s="1" t="s">
        <v>22</v>
      </c>
    </row>
    <row r="29" spans="1:4" x14ac:dyDescent="0.25">
      <c r="A29" t="s">
        <v>0</v>
      </c>
      <c r="B29" s="14">
        <v>6.6660000000000001E-3</v>
      </c>
      <c r="C29" s="4" t="s">
        <v>16</v>
      </c>
    </row>
    <row r="30" spans="1:4" x14ac:dyDescent="0.25">
      <c r="A30" t="s">
        <v>34</v>
      </c>
      <c r="B30" s="10">
        <v>20</v>
      </c>
      <c r="C30" t="s">
        <v>19</v>
      </c>
    </row>
    <row r="31" spans="1:4" x14ac:dyDescent="0.25">
      <c r="A31" t="s">
        <v>1</v>
      </c>
      <c r="B31" s="14">
        <v>1.0000000000000001E-5</v>
      </c>
      <c r="C31" s="4" t="s">
        <v>16</v>
      </c>
    </row>
    <row r="32" spans="1:4" x14ac:dyDescent="0.25">
      <c r="A32" t="s">
        <v>2</v>
      </c>
      <c r="B32" s="10">
        <v>240</v>
      </c>
      <c r="C32" s="5" t="s">
        <v>19</v>
      </c>
    </row>
    <row r="33" spans="1:25" x14ac:dyDescent="0.25">
      <c r="A33" t="s">
        <v>35</v>
      </c>
      <c r="B33" s="10">
        <v>1</v>
      </c>
      <c r="C33" s="5" t="s">
        <v>19</v>
      </c>
    </row>
    <row r="34" spans="1:25" x14ac:dyDescent="0.25">
      <c r="A34" t="s">
        <v>9</v>
      </c>
      <c r="B34" s="34">
        <f>(B29*B30+B31*B32)/B33</f>
        <v>0.13572000000000001</v>
      </c>
      <c r="C34" s="4" t="s">
        <v>16</v>
      </c>
    </row>
    <row r="35" spans="1:25" x14ac:dyDescent="0.25">
      <c r="A35" t="s">
        <v>3</v>
      </c>
      <c r="B35" s="15">
        <f>B11/B34</f>
        <v>1900.9725906277629</v>
      </c>
      <c r="C35" s="4" t="s">
        <v>8</v>
      </c>
    </row>
    <row r="36" spans="1:25" x14ac:dyDescent="0.25">
      <c r="B36" s="6"/>
      <c r="W36" s="1" t="s">
        <v>118</v>
      </c>
      <c r="X36" s="26"/>
      <c r="Y36" s="26"/>
    </row>
    <row r="37" spans="1:25" x14ac:dyDescent="0.25">
      <c r="A37" s="1" t="s">
        <v>27</v>
      </c>
      <c r="B37" s="6"/>
      <c r="W37" s="26" t="s">
        <v>120</v>
      </c>
      <c r="X37" s="26" t="s">
        <v>121</v>
      </c>
      <c r="Y37" s="26" t="s">
        <v>122</v>
      </c>
    </row>
    <row r="38" spans="1:25" x14ac:dyDescent="0.25">
      <c r="A38" t="s">
        <v>46</v>
      </c>
      <c r="B38">
        <f>0.239</f>
        <v>0.23899999999999999</v>
      </c>
      <c r="W38" s="6">
        <f>B16</f>
        <v>1</v>
      </c>
      <c r="X38" s="6">
        <f>B30</f>
        <v>20</v>
      </c>
      <c r="Y38" s="26">
        <f>$B$15*SQRT(X38/1.2)</f>
        <v>186.65111840007819</v>
      </c>
    </row>
    <row r="39" spans="1:25" x14ac:dyDescent="0.25">
      <c r="A39" t="s">
        <v>45</v>
      </c>
      <c r="B39">
        <f>1/(4*3.141592654)</f>
        <v>7.9577471535557012E-2</v>
      </c>
      <c r="W39" s="6">
        <f>IF(CHOOSE($D$13,1,3,5.22761/(1+(95/Y38)^2),3.9207/(1+(40/Y38)^2),1.59593/(1+(10/Y38)^2))&lt;1,1,CHOOSE($D$13,1,3,5.22761/(1+(95/Y38)^2),3.9207/(1+(40/Y38)^2),1.59593/(1+(10/Y38)^2)))</f>
        <v>1</v>
      </c>
      <c r="X39" s="26">
        <f>X38/W38*W39</f>
        <v>20</v>
      </c>
      <c r="Y39" s="26">
        <f>$B$15*SQRT(X39/1.2)</f>
        <v>186.65111840007819</v>
      </c>
    </row>
    <row r="40" spans="1:25" x14ac:dyDescent="0.25">
      <c r="A40" t="s">
        <v>28</v>
      </c>
      <c r="B40" s="6">
        <v>2.54</v>
      </c>
      <c r="W40" s="6">
        <f t="shared" ref="W40:W63" si="0">IF(CHOOSE($D$13,1,3,5.22761/(1+(95/Y39)^2),3.9207/(1+(40/Y39)^2),1.59593/(1+(10/Y39)^2))&lt;1,1,CHOOSE($D$13,1,3,5.22761/(1+(95/Y39)^2),3.9207/(1+(40/Y39)^2),1.59593/(1+(10/Y39)^2)))</f>
        <v>1</v>
      </c>
      <c r="X40" s="26">
        <f t="shared" ref="X40:X63" si="1">X39/W39*W40</f>
        <v>20</v>
      </c>
      <c r="Y40" s="26">
        <f t="shared" ref="Y40:Y63" si="2">$B$15*SQRT(X40/1.2)</f>
        <v>186.65111840007819</v>
      </c>
    </row>
    <row r="41" spans="1:25" x14ac:dyDescent="0.25">
      <c r="B41" s="6"/>
      <c r="W41" s="6">
        <f t="shared" si="0"/>
        <v>1</v>
      </c>
      <c r="X41" s="26">
        <f t="shared" si="1"/>
        <v>20</v>
      </c>
      <c r="Y41" s="26">
        <f t="shared" si="2"/>
        <v>186.65111840007819</v>
      </c>
    </row>
    <row r="42" spans="1:25" x14ac:dyDescent="0.25">
      <c r="W42" s="6">
        <f t="shared" si="0"/>
        <v>1</v>
      </c>
      <c r="X42" s="26">
        <f t="shared" si="1"/>
        <v>20</v>
      </c>
      <c r="Y42" s="26">
        <f t="shared" si="2"/>
        <v>186.65111840007819</v>
      </c>
    </row>
    <row r="43" spans="1:25" x14ac:dyDescent="0.25">
      <c r="W43" s="6">
        <f t="shared" si="0"/>
        <v>1</v>
      </c>
      <c r="X43" s="26">
        <f t="shared" si="1"/>
        <v>20</v>
      </c>
      <c r="Y43" s="26">
        <f t="shared" si="2"/>
        <v>186.65111840007819</v>
      </c>
    </row>
    <row r="44" spans="1:25" x14ac:dyDescent="0.25">
      <c r="W44" s="6">
        <f t="shared" si="0"/>
        <v>1</v>
      </c>
      <c r="X44" s="26">
        <f t="shared" si="1"/>
        <v>20</v>
      </c>
      <c r="Y44" s="26">
        <f t="shared" si="2"/>
        <v>186.65111840007819</v>
      </c>
    </row>
    <row r="45" spans="1:25" x14ac:dyDescent="0.25">
      <c r="W45" s="6">
        <f t="shared" si="0"/>
        <v>1</v>
      </c>
      <c r="X45" s="26">
        <f t="shared" si="1"/>
        <v>20</v>
      </c>
      <c r="Y45" s="26">
        <f t="shared" si="2"/>
        <v>186.65111840007819</v>
      </c>
    </row>
    <row r="46" spans="1:25" x14ac:dyDescent="0.25">
      <c r="W46" s="6">
        <f t="shared" si="0"/>
        <v>1</v>
      </c>
      <c r="X46" s="26">
        <f t="shared" si="1"/>
        <v>20</v>
      </c>
      <c r="Y46" s="26">
        <f t="shared" si="2"/>
        <v>186.65111840007819</v>
      </c>
    </row>
    <row r="47" spans="1:25" x14ac:dyDescent="0.25">
      <c r="W47" s="6">
        <f t="shared" si="0"/>
        <v>1</v>
      </c>
      <c r="X47" s="26">
        <f t="shared" si="1"/>
        <v>20</v>
      </c>
      <c r="Y47" s="26">
        <f t="shared" si="2"/>
        <v>186.65111840007819</v>
      </c>
    </row>
    <row r="48" spans="1:25" x14ac:dyDescent="0.25">
      <c r="W48" s="6">
        <f t="shared" si="0"/>
        <v>1</v>
      </c>
      <c r="X48" s="26">
        <f t="shared" si="1"/>
        <v>20</v>
      </c>
      <c r="Y48" s="26">
        <f t="shared" si="2"/>
        <v>186.65111840007819</v>
      </c>
    </row>
    <row r="49" spans="23:25" x14ac:dyDescent="0.25">
      <c r="W49" s="6">
        <f t="shared" si="0"/>
        <v>1</v>
      </c>
      <c r="X49" s="26">
        <f t="shared" si="1"/>
        <v>20</v>
      </c>
      <c r="Y49" s="26">
        <f t="shared" si="2"/>
        <v>186.65111840007819</v>
      </c>
    </row>
    <row r="50" spans="23:25" x14ac:dyDescent="0.25">
      <c r="W50" s="6">
        <f t="shared" si="0"/>
        <v>1</v>
      </c>
      <c r="X50" s="26">
        <f t="shared" si="1"/>
        <v>20</v>
      </c>
      <c r="Y50" s="26">
        <f t="shared" si="2"/>
        <v>186.65111840007819</v>
      </c>
    </row>
    <row r="51" spans="23:25" x14ac:dyDescent="0.25">
      <c r="W51" s="6">
        <f t="shared" si="0"/>
        <v>1</v>
      </c>
      <c r="X51" s="26">
        <f t="shared" si="1"/>
        <v>20</v>
      </c>
      <c r="Y51" s="26">
        <f t="shared" si="2"/>
        <v>186.65111840007819</v>
      </c>
    </row>
    <row r="52" spans="23:25" x14ac:dyDescent="0.25">
      <c r="W52" s="6">
        <f t="shared" si="0"/>
        <v>1</v>
      </c>
      <c r="X52" s="26">
        <f t="shared" si="1"/>
        <v>20</v>
      </c>
      <c r="Y52" s="26">
        <f t="shared" si="2"/>
        <v>186.65111840007819</v>
      </c>
    </row>
    <row r="53" spans="23:25" x14ac:dyDescent="0.25">
      <c r="W53" s="6">
        <f t="shared" si="0"/>
        <v>1</v>
      </c>
      <c r="X53" s="26">
        <f t="shared" si="1"/>
        <v>20</v>
      </c>
      <c r="Y53" s="26">
        <f t="shared" si="2"/>
        <v>186.65111840007819</v>
      </c>
    </row>
    <row r="54" spans="23:25" x14ac:dyDescent="0.25">
      <c r="W54" s="6">
        <f t="shared" si="0"/>
        <v>1</v>
      </c>
      <c r="X54" s="26">
        <f t="shared" si="1"/>
        <v>20</v>
      </c>
      <c r="Y54" s="26">
        <f t="shared" si="2"/>
        <v>186.65111840007819</v>
      </c>
    </row>
    <row r="55" spans="23:25" x14ac:dyDescent="0.25">
      <c r="W55" s="6">
        <f t="shared" si="0"/>
        <v>1</v>
      </c>
      <c r="X55" s="26">
        <f t="shared" si="1"/>
        <v>20</v>
      </c>
      <c r="Y55" s="26">
        <f t="shared" si="2"/>
        <v>186.65111840007819</v>
      </c>
    </row>
    <row r="56" spans="23:25" x14ac:dyDescent="0.25">
      <c r="W56" s="6">
        <f t="shared" si="0"/>
        <v>1</v>
      </c>
      <c r="X56" s="26">
        <f t="shared" si="1"/>
        <v>20</v>
      </c>
      <c r="Y56" s="26">
        <f t="shared" si="2"/>
        <v>186.65111840007819</v>
      </c>
    </row>
    <row r="57" spans="23:25" x14ac:dyDescent="0.25">
      <c r="W57" s="6">
        <f t="shared" si="0"/>
        <v>1</v>
      </c>
      <c r="X57" s="26">
        <f t="shared" si="1"/>
        <v>20</v>
      </c>
      <c r="Y57" s="26">
        <f t="shared" si="2"/>
        <v>186.65111840007819</v>
      </c>
    </row>
    <row r="58" spans="23:25" x14ac:dyDescent="0.25">
      <c r="W58" s="6">
        <f t="shared" si="0"/>
        <v>1</v>
      </c>
      <c r="X58" s="26">
        <f t="shared" si="1"/>
        <v>20</v>
      </c>
      <c r="Y58" s="26">
        <f t="shared" si="2"/>
        <v>186.65111840007819</v>
      </c>
    </row>
    <row r="59" spans="23:25" x14ac:dyDescent="0.25">
      <c r="W59" s="6">
        <f t="shared" si="0"/>
        <v>1</v>
      </c>
      <c r="X59" s="26">
        <f t="shared" si="1"/>
        <v>20</v>
      </c>
      <c r="Y59" s="26">
        <f t="shared" si="2"/>
        <v>186.65111840007819</v>
      </c>
    </row>
    <row r="60" spans="23:25" x14ac:dyDescent="0.25">
      <c r="W60" s="6">
        <f t="shared" si="0"/>
        <v>1</v>
      </c>
      <c r="X60" s="26">
        <f t="shared" si="1"/>
        <v>20</v>
      </c>
      <c r="Y60" s="26">
        <f t="shared" si="2"/>
        <v>186.65111840007819</v>
      </c>
    </row>
    <row r="61" spans="23:25" x14ac:dyDescent="0.25">
      <c r="W61" s="6">
        <f t="shared" si="0"/>
        <v>1</v>
      </c>
      <c r="X61" s="26">
        <f t="shared" si="1"/>
        <v>20</v>
      </c>
      <c r="Y61" s="26">
        <f t="shared" si="2"/>
        <v>186.65111840007819</v>
      </c>
    </row>
    <row r="62" spans="23:25" x14ac:dyDescent="0.25">
      <c r="W62" s="6">
        <f t="shared" si="0"/>
        <v>1</v>
      </c>
      <c r="X62" s="26">
        <f t="shared" si="1"/>
        <v>20</v>
      </c>
      <c r="Y62" s="26">
        <f t="shared" si="2"/>
        <v>186.65111840007819</v>
      </c>
    </row>
    <row r="63" spans="23:25" x14ac:dyDescent="0.25">
      <c r="W63" s="6">
        <f t="shared" si="0"/>
        <v>1</v>
      </c>
      <c r="X63" s="26">
        <f t="shared" si="1"/>
        <v>20</v>
      </c>
      <c r="Y63" s="26">
        <f t="shared" si="2"/>
        <v>186.65111840007819</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Option Button 1">
              <controlPr defaultSize="0" autoFill="0" autoLine="0" autoPict="0">
                <anchor moveWithCells="1">
                  <from>
                    <xdr:col>3</xdr:col>
                    <xdr:colOff>57150</xdr:colOff>
                    <xdr:row>11</xdr:row>
                    <xdr:rowOff>180975</xdr:rowOff>
                  </from>
                  <to>
                    <xdr:col>4</xdr:col>
                    <xdr:colOff>314325</xdr:colOff>
                    <xdr:row>13</xdr:row>
                    <xdr:rowOff>9525</xdr:rowOff>
                  </to>
                </anchor>
              </controlPr>
            </control>
          </mc:Choice>
        </mc:AlternateContent>
        <mc:AlternateContent xmlns:mc="http://schemas.openxmlformats.org/markup-compatibility/2006">
          <mc:Choice Requires="x14">
            <control shapeId="1026" r:id="rId4" name="Option Button 2">
              <controlPr defaultSize="0" autoFill="0" autoLine="0" autoPict="0">
                <anchor moveWithCells="1">
                  <from>
                    <xdr:col>3</xdr:col>
                    <xdr:colOff>66675</xdr:colOff>
                    <xdr:row>12</xdr:row>
                    <xdr:rowOff>180975</xdr:rowOff>
                  </from>
                  <to>
                    <xdr:col>6</xdr:col>
                    <xdr:colOff>219075</xdr:colOff>
                    <xdr:row>14</xdr:row>
                    <xdr:rowOff>0</xdr:rowOff>
                  </to>
                </anchor>
              </controlPr>
            </control>
          </mc:Choice>
        </mc:AlternateContent>
        <mc:AlternateContent xmlns:mc="http://schemas.openxmlformats.org/markup-compatibility/2006">
          <mc:Choice Requires="x14">
            <control shapeId="1027" r:id="rId5" name="Option Button 3">
              <controlPr defaultSize="0" autoFill="0" autoLine="0" autoPict="0">
                <anchor moveWithCells="1">
                  <from>
                    <xdr:col>3</xdr:col>
                    <xdr:colOff>66675</xdr:colOff>
                    <xdr:row>13</xdr:row>
                    <xdr:rowOff>152400</xdr:rowOff>
                  </from>
                  <to>
                    <xdr:col>8</xdr:col>
                    <xdr:colOff>552450</xdr:colOff>
                    <xdr:row>15</xdr:row>
                    <xdr:rowOff>47625</xdr:rowOff>
                  </to>
                </anchor>
              </controlPr>
            </control>
          </mc:Choice>
        </mc:AlternateContent>
        <mc:AlternateContent xmlns:mc="http://schemas.openxmlformats.org/markup-compatibility/2006">
          <mc:Choice Requires="x14">
            <control shapeId="1028" r:id="rId6" name="Option Button 4">
              <controlPr defaultSize="0" autoFill="0" autoLine="0" autoPict="0">
                <anchor moveWithCells="1">
                  <from>
                    <xdr:col>3</xdr:col>
                    <xdr:colOff>76200</xdr:colOff>
                    <xdr:row>15</xdr:row>
                    <xdr:rowOff>9525</xdr:rowOff>
                  </from>
                  <to>
                    <xdr:col>9</xdr:col>
                    <xdr:colOff>0</xdr:colOff>
                    <xdr:row>16</xdr:row>
                    <xdr:rowOff>19050</xdr:rowOff>
                  </to>
                </anchor>
              </controlPr>
            </control>
          </mc:Choice>
        </mc:AlternateContent>
        <mc:AlternateContent xmlns:mc="http://schemas.openxmlformats.org/markup-compatibility/2006">
          <mc:Choice Requires="x14">
            <control shapeId="1029" r:id="rId7" name="Option Button 5">
              <controlPr defaultSize="0" autoFill="0" autoLine="0" autoPict="0">
                <anchor moveWithCells="1">
                  <from>
                    <xdr:col>3</xdr:col>
                    <xdr:colOff>76200</xdr:colOff>
                    <xdr:row>16</xdr:row>
                    <xdr:rowOff>19050</xdr:rowOff>
                  </from>
                  <to>
                    <xdr:col>8</xdr:col>
                    <xdr:colOff>495300</xdr:colOff>
                    <xdr:row>17</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7ADEB-060A-463C-A5A1-EF657521254E}">
  <sheetPr codeName="Sheet3"/>
  <dimension ref="A2:AC63"/>
  <sheetViews>
    <sheetView zoomScaleNormal="100" workbookViewId="0">
      <selection activeCell="B17" sqref="B17"/>
    </sheetView>
  </sheetViews>
  <sheetFormatPr defaultRowHeight="15" x14ac:dyDescent="0.25"/>
  <cols>
    <col min="1" max="1" width="40" bestFit="1" customWidth="1"/>
    <col min="2" max="2" width="31" customWidth="1"/>
    <col min="3" max="3" width="9.140625" customWidth="1"/>
    <col min="4" max="4" width="13.42578125" customWidth="1"/>
    <col min="24" max="24" width="11" bestFit="1" customWidth="1"/>
    <col min="25" max="25" width="18.7109375" bestFit="1" customWidth="1"/>
    <col min="26" max="26" width="14.28515625" bestFit="1" customWidth="1"/>
    <col min="27" max="27" width="11" style="26" customWidth="1"/>
  </cols>
  <sheetData>
    <row r="2" spans="1:29" x14ac:dyDescent="0.25">
      <c r="W2" t="s">
        <v>107</v>
      </c>
      <c r="X2" t="s">
        <v>103</v>
      </c>
      <c r="Y2" t="s">
        <v>32</v>
      </c>
      <c r="Z2" t="s">
        <v>33</v>
      </c>
      <c r="AA2" s="26" t="s">
        <v>105</v>
      </c>
      <c r="AB2" t="s">
        <v>106</v>
      </c>
      <c r="AC2" t="s">
        <v>104</v>
      </c>
    </row>
    <row r="3" spans="1:29" x14ac:dyDescent="0.25">
      <c r="W3">
        <v>0</v>
      </c>
      <c r="X3">
        <f>0.9*B12</f>
        <v>16830</v>
      </c>
      <c r="Y3">
        <f>B11-X3*B$13</f>
        <v>25.800000000000011</v>
      </c>
      <c r="Z3" s="26">
        <f>(20+0.534*B$16)*(X3^0.12)</f>
        <v>201.62117602840087</v>
      </c>
      <c r="AA3" s="26">
        <f>Y3-Z3</f>
        <v>-175.82117602840086</v>
      </c>
      <c r="AB3">
        <f>-B$13-(20+0.534*B$16)*(X3^-0.88)</f>
        <v>-2.5776659300558592E-2</v>
      </c>
      <c r="AC3">
        <f>-1/AB3</f>
        <v>38.794786723131708</v>
      </c>
    </row>
    <row r="4" spans="1:29" x14ac:dyDescent="0.25">
      <c r="W4">
        <v>1</v>
      </c>
      <c r="X4">
        <f>X3+AC3*AA3</f>
        <v>10009.054974567993</v>
      </c>
      <c r="Y4" s="26">
        <f>B$11-X4*B$13</f>
        <v>119.90715596585338</v>
      </c>
      <c r="Z4" s="26">
        <f>(20+0.534*B$16)*(X4^0.12)</f>
        <v>189.43194509011906</v>
      </c>
      <c r="AA4" s="26">
        <f t="shared" ref="AA4:AA28" si="0">Y4-Z4</f>
        <v>-69.524789124265681</v>
      </c>
      <c r="AB4" s="26">
        <f t="shared" ref="AB4:AB28" si="1">-B$13-(20+0.534*B$16)*(X4^-0.88)</f>
        <v>-3.2722848456370093E-2</v>
      </c>
      <c r="AC4" s="26">
        <f t="shared" ref="AC4:AC28" si="2">-1/AB4</f>
        <v>30.559686799066906</v>
      </c>
    </row>
    <row r="5" spans="1:29" x14ac:dyDescent="0.25">
      <c r="W5" s="26">
        <v>2</v>
      </c>
      <c r="X5" s="26">
        <f t="shared" ref="X5:X28" si="3">X4+AC4*AA4</f>
        <v>7884.3991941592603</v>
      </c>
      <c r="Y5" s="26">
        <f t="shared" ref="Y5:Y27" si="4">B$11-X5*B$13</f>
        <v>149.22058865812357</v>
      </c>
      <c r="Z5" s="26">
        <f t="shared" ref="Z5:Z27" si="5">(20+0.534*B$16)*(X5^0.12)</f>
        <v>184.08494930925431</v>
      </c>
      <c r="AA5" s="26">
        <f t="shared" si="0"/>
        <v>-34.864360651130738</v>
      </c>
      <c r="AB5" s="26">
        <f t="shared" si="1"/>
        <v>-3.7144791053715799E-2</v>
      </c>
      <c r="AC5" s="26">
        <f t="shared" si="2"/>
        <v>26.921675196769332</v>
      </c>
    </row>
    <row r="6" spans="1:29" x14ac:dyDescent="0.25">
      <c r="W6" s="26">
        <v>3</v>
      </c>
      <c r="X6" s="26">
        <f t="shared" si="3"/>
        <v>6945.7922007664929</v>
      </c>
      <c r="Y6" s="26">
        <f t="shared" si="4"/>
        <v>162.17035359370294</v>
      </c>
      <c r="Z6" s="26">
        <f t="shared" si="5"/>
        <v>181.30620351361944</v>
      </c>
      <c r="AA6" s="26">
        <f t="shared" si="0"/>
        <v>-19.135849919916495</v>
      </c>
      <c r="AB6" s="26">
        <f t="shared" si="1"/>
        <v>-3.9899818754919492E-2</v>
      </c>
      <c r="AC6" s="26">
        <f t="shared" si="2"/>
        <v>25.062770488818423</v>
      </c>
    </row>
    <row r="7" spans="1:29" x14ac:dyDescent="0.25">
      <c r="B7" s="2" t="s">
        <v>10</v>
      </c>
      <c r="W7" s="26">
        <v>4</v>
      </c>
      <c r="X7" s="26">
        <f t="shared" si="3"/>
        <v>6466.1947861151511</v>
      </c>
      <c r="Y7" s="26">
        <f t="shared" si="4"/>
        <v>168.78725910065728</v>
      </c>
      <c r="Z7" s="26">
        <f t="shared" si="5"/>
        <v>179.75621035135703</v>
      </c>
      <c r="AA7" s="26">
        <f t="shared" si="0"/>
        <v>-10.968951250699746</v>
      </c>
      <c r="AB7" s="26">
        <f t="shared" si="1"/>
        <v>-4.1596172114743028E-2</v>
      </c>
      <c r="AC7" s="26">
        <f t="shared" si="2"/>
        <v>24.040673676450332</v>
      </c>
    </row>
    <row r="8" spans="1:29" x14ac:dyDescent="0.25">
      <c r="B8" s="3" t="s">
        <v>11</v>
      </c>
      <c r="W8" s="26">
        <v>5</v>
      </c>
      <c r="X8" s="26">
        <f t="shared" si="3"/>
        <v>6202.4938085241865</v>
      </c>
      <c r="Y8" s="26">
        <f t="shared" si="4"/>
        <v>172.42548649201925</v>
      </c>
      <c r="Z8" s="26">
        <f t="shared" si="5"/>
        <v>178.86032287930382</v>
      </c>
      <c r="AA8" s="26">
        <f t="shared" si="0"/>
        <v>-6.4348363872845766</v>
      </c>
      <c r="AB8" s="26">
        <f t="shared" si="1"/>
        <v>-4.2633631656974411E-2</v>
      </c>
      <c r="AC8" s="26">
        <f t="shared" si="2"/>
        <v>23.45566073389881</v>
      </c>
    </row>
    <row r="9" spans="1:29" x14ac:dyDescent="0.25">
      <c r="B9" s="6"/>
      <c r="W9" s="26">
        <v>6</v>
      </c>
      <c r="X9" s="26">
        <f t="shared" si="3"/>
        <v>6051.5604693458927</v>
      </c>
      <c r="Y9" s="26">
        <f t="shared" si="4"/>
        <v>174.50788229458607</v>
      </c>
      <c r="Z9" s="26">
        <f t="shared" si="5"/>
        <v>178.3323509698223</v>
      </c>
      <c r="AA9" s="26">
        <f t="shared" si="0"/>
        <v>-3.8244686752362327</v>
      </c>
      <c r="AB9" s="26">
        <f t="shared" si="1"/>
        <v>-4.3265612233655257E-2</v>
      </c>
      <c r="AC9" s="26">
        <f t="shared" si="2"/>
        <v>23.113044017487045</v>
      </c>
    </row>
    <row r="10" spans="1:29" x14ac:dyDescent="0.25">
      <c r="A10" s="1" t="s">
        <v>26</v>
      </c>
      <c r="B10" s="11" t="s">
        <v>23</v>
      </c>
      <c r="C10" s="1" t="s">
        <v>22</v>
      </c>
      <c r="W10" s="26">
        <v>7</v>
      </c>
      <c r="X10" s="26">
        <f t="shared" si="3"/>
        <v>5963.1653565116576</v>
      </c>
      <c r="Y10" s="26">
        <f t="shared" si="4"/>
        <v>175.72745123101564</v>
      </c>
      <c r="Z10" s="26">
        <f t="shared" si="5"/>
        <v>178.01773538829366</v>
      </c>
      <c r="AA10" s="26">
        <f t="shared" si="0"/>
        <v>-2.2902841572780233</v>
      </c>
      <c r="AB10" s="26">
        <f t="shared" si="1"/>
        <v>-4.3649684118359428E-2</v>
      </c>
      <c r="AC10" s="26">
        <f t="shared" si="2"/>
        <v>22.909673235857198</v>
      </c>
    </row>
    <row r="11" spans="1:29" x14ac:dyDescent="0.25">
      <c r="A11" t="s">
        <v>4</v>
      </c>
      <c r="B11" s="29">
        <v>258</v>
      </c>
      <c r="C11" t="s">
        <v>7</v>
      </c>
      <c r="W11" s="26">
        <v>8</v>
      </c>
      <c r="X11" s="26">
        <f t="shared" si="3"/>
        <v>5910.6956948511579</v>
      </c>
      <c r="Y11" s="26">
        <f t="shared" si="4"/>
        <v>176.45136421007493</v>
      </c>
      <c r="Z11" s="26">
        <f t="shared" si="5"/>
        <v>177.82903909588612</v>
      </c>
      <c r="AA11" s="26">
        <f t="shared" si="0"/>
        <v>-1.3776748858111887</v>
      </c>
      <c r="AB11" s="26">
        <f t="shared" si="1"/>
        <v>-4.3882765798915452E-2</v>
      </c>
      <c r="AC11" s="26">
        <f t="shared" si="2"/>
        <v>22.787989357423655</v>
      </c>
    </row>
    <row r="12" spans="1:29" x14ac:dyDescent="0.25">
      <c r="A12" t="s">
        <v>6</v>
      </c>
      <c r="B12" s="29">
        <v>18700</v>
      </c>
      <c r="C12" t="s">
        <v>8</v>
      </c>
      <c r="D12" s="1" t="s">
        <v>123</v>
      </c>
      <c r="E12" s="26"/>
      <c r="F12" s="26"/>
      <c r="G12" s="26"/>
      <c r="W12" s="26">
        <v>9</v>
      </c>
      <c r="X12" s="26">
        <f t="shared" si="3"/>
        <v>5879.3012542153028</v>
      </c>
      <c r="Y12" s="26">
        <f t="shared" si="4"/>
        <v>176.88450676002418</v>
      </c>
      <c r="Z12" s="26">
        <f t="shared" si="5"/>
        <v>177.71542944091101</v>
      </c>
      <c r="AA12" s="26">
        <f t="shared" si="0"/>
        <v>-0.83092268088682886</v>
      </c>
      <c r="AB12" s="26">
        <f t="shared" si="1"/>
        <v>-4.4024095974893609E-2</v>
      </c>
      <c r="AC12" s="26">
        <f t="shared" si="2"/>
        <v>22.714833271540375</v>
      </c>
    </row>
    <row r="13" spans="1:29" x14ac:dyDescent="0.25">
      <c r="A13" t="s">
        <v>15</v>
      </c>
      <c r="B13" s="13">
        <f>B11/B12</f>
        <v>1.3796791443850267E-2</v>
      </c>
      <c r="C13" s="4" t="s">
        <v>16</v>
      </c>
      <c r="D13" s="33">
        <v>1</v>
      </c>
      <c r="E13" s="26"/>
      <c r="F13" s="26"/>
      <c r="G13" s="26"/>
      <c r="W13" s="26">
        <v>10</v>
      </c>
      <c r="X13" s="26">
        <f t="shared" si="3"/>
        <v>5860.426984057417</v>
      </c>
      <c r="Y13" s="26">
        <f t="shared" si="4"/>
        <v>177.14491112904739</v>
      </c>
      <c r="Z13" s="26">
        <f t="shared" si="5"/>
        <v>177.64687034370249</v>
      </c>
      <c r="AA13" s="26">
        <f t="shared" si="0"/>
        <v>-0.50195921465510196</v>
      </c>
      <c r="AB13" s="26">
        <f t="shared" si="1"/>
        <v>-4.4109748302961237E-2</v>
      </c>
      <c r="AC13" s="26">
        <f t="shared" si="2"/>
        <v>22.670725598605753</v>
      </c>
    </row>
    <row r="14" spans="1:29" x14ac:dyDescent="0.25">
      <c r="A14" t="s">
        <v>24</v>
      </c>
      <c r="B14" s="27">
        <v>2</v>
      </c>
      <c r="C14" s="5" t="s">
        <v>20</v>
      </c>
      <c r="D14" s="2"/>
      <c r="E14" s="26"/>
      <c r="F14" s="26"/>
      <c r="G14" s="26"/>
      <c r="W14" s="26">
        <v>11</v>
      </c>
      <c r="X14" s="26">
        <f t="shared" si="3"/>
        <v>5849.0472044402795</v>
      </c>
      <c r="Y14" s="26">
        <f t="shared" si="4"/>
        <v>177.30191557510204</v>
      </c>
      <c r="Z14" s="26">
        <f t="shared" si="5"/>
        <v>177.60544036117403</v>
      </c>
      <c r="AA14" s="26">
        <f t="shared" si="0"/>
        <v>-0.30352478607198918</v>
      </c>
      <c r="AB14" s="26">
        <f t="shared" si="1"/>
        <v>-4.4161641333648652E-2</v>
      </c>
      <c r="AC14" s="26">
        <f t="shared" si="2"/>
        <v>22.644085903529518</v>
      </c>
    </row>
    <row r="15" spans="1:29" x14ac:dyDescent="0.25">
      <c r="A15" t="s">
        <v>47</v>
      </c>
      <c r="B15" s="27">
        <v>45.72</v>
      </c>
      <c r="C15" s="5" t="s">
        <v>37</v>
      </c>
      <c r="D15" s="2"/>
      <c r="E15" s="26"/>
      <c r="F15" s="26"/>
      <c r="G15" s="26"/>
      <c r="W15" s="26">
        <v>12</v>
      </c>
      <c r="X15" s="26">
        <f t="shared" si="3"/>
        <v>5842.1741631106152</v>
      </c>
      <c r="Y15" s="26">
        <f t="shared" si="4"/>
        <v>177.39674149291238</v>
      </c>
      <c r="Z15" s="26">
        <f t="shared" si="5"/>
        <v>177.58038353898777</v>
      </c>
      <c r="AA15" s="26">
        <f t="shared" si="0"/>
        <v>-0.18364204607539136</v>
      </c>
      <c r="AB15" s="26">
        <f t="shared" si="1"/>
        <v>-4.4193075187030653E-2</v>
      </c>
      <c r="AC15" s="26">
        <f t="shared" si="2"/>
        <v>22.627979514163119</v>
      </c>
    </row>
    <row r="16" spans="1:29" x14ac:dyDescent="0.25">
      <c r="A16" t="s">
        <v>12</v>
      </c>
      <c r="B16" s="27">
        <v>80</v>
      </c>
      <c r="C16" t="s">
        <v>13</v>
      </c>
      <c r="D16" s="2"/>
      <c r="E16" s="26"/>
      <c r="F16" s="26"/>
      <c r="G16" s="26"/>
      <c r="W16" s="26">
        <v>13</v>
      </c>
      <c r="X16" s="26">
        <f t="shared" si="3"/>
        <v>5838.018714654082</v>
      </c>
      <c r="Y16" s="26">
        <f t="shared" si="4"/>
        <v>177.45407334862284</v>
      </c>
      <c r="Z16" s="26">
        <f t="shared" si="5"/>
        <v>177.56522157034487</v>
      </c>
      <c r="AA16" s="26">
        <f t="shared" si="0"/>
        <v>-0.11114822172203276</v>
      </c>
      <c r="AB16" s="26">
        <f t="shared" si="1"/>
        <v>-4.4212113875865836E-2</v>
      </c>
      <c r="AC16" s="26">
        <f t="shared" si="2"/>
        <v>22.618235418638786</v>
      </c>
    </row>
    <row r="17" spans="1:29" x14ac:dyDescent="0.25">
      <c r="A17" s="12" t="s">
        <v>25</v>
      </c>
      <c r="B17" s="28">
        <f>IF(CHOOSE($D$13,1,3,5.22761/(1+(95/B15)^2),3.9207/(1+(40/B15)^2),1.59593/(1+(10/B15)^2))&lt;1,1,CHOOSE($D$13,1,3,5.22761/(1+(95/B15)^2),3.9207/(1+(40/B15)^2),1.59593/(1+(10/B15)^2)))</f>
        <v>1</v>
      </c>
      <c r="C17" t="s">
        <v>31</v>
      </c>
      <c r="D17" s="2"/>
      <c r="E17" s="26"/>
      <c r="F17" s="26"/>
      <c r="G17" s="26"/>
      <c r="W17" s="26">
        <v>14</v>
      </c>
      <c r="X17" s="26">
        <f t="shared" si="3"/>
        <v>5835.5047380088099</v>
      </c>
      <c r="Y17" s="26">
        <f t="shared" si="4"/>
        <v>177.48875816009235</v>
      </c>
      <c r="Z17" s="26">
        <f t="shared" si="5"/>
        <v>177.55604422211064</v>
      </c>
      <c r="AA17" s="26">
        <f t="shared" si="0"/>
        <v>-6.7286062018297343E-2</v>
      </c>
      <c r="AB17" s="26">
        <f t="shared" si="1"/>
        <v>-4.4223644337246501E-2</v>
      </c>
      <c r="AC17" s="26">
        <f t="shared" si="2"/>
        <v>22.612338150471455</v>
      </c>
    </row>
    <row r="18" spans="1:29" x14ac:dyDescent="0.25">
      <c r="B18" s="6"/>
      <c r="W18" s="26">
        <v>15</v>
      </c>
      <c r="X18" s="26">
        <f t="shared" si="3"/>
        <v>5833.9832428216387</v>
      </c>
      <c r="Y18" s="26">
        <f t="shared" si="4"/>
        <v>177.50974991187258</v>
      </c>
      <c r="Z18" s="26">
        <f t="shared" si="5"/>
        <v>177.55048826746358</v>
      </c>
      <c r="AA18" s="26">
        <f t="shared" si="0"/>
        <v>-4.0738355591003028E-2</v>
      </c>
      <c r="AB18" s="26">
        <f t="shared" si="1"/>
        <v>-4.4230627277357118E-2</v>
      </c>
      <c r="AC18" s="26">
        <f t="shared" si="2"/>
        <v>22.608768212336155</v>
      </c>
    </row>
    <row r="19" spans="1:29" x14ac:dyDescent="0.25">
      <c r="A19" s="1" t="s">
        <v>44</v>
      </c>
      <c r="B19" s="11" t="s">
        <v>23</v>
      </c>
      <c r="C19" s="1" t="s">
        <v>22</v>
      </c>
      <c r="W19" s="26">
        <v>16</v>
      </c>
      <c r="X19" s="26">
        <f t="shared" si="3"/>
        <v>5833.0621987827299</v>
      </c>
      <c r="Y19" s="26">
        <f t="shared" si="4"/>
        <v>177.522457364388</v>
      </c>
      <c r="Z19" s="26">
        <f t="shared" si="5"/>
        <v>177.54712432541044</v>
      </c>
      <c r="AA19" s="26">
        <f t="shared" si="0"/>
        <v>-2.4666961022433043E-2</v>
      </c>
      <c r="AB19" s="26">
        <f t="shared" si="1"/>
        <v>-4.4234856095802987E-2</v>
      </c>
      <c r="AC19" s="26">
        <f t="shared" si="2"/>
        <v>22.6066068313689</v>
      </c>
    </row>
    <row r="20" spans="1:29" ht="15.75" thickBot="1" x14ac:dyDescent="0.3">
      <c r="A20" t="s">
        <v>18</v>
      </c>
      <c r="B20" s="9">
        <f>X28</f>
        <v>5831.6640769698624</v>
      </c>
      <c r="C20" t="s">
        <v>8</v>
      </c>
      <c r="W20" s="26">
        <v>17</v>
      </c>
      <c r="X20" s="26">
        <f t="shared" si="3"/>
        <v>5832.5045624931709</v>
      </c>
      <c r="Y20" s="26">
        <f t="shared" si="4"/>
        <v>177.53015095597658</v>
      </c>
      <c r="Z20" s="26">
        <f t="shared" si="5"/>
        <v>177.54508743539776</v>
      </c>
      <c r="AA20" s="26">
        <f t="shared" si="0"/>
        <v>-1.4936479421180593E-2</v>
      </c>
      <c r="AB20" s="26">
        <f t="shared" si="1"/>
        <v>-4.4237416998972698E-2</v>
      </c>
      <c r="AC20" s="26">
        <f t="shared" si="2"/>
        <v>22.60529813535954</v>
      </c>
    </row>
    <row r="21" spans="1:29" ht="15.75" thickTop="1" x14ac:dyDescent="0.25">
      <c r="A21" t="s">
        <v>32</v>
      </c>
      <c r="B21" s="28">
        <f>Y28</f>
        <v>177.54174695945323</v>
      </c>
      <c r="C21" t="s">
        <v>7</v>
      </c>
      <c r="W21" s="26">
        <v>18</v>
      </c>
      <c r="X21" s="26">
        <f t="shared" si="3"/>
        <v>5832.1669189227623</v>
      </c>
      <c r="Y21" s="26">
        <f t="shared" si="4"/>
        <v>177.53480935389985</v>
      </c>
      <c r="Z21" s="26">
        <f t="shared" si="5"/>
        <v>177.54385403420096</v>
      </c>
      <c r="AA21" s="26">
        <f t="shared" si="0"/>
        <v>-9.0446803011161592E-3</v>
      </c>
      <c r="AB21" s="26">
        <f t="shared" si="1"/>
        <v>-4.4238967825694038E-2</v>
      </c>
      <c r="AC21" s="26">
        <f t="shared" si="2"/>
        <v>22.604505691455103</v>
      </c>
    </row>
    <row r="22" spans="1:29" x14ac:dyDescent="0.25">
      <c r="A22" t="s">
        <v>33</v>
      </c>
      <c r="B22" s="28">
        <f>Z28</f>
        <v>177.54201705210099</v>
      </c>
      <c r="C22" t="s">
        <v>7</v>
      </c>
      <c r="W22" s="26">
        <v>19</v>
      </c>
      <c r="X22" s="26">
        <f t="shared" si="3"/>
        <v>5831.962468395418</v>
      </c>
      <c r="Y22" s="26">
        <f t="shared" si="4"/>
        <v>177.53763011518623</v>
      </c>
      <c r="Z22" s="26">
        <f t="shared" si="5"/>
        <v>177.54310715239882</v>
      </c>
      <c r="AA22" s="26">
        <f t="shared" si="0"/>
        <v>-5.4770372125858557E-3</v>
      </c>
      <c r="AB22" s="26">
        <f t="shared" si="1"/>
        <v>-4.4239906967062384E-2</v>
      </c>
      <c r="AC22" s="26">
        <f t="shared" si="2"/>
        <v>22.604025834514587</v>
      </c>
    </row>
    <row r="23" spans="1:29" ht="15.75" thickBot="1" x14ac:dyDescent="0.3">
      <c r="A23" t="s">
        <v>17</v>
      </c>
      <c r="B23" s="9">
        <f>B21-B22</f>
        <v>-2.7009264775301745E-4</v>
      </c>
      <c r="C23" t="s">
        <v>7</v>
      </c>
      <c r="W23" s="26">
        <v>20</v>
      </c>
      <c r="X23" s="26">
        <f t="shared" si="3"/>
        <v>5831.8386653047683</v>
      </c>
      <c r="Y23" s="26">
        <f t="shared" si="4"/>
        <v>177.53933820060803</v>
      </c>
      <c r="Z23" s="26">
        <f t="shared" si="5"/>
        <v>177.54265487395946</v>
      </c>
      <c r="AA23" s="26">
        <f t="shared" si="0"/>
        <v>-3.3166733514349289E-3</v>
      </c>
      <c r="AB23" s="26">
        <f t="shared" si="1"/>
        <v>-4.4240475685358889E-2</v>
      </c>
      <c r="AC23" s="26">
        <f t="shared" si="2"/>
        <v>22.603735256195353</v>
      </c>
    </row>
    <row r="24" spans="1:29" ht="15.75" thickTop="1" x14ac:dyDescent="0.25">
      <c r="A24" t="s">
        <v>29</v>
      </c>
      <c r="B24" t="str">
        <f>IF(AND(B23&gt;-0.1,B23&lt;0.1),"Solved","Click Solve")</f>
        <v>Solved</v>
      </c>
      <c r="W24" s="26">
        <v>21</v>
      </c>
      <c r="X24" s="26">
        <f t="shared" si="3"/>
        <v>5831.7636960984009</v>
      </c>
      <c r="Y24" s="26">
        <f t="shared" si="4"/>
        <v>177.54037253511297</v>
      </c>
      <c r="Z24" s="26">
        <f t="shared" si="5"/>
        <v>177.54238099174873</v>
      </c>
      <c r="AA24" s="26">
        <f t="shared" si="0"/>
        <v>-2.0084566357638778E-3</v>
      </c>
      <c r="AB24" s="26">
        <f t="shared" si="1"/>
        <v>-4.4240820084881963E-2</v>
      </c>
      <c r="AC24" s="26">
        <f t="shared" si="2"/>
        <v>22.603559293913754</v>
      </c>
    </row>
    <row r="25" spans="1:29" x14ac:dyDescent="0.25">
      <c r="B25" t="str">
        <f>IF(B11&gt;150,"Battery Voltage Good", "Battery Voltage &lt;150 V: Low arc flash risk")</f>
        <v>Battery Voltage Good</v>
      </c>
      <c r="W25" s="26">
        <v>22</v>
      </c>
      <c r="X25" s="26">
        <f t="shared" si="3"/>
        <v>5831.7182978297451</v>
      </c>
      <c r="Y25" s="26">
        <f t="shared" si="4"/>
        <v>177.54099888555754</v>
      </c>
      <c r="Z25" s="26">
        <f t="shared" si="5"/>
        <v>177.54221513843768</v>
      </c>
      <c r="AA25" s="26">
        <f t="shared" si="0"/>
        <v>-1.2162528801411554E-3</v>
      </c>
      <c r="AB25" s="26">
        <f t="shared" si="1"/>
        <v>-4.4241028643117838E-2</v>
      </c>
      <c r="AC25" s="26">
        <f t="shared" si="2"/>
        <v>22.603452737656013</v>
      </c>
    </row>
    <row r="26" spans="1:29" x14ac:dyDescent="0.25">
      <c r="B26" t="str">
        <f>IF(B11&gt;B22,"Arc Voltage Good", "Min Arc Voltage &gt; Max Battery Voltage: Low Arc Flash Hazard")</f>
        <v>Arc Voltage Good</v>
      </c>
      <c r="W26" s="26">
        <v>23</v>
      </c>
      <c r="X26" s="26">
        <f t="shared" si="3"/>
        <v>5831.6908063152514</v>
      </c>
      <c r="Y26" s="26">
        <f t="shared" si="4"/>
        <v>177.54137818024947</v>
      </c>
      <c r="Z26" s="26">
        <f t="shared" si="5"/>
        <v>177.5421147032468</v>
      </c>
      <c r="AA26" s="26">
        <f t="shared" si="0"/>
        <v>-7.3652299732884785E-4</v>
      </c>
      <c r="AB26" s="26">
        <f t="shared" si="1"/>
        <v>-4.4241154939765166E-2</v>
      </c>
      <c r="AC26" s="26">
        <f t="shared" si="2"/>
        <v>22.603388210852799</v>
      </c>
    </row>
    <row r="27" spans="1:29" ht="14.25" customHeight="1" x14ac:dyDescent="0.25">
      <c r="B27" t="str">
        <f>IF(B20&gt;10+0.2*B16,"Arc Current Good", "Arc Current &lt; 10 + 0.2*Gap means: Low Arc Flash Risk")</f>
        <v>Arc Current Good</v>
      </c>
      <c r="W27" s="26">
        <v>24</v>
      </c>
      <c r="X27" s="26">
        <f t="shared" si="3"/>
        <v>5831.6741584000165</v>
      </c>
      <c r="Y27" s="26">
        <f t="shared" si="4"/>
        <v>177.54160786806395</v>
      </c>
      <c r="Z27" s="26">
        <f t="shared" si="5"/>
        <v>177.54205388294844</v>
      </c>
      <c r="AA27" s="26">
        <f t="shared" si="0"/>
        <v>-4.4601488448847704E-4</v>
      </c>
      <c r="AB27" s="26">
        <f t="shared" si="1"/>
        <v>-4.4241231421213278E-2</v>
      </c>
      <c r="AC27" s="26">
        <f t="shared" si="2"/>
        <v>22.603349135542118</v>
      </c>
    </row>
    <row r="28" spans="1:29" x14ac:dyDescent="0.25">
      <c r="B28" s="6"/>
      <c r="W28" s="26">
        <v>25</v>
      </c>
      <c r="X28" s="26">
        <f t="shared" si="3"/>
        <v>5831.6640769698624</v>
      </c>
      <c r="Y28" s="26">
        <f>B$11-X28*B$13</f>
        <v>177.54174695945323</v>
      </c>
      <c r="Z28" s="26">
        <f>(20+0.534*B$16)*(X28^0.12)</f>
        <v>177.54201705210099</v>
      </c>
      <c r="AA28" s="26">
        <f t="shared" si="0"/>
        <v>-2.7009264775301745E-4</v>
      </c>
      <c r="AB28" s="26">
        <f t="shared" si="1"/>
        <v>-4.4241277736063428E-2</v>
      </c>
      <c r="AC28" s="26">
        <f t="shared" si="2"/>
        <v>22.603325472782323</v>
      </c>
    </row>
    <row r="29" spans="1:29" x14ac:dyDescent="0.25">
      <c r="A29" s="1" t="s">
        <v>14</v>
      </c>
      <c r="B29" s="11" t="s">
        <v>23</v>
      </c>
      <c r="C29" s="1" t="s">
        <v>22</v>
      </c>
    </row>
    <row r="30" spans="1:29" x14ac:dyDescent="0.25">
      <c r="A30" t="s">
        <v>48</v>
      </c>
      <c r="B30" s="8">
        <f>B17*B48*B49*B22*B20*B14/((B15)^2)</f>
        <v>18.840795595255113</v>
      </c>
      <c r="C30" t="s">
        <v>21</v>
      </c>
    </row>
    <row r="31" spans="1:29" x14ac:dyDescent="0.25">
      <c r="A31" t="s">
        <v>49</v>
      </c>
      <c r="B31" s="8">
        <f>Y63</f>
        <v>181.16121205388842</v>
      </c>
      <c r="C31" t="s">
        <v>37</v>
      </c>
    </row>
    <row r="32" spans="1:29" x14ac:dyDescent="0.25">
      <c r="A32" t="s">
        <v>38</v>
      </c>
      <c r="B32" s="16">
        <f>(B11^2)/(2*B13)</f>
        <v>2412300</v>
      </c>
      <c r="C32" t="s">
        <v>39</v>
      </c>
    </row>
    <row r="33" spans="1:25" x14ac:dyDescent="0.25">
      <c r="A33" t="s">
        <v>40</v>
      </c>
      <c r="B33" s="8" t="str">
        <f>IF(B32&lt;30000,IF(B32&lt;1000,"None","Light Duty Leather Gloves"),"Heavy Duty Leather Gloves")</f>
        <v>Heavy Duty Leather Gloves</v>
      </c>
    </row>
    <row r="34" spans="1:25" x14ac:dyDescent="0.25">
      <c r="A34" t="s">
        <v>41</v>
      </c>
      <c r="B34" s="17" t="str">
        <f>IF(B11&lt;1000,IF(B11&lt;100,"Not Spesified","1 m"),"1.5 m")</f>
        <v>1 m</v>
      </c>
    </row>
    <row r="35" spans="1:25" x14ac:dyDescent="0.25">
      <c r="A35" t="s">
        <v>42</v>
      </c>
      <c r="B35" s="17" t="str">
        <f>IF(B11&lt;1000,IF(B11&lt;300,IF(B11&lt;100,"Not Spesified","Avoid Contact"),"0.3 m"),"0.5 m")</f>
        <v>Avoid Contact</v>
      </c>
    </row>
    <row r="36" spans="1:25" x14ac:dyDescent="0.25">
      <c r="A36" t="s">
        <v>43</v>
      </c>
      <c r="B36" s="18" t="str">
        <f>IF(B11&lt;1500,IF(B11&lt;750,IF(B11&lt;100,"Not Spesified","Class 00 Gloves + Leather Outers"),"Class 0 Gloves + Leather Outers"),"Class 1 Gloves + Leather Outers")</f>
        <v>Class 00 Gloves + Leather Outers</v>
      </c>
      <c r="W36" s="1" t="s">
        <v>118</v>
      </c>
      <c r="X36" s="26"/>
      <c r="Y36" s="26"/>
    </row>
    <row r="37" spans="1:25" x14ac:dyDescent="0.25">
      <c r="B37" s="6"/>
      <c r="W37" s="26" t="s">
        <v>120</v>
      </c>
      <c r="X37" s="26" t="s">
        <v>121</v>
      </c>
      <c r="Y37" s="26" t="s">
        <v>122</v>
      </c>
    </row>
    <row r="38" spans="1:25" x14ac:dyDescent="0.25">
      <c r="A38" s="1" t="s">
        <v>5</v>
      </c>
      <c r="B38" s="11" t="s">
        <v>23</v>
      </c>
      <c r="C38" s="1" t="s">
        <v>22</v>
      </c>
      <c r="W38" s="6">
        <f>B17</f>
        <v>1</v>
      </c>
      <c r="X38" s="6">
        <f>B30</f>
        <v>18.840795595255113</v>
      </c>
      <c r="Y38" s="26">
        <f>$B$15*SQRT(X38/1.2)</f>
        <v>181.16121205388842</v>
      </c>
    </row>
    <row r="39" spans="1:25" x14ac:dyDescent="0.25">
      <c r="A39" t="s">
        <v>0</v>
      </c>
      <c r="B39" s="14">
        <v>8.5237999999999999E-5</v>
      </c>
      <c r="C39" s="4" t="s">
        <v>16</v>
      </c>
      <c r="W39" s="6">
        <f>IF(CHOOSE($D$13,1,3,5.22761/(1+(95/Y38)^2),3.9207/(1+(40/Y38)^2),1.59593/(1+(10/Y38)^2))&lt;1,1,CHOOSE($D$13,1,3,5.22761/(1+(95/Y38)^2),3.9207/(1+(40/Y38)^2),1.59593/(1+(10/Y38)^2)))</f>
        <v>1</v>
      </c>
      <c r="X39" s="26">
        <f>X38/W38*W39</f>
        <v>18.840795595255113</v>
      </c>
      <c r="Y39" s="26">
        <f>$B$15*SQRT(X39/1.2)</f>
        <v>181.16121205388842</v>
      </c>
    </row>
    <row r="40" spans="1:25" x14ac:dyDescent="0.25">
      <c r="A40" t="s">
        <v>34</v>
      </c>
      <c r="B40" s="10">
        <v>240</v>
      </c>
      <c r="C40" t="s">
        <v>19</v>
      </c>
      <c r="W40" s="6">
        <f t="shared" ref="W40:W63" si="6">IF(CHOOSE($D$13,1,3,5.22761/(1+(95/Y39)^2),3.9207/(1+(40/Y39)^2),1.59593/(1+(10/Y39)^2))&lt;1,1,CHOOSE($D$13,1,3,5.22761/(1+(95/Y39)^2),3.9207/(1+(40/Y39)^2),1.59593/(1+(10/Y39)^2)))</f>
        <v>1</v>
      </c>
      <c r="X40" s="26">
        <f t="shared" ref="X40:X63" si="7">X39/W39*W40</f>
        <v>18.840795595255113</v>
      </c>
      <c r="Y40" s="26">
        <f t="shared" ref="Y40:Y63" si="8">$B$15*SQRT(X40/1.2)</f>
        <v>181.16121205388842</v>
      </c>
    </row>
    <row r="41" spans="1:25" x14ac:dyDescent="0.25">
      <c r="A41" t="s">
        <v>1</v>
      </c>
      <c r="B41" s="14">
        <v>1.0000000000000001E-5</v>
      </c>
      <c r="C41" s="4" t="s">
        <v>16</v>
      </c>
      <c r="W41" s="6">
        <f t="shared" si="6"/>
        <v>1</v>
      </c>
      <c r="X41" s="26">
        <f t="shared" si="7"/>
        <v>18.840795595255113</v>
      </c>
      <c r="Y41" s="26">
        <f t="shared" si="8"/>
        <v>181.16121205388842</v>
      </c>
    </row>
    <row r="42" spans="1:25" x14ac:dyDescent="0.25">
      <c r="A42" t="s">
        <v>2</v>
      </c>
      <c r="B42" s="10">
        <v>240</v>
      </c>
      <c r="C42" s="5" t="s">
        <v>19</v>
      </c>
      <c r="W42" s="6">
        <f t="shared" si="6"/>
        <v>1</v>
      </c>
      <c r="X42" s="26">
        <f t="shared" si="7"/>
        <v>18.840795595255113</v>
      </c>
      <c r="Y42" s="26">
        <f t="shared" si="8"/>
        <v>181.16121205388842</v>
      </c>
    </row>
    <row r="43" spans="1:25" x14ac:dyDescent="0.25">
      <c r="A43" t="s">
        <v>35</v>
      </c>
      <c r="B43" s="10">
        <v>1</v>
      </c>
      <c r="C43" s="5" t="s">
        <v>19</v>
      </c>
      <c r="W43" s="6">
        <f t="shared" si="6"/>
        <v>1</v>
      </c>
      <c r="X43" s="26">
        <f t="shared" si="7"/>
        <v>18.840795595255113</v>
      </c>
      <c r="Y43" s="26">
        <f t="shared" si="8"/>
        <v>181.16121205388842</v>
      </c>
    </row>
    <row r="44" spans="1:25" x14ac:dyDescent="0.25">
      <c r="A44" t="s">
        <v>9</v>
      </c>
      <c r="B44" s="8">
        <f>(B39*B40+B41*B42)/B43</f>
        <v>2.2857119999999998E-2</v>
      </c>
      <c r="C44" s="4" t="s">
        <v>16</v>
      </c>
      <c r="W44" s="6">
        <f t="shared" si="6"/>
        <v>1</v>
      </c>
      <c r="X44" s="26">
        <f t="shared" si="7"/>
        <v>18.840795595255113</v>
      </c>
      <c r="Y44" s="26">
        <f t="shared" si="8"/>
        <v>181.16121205388842</v>
      </c>
    </row>
    <row r="45" spans="1:25" x14ac:dyDescent="0.25">
      <c r="A45" t="s">
        <v>3</v>
      </c>
      <c r="B45" s="15">
        <f>B11/B44</f>
        <v>11287.511287511288</v>
      </c>
      <c r="C45" s="4" t="s">
        <v>8</v>
      </c>
      <c r="W45" s="6">
        <f t="shared" si="6"/>
        <v>1</v>
      </c>
      <c r="X45" s="26">
        <f t="shared" si="7"/>
        <v>18.840795595255113</v>
      </c>
      <c r="Y45" s="26">
        <f t="shared" si="8"/>
        <v>181.16121205388842</v>
      </c>
    </row>
    <row r="46" spans="1:25" x14ac:dyDescent="0.25">
      <c r="B46" s="6"/>
      <c r="W46" s="6">
        <f t="shared" si="6"/>
        <v>1</v>
      </c>
      <c r="X46" s="26">
        <f t="shared" si="7"/>
        <v>18.840795595255113</v>
      </c>
      <c r="Y46" s="26">
        <f t="shared" si="8"/>
        <v>181.16121205388842</v>
      </c>
    </row>
    <row r="47" spans="1:25" x14ac:dyDescent="0.25">
      <c r="A47" s="1" t="s">
        <v>27</v>
      </c>
      <c r="B47" s="6"/>
      <c r="W47" s="6">
        <f t="shared" si="6"/>
        <v>1</v>
      </c>
      <c r="X47" s="26">
        <f t="shared" si="7"/>
        <v>18.840795595255113</v>
      </c>
      <c r="Y47" s="26">
        <f t="shared" si="8"/>
        <v>181.16121205388842</v>
      </c>
    </row>
    <row r="48" spans="1:25" x14ac:dyDescent="0.25">
      <c r="A48" t="s">
        <v>46</v>
      </c>
      <c r="B48">
        <f>0.239</f>
        <v>0.23899999999999999</v>
      </c>
      <c r="W48" s="6">
        <f t="shared" si="6"/>
        <v>1</v>
      </c>
      <c r="X48" s="26">
        <f t="shared" si="7"/>
        <v>18.840795595255113</v>
      </c>
      <c r="Y48" s="26">
        <f t="shared" si="8"/>
        <v>181.16121205388842</v>
      </c>
    </row>
    <row r="49" spans="1:25" x14ac:dyDescent="0.25">
      <c r="A49" t="s">
        <v>45</v>
      </c>
      <c r="B49">
        <f>1/(4*3.141592654)</f>
        <v>7.9577471535557012E-2</v>
      </c>
      <c r="W49" s="6">
        <f t="shared" si="6"/>
        <v>1</v>
      </c>
      <c r="X49" s="26">
        <f t="shared" si="7"/>
        <v>18.840795595255113</v>
      </c>
      <c r="Y49" s="26">
        <f t="shared" si="8"/>
        <v>181.16121205388842</v>
      </c>
    </row>
    <row r="50" spans="1:25" x14ac:dyDescent="0.25">
      <c r="A50" t="s">
        <v>28</v>
      </c>
      <c r="B50" s="6">
        <v>2.54</v>
      </c>
      <c r="W50" s="6">
        <f t="shared" si="6"/>
        <v>1</v>
      </c>
      <c r="X50" s="26">
        <f t="shared" si="7"/>
        <v>18.840795595255113</v>
      </c>
      <c r="Y50" s="26">
        <f t="shared" si="8"/>
        <v>181.16121205388842</v>
      </c>
    </row>
    <row r="51" spans="1:25" x14ac:dyDescent="0.25">
      <c r="B51" s="6"/>
      <c r="W51" s="6">
        <f t="shared" si="6"/>
        <v>1</v>
      </c>
      <c r="X51" s="26">
        <f t="shared" si="7"/>
        <v>18.840795595255113</v>
      </c>
      <c r="Y51" s="26">
        <f t="shared" si="8"/>
        <v>181.16121205388842</v>
      </c>
    </row>
    <row r="52" spans="1:25" x14ac:dyDescent="0.25">
      <c r="W52" s="6">
        <f t="shared" si="6"/>
        <v>1</v>
      </c>
      <c r="X52" s="26">
        <f t="shared" si="7"/>
        <v>18.840795595255113</v>
      </c>
      <c r="Y52" s="26">
        <f t="shared" si="8"/>
        <v>181.16121205388842</v>
      </c>
    </row>
    <row r="53" spans="1:25" x14ac:dyDescent="0.25">
      <c r="W53" s="6">
        <f t="shared" si="6"/>
        <v>1</v>
      </c>
      <c r="X53" s="26">
        <f t="shared" si="7"/>
        <v>18.840795595255113</v>
      </c>
      <c r="Y53" s="26">
        <f t="shared" si="8"/>
        <v>181.16121205388842</v>
      </c>
    </row>
    <row r="54" spans="1:25" x14ac:dyDescent="0.25">
      <c r="W54" s="6">
        <f t="shared" si="6"/>
        <v>1</v>
      </c>
      <c r="X54" s="26">
        <f t="shared" si="7"/>
        <v>18.840795595255113</v>
      </c>
      <c r="Y54" s="26">
        <f t="shared" si="8"/>
        <v>181.16121205388842</v>
      </c>
    </row>
    <row r="55" spans="1:25" x14ac:dyDescent="0.25">
      <c r="W55" s="6">
        <f t="shared" si="6"/>
        <v>1</v>
      </c>
      <c r="X55" s="26">
        <f t="shared" si="7"/>
        <v>18.840795595255113</v>
      </c>
      <c r="Y55" s="26">
        <f t="shared" si="8"/>
        <v>181.16121205388842</v>
      </c>
    </row>
    <row r="56" spans="1:25" x14ac:dyDescent="0.25">
      <c r="W56" s="6">
        <f t="shared" si="6"/>
        <v>1</v>
      </c>
      <c r="X56" s="26">
        <f t="shared" si="7"/>
        <v>18.840795595255113</v>
      </c>
      <c r="Y56" s="26">
        <f t="shared" si="8"/>
        <v>181.16121205388842</v>
      </c>
    </row>
    <row r="57" spans="1:25" x14ac:dyDescent="0.25">
      <c r="W57" s="6">
        <f t="shared" si="6"/>
        <v>1</v>
      </c>
      <c r="X57" s="26">
        <f t="shared" si="7"/>
        <v>18.840795595255113</v>
      </c>
      <c r="Y57" s="26">
        <f t="shared" si="8"/>
        <v>181.16121205388842</v>
      </c>
    </row>
    <row r="58" spans="1:25" x14ac:dyDescent="0.25">
      <c r="W58" s="6">
        <f t="shared" si="6"/>
        <v>1</v>
      </c>
      <c r="X58" s="26">
        <f t="shared" si="7"/>
        <v>18.840795595255113</v>
      </c>
      <c r="Y58" s="26">
        <f t="shared" si="8"/>
        <v>181.16121205388842</v>
      </c>
    </row>
    <row r="59" spans="1:25" x14ac:dyDescent="0.25">
      <c r="W59" s="6">
        <f t="shared" si="6"/>
        <v>1</v>
      </c>
      <c r="X59" s="26">
        <f t="shared" si="7"/>
        <v>18.840795595255113</v>
      </c>
      <c r="Y59" s="26">
        <f t="shared" si="8"/>
        <v>181.16121205388842</v>
      </c>
    </row>
    <row r="60" spans="1:25" x14ac:dyDescent="0.25">
      <c r="W60" s="6">
        <f t="shared" si="6"/>
        <v>1</v>
      </c>
      <c r="X60" s="26">
        <f t="shared" si="7"/>
        <v>18.840795595255113</v>
      </c>
      <c r="Y60" s="26">
        <f t="shared" si="8"/>
        <v>181.16121205388842</v>
      </c>
    </row>
    <row r="61" spans="1:25" x14ac:dyDescent="0.25">
      <c r="W61" s="6">
        <f t="shared" si="6"/>
        <v>1</v>
      </c>
      <c r="X61" s="26">
        <f t="shared" si="7"/>
        <v>18.840795595255113</v>
      </c>
      <c r="Y61" s="26">
        <f t="shared" si="8"/>
        <v>181.16121205388842</v>
      </c>
    </row>
    <row r="62" spans="1:25" x14ac:dyDescent="0.25">
      <c r="W62" s="6">
        <f t="shared" si="6"/>
        <v>1</v>
      </c>
      <c r="X62" s="26">
        <f t="shared" si="7"/>
        <v>18.840795595255113</v>
      </c>
      <c r="Y62" s="26">
        <f t="shared" si="8"/>
        <v>181.16121205388842</v>
      </c>
    </row>
    <row r="63" spans="1:25" x14ac:dyDescent="0.25">
      <c r="W63" s="6">
        <f t="shared" si="6"/>
        <v>1</v>
      </c>
      <c r="X63" s="26">
        <f t="shared" si="7"/>
        <v>18.840795595255113</v>
      </c>
      <c r="Y63" s="26">
        <f t="shared" si="8"/>
        <v>181.16121205388842</v>
      </c>
    </row>
  </sheetData>
  <conditionalFormatting sqref="B27">
    <cfRule type="notContainsText" dxfId="15" priority="5" operator="notContains" text="Arc Current Good">
      <formula>ISERROR(SEARCH("Arc Current Good",B27))</formula>
    </cfRule>
    <cfRule type="containsText" dxfId="14" priority="8" operator="containsText" text="Arc Current Good">
      <formula>NOT(ISERROR(SEARCH("Arc Current Good",B27)))</formula>
    </cfRule>
  </conditionalFormatting>
  <conditionalFormatting sqref="B26">
    <cfRule type="notContainsText" dxfId="13" priority="4" operator="notContains" text="Arc Voltage Good">
      <formula>ISERROR(SEARCH("Arc Voltage Good",B26))</formula>
    </cfRule>
    <cfRule type="containsText" dxfId="12" priority="7" operator="containsText" text="Arc Voltage Good">
      <formula>NOT(ISERROR(SEARCH("Arc Voltage Good",B26)))</formula>
    </cfRule>
  </conditionalFormatting>
  <conditionalFormatting sqref="B25">
    <cfRule type="notContainsText" dxfId="11" priority="3" operator="notContains" text="Battery Voltage Good">
      <formula>ISERROR(SEARCH("Battery Voltage Good",B25))</formula>
    </cfRule>
    <cfRule type="containsText" dxfId="10" priority="6" operator="containsText" text="Battery Voltage Good">
      <formula>NOT(ISERROR(SEARCH("Battery Voltage Good",B25)))</formula>
    </cfRule>
  </conditionalFormatting>
  <conditionalFormatting sqref="B24">
    <cfRule type="notContainsText" dxfId="9" priority="1" operator="notContains" text="Solved">
      <formula>ISERROR(SEARCH("Solved",B24))</formula>
    </cfRule>
    <cfRule type="containsText" dxfId="8" priority="2" operator="containsText" text="Solved">
      <formula>NOT(ISERROR(SEARCH("Solved",B24)))</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62" r:id="rId3" name="Option Button 14">
              <controlPr defaultSize="0" autoFill="0" autoLine="0" autoPict="0">
                <anchor moveWithCells="1">
                  <from>
                    <xdr:col>3</xdr:col>
                    <xdr:colOff>57150</xdr:colOff>
                    <xdr:row>11</xdr:row>
                    <xdr:rowOff>180975</xdr:rowOff>
                  </from>
                  <to>
                    <xdr:col>4</xdr:col>
                    <xdr:colOff>238125</xdr:colOff>
                    <xdr:row>13</xdr:row>
                    <xdr:rowOff>9525</xdr:rowOff>
                  </to>
                </anchor>
              </controlPr>
            </control>
          </mc:Choice>
        </mc:AlternateContent>
        <mc:AlternateContent xmlns:mc="http://schemas.openxmlformats.org/markup-compatibility/2006">
          <mc:Choice Requires="x14">
            <control shapeId="2063" r:id="rId4" name="Option Button 15">
              <controlPr defaultSize="0" autoFill="0" autoLine="0" autoPict="0" altText="Closed Box - NFPA 70E 2015 D.5.1">
                <anchor moveWithCells="1">
                  <from>
                    <xdr:col>3</xdr:col>
                    <xdr:colOff>57150</xdr:colOff>
                    <xdr:row>12</xdr:row>
                    <xdr:rowOff>180975</xdr:rowOff>
                  </from>
                  <to>
                    <xdr:col>5</xdr:col>
                    <xdr:colOff>495300</xdr:colOff>
                    <xdr:row>14</xdr:row>
                    <xdr:rowOff>0</xdr:rowOff>
                  </to>
                </anchor>
              </controlPr>
            </control>
          </mc:Choice>
        </mc:AlternateContent>
        <mc:AlternateContent xmlns:mc="http://schemas.openxmlformats.org/markup-compatibility/2006">
          <mc:Choice Requires="x14">
            <control shapeId="2064" r:id="rId5" name="Option Button 16">
              <controlPr defaultSize="0" autoFill="0" autoLine="0" autoPict="0">
                <anchor moveWithCells="1">
                  <from>
                    <xdr:col>3</xdr:col>
                    <xdr:colOff>57150</xdr:colOff>
                    <xdr:row>13</xdr:row>
                    <xdr:rowOff>190500</xdr:rowOff>
                  </from>
                  <to>
                    <xdr:col>8</xdr:col>
                    <xdr:colOff>447675</xdr:colOff>
                    <xdr:row>15</xdr:row>
                    <xdr:rowOff>19050</xdr:rowOff>
                  </to>
                </anchor>
              </controlPr>
            </control>
          </mc:Choice>
        </mc:AlternateContent>
        <mc:AlternateContent xmlns:mc="http://schemas.openxmlformats.org/markup-compatibility/2006">
          <mc:Choice Requires="x14">
            <control shapeId="2065" r:id="rId6" name="Option Button 17">
              <controlPr defaultSize="0" autoFill="0" autoLine="0" autoPict="0" altText="Closed Box - Wilkins - Medium Switchgear (LV) (508mm x 508mm x 508mm)">
                <anchor moveWithCells="1">
                  <from>
                    <xdr:col>3</xdr:col>
                    <xdr:colOff>57150</xdr:colOff>
                    <xdr:row>15</xdr:row>
                    <xdr:rowOff>9525</xdr:rowOff>
                  </from>
                  <to>
                    <xdr:col>8</xdr:col>
                    <xdr:colOff>504825</xdr:colOff>
                    <xdr:row>16</xdr:row>
                    <xdr:rowOff>28575</xdr:rowOff>
                  </to>
                </anchor>
              </controlPr>
            </control>
          </mc:Choice>
        </mc:AlternateContent>
        <mc:AlternateContent xmlns:mc="http://schemas.openxmlformats.org/markup-compatibility/2006">
          <mc:Choice Requires="x14">
            <control shapeId="2066" r:id="rId7" name="Option Button 18">
              <controlPr defaultSize="0" autoFill="0" autoLine="0" autoPict="0">
                <anchor moveWithCells="1">
                  <from>
                    <xdr:col>3</xdr:col>
                    <xdr:colOff>57150</xdr:colOff>
                    <xdr:row>16</xdr:row>
                    <xdr:rowOff>0</xdr:rowOff>
                  </from>
                  <to>
                    <xdr:col>8</xdr:col>
                    <xdr:colOff>381000</xdr:colOff>
                    <xdr:row>17</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B4C77-85F3-4BD6-A8AD-CE337FBF7125}">
  <sheetPr codeName="Sheet2"/>
  <dimension ref="A7:BD134"/>
  <sheetViews>
    <sheetView zoomScale="85" zoomScaleNormal="85" workbookViewId="0">
      <selection activeCell="B17" sqref="B17"/>
    </sheetView>
  </sheetViews>
  <sheetFormatPr defaultRowHeight="15" x14ac:dyDescent="0.25"/>
  <cols>
    <col min="1" max="1" width="49.42578125" customWidth="1"/>
    <col min="2" max="2" width="30.140625" bestFit="1" customWidth="1"/>
    <col min="3" max="3" width="9.140625" customWidth="1"/>
    <col min="4" max="4" width="20.85546875" bestFit="1" customWidth="1"/>
    <col min="30" max="30" width="9.140625" customWidth="1"/>
    <col min="33" max="33" width="16.7109375" bestFit="1" customWidth="1"/>
  </cols>
  <sheetData>
    <row r="7" spans="1:34" x14ac:dyDescent="0.25">
      <c r="B7" s="2" t="s">
        <v>10</v>
      </c>
    </row>
    <row r="8" spans="1:34" x14ac:dyDescent="0.25">
      <c r="B8" s="3" t="s">
        <v>11</v>
      </c>
    </row>
    <row r="9" spans="1:34" x14ac:dyDescent="0.25">
      <c r="B9" s="6"/>
      <c r="AB9" s="1" t="s">
        <v>44</v>
      </c>
    </row>
    <row r="10" spans="1:34" x14ac:dyDescent="0.25">
      <c r="A10" s="1" t="s">
        <v>26</v>
      </c>
      <c r="B10" s="11" t="s">
        <v>23</v>
      </c>
      <c r="C10" s="1" t="s">
        <v>22</v>
      </c>
      <c r="AB10" s="26" t="s">
        <v>107</v>
      </c>
      <c r="AC10" s="26" t="s">
        <v>103</v>
      </c>
      <c r="AD10" s="26" t="s">
        <v>32</v>
      </c>
      <c r="AE10" s="26" t="s">
        <v>33</v>
      </c>
      <c r="AF10" s="26" t="s">
        <v>105</v>
      </c>
      <c r="AG10" s="26" t="s">
        <v>106</v>
      </c>
      <c r="AH10" s="26" t="s">
        <v>104</v>
      </c>
    </row>
    <row r="11" spans="1:34" x14ac:dyDescent="0.25">
      <c r="A11" t="s">
        <v>4</v>
      </c>
      <c r="B11" s="29">
        <v>258</v>
      </c>
      <c r="C11" t="s">
        <v>7</v>
      </c>
      <c r="AB11" s="26">
        <v>0</v>
      </c>
      <c r="AC11" s="26">
        <f>0.9*B12</f>
        <v>16830</v>
      </c>
      <c r="AD11" s="26">
        <f>B$11-AC11*B$13</f>
        <v>25.800000000000011</v>
      </c>
      <c r="AE11" s="26">
        <f>(20+0.534*B$16)*(AC11^0.12)</f>
        <v>201.62117602840087</v>
      </c>
      <c r="AF11" s="26">
        <f>AD11-AE11</f>
        <v>-175.82117602840086</v>
      </c>
      <c r="AG11" s="26">
        <f>-B$13-(20+0.534*B$16)*(AC11^-0.88)</f>
        <v>-2.5776659300558592E-2</v>
      </c>
      <c r="AH11" s="26">
        <f>-1/AG11</f>
        <v>38.794786723131708</v>
      </c>
    </row>
    <row r="12" spans="1:34" x14ac:dyDescent="0.25">
      <c r="A12" t="s">
        <v>6</v>
      </c>
      <c r="B12" s="29">
        <v>18700</v>
      </c>
      <c r="C12" t="s">
        <v>8</v>
      </c>
      <c r="D12" s="1" t="s">
        <v>123</v>
      </c>
      <c r="AB12" s="26">
        <v>1</v>
      </c>
      <c r="AC12" s="26">
        <f>AC11+AH11*AF11</f>
        <v>10009.054974567993</v>
      </c>
      <c r="AD12" s="26">
        <f>B$11-AC12*B$13</f>
        <v>119.90715596585338</v>
      </c>
      <c r="AE12" s="26">
        <f>(20+0.534*B$16)*(AC12^0.12)</f>
        <v>189.43194509011906</v>
      </c>
      <c r="AF12" s="26">
        <f>AD12-AE12</f>
        <v>-69.524789124265681</v>
      </c>
      <c r="AG12" s="26">
        <f>-B$13-(20+0.534*B$16)*(AC12^-0.88)</f>
        <v>-3.2722848456370093E-2</v>
      </c>
      <c r="AH12" s="26">
        <f>-1/AG12</f>
        <v>30.559686799066906</v>
      </c>
    </row>
    <row r="13" spans="1:34" x14ac:dyDescent="0.25">
      <c r="A13" t="s">
        <v>15</v>
      </c>
      <c r="B13" s="13">
        <f>B11/B12</f>
        <v>1.3796791443850267E-2</v>
      </c>
      <c r="C13" s="4" t="s">
        <v>16</v>
      </c>
      <c r="D13" s="33">
        <v>4</v>
      </c>
      <c r="E13" s="26"/>
      <c r="F13" s="26"/>
      <c r="G13" s="26"/>
      <c r="H13" s="26"/>
      <c r="I13" s="26"/>
      <c r="J13" s="26"/>
      <c r="K13" s="26"/>
      <c r="AB13" s="26">
        <v>2</v>
      </c>
      <c r="AC13" s="26">
        <f t="shared" ref="AC13:AC36" si="0">AC12+AH12*AF12</f>
        <v>7884.3991941592603</v>
      </c>
      <c r="AD13" s="26">
        <f t="shared" ref="AD13:AD36" si="1">B$11-AC13*B$13</f>
        <v>149.22058865812357</v>
      </c>
      <c r="AE13" s="26">
        <f t="shared" ref="AE13:AE36" si="2">(20+0.534*B$16)*(AC13^0.12)</f>
        <v>184.08494930925431</v>
      </c>
      <c r="AF13" s="26">
        <f t="shared" ref="AF13:AF36" si="3">AD13-AE13</f>
        <v>-34.864360651130738</v>
      </c>
      <c r="AG13" s="26">
        <f t="shared" ref="AG13:AG36" si="4">-B$13-(20+0.534*B$16)*(AC13^-0.88)</f>
        <v>-3.7144791053715799E-2</v>
      </c>
      <c r="AH13" s="26">
        <f t="shared" ref="AH13:AH36" si="5">-1/AG13</f>
        <v>26.921675196769332</v>
      </c>
    </row>
    <row r="14" spans="1:34" x14ac:dyDescent="0.25">
      <c r="A14" t="s">
        <v>76</v>
      </c>
      <c r="B14" s="7">
        <v>2</v>
      </c>
      <c r="C14" s="5" t="s">
        <v>20</v>
      </c>
      <c r="D14" s="2"/>
      <c r="E14" s="26"/>
      <c r="F14" s="26"/>
      <c r="G14" s="26"/>
      <c r="H14" s="26"/>
      <c r="I14" s="26"/>
      <c r="J14" s="26"/>
      <c r="K14" s="26"/>
      <c r="AB14" s="26">
        <v>3</v>
      </c>
      <c r="AC14" s="26">
        <f t="shared" si="0"/>
        <v>6945.7922007664929</v>
      </c>
      <c r="AD14" s="26">
        <f t="shared" si="1"/>
        <v>162.17035359370294</v>
      </c>
      <c r="AE14" s="26">
        <f t="shared" si="2"/>
        <v>181.30620351361944</v>
      </c>
      <c r="AF14" s="26">
        <f t="shared" si="3"/>
        <v>-19.135849919916495</v>
      </c>
      <c r="AG14" s="26">
        <f t="shared" si="4"/>
        <v>-3.9899818754919492E-2</v>
      </c>
      <c r="AH14" s="26">
        <f t="shared" si="5"/>
        <v>25.062770488818423</v>
      </c>
    </row>
    <row r="15" spans="1:34" x14ac:dyDescent="0.25">
      <c r="A15" t="s">
        <v>47</v>
      </c>
      <c r="B15" s="7">
        <v>45.72</v>
      </c>
      <c r="C15" s="5" t="s">
        <v>37</v>
      </c>
      <c r="D15" s="2"/>
      <c r="E15" s="26"/>
      <c r="F15" s="26"/>
      <c r="G15" s="26"/>
      <c r="H15" s="26"/>
      <c r="I15" s="26"/>
      <c r="J15" s="26"/>
      <c r="K15" s="26"/>
      <c r="AB15" s="26">
        <v>4</v>
      </c>
      <c r="AC15" s="26">
        <f t="shared" si="0"/>
        <v>6466.1947861151511</v>
      </c>
      <c r="AD15" s="26">
        <f t="shared" si="1"/>
        <v>168.78725910065728</v>
      </c>
      <c r="AE15" s="26">
        <f t="shared" si="2"/>
        <v>179.75621035135703</v>
      </c>
      <c r="AF15" s="26">
        <f t="shared" si="3"/>
        <v>-10.968951250699746</v>
      </c>
      <c r="AG15" s="26">
        <f t="shared" si="4"/>
        <v>-4.1596172114743028E-2</v>
      </c>
      <c r="AH15" s="26">
        <f t="shared" si="5"/>
        <v>24.040673676450332</v>
      </c>
    </row>
    <row r="16" spans="1:34" x14ac:dyDescent="0.25">
      <c r="A16" t="s">
        <v>78</v>
      </c>
      <c r="B16" s="27">
        <v>80</v>
      </c>
      <c r="C16" t="s">
        <v>13</v>
      </c>
      <c r="D16" s="2"/>
      <c r="E16" s="26"/>
      <c r="F16" s="26"/>
      <c r="G16" s="26"/>
      <c r="H16" s="26"/>
      <c r="I16" s="26"/>
      <c r="J16" s="26"/>
      <c r="K16" s="26"/>
      <c r="AB16" s="26">
        <v>5</v>
      </c>
      <c r="AC16" s="26">
        <f t="shared" si="0"/>
        <v>6202.4938085241865</v>
      </c>
      <c r="AD16" s="26">
        <f t="shared" si="1"/>
        <v>172.42548649201925</v>
      </c>
      <c r="AE16" s="26">
        <f t="shared" si="2"/>
        <v>178.86032287930382</v>
      </c>
      <c r="AF16" s="26">
        <f t="shared" si="3"/>
        <v>-6.4348363872845766</v>
      </c>
      <c r="AG16" s="26">
        <f t="shared" si="4"/>
        <v>-4.2633631656974411E-2</v>
      </c>
      <c r="AH16" s="26">
        <f t="shared" si="5"/>
        <v>23.45566073389881</v>
      </c>
    </row>
    <row r="17" spans="1:34" x14ac:dyDescent="0.25">
      <c r="A17" s="12" t="s">
        <v>124</v>
      </c>
      <c r="B17" s="28">
        <f>IF(CHOOSE(D13,1,3,5.22761/(1+(95/B15)^2),3.9207/(1+(40/B15)^2),1.59593/(1+(10/B15)^2))&lt;1,1,CHOOSE(D13,1,3,5.22761/(1+(95/B15)^2),3.9207/(1+(40/B15)^2),1.59593/(1+(10/B15)^2)))</f>
        <v>2.2208141581712839</v>
      </c>
      <c r="C17" t="s">
        <v>31</v>
      </c>
      <c r="D17" s="2"/>
      <c r="E17" s="26"/>
      <c r="F17" s="26"/>
      <c r="G17" s="26"/>
      <c r="H17" s="26"/>
      <c r="I17" s="26"/>
      <c r="J17" s="26"/>
      <c r="K17" s="26"/>
      <c r="AB17" s="26">
        <v>6</v>
      </c>
      <c r="AC17" s="26">
        <f t="shared" si="0"/>
        <v>6051.5604693458927</v>
      </c>
      <c r="AD17" s="26">
        <f t="shared" si="1"/>
        <v>174.50788229458607</v>
      </c>
      <c r="AE17" s="26">
        <f t="shared" si="2"/>
        <v>178.3323509698223</v>
      </c>
      <c r="AF17" s="26">
        <f t="shared" si="3"/>
        <v>-3.8244686752362327</v>
      </c>
      <c r="AG17" s="26">
        <f t="shared" si="4"/>
        <v>-4.3265612233655257E-2</v>
      </c>
      <c r="AH17" s="26">
        <f t="shared" si="5"/>
        <v>23.113044017487045</v>
      </c>
    </row>
    <row r="18" spans="1:34" x14ac:dyDescent="0.25">
      <c r="A18" s="12"/>
      <c r="B18" s="12"/>
      <c r="AB18" s="26">
        <v>7</v>
      </c>
      <c r="AC18" s="26">
        <f t="shared" si="0"/>
        <v>5963.1653565116576</v>
      </c>
      <c r="AD18" s="26">
        <f t="shared" si="1"/>
        <v>175.72745123101564</v>
      </c>
      <c r="AE18" s="26">
        <f t="shared" si="2"/>
        <v>178.01773538829366</v>
      </c>
      <c r="AF18" s="26">
        <f t="shared" si="3"/>
        <v>-2.2902841572780233</v>
      </c>
      <c r="AG18" s="26">
        <f t="shared" si="4"/>
        <v>-4.3649684118359428E-2</v>
      </c>
      <c r="AH18" s="26">
        <f t="shared" si="5"/>
        <v>22.909673235857198</v>
      </c>
    </row>
    <row r="19" spans="1:34" x14ac:dyDescent="0.25">
      <c r="A19" s="1" t="s">
        <v>54</v>
      </c>
      <c r="B19" s="12"/>
      <c r="AB19" s="26">
        <v>8</v>
      </c>
      <c r="AC19" s="26">
        <f t="shared" si="0"/>
        <v>5910.6956948511579</v>
      </c>
      <c r="AD19" s="26">
        <f t="shared" si="1"/>
        <v>176.45136421007493</v>
      </c>
      <c r="AE19" s="26">
        <f t="shared" si="2"/>
        <v>177.82903909588612</v>
      </c>
      <c r="AF19" s="26">
        <f t="shared" si="3"/>
        <v>-1.3776748858111887</v>
      </c>
      <c r="AG19" s="26">
        <f t="shared" si="4"/>
        <v>-4.3882765798915452E-2</v>
      </c>
      <c r="AH19" s="26">
        <f t="shared" si="5"/>
        <v>22.787989357423655</v>
      </c>
    </row>
    <row r="20" spans="1:34" x14ac:dyDescent="0.25">
      <c r="A20" s="19" t="s">
        <v>58</v>
      </c>
      <c r="B20" s="7" t="s">
        <v>57</v>
      </c>
      <c r="D20" s="1" t="s">
        <v>87</v>
      </c>
      <c r="AB20" s="26">
        <v>9</v>
      </c>
      <c r="AC20" s="26">
        <f t="shared" si="0"/>
        <v>5879.3012542153028</v>
      </c>
      <c r="AD20" s="26">
        <f t="shared" si="1"/>
        <v>176.88450676002418</v>
      </c>
      <c r="AE20" s="26">
        <f t="shared" si="2"/>
        <v>177.71542944091101</v>
      </c>
      <c r="AF20" s="26">
        <f t="shared" si="3"/>
        <v>-0.83092268088682886</v>
      </c>
      <c r="AG20" s="26">
        <f t="shared" si="4"/>
        <v>-4.4024095974893609E-2</v>
      </c>
      <c r="AH20" s="26">
        <f t="shared" si="5"/>
        <v>22.714833271540375</v>
      </c>
    </row>
    <row r="21" spans="1:34" x14ac:dyDescent="0.25">
      <c r="A21" s="12" t="s">
        <v>55</v>
      </c>
      <c r="B21" s="20">
        <v>4.9621687140725002E-3</v>
      </c>
      <c r="C21" t="s">
        <v>56</v>
      </c>
      <c r="D21" t="s">
        <v>57</v>
      </c>
      <c r="E21" t="s">
        <v>95</v>
      </c>
      <c r="AB21" s="26">
        <v>10</v>
      </c>
      <c r="AC21" s="26">
        <f t="shared" si="0"/>
        <v>5860.426984057417</v>
      </c>
      <c r="AD21" s="26">
        <f t="shared" si="1"/>
        <v>177.14491112904739</v>
      </c>
      <c r="AE21" s="26">
        <f t="shared" si="2"/>
        <v>177.64687034370249</v>
      </c>
      <c r="AF21" s="26">
        <f t="shared" si="3"/>
        <v>-0.50195921465510196</v>
      </c>
      <c r="AG21" s="26">
        <f t="shared" si="4"/>
        <v>-4.4109748302961237E-2</v>
      </c>
      <c r="AH21" s="26">
        <f t="shared" si="5"/>
        <v>22.670725598605753</v>
      </c>
    </row>
    <row r="22" spans="1:34" x14ac:dyDescent="0.25">
      <c r="A22" s="25" t="s">
        <v>86</v>
      </c>
      <c r="B22" s="7">
        <v>0.05</v>
      </c>
      <c r="C22" t="s">
        <v>20</v>
      </c>
      <c r="D22" t="s">
        <v>98</v>
      </c>
      <c r="E22" t="s">
        <v>96</v>
      </c>
      <c r="AB22" s="26">
        <v>11</v>
      </c>
      <c r="AC22" s="26">
        <f t="shared" si="0"/>
        <v>5849.0472044402795</v>
      </c>
      <c r="AD22" s="26">
        <f t="shared" si="1"/>
        <v>177.30191557510204</v>
      </c>
      <c r="AE22" s="26">
        <f t="shared" si="2"/>
        <v>177.60544036117403</v>
      </c>
      <c r="AF22" s="26">
        <f t="shared" si="3"/>
        <v>-0.30352478607198918</v>
      </c>
      <c r="AG22" s="26">
        <f t="shared" si="4"/>
        <v>-4.4161641333648652E-2</v>
      </c>
      <c r="AH22" s="26">
        <f t="shared" si="5"/>
        <v>22.644085903529518</v>
      </c>
    </row>
    <row r="23" spans="1:34" x14ac:dyDescent="0.25">
      <c r="A23" s="30" t="s">
        <v>73</v>
      </c>
      <c r="B23" s="23">
        <f>IF(B20="Closed Parallel",'Model Parameters'!B$8*B11+'Model Parameters'!B$9,IF(B20="Open Parallel",'Model Parameters'!B$20*B11^'Model Parameters'!B$21 + 'Model Parameters'!B$22*B11^'Model Parameters'!B$23,'Model Parameters'!B$36*B11^'Model Parameters'!B$37 + 'Model Parameters'!B$38*B11^'Model Parameters'!B$39))</f>
        <v>8.1153894449913049E-3</v>
      </c>
      <c r="C23" t="s">
        <v>31</v>
      </c>
      <c r="D23" t="s">
        <v>99</v>
      </c>
      <c r="E23" t="s">
        <v>97</v>
      </c>
      <c r="AB23" s="26">
        <v>12</v>
      </c>
      <c r="AC23" s="26">
        <f t="shared" si="0"/>
        <v>5842.1741631106152</v>
      </c>
      <c r="AD23" s="26">
        <f t="shared" si="1"/>
        <v>177.39674149291238</v>
      </c>
      <c r="AE23" s="26">
        <f t="shared" si="2"/>
        <v>177.58038353898777</v>
      </c>
      <c r="AF23" s="26">
        <f t="shared" si="3"/>
        <v>-0.18364204607539136</v>
      </c>
      <c r="AG23" s="26">
        <f t="shared" si="4"/>
        <v>-4.4193075187030653E-2</v>
      </c>
      <c r="AH23" s="26">
        <f t="shared" si="5"/>
        <v>22.627979514163119</v>
      </c>
    </row>
    <row r="24" spans="1:34" x14ac:dyDescent="0.25">
      <c r="A24" s="22" t="s">
        <v>74</v>
      </c>
      <c r="B24" s="23">
        <f>IF(B20="Closed Parallel",'Model Parameters'!B$5*B11+'Model Parameters'!B$6,IF(B20="Open Parallel",'Model Parameters'!B$15*B11^'Model Parameters'!B$16+'Model Parameters'!B$17*B11^'Model Parameters'!B$18,'Model Parameters'!B$31*B11^'Model Parameters'!B$32+'Model Parameters'!B$33*B11^'Model Parameters'!B$34))</f>
        <v>1.8191239586497984E-2</v>
      </c>
      <c r="AB24" s="26">
        <v>13</v>
      </c>
      <c r="AC24" s="26">
        <f t="shared" si="0"/>
        <v>5838.018714654082</v>
      </c>
      <c r="AD24" s="26">
        <f t="shared" si="1"/>
        <v>177.45407334862284</v>
      </c>
      <c r="AE24" s="26">
        <f t="shared" si="2"/>
        <v>177.56522157034487</v>
      </c>
      <c r="AF24" s="26">
        <f t="shared" si="3"/>
        <v>-0.11114822172203276</v>
      </c>
      <c r="AG24" s="26">
        <f t="shared" si="4"/>
        <v>-4.4212113875865836E-2</v>
      </c>
      <c r="AH24" s="26">
        <f t="shared" si="5"/>
        <v>22.618235418638786</v>
      </c>
    </row>
    <row r="25" spans="1:34" x14ac:dyDescent="0.25">
      <c r="A25" s="22"/>
      <c r="AB25" s="26">
        <v>14</v>
      </c>
      <c r="AC25" s="26">
        <f t="shared" si="0"/>
        <v>5835.5047380088099</v>
      </c>
      <c r="AD25" s="26">
        <f t="shared" si="1"/>
        <v>177.48875816009235</v>
      </c>
      <c r="AE25" s="26">
        <f t="shared" si="2"/>
        <v>177.55604422211064</v>
      </c>
      <c r="AF25" s="26">
        <f t="shared" si="3"/>
        <v>-6.7286062018297343E-2</v>
      </c>
      <c r="AG25" s="26">
        <f t="shared" si="4"/>
        <v>-4.4223644337246501E-2</v>
      </c>
      <c r="AH25" s="26">
        <f t="shared" si="5"/>
        <v>22.612338150471455</v>
      </c>
    </row>
    <row r="26" spans="1:34" x14ac:dyDescent="0.25">
      <c r="A26" s="1" t="s">
        <v>44</v>
      </c>
      <c r="B26" s="11" t="s">
        <v>23</v>
      </c>
      <c r="C26" s="1" t="s">
        <v>22</v>
      </c>
      <c r="AB26" s="26">
        <v>15</v>
      </c>
      <c r="AC26" s="26">
        <f t="shared" si="0"/>
        <v>5833.9832428216387</v>
      </c>
      <c r="AD26" s="26">
        <f t="shared" si="1"/>
        <v>177.50974991187258</v>
      </c>
      <c r="AE26" s="26">
        <f t="shared" si="2"/>
        <v>177.55048826746358</v>
      </c>
      <c r="AF26" s="26">
        <f t="shared" si="3"/>
        <v>-4.0738355591003028E-2</v>
      </c>
      <c r="AG26" s="26">
        <f t="shared" si="4"/>
        <v>-4.4230627277357118E-2</v>
      </c>
      <c r="AH26" s="26">
        <f t="shared" si="5"/>
        <v>22.608768212336155</v>
      </c>
    </row>
    <row r="27" spans="1:34" ht="15.75" thickBot="1" x14ac:dyDescent="0.3">
      <c r="A27" t="s">
        <v>18</v>
      </c>
      <c r="B27" s="9">
        <f>AC36</f>
        <v>5831.6640769698624</v>
      </c>
      <c r="C27" t="s">
        <v>8</v>
      </c>
      <c r="AB27" s="26">
        <v>16</v>
      </c>
      <c r="AC27" s="26">
        <f t="shared" si="0"/>
        <v>5833.0621987827299</v>
      </c>
      <c r="AD27" s="26">
        <f t="shared" si="1"/>
        <v>177.522457364388</v>
      </c>
      <c r="AE27" s="26">
        <f t="shared" si="2"/>
        <v>177.54712432541044</v>
      </c>
      <c r="AF27" s="26">
        <f t="shared" si="3"/>
        <v>-2.4666961022433043E-2</v>
      </c>
      <c r="AG27" s="26">
        <f t="shared" si="4"/>
        <v>-4.4234856095802987E-2</v>
      </c>
      <c r="AH27" s="26">
        <f t="shared" si="5"/>
        <v>22.6066068313689</v>
      </c>
    </row>
    <row r="28" spans="1:34" ht="15.75" thickTop="1" x14ac:dyDescent="0.25">
      <c r="A28" t="s">
        <v>32</v>
      </c>
      <c r="B28" s="8">
        <f>AD36</f>
        <v>177.54174695945323</v>
      </c>
      <c r="C28" t="s">
        <v>7</v>
      </c>
      <c r="AB28" s="26">
        <v>17</v>
      </c>
      <c r="AC28" s="26">
        <f t="shared" si="0"/>
        <v>5832.5045624931709</v>
      </c>
      <c r="AD28" s="26">
        <f t="shared" si="1"/>
        <v>177.53015095597658</v>
      </c>
      <c r="AE28" s="26">
        <f t="shared" si="2"/>
        <v>177.54508743539776</v>
      </c>
      <c r="AF28" s="26">
        <f t="shared" si="3"/>
        <v>-1.4936479421180593E-2</v>
      </c>
      <c r="AG28" s="26">
        <f t="shared" si="4"/>
        <v>-4.4237416998972698E-2</v>
      </c>
      <c r="AH28" s="26">
        <f t="shared" si="5"/>
        <v>22.60529813535954</v>
      </c>
    </row>
    <row r="29" spans="1:34" x14ac:dyDescent="0.25">
      <c r="A29" t="s">
        <v>33</v>
      </c>
      <c r="B29" s="8">
        <f>AE36</f>
        <v>177.54201705210099</v>
      </c>
      <c r="C29" t="s">
        <v>7</v>
      </c>
      <c r="AB29" s="26">
        <v>18</v>
      </c>
      <c r="AC29" s="26">
        <f t="shared" si="0"/>
        <v>5832.1669189227623</v>
      </c>
      <c r="AD29" s="26">
        <f t="shared" si="1"/>
        <v>177.53480935389985</v>
      </c>
      <c r="AE29" s="26">
        <f t="shared" si="2"/>
        <v>177.54385403420096</v>
      </c>
      <c r="AF29" s="26">
        <f t="shared" si="3"/>
        <v>-9.0446803011161592E-3</v>
      </c>
      <c r="AG29" s="26">
        <f t="shared" si="4"/>
        <v>-4.4238967825694038E-2</v>
      </c>
      <c r="AH29" s="26">
        <f t="shared" si="5"/>
        <v>22.604505691455103</v>
      </c>
    </row>
    <row r="30" spans="1:34" ht="15.75" thickBot="1" x14ac:dyDescent="0.3">
      <c r="A30" t="s">
        <v>75</v>
      </c>
      <c r="B30" s="9">
        <f>B28-B29</f>
        <v>-2.7009264775301745E-4</v>
      </c>
      <c r="C30" t="s">
        <v>7</v>
      </c>
      <c r="AB30" s="26">
        <v>19</v>
      </c>
      <c r="AC30" s="26">
        <f t="shared" si="0"/>
        <v>5831.962468395418</v>
      </c>
      <c r="AD30" s="26">
        <f t="shared" si="1"/>
        <v>177.53763011518623</v>
      </c>
      <c r="AE30" s="26">
        <f t="shared" si="2"/>
        <v>177.54310715239882</v>
      </c>
      <c r="AF30" s="26">
        <f t="shared" si="3"/>
        <v>-5.4770372125858557E-3</v>
      </c>
      <c r="AG30" s="26">
        <f t="shared" si="4"/>
        <v>-4.4239906967062384E-2</v>
      </c>
      <c r="AH30" s="26">
        <f t="shared" si="5"/>
        <v>22.604025834514587</v>
      </c>
    </row>
    <row r="31" spans="1:34" ht="15.75" thickTop="1" x14ac:dyDescent="0.25">
      <c r="A31" t="s">
        <v>29</v>
      </c>
      <c r="B31" t="str">
        <f>IF(AND(B30&gt;-0.1,B30&lt;0.1),"Solved","Click Solve")</f>
        <v>Solved</v>
      </c>
      <c r="AB31" s="26">
        <v>20</v>
      </c>
      <c r="AC31" s="26">
        <f t="shared" si="0"/>
        <v>5831.8386653047683</v>
      </c>
      <c r="AD31" s="26">
        <f t="shared" si="1"/>
        <v>177.53933820060803</v>
      </c>
      <c r="AE31" s="26">
        <f t="shared" si="2"/>
        <v>177.54265487395946</v>
      </c>
      <c r="AF31" s="26">
        <f t="shared" si="3"/>
        <v>-3.3166733514349289E-3</v>
      </c>
      <c r="AG31" s="26">
        <f t="shared" si="4"/>
        <v>-4.4240475685358889E-2</v>
      </c>
      <c r="AH31" s="26">
        <f t="shared" si="5"/>
        <v>22.603735256195353</v>
      </c>
    </row>
    <row r="32" spans="1:34" x14ac:dyDescent="0.25">
      <c r="B32" t="str">
        <f>IF(B11&gt;150,"Battery Voltage Good", "Battery Voltage &lt;150 V: Low arc flash risk")</f>
        <v>Battery Voltage Good</v>
      </c>
      <c r="AB32" s="26">
        <v>21</v>
      </c>
      <c r="AC32" s="26">
        <f t="shared" si="0"/>
        <v>5831.7636960984009</v>
      </c>
      <c r="AD32" s="26">
        <f t="shared" si="1"/>
        <v>177.54037253511297</v>
      </c>
      <c r="AE32" s="26">
        <f t="shared" si="2"/>
        <v>177.54238099174873</v>
      </c>
      <c r="AF32" s="26">
        <f t="shared" si="3"/>
        <v>-2.0084566357638778E-3</v>
      </c>
      <c r="AG32" s="26">
        <f t="shared" si="4"/>
        <v>-4.4240820084881963E-2</v>
      </c>
      <c r="AH32" s="26">
        <f t="shared" si="5"/>
        <v>22.603559293913754</v>
      </c>
    </row>
    <row r="33" spans="1:35" x14ac:dyDescent="0.25">
      <c r="B33" t="str">
        <f>IF(B11&gt;B29,"Arc Voltage Good", "Min Arc Voltage &gt; Max Battery Voltage: Low Arc Flash Hazard")</f>
        <v>Arc Voltage Good</v>
      </c>
      <c r="AB33" s="26">
        <v>22</v>
      </c>
      <c r="AC33" s="26">
        <f t="shared" si="0"/>
        <v>5831.7182978297451</v>
      </c>
      <c r="AD33" s="26">
        <f t="shared" si="1"/>
        <v>177.54099888555754</v>
      </c>
      <c r="AE33" s="26">
        <f t="shared" si="2"/>
        <v>177.54221513843768</v>
      </c>
      <c r="AF33" s="26">
        <f t="shared" si="3"/>
        <v>-1.2162528801411554E-3</v>
      </c>
      <c r="AG33" s="26">
        <f t="shared" si="4"/>
        <v>-4.4241028643117838E-2</v>
      </c>
      <c r="AH33" s="26">
        <f t="shared" si="5"/>
        <v>22.603452737656013</v>
      </c>
    </row>
    <row r="34" spans="1:35" x14ac:dyDescent="0.25">
      <c r="B34" t="str">
        <f>IF(B27&gt;10+0.2*B16,"Arc Current Good", "Arc Current &lt; 10 + 0.2*Gap means: Low Arc Flash Risk")</f>
        <v>Arc Current Good</v>
      </c>
      <c r="AB34" s="26">
        <v>23</v>
      </c>
      <c r="AC34" s="26">
        <f t="shared" si="0"/>
        <v>5831.6908063152514</v>
      </c>
      <c r="AD34" s="26">
        <f t="shared" si="1"/>
        <v>177.54137818024947</v>
      </c>
      <c r="AE34" s="26">
        <f t="shared" si="2"/>
        <v>177.5421147032468</v>
      </c>
      <c r="AF34" s="26">
        <f t="shared" si="3"/>
        <v>-7.3652299732884785E-4</v>
      </c>
      <c r="AG34" s="26">
        <f t="shared" si="4"/>
        <v>-4.4241154939765166E-2</v>
      </c>
      <c r="AH34" s="26">
        <f t="shared" si="5"/>
        <v>22.603388210852799</v>
      </c>
    </row>
    <row r="35" spans="1:35" x14ac:dyDescent="0.25">
      <c r="AB35" s="26">
        <v>24</v>
      </c>
      <c r="AC35" s="26">
        <f t="shared" si="0"/>
        <v>5831.6741584000165</v>
      </c>
      <c r="AD35" s="26">
        <f t="shared" si="1"/>
        <v>177.54160786806395</v>
      </c>
      <c r="AE35" s="26">
        <f t="shared" si="2"/>
        <v>177.54205388294844</v>
      </c>
      <c r="AF35" s="26">
        <f t="shared" si="3"/>
        <v>-4.4601488448847704E-4</v>
      </c>
      <c r="AG35" s="26">
        <f t="shared" si="4"/>
        <v>-4.4241231421213278E-2</v>
      </c>
      <c r="AH35" s="26">
        <f t="shared" si="5"/>
        <v>22.603349135542118</v>
      </c>
    </row>
    <row r="36" spans="1:35" x14ac:dyDescent="0.25">
      <c r="A36" s="1" t="s">
        <v>50</v>
      </c>
      <c r="AB36" s="26">
        <v>25</v>
      </c>
      <c r="AC36" s="26">
        <f t="shared" si="0"/>
        <v>5831.6640769698624</v>
      </c>
      <c r="AD36" s="26">
        <f t="shared" si="1"/>
        <v>177.54174695945323</v>
      </c>
      <c r="AE36" s="26">
        <f t="shared" si="2"/>
        <v>177.54201705210099</v>
      </c>
      <c r="AF36" s="26">
        <f t="shared" si="3"/>
        <v>-2.7009264775301745E-4</v>
      </c>
      <c r="AG36" s="26">
        <f t="shared" si="4"/>
        <v>-4.4241277736063428E-2</v>
      </c>
      <c r="AH36" s="26">
        <f t="shared" si="5"/>
        <v>22.603325472782323</v>
      </c>
    </row>
    <row r="37" spans="1:35" x14ac:dyDescent="0.25">
      <c r="A37" s="19" t="s">
        <v>51</v>
      </c>
      <c r="B37" s="28">
        <f>AC67</f>
        <v>256.42679146617985</v>
      </c>
      <c r="C37" s="19" t="s">
        <v>13</v>
      </c>
    </row>
    <row r="38" spans="1:35" x14ac:dyDescent="0.25">
      <c r="A38" s="19" t="s">
        <v>52</v>
      </c>
      <c r="B38" s="8">
        <f>AD67</f>
        <v>61.285358293235973</v>
      </c>
      <c r="C38" s="19" t="s">
        <v>8</v>
      </c>
    </row>
    <row r="39" spans="1:35" x14ac:dyDescent="0.25">
      <c r="A39" s="19" t="s">
        <v>53</v>
      </c>
      <c r="B39" s="8">
        <f>AE67</f>
        <v>257.1544586930666</v>
      </c>
      <c r="C39" s="19" t="s">
        <v>7</v>
      </c>
    </row>
    <row r="40" spans="1:35" x14ac:dyDescent="0.25">
      <c r="A40" s="24" t="s">
        <v>79</v>
      </c>
      <c r="B40" s="8">
        <f>B16-B37</f>
        <v>-176.42679146617985</v>
      </c>
      <c r="C40" s="19"/>
      <c r="AB40" s="1" t="s">
        <v>50</v>
      </c>
      <c r="AF40" s="26"/>
    </row>
    <row r="41" spans="1:35" x14ac:dyDescent="0.25">
      <c r="A41" s="1"/>
      <c r="B41" s="11"/>
      <c r="C41" s="1"/>
      <c r="AB41" s="26" t="s">
        <v>107</v>
      </c>
      <c r="AC41" s="26" t="s">
        <v>51</v>
      </c>
      <c r="AD41" s="19" t="s">
        <v>52</v>
      </c>
      <c r="AE41" s="26" t="s">
        <v>53</v>
      </c>
      <c r="AF41" s="26" t="s">
        <v>108</v>
      </c>
      <c r="AG41" s="26" t="s">
        <v>105</v>
      </c>
      <c r="AH41" s="26" t="s">
        <v>106</v>
      </c>
      <c r="AI41" s="26" t="s">
        <v>104</v>
      </c>
    </row>
    <row r="42" spans="1:35" x14ac:dyDescent="0.25">
      <c r="A42" s="1" t="s">
        <v>101</v>
      </c>
      <c r="AB42" s="26">
        <v>0</v>
      </c>
      <c r="AC42" s="32">
        <f>B11</f>
        <v>258</v>
      </c>
      <c r="AD42" s="26">
        <f>10+0.2*AC42</f>
        <v>61.6</v>
      </c>
      <c r="AE42" s="26">
        <f>(20+0.534*AC42)*(AD42^0.12)</f>
        <v>258.68998543643977</v>
      </c>
      <c r="AF42" s="26">
        <f>B$11-AD42*B$13</f>
        <v>257.15011764705883</v>
      </c>
      <c r="AG42" s="26">
        <f>AF42-AE42</f>
        <v>-1.5398677893809349</v>
      </c>
      <c r="AH42" s="26">
        <f>-0.534*(AC42^0.12)</f>
        <v>-1.0397660232197097</v>
      </c>
      <c r="AI42" s="26">
        <f>-1/AH42</f>
        <v>0.96175483490355707</v>
      </c>
    </row>
    <row r="43" spans="1:35" x14ac:dyDescent="0.25">
      <c r="A43" s="24" t="s">
        <v>80</v>
      </c>
      <c r="B43" s="28">
        <f>IF(B20="Inline",AC98,B16)</f>
        <v>80.000007554035236</v>
      </c>
      <c r="C43" t="s">
        <v>13</v>
      </c>
      <c r="AB43" s="26">
        <v>1</v>
      </c>
      <c r="AC43" s="26">
        <f>AC42+AI42*AG42</f>
        <v>256.51902470845062</v>
      </c>
      <c r="AD43" s="26">
        <f>10+0.2*AC43</f>
        <v>61.303804941690125</v>
      </c>
      <c r="AE43" s="26">
        <f>(20+0.534*AC43)*(AD43^0.12)</f>
        <v>257.24445573631351</v>
      </c>
      <c r="AF43" s="26">
        <f>B$11-AD43*B$13</f>
        <v>257.15420418850505</v>
      </c>
      <c r="AG43" s="26">
        <f>AF43-AE43</f>
        <v>-9.0251547808463783E-2</v>
      </c>
      <c r="AH43" s="26">
        <f>-0.534*(AC43^0.12)</f>
        <v>-1.0390479901624472</v>
      </c>
      <c r="AI43" s="26">
        <f>-1/AH43</f>
        <v>0.96241945460445733</v>
      </c>
    </row>
    <row r="44" spans="1:35" x14ac:dyDescent="0.25">
      <c r="A44" s="24" t="s">
        <v>77</v>
      </c>
      <c r="B44" s="8">
        <f>AE98</f>
        <v>5.1665990654427616E-7</v>
      </c>
      <c r="C44" t="s">
        <v>20</v>
      </c>
      <c r="AB44" s="26">
        <v>2</v>
      </c>
      <c r="AC44" s="26">
        <f t="shared" ref="AC44:AC67" si="6">AC43+AI43*AG43</f>
        <v>256.43216486303157</v>
      </c>
      <c r="AD44" s="26">
        <f t="shared" ref="AD44:AD67" si="7">10+0.2*AC44</f>
        <v>61.28643297260632</v>
      </c>
      <c r="AE44" s="26">
        <f t="shared" ref="AE44:AE67" si="8">(20+0.534*AC44)*(AD44^0.12)</f>
        <v>257.15970171923811</v>
      </c>
      <c r="AF44" s="26">
        <f t="shared" ref="AF44:AF67" si="9">B$11-AD44*B$13</f>
        <v>257.15444386593947</v>
      </c>
      <c r="AG44" s="26">
        <f t="shared" ref="AG44:AG67" si="10">AF44-AE44</f>
        <v>-5.257853298644477E-3</v>
      </c>
      <c r="AH44" s="26">
        <f t="shared" ref="AH44:AH67" si="11">-0.534*(AC44^0.12)</f>
        <v>-1.0390057640559713</v>
      </c>
      <c r="AI44" s="26">
        <f t="shared" ref="AI44:AI67" si="12">-1/AH44</f>
        <v>0.962458568176076</v>
      </c>
    </row>
    <row r="45" spans="1:35" x14ac:dyDescent="0.25">
      <c r="A45" s="31" t="s">
        <v>85</v>
      </c>
      <c r="B45" s="28">
        <f>IF(B44&gt;B$22,B44,B$22)</f>
        <v>0.05</v>
      </c>
      <c r="C45" s="26" t="s">
        <v>20</v>
      </c>
      <c r="AB45" s="26">
        <v>3</v>
      </c>
      <c r="AC45" s="26">
        <f>AC44+AI44*AG44</f>
        <v>256.42710439707406</v>
      </c>
      <c r="AD45" s="26">
        <f t="shared" si="7"/>
        <v>61.285420879414815</v>
      </c>
      <c r="AE45" s="26">
        <f t="shared" si="8"/>
        <v>257.15476403124057</v>
      </c>
      <c r="AF45" s="26">
        <f>B$11-AD45*B$13</f>
        <v>257.15445782957812</v>
      </c>
      <c r="AG45" s="26">
        <f t="shared" si="10"/>
        <v>-3.062016624539865E-4</v>
      </c>
      <c r="AH45" s="26">
        <f t="shared" si="11"/>
        <v>-1.0390033035694928</v>
      </c>
      <c r="AI45" s="26">
        <f t="shared" si="12"/>
        <v>0.96246084739529025</v>
      </c>
    </row>
    <row r="46" spans="1:35" x14ac:dyDescent="0.25">
      <c r="A46" s="31" t="s">
        <v>81</v>
      </c>
      <c r="B46" s="8">
        <f>IF(B45&gt;B14,B14,B45)</f>
        <v>0.05</v>
      </c>
      <c r="C46" s="26" t="s">
        <v>20</v>
      </c>
      <c r="AB46" s="26">
        <v>4</v>
      </c>
      <c r="AC46" s="26">
        <f t="shared" si="6"/>
        <v>256.42680968996257</v>
      </c>
      <c r="AD46" s="26">
        <f t="shared" si="7"/>
        <v>61.285361937992519</v>
      </c>
      <c r="AE46" s="26">
        <f t="shared" si="8"/>
        <v>257.15447647468005</v>
      </c>
      <c r="AF46" s="26">
        <f>B$11-AD46*B$13</f>
        <v>257.15445864278064</v>
      </c>
      <c r="AG46" s="26">
        <f t="shared" si="10"/>
        <v>-1.7831899413067731E-5</v>
      </c>
      <c r="AH46" s="26">
        <f t="shared" si="11"/>
        <v>-1.0390031602764576</v>
      </c>
      <c r="AI46" s="26">
        <f t="shared" si="12"/>
        <v>0.96246098013207237</v>
      </c>
    </row>
    <row r="47" spans="1:35" x14ac:dyDescent="0.25">
      <c r="A47" t="s">
        <v>112</v>
      </c>
      <c r="B47" s="8">
        <f>(B38-B27)/B45</f>
        <v>-115407.57437353252</v>
      </c>
      <c r="C47" t="s">
        <v>113</v>
      </c>
      <c r="D47" s="26"/>
      <c r="AB47" s="26">
        <v>5</v>
      </c>
      <c r="AC47" s="26">
        <f>AC46+AI46*AG46</f>
        <v>256.42679252745518</v>
      </c>
      <c r="AD47" s="26">
        <f t="shared" si="7"/>
        <v>61.28535850549104</v>
      </c>
      <c r="AE47" s="26">
        <f t="shared" si="8"/>
        <v>257.1544597285918</v>
      </c>
      <c r="AF47" s="26">
        <f t="shared" si="9"/>
        <v>257.15445869013814</v>
      </c>
      <c r="AG47" s="26">
        <f t="shared" si="10"/>
        <v>-1.0384536608398776E-6</v>
      </c>
      <c r="AH47" s="26">
        <f t="shared" si="11"/>
        <v>-1.0390031519316671</v>
      </c>
      <c r="AI47" s="26">
        <f t="shared" si="12"/>
        <v>0.96246098786211165</v>
      </c>
    </row>
    <row r="48" spans="1:35" x14ac:dyDescent="0.25">
      <c r="A48" s="19" t="s">
        <v>114</v>
      </c>
      <c r="B48" s="28">
        <f>(B39-B28)/B45</f>
        <v>1592.2542346722673</v>
      </c>
      <c r="C48" t="s">
        <v>115</v>
      </c>
      <c r="AB48" s="26">
        <v>6</v>
      </c>
      <c r="AC48" s="26">
        <f t="shared" si="6"/>
        <v>256.42679152798405</v>
      </c>
      <c r="AD48" s="26">
        <f t="shared" si="7"/>
        <v>61.285358305596816</v>
      </c>
      <c r="AE48" s="26">
        <f t="shared" si="8"/>
        <v>257.15445875337122</v>
      </c>
      <c r="AF48" s="26">
        <f t="shared" si="9"/>
        <v>257.15445869289607</v>
      </c>
      <c r="AG48" s="26">
        <f t="shared" si="10"/>
        <v>-6.0475144891825039E-8</v>
      </c>
      <c r="AH48" s="26">
        <f t="shared" si="11"/>
        <v>-1.0390031514457021</v>
      </c>
      <c r="AI48" s="26">
        <f t="shared" si="12"/>
        <v>0.96246098831227622</v>
      </c>
    </row>
    <row r="49" spans="1:35" x14ac:dyDescent="0.25">
      <c r="A49" s="24" t="s">
        <v>82</v>
      </c>
      <c r="B49" s="8">
        <f>IF(B20="Inline",B16+B21*((B38+B27)/2)*B46,B16)</f>
        <v>80.73104523303185</v>
      </c>
      <c r="C49" t="s">
        <v>13</v>
      </c>
      <c r="AB49" s="26">
        <v>7</v>
      </c>
      <c r="AC49" s="26">
        <f t="shared" si="6"/>
        <v>256.42679146977906</v>
      </c>
      <c r="AD49" s="26">
        <f t="shared" si="7"/>
        <v>61.285358293955817</v>
      </c>
      <c r="AE49" s="26">
        <f t="shared" si="8"/>
        <v>257.15445869657844</v>
      </c>
      <c r="AF49" s="26">
        <f t="shared" si="9"/>
        <v>257.15445869305665</v>
      </c>
      <c r="AG49" s="26">
        <f t="shared" si="10"/>
        <v>-3.5217908589402214E-9</v>
      </c>
      <c r="AH49" s="26">
        <f t="shared" si="11"/>
        <v>-1.0390031514174016</v>
      </c>
      <c r="AI49" s="26">
        <f t="shared" si="12"/>
        <v>0.96246098833849181</v>
      </c>
    </row>
    <row r="50" spans="1:35" x14ac:dyDescent="0.25">
      <c r="A50" t="s">
        <v>83</v>
      </c>
      <c r="B50" s="28">
        <f>(B17*B84*B85/(B15^2))*((B47*B48/3)*B46^3 +  ((B48*B27+B47*B28)/2)*B46^2 + B27*B28*B46)</f>
        <v>0.60834010014059581</v>
      </c>
      <c r="C50" t="s">
        <v>21</v>
      </c>
      <c r="AB50" s="26">
        <v>8</v>
      </c>
      <c r="AC50" s="26">
        <f t="shared" si="6"/>
        <v>256.42679146638949</v>
      </c>
      <c r="AD50" s="26">
        <f t="shared" si="7"/>
        <v>61.285358293277902</v>
      </c>
      <c r="AE50" s="26">
        <f t="shared" si="8"/>
        <v>257.15445869327112</v>
      </c>
      <c r="AF50" s="26">
        <f t="shared" si="9"/>
        <v>257.15445869306603</v>
      </c>
      <c r="AG50" s="26">
        <f t="shared" si="10"/>
        <v>-2.0509105524979532E-10</v>
      </c>
      <c r="AH50" s="26">
        <f t="shared" si="11"/>
        <v>-1.0390031514157534</v>
      </c>
      <c r="AI50" s="26">
        <f t="shared" si="12"/>
        <v>0.96246098834001859</v>
      </c>
    </row>
    <row r="51" spans="1:35" x14ac:dyDescent="0.25">
      <c r="AB51" s="26">
        <v>9</v>
      </c>
      <c r="AC51" s="26">
        <f t="shared" si="6"/>
        <v>256.42679146619207</v>
      </c>
      <c r="AD51" s="26">
        <f t="shared" si="7"/>
        <v>61.285358293238417</v>
      </c>
      <c r="AE51" s="26">
        <f t="shared" si="8"/>
        <v>257.15445869307854</v>
      </c>
      <c r="AF51" s="26">
        <f t="shared" si="9"/>
        <v>257.15445869306654</v>
      </c>
      <c r="AG51" s="26">
        <f t="shared" si="10"/>
        <v>-1.1993961379630491E-11</v>
      </c>
      <c r="AH51" s="26">
        <f t="shared" si="11"/>
        <v>-1.0390031514156575</v>
      </c>
      <c r="AI51" s="26">
        <f t="shared" si="12"/>
        <v>0.9624609883401074</v>
      </c>
    </row>
    <row r="52" spans="1:35" x14ac:dyDescent="0.25">
      <c r="A52" s="1" t="s">
        <v>100</v>
      </c>
      <c r="AB52" s="26">
        <v>10</v>
      </c>
      <c r="AC52" s="26">
        <f t="shared" si="6"/>
        <v>256.42679146618053</v>
      </c>
      <c r="AD52" s="26">
        <f t="shared" si="7"/>
        <v>61.285358293236108</v>
      </c>
      <c r="AE52" s="26">
        <f t="shared" si="8"/>
        <v>257.15445869306728</v>
      </c>
      <c r="AF52" s="26">
        <f t="shared" si="9"/>
        <v>257.1544586930666</v>
      </c>
      <c r="AG52" s="26">
        <f t="shared" si="10"/>
        <v>-6.8212102632969618E-13</v>
      </c>
      <c r="AH52" s="26">
        <f t="shared" si="11"/>
        <v>-1.0390031514156519</v>
      </c>
      <c r="AI52" s="26">
        <f t="shared" si="12"/>
        <v>0.96246098834011262</v>
      </c>
    </row>
    <row r="53" spans="1:35" x14ac:dyDescent="0.25">
      <c r="A53" s="24" t="s">
        <v>80</v>
      </c>
      <c r="B53" s="28">
        <f>IF(B20="Inline",AC129,B16)</f>
        <v>80.026885332003033</v>
      </c>
      <c r="C53" t="s">
        <v>13</v>
      </c>
      <c r="AB53" s="26">
        <v>11</v>
      </c>
      <c r="AC53" s="26">
        <f t="shared" si="6"/>
        <v>256.42679146617985</v>
      </c>
      <c r="AD53" s="26">
        <f t="shared" si="7"/>
        <v>61.285358293235973</v>
      </c>
      <c r="AE53" s="26">
        <f t="shared" si="8"/>
        <v>257.1544586930666</v>
      </c>
      <c r="AF53" s="26">
        <f t="shared" si="9"/>
        <v>257.1544586930666</v>
      </c>
      <c r="AG53" s="26">
        <f t="shared" si="10"/>
        <v>0</v>
      </c>
      <c r="AH53" s="26">
        <f t="shared" si="11"/>
        <v>-1.0390031514156515</v>
      </c>
      <c r="AI53" s="26">
        <f t="shared" si="12"/>
        <v>0.96246098834011296</v>
      </c>
    </row>
    <row r="54" spans="1:35" x14ac:dyDescent="0.25">
      <c r="A54" s="24" t="s">
        <v>77</v>
      </c>
      <c r="B54" s="8">
        <f>AD129</f>
        <v>6.0529847165705477E-4</v>
      </c>
      <c r="C54" t="s">
        <v>20</v>
      </c>
      <c r="AB54" s="26">
        <v>12</v>
      </c>
      <c r="AC54" s="26">
        <f t="shared" si="6"/>
        <v>256.42679146617985</v>
      </c>
      <c r="AD54" s="26">
        <f t="shared" si="7"/>
        <v>61.285358293235973</v>
      </c>
      <c r="AE54" s="26">
        <f t="shared" si="8"/>
        <v>257.1544586930666</v>
      </c>
      <c r="AF54" s="26">
        <f t="shared" si="9"/>
        <v>257.1544586930666</v>
      </c>
      <c r="AG54" s="26">
        <f t="shared" si="10"/>
        <v>0</v>
      </c>
      <c r="AH54" s="26">
        <f t="shared" si="11"/>
        <v>-1.0390031514156515</v>
      </c>
      <c r="AI54" s="26">
        <f t="shared" si="12"/>
        <v>0.96246098834011296</v>
      </c>
    </row>
    <row r="55" spans="1:35" x14ac:dyDescent="0.25">
      <c r="A55" s="31" t="s">
        <v>85</v>
      </c>
      <c r="B55" s="28">
        <f>IF(B54&gt;B$22,B54,B$22)</f>
        <v>0.05</v>
      </c>
      <c r="C55" s="26" t="s">
        <v>20</v>
      </c>
      <c r="AB55" s="26">
        <v>13</v>
      </c>
      <c r="AC55" s="26">
        <f t="shared" si="6"/>
        <v>256.42679146617985</v>
      </c>
      <c r="AD55" s="26">
        <f t="shared" si="7"/>
        <v>61.285358293235973</v>
      </c>
      <c r="AE55" s="26">
        <f t="shared" si="8"/>
        <v>257.1544586930666</v>
      </c>
      <c r="AF55" s="26">
        <f t="shared" si="9"/>
        <v>257.1544586930666</v>
      </c>
      <c r="AG55" s="26">
        <f t="shared" si="10"/>
        <v>0</v>
      </c>
      <c r="AH55" s="26">
        <f t="shared" si="11"/>
        <v>-1.0390031514156515</v>
      </c>
      <c r="AI55" s="26">
        <f t="shared" si="12"/>
        <v>0.96246098834011296</v>
      </c>
    </row>
    <row r="56" spans="1:35" x14ac:dyDescent="0.25">
      <c r="A56" s="31" t="s">
        <v>81</v>
      </c>
      <c r="B56" s="8">
        <f>IF(B55&gt;B14,B14,B55)</f>
        <v>0.05</v>
      </c>
      <c r="C56" s="26" t="s">
        <v>20</v>
      </c>
      <c r="AB56" s="26">
        <v>14</v>
      </c>
      <c r="AC56" s="26">
        <f t="shared" si="6"/>
        <v>256.42679146617985</v>
      </c>
      <c r="AD56" s="26">
        <f t="shared" si="7"/>
        <v>61.285358293235973</v>
      </c>
      <c r="AE56" s="26">
        <f t="shared" si="8"/>
        <v>257.1544586930666</v>
      </c>
      <c r="AF56" s="26">
        <f t="shared" si="9"/>
        <v>257.1544586930666</v>
      </c>
      <c r="AG56" s="26">
        <f t="shared" si="10"/>
        <v>0</v>
      </c>
      <c r="AH56" s="26">
        <f t="shared" si="11"/>
        <v>-1.0390031514156515</v>
      </c>
      <c r="AI56" s="26">
        <f t="shared" si="12"/>
        <v>0.96246098834011296</v>
      </c>
    </row>
    <row r="57" spans="1:35" s="26" customFormat="1" x14ac:dyDescent="0.25">
      <c r="A57" s="26" t="s">
        <v>112</v>
      </c>
      <c r="B57" s="28">
        <f>(B38-B27)/B55</f>
        <v>-115407.57437353252</v>
      </c>
      <c r="C57" s="26" t="s">
        <v>113</v>
      </c>
      <c r="AB57" s="26">
        <v>15</v>
      </c>
      <c r="AC57" s="26">
        <f t="shared" si="6"/>
        <v>256.42679146617985</v>
      </c>
      <c r="AD57" s="26">
        <f t="shared" si="7"/>
        <v>61.285358293235973</v>
      </c>
      <c r="AE57" s="26">
        <f t="shared" si="8"/>
        <v>257.1544586930666</v>
      </c>
      <c r="AF57" s="26">
        <f t="shared" si="9"/>
        <v>257.1544586930666</v>
      </c>
      <c r="AG57" s="26">
        <f t="shared" si="10"/>
        <v>0</v>
      </c>
      <c r="AH57" s="26">
        <f t="shared" si="11"/>
        <v>-1.0390031514156515</v>
      </c>
      <c r="AI57" s="26">
        <f t="shared" si="12"/>
        <v>0.96246098834011296</v>
      </c>
    </row>
    <row r="58" spans="1:35" x14ac:dyDescent="0.25">
      <c r="A58" s="19" t="s">
        <v>114</v>
      </c>
      <c r="B58" s="28">
        <f>(B39-B28)/B55</f>
        <v>1592.2542346722673</v>
      </c>
      <c r="C58" s="26" t="s">
        <v>115</v>
      </c>
      <c r="AB58" s="26">
        <v>16</v>
      </c>
      <c r="AC58" s="26">
        <f t="shared" si="6"/>
        <v>256.42679146617985</v>
      </c>
      <c r="AD58" s="26">
        <f t="shared" si="7"/>
        <v>61.285358293235973</v>
      </c>
      <c r="AE58" s="26">
        <f t="shared" si="8"/>
        <v>257.1544586930666</v>
      </c>
      <c r="AF58" s="26">
        <f t="shared" si="9"/>
        <v>257.1544586930666</v>
      </c>
      <c r="AG58" s="26">
        <f t="shared" si="10"/>
        <v>0</v>
      </c>
      <c r="AH58" s="26">
        <f t="shared" si="11"/>
        <v>-1.0390031514156515</v>
      </c>
      <c r="AI58" s="26">
        <f t="shared" si="12"/>
        <v>0.96246098834011296</v>
      </c>
    </row>
    <row r="59" spans="1:35" x14ac:dyDescent="0.25">
      <c r="A59" s="24" t="s">
        <v>82</v>
      </c>
      <c r="B59" s="8">
        <f>IF(B20="Inline",B16+B21*((B38+B27)/2)*B56,B16)</f>
        <v>80.73104523303185</v>
      </c>
      <c r="C59" t="s">
        <v>13</v>
      </c>
      <c r="AB59" s="26">
        <v>17</v>
      </c>
      <c r="AC59" s="26">
        <f t="shared" si="6"/>
        <v>256.42679146617985</v>
      </c>
      <c r="AD59" s="26">
        <f t="shared" si="7"/>
        <v>61.285358293235973</v>
      </c>
      <c r="AE59" s="26">
        <f t="shared" si="8"/>
        <v>257.1544586930666</v>
      </c>
      <c r="AF59" s="26">
        <f t="shared" si="9"/>
        <v>257.1544586930666</v>
      </c>
      <c r="AG59" s="26">
        <f t="shared" si="10"/>
        <v>0</v>
      </c>
      <c r="AH59" s="26">
        <f t="shared" si="11"/>
        <v>-1.0390031514156515</v>
      </c>
      <c r="AI59" s="26">
        <f t="shared" si="12"/>
        <v>0.96246098834011296</v>
      </c>
    </row>
    <row r="60" spans="1:35" x14ac:dyDescent="0.25">
      <c r="A60" t="s">
        <v>84</v>
      </c>
      <c r="B60" s="8">
        <f>(B17*B84*B85/(B15^2))*((B57*B58/3)*B56^3 +  ((B58*B27+B57*B28)/2)*B56^2 + B27*B28*B56)</f>
        <v>0.60834010014059581</v>
      </c>
      <c r="C60" t="s">
        <v>21</v>
      </c>
      <c r="AB60" s="26">
        <v>18</v>
      </c>
      <c r="AC60" s="26">
        <f t="shared" si="6"/>
        <v>256.42679146617985</v>
      </c>
      <c r="AD60" s="26">
        <f t="shared" si="7"/>
        <v>61.285358293235973</v>
      </c>
      <c r="AE60" s="26">
        <f t="shared" si="8"/>
        <v>257.1544586930666</v>
      </c>
      <c r="AF60" s="26">
        <f t="shared" si="9"/>
        <v>257.1544586930666</v>
      </c>
      <c r="AG60" s="26">
        <f t="shared" si="10"/>
        <v>0</v>
      </c>
      <c r="AH60" s="26">
        <f t="shared" si="11"/>
        <v>-1.0390031514156515</v>
      </c>
      <c r="AI60" s="26">
        <f t="shared" si="12"/>
        <v>0.96246098834011296</v>
      </c>
    </row>
    <row r="61" spans="1:35" x14ac:dyDescent="0.25">
      <c r="AB61" s="26">
        <v>19</v>
      </c>
      <c r="AC61" s="26">
        <f t="shared" si="6"/>
        <v>256.42679146617985</v>
      </c>
      <c r="AD61" s="26">
        <f t="shared" si="7"/>
        <v>61.285358293235973</v>
      </c>
      <c r="AE61" s="26">
        <f t="shared" si="8"/>
        <v>257.1544586930666</v>
      </c>
      <c r="AF61" s="26">
        <f t="shared" si="9"/>
        <v>257.1544586930666</v>
      </c>
      <c r="AG61" s="26">
        <f t="shared" si="10"/>
        <v>0</v>
      </c>
      <c r="AH61" s="26">
        <f t="shared" si="11"/>
        <v>-1.0390031514156515</v>
      </c>
      <c r="AI61" s="26">
        <f t="shared" si="12"/>
        <v>0.96246098834011296</v>
      </c>
    </row>
    <row r="62" spans="1:35" x14ac:dyDescent="0.25">
      <c r="B62" s="6"/>
      <c r="AB62" s="26">
        <v>20</v>
      </c>
      <c r="AC62" s="26">
        <f t="shared" si="6"/>
        <v>256.42679146617985</v>
      </c>
      <c r="AD62" s="26">
        <f t="shared" si="7"/>
        <v>61.285358293235973</v>
      </c>
      <c r="AE62" s="26">
        <f t="shared" si="8"/>
        <v>257.1544586930666</v>
      </c>
      <c r="AF62" s="26">
        <f t="shared" si="9"/>
        <v>257.1544586930666</v>
      </c>
      <c r="AG62" s="26">
        <f t="shared" si="10"/>
        <v>0</v>
      </c>
      <c r="AH62" s="26">
        <f t="shared" si="11"/>
        <v>-1.0390031514156515</v>
      </c>
      <c r="AI62" s="26">
        <f t="shared" si="12"/>
        <v>0.96246098834011296</v>
      </c>
    </row>
    <row r="63" spans="1:35" x14ac:dyDescent="0.25">
      <c r="A63" s="1" t="s">
        <v>14</v>
      </c>
      <c r="B63" s="11" t="s">
        <v>23</v>
      </c>
      <c r="C63" s="1" t="s">
        <v>22</v>
      </c>
      <c r="AB63" s="26">
        <v>21</v>
      </c>
      <c r="AC63" s="26">
        <f t="shared" si="6"/>
        <v>256.42679146617985</v>
      </c>
      <c r="AD63" s="26">
        <f t="shared" si="7"/>
        <v>61.285358293235973</v>
      </c>
      <c r="AE63" s="26">
        <f t="shared" si="8"/>
        <v>257.1544586930666</v>
      </c>
      <c r="AF63" s="26">
        <f t="shared" si="9"/>
        <v>257.1544586930666</v>
      </c>
      <c r="AG63" s="26">
        <f t="shared" si="10"/>
        <v>0</v>
      </c>
      <c r="AH63" s="26">
        <f t="shared" si="11"/>
        <v>-1.0390031514156515</v>
      </c>
      <c r="AI63" s="26">
        <f t="shared" si="12"/>
        <v>0.96246098834011296</v>
      </c>
    </row>
    <row r="64" spans="1:35" x14ac:dyDescent="0.25">
      <c r="A64" t="s">
        <v>88</v>
      </c>
      <c r="B64" s="8">
        <f>B50</f>
        <v>0.60834010014059581</v>
      </c>
      <c r="C64" t="s">
        <v>21</v>
      </c>
      <c r="AB64" s="26">
        <v>22</v>
      </c>
      <c r="AC64" s="26">
        <f t="shared" si="6"/>
        <v>256.42679146617985</v>
      </c>
      <c r="AD64" s="26">
        <f t="shared" si="7"/>
        <v>61.285358293235973</v>
      </c>
      <c r="AE64" s="26">
        <f t="shared" si="8"/>
        <v>257.1544586930666</v>
      </c>
      <c r="AF64" s="26">
        <f t="shared" si="9"/>
        <v>257.1544586930666</v>
      </c>
      <c r="AG64" s="26">
        <f t="shared" si="10"/>
        <v>0</v>
      </c>
      <c r="AH64" s="26">
        <f t="shared" si="11"/>
        <v>-1.0390031514156515</v>
      </c>
      <c r="AI64" s="26">
        <f t="shared" si="12"/>
        <v>0.96246098834011296</v>
      </c>
    </row>
    <row r="65" spans="1:56" x14ac:dyDescent="0.25">
      <c r="A65" t="s">
        <v>91</v>
      </c>
      <c r="B65" s="8">
        <f>BD98</f>
        <v>21.844027389503744</v>
      </c>
      <c r="C65" t="s">
        <v>37</v>
      </c>
      <c r="AB65" s="26">
        <v>23</v>
      </c>
      <c r="AC65" s="26">
        <f t="shared" si="6"/>
        <v>256.42679146617985</v>
      </c>
      <c r="AD65" s="26">
        <f t="shared" si="7"/>
        <v>61.285358293235973</v>
      </c>
      <c r="AE65" s="26">
        <f t="shared" si="8"/>
        <v>257.1544586930666</v>
      </c>
      <c r="AF65" s="26">
        <f t="shared" si="9"/>
        <v>257.1544586930666</v>
      </c>
      <c r="AG65" s="26">
        <f t="shared" si="10"/>
        <v>0</v>
      </c>
      <c r="AH65" s="26">
        <f t="shared" si="11"/>
        <v>-1.0390031514156515</v>
      </c>
      <c r="AI65" s="26">
        <f t="shared" si="12"/>
        <v>0.96246098834011296</v>
      </c>
    </row>
    <row r="66" spans="1:56" x14ac:dyDescent="0.25">
      <c r="A66" s="26" t="s">
        <v>90</v>
      </c>
      <c r="B66" s="8">
        <f>B60</f>
        <v>0.60834010014059581</v>
      </c>
      <c r="C66" t="s">
        <v>21</v>
      </c>
      <c r="AB66" s="26">
        <v>24</v>
      </c>
      <c r="AC66" s="26">
        <f t="shared" si="6"/>
        <v>256.42679146617985</v>
      </c>
      <c r="AD66" s="26">
        <f t="shared" si="7"/>
        <v>61.285358293235973</v>
      </c>
      <c r="AE66" s="26">
        <f t="shared" si="8"/>
        <v>257.1544586930666</v>
      </c>
      <c r="AF66" s="26">
        <f t="shared" si="9"/>
        <v>257.1544586930666</v>
      </c>
      <c r="AG66" s="26">
        <f t="shared" si="10"/>
        <v>0</v>
      </c>
      <c r="AH66" s="26">
        <f t="shared" si="11"/>
        <v>-1.0390031514156515</v>
      </c>
      <c r="AI66" s="26">
        <f t="shared" si="12"/>
        <v>0.96246098834011296</v>
      </c>
    </row>
    <row r="67" spans="1:56" x14ac:dyDescent="0.25">
      <c r="A67" s="26" t="s">
        <v>89</v>
      </c>
      <c r="B67" s="28">
        <f>BD129</f>
        <v>21.844027389503744</v>
      </c>
      <c r="C67" t="s">
        <v>37</v>
      </c>
      <c r="AB67" s="26">
        <v>25</v>
      </c>
      <c r="AC67" s="26">
        <f t="shared" si="6"/>
        <v>256.42679146617985</v>
      </c>
      <c r="AD67" s="26">
        <f t="shared" si="7"/>
        <v>61.285358293235973</v>
      </c>
      <c r="AE67" s="26">
        <f t="shared" si="8"/>
        <v>257.1544586930666</v>
      </c>
      <c r="AF67" s="26">
        <f t="shared" si="9"/>
        <v>257.1544586930666</v>
      </c>
      <c r="AG67" s="26">
        <f t="shared" si="10"/>
        <v>0</v>
      </c>
      <c r="AH67" s="26">
        <f t="shared" si="11"/>
        <v>-1.0390031514156515</v>
      </c>
      <c r="AI67" s="26">
        <f t="shared" si="12"/>
        <v>0.96246098834011296</v>
      </c>
    </row>
    <row r="68" spans="1:56" x14ac:dyDescent="0.25">
      <c r="A68" t="s">
        <v>38</v>
      </c>
      <c r="B68" s="16">
        <f>(B11^2)/(2*B13)</f>
        <v>2412300</v>
      </c>
      <c r="C68" t="s">
        <v>39</v>
      </c>
    </row>
    <row r="69" spans="1:56" x14ac:dyDescent="0.25">
      <c r="A69" t="s">
        <v>40</v>
      </c>
      <c r="B69" s="8" t="str">
        <f>IF(B68&lt;30000,IF(B68&lt;1000,"None","Light Duty Leather Gloves"),"Heavy Duty Leather Gloves")</f>
        <v>Heavy Duty Leather Gloves</v>
      </c>
    </row>
    <row r="70" spans="1:56" x14ac:dyDescent="0.25">
      <c r="A70" t="s">
        <v>41</v>
      </c>
      <c r="B70" s="17" t="str">
        <f>IF(B11&lt;1000,IF(B11&lt;100,"Not Spesified","1 m"),"1.5 m")</f>
        <v>1 m</v>
      </c>
    </row>
    <row r="71" spans="1:56" x14ac:dyDescent="0.25">
      <c r="A71" t="s">
        <v>42</v>
      </c>
      <c r="B71" s="17" t="str">
        <f>IF(B11&lt;1000,IF(B11&lt;300,IF(B11&lt;100,"Not Spesified","Avoid Contact"),"0.3 m"),"0.5 m")</f>
        <v>Avoid Contact</v>
      </c>
      <c r="N71" s="1"/>
      <c r="U71" s="1"/>
      <c r="AB71" s="1" t="s">
        <v>101</v>
      </c>
      <c r="AL71" s="1" t="s">
        <v>116</v>
      </c>
      <c r="BB71" s="1" t="s">
        <v>118</v>
      </c>
    </row>
    <row r="72" spans="1:56" x14ac:dyDescent="0.25">
      <c r="A72" t="s">
        <v>43</v>
      </c>
      <c r="B72" s="18" t="str">
        <f>IF(B11&lt;1500,IF(B11&lt;750,IF(B11&lt;100,"Not Spesified","Class 00 Gloves + Leather Outers"),"Class 0 Gloves + Leather Outers"),"Class 1 Gloves + Leather Outers")</f>
        <v>Class 00 Gloves + Leather Outers</v>
      </c>
      <c r="AB72" s="26" t="s">
        <v>107</v>
      </c>
      <c r="AC72" t="s">
        <v>109</v>
      </c>
      <c r="AD72" t="s">
        <v>111</v>
      </c>
      <c r="AE72" s="26" t="s">
        <v>110</v>
      </c>
      <c r="AF72" s="26" t="s">
        <v>105</v>
      </c>
      <c r="AG72" s="26" t="s">
        <v>106</v>
      </c>
      <c r="AH72" s="26" t="s">
        <v>104</v>
      </c>
      <c r="AL72" s="26" t="s">
        <v>109</v>
      </c>
      <c r="AM72" s="26" t="s">
        <v>111</v>
      </c>
      <c r="AN72" s="26" t="s">
        <v>110</v>
      </c>
      <c r="AO72" s="26" t="s">
        <v>105</v>
      </c>
      <c r="BB72" t="s">
        <v>120</v>
      </c>
      <c r="BC72" t="s">
        <v>121</v>
      </c>
      <c r="BD72" t="s">
        <v>122</v>
      </c>
    </row>
    <row r="73" spans="1:56" x14ac:dyDescent="0.25">
      <c r="B73" s="6"/>
      <c r="AB73" s="26">
        <v>0</v>
      </c>
      <c r="AC73">
        <f>AC67</f>
        <v>256.42679146617985</v>
      </c>
      <c r="AD73">
        <f t="shared" ref="AD73:AD98" si="13">IF(B$20="Inline",0.5*B$23*($AC73-$B$16)/EXP(B$23*($AC73-$B$37)),0.5*B$23/EXP(B$23*B$40))</f>
        <v>0.71588606063915894</v>
      </c>
      <c r="AE73">
        <f>IF(B$20="Inline",2*(AC73-B$16)/(B$21*(B$38+B$27)),AD$73)</f>
        <v>12.066749326473948</v>
      </c>
      <c r="AF73">
        <f>AD73-AE73</f>
        <v>-11.350863265834789</v>
      </c>
      <c r="AG73" s="21">
        <f>0.5*((B$23^2)*B$16+B$23-(B$23^2)*AC73)*EXP(-B$23*(AC73-B$37))-2/(B$21*(B$38+B$27))</f>
        <v>-7.0147220082739437E-2</v>
      </c>
      <c r="AH73" s="26">
        <f>-0.5/AG73</f>
        <v>7.1278662135184314</v>
      </c>
      <c r="AJ73" s="21"/>
      <c r="AL73" s="6">
        <f>B16</f>
        <v>80</v>
      </c>
      <c r="AM73" s="26">
        <f t="shared" ref="AM73:AM98" si="14">IF(B$20="Inline",0.5*B$23*($AL73-$B$16)/EXP(B$23*($AL73-$B$37)),0.5*B$23/EXP(B$23*B$40))</f>
        <v>0</v>
      </c>
      <c r="AN73" s="26">
        <f t="shared" ref="AN73:AN98" si="15">IF(B$20="Inline",2*(AL73-B$16)/(B$21*(B$38+B$27)),AM$73)</f>
        <v>0</v>
      </c>
      <c r="AO73" s="26">
        <f t="shared" ref="AO73:AO98" si="16">AM73-AN73</f>
        <v>0</v>
      </c>
      <c r="BB73" s="6">
        <f>B17</f>
        <v>2.2208141581712839</v>
      </c>
      <c r="BC73" s="6">
        <f>B50</f>
        <v>0.60834010014059581</v>
      </c>
      <c r="BD73">
        <f>$B$15*SQRT(BC73/1.2)</f>
        <v>32.552835319186997</v>
      </c>
    </row>
    <row r="74" spans="1:56" x14ac:dyDescent="0.25">
      <c r="A74" s="1" t="s">
        <v>5</v>
      </c>
      <c r="B74" s="11" t="s">
        <v>23</v>
      </c>
      <c r="C74" s="1" t="s">
        <v>22</v>
      </c>
      <c r="AB74" s="26">
        <v>1</v>
      </c>
      <c r="AC74">
        <f>AC73+AH73*AF73</f>
        <v>175.51935669936859</v>
      </c>
      <c r="AD74" s="26">
        <f t="shared" si="13"/>
        <v>0.74735422314307687</v>
      </c>
      <c r="AE74" s="26">
        <f t="shared" ref="AE74:AE98" si="17">IF(B$20="Inline",2*(AC74-B$16)/(B$21*(B$38+B$27)),AD$73)</f>
        <v>6.5330674754025662</v>
      </c>
      <c r="AF74" s="26">
        <f>AD74-AE74</f>
        <v>-5.7857132522594892</v>
      </c>
      <c r="AG74" s="26">
        <f t="shared" ref="AG74:AG98" si="18">0.5*((B$23^2)*B$16+B$23-(B$23^2)*AC74)*EXP(-B$23*(AC74-B$37))-2/(B$21*(B$38+B$27))</f>
        <v>-6.6636178380816868E-2</v>
      </c>
      <c r="AH74" s="26">
        <f t="shared" ref="AH74:AH98" si="19">-0.5/AG74</f>
        <v>7.5034315014670669</v>
      </c>
      <c r="AL74" s="26">
        <f t="shared" ref="AL74:AL98" si="20">AL73*1.17</f>
        <v>93.6</v>
      </c>
      <c r="AM74" s="26">
        <f t="shared" si="14"/>
        <v>0.20686938992582846</v>
      </c>
      <c r="AN74" s="26">
        <f t="shared" si="15"/>
        <v>0.9301750004987438</v>
      </c>
      <c r="AO74" s="26">
        <f t="shared" si="16"/>
        <v>-0.72330561057291531</v>
      </c>
      <c r="BB74" s="6">
        <f>IF(CHOOSE($D$13,1,3,5.22761/(1+(95/BD73)^2),3.9207/(1+(40/BD73)^2),1.59593/(1+(10/BD73)^2))&lt;1,1,CHOOSE($D$13,1,3,5.22761/(1+(95/BD73)^2),3.9207/(1+(40/BD73)^2),1.59593/(1+(10/BD73)^2)))</f>
        <v>1.5621067542338256</v>
      </c>
      <c r="BC74">
        <f>BC73/BB73*BB74</f>
        <v>0.42790261211384706</v>
      </c>
      <c r="BD74" s="26">
        <f>$B$15*SQRT(BC74/1.2)</f>
        <v>27.301597992145034</v>
      </c>
    </row>
    <row r="75" spans="1:56" x14ac:dyDescent="0.25">
      <c r="A75" t="s">
        <v>0</v>
      </c>
      <c r="B75" s="14">
        <v>8.5237999999999999E-5</v>
      </c>
      <c r="C75" s="4" t="s">
        <v>16</v>
      </c>
      <c r="AB75" s="26">
        <v>2</v>
      </c>
      <c r="AC75" s="26">
        <f t="shared" ref="AC75:AC98" si="21">AC74+AH74*AF74</f>
        <v>132.10665362390927</v>
      </c>
      <c r="AD75" s="26">
        <f t="shared" si="13"/>
        <v>0.5798758296292178</v>
      </c>
      <c r="AE75" s="26">
        <f t="shared" si="17"/>
        <v>3.5638460706329189</v>
      </c>
      <c r="AF75" s="26">
        <f t="shared" ref="AF75:AF98" si="22">AD75-AE75</f>
        <v>-2.9839702410037012</v>
      </c>
      <c r="AG75" s="26">
        <f t="shared" si="18"/>
        <v>-6.1972505723985896E-2</v>
      </c>
      <c r="AH75" s="26">
        <f t="shared" si="19"/>
        <v>8.0680939742360547</v>
      </c>
      <c r="AL75" s="26">
        <f t="shared" si="20"/>
        <v>109.51199999999999</v>
      </c>
      <c r="AM75" s="26">
        <f t="shared" si="14"/>
        <v>0.3945250823175655</v>
      </c>
      <c r="AN75" s="26">
        <f t="shared" si="15"/>
        <v>2.0184797510822738</v>
      </c>
      <c r="AO75" s="26">
        <f t="shared" si="16"/>
        <v>-1.6239546687647084</v>
      </c>
      <c r="BB75" s="6">
        <f t="shared" ref="BB75:BB98" si="23">IF(CHOOSE($D$13,1,3,5.22761/(1+(95/BD74)^2),3.9207/(1+(40/BD74)^2),1.59593/(1+(10/BD74)^2))&lt;1,1,CHOOSE($D$13,1,3,5.22761/(1+(95/BD74)^2),3.9207/(1+(40/BD74)^2),1.59593/(1+(10/BD74)^2)))</f>
        <v>1.2460258117953578</v>
      </c>
      <c r="BC75" s="26">
        <f t="shared" ref="BC75:BC98" si="24">BC74/BB74*BB75</f>
        <v>0.34131963016190958</v>
      </c>
      <c r="BD75" s="26">
        <f t="shared" ref="BD75:BD98" si="25">$B$15*SQRT(BC75/1.2)</f>
        <v>24.383510534933141</v>
      </c>
    </row>
    <row r="76" spans="1:56" x14ac:dyDescent="0.25">
      <c r="A76" t="s">
        <v>34</v>
      </c>
      <c r="B76" s="10">
        <v>240</v>
      </c>
      <c r="C76" t="s">
        <v>19</v>
      </c>
      <c r="AB76" s="26">
        <v>3</v>
      </c>
      <c r="AC76" s="26">
        <f t="shared" si="21"/>
        <v>108.03170130316759</v>
      </c>
      <c r="AD76" s="26">
        <f t="shared" si="13"/>
        <v>0.37926494248330711</v>
      </c>
      <c r="AE76" s="26">
        <f t="shared" si="17"/>
        <v>1.9172343951216593</v>
      </c>
      <c r="AF76" s="26">
        <f>AD76-AE76</f>
        <v>-1.5379694526383521</v>
      </c>
      <c r="AG76" s="26">
        <f t="shared" si="18"/>
        <v>-5.7943245180702221E-2</v>
      </c>
      <c r="AH76" s="26">
        <f t="shared" si="19"/>
        <v>8.6291335330062449</v>
      </c>
      <c r="AL76" s="26">
        <f t="shared" si="20"/>
        <v>128.12903999999997</v>
      </c>
      <c r="AM76" s="26">
        <f t="shared" si="14"/>
        <v>0.55318194684629607</v>
      </c>
      <c r="AN76" s="26">
        <f t="shared" si="15"/>
        <v>3.2917963092650044</v>
      </c>
      <c r="AO76" s="26">
        <f t="shared" si="16"/>
        <v>-2.7386143624187085</v>
      </c>
      <c r="BB76" s="6">
        <f t="shared" si="23"/>
        <v>1.0622078114228126</v>
      </c>
      <c r="BC76" s="26">
        <f t="shared" si="24"/>
        <v>0.29096698793706044</v>
      </c>
      <c r="BD76" s="26">
        <f t="shared" si="25"/>
        <v>22.513211837300773</v>
      </c>
    </row>
    <row r="77" spans="1:56" x14ac:dyDescent="0.25">
      <c r="A77" t="s">
        <v>1</v>
      </c>
      <c r="B77" s="14">
        <v>1.0000000000000001E-5</v>
      </c>
      <c r="C77" s="4" t="s">
        <v>16</v>
      </c>
      <c r="AB77" s="26">
        <v>4</v>
      </c>
      <c r="AC77" s="26">
        <f t="shared" si="21"/>
        <v>94.760357526666724</v>
      </c>
      <c r="AD77" s="26">
        <f t="shared" si="13"/>
        <v>0.22241524844250496</v>
      </c>
      <c r="AE77" s="26">
        <f t="shared" si="17"/>
        <v>1.009537909538887</v>
      </c>
      <c r="AF77" s="26">
        <f t="shared" si="22"/>
        <v>-0.78712266109638207</v>
      </c>
      <c r="AG77" s="26">
        <f t="shared" si="18"/>
        <v>-5.5131788212099749E-2</v>
      </c>
      <c r="AH77" s="26">
        <f t="shared" si="19"/>
        <v>9.0691779863266841</v>
      </c>
      <c r="AL77" s="26">
        <f t="shared" si="20"/>
        <v>149.91097679999996</v>
      </c>
      <c r="AM77" s="26">
        <f t="shared" si="14"/>
        <v>0.67334309608270426</v>
      </c>
      <c r="AN77" s="26">
        <f t="shared" si="15"/>
        <v>4.7815766823387982</v>
      </c>
      <c r="AO77" s="26">
        <f t="shared" si="16"/>
        <v>-4.1082335862560937</v>
      </c>
      <c r="BB77" s="6">
        <f t="shared" si="23"/>
        <v>1</v>
      </c>
      <c r="BC77" s="26">
        <f t="shared" si="24"/>
        <v>0.27392661286054204</v>
      </c>
      <c r="BD77" s="26">
        <f t="shared" si="25"/>
        <v>21.844027389503744</v>
      </c>
    </row>
    <row r="78" spans="1:56" x14ac:dyDescent="0.25">
      <c r="A78" t="s">
        <v>2</v>
      </c>
      <c r="B78" s="10">
        <v>240</v>
      </c>
      <c r="C78" s="5" t="s">
        <v>19</v>
      </c>
      <c r="AB78" s="26">
        <v>5</v>
      </c>
      <c r="AC78" s="26">
        <f t="shared" si="21"/>
        <v>87.621802016112539</v>
      </c>
      <c r="AD78" s="26">
        <f t="shared" si="13"/>
        <v>0.12169842599809892</v>
      </c>
      <c r="AE78" s="26">
        <f t="shared" si="17"/>
        <v>0.52129483045138314</v>
      </c>
      <c r="AF78" s="26">
        <f t="shared" si="22"/>
        <v>-0.3995964044532842</v>
      </c>
      <c r="AG78" s="26">
        <f t="shared" si="18"/>
        <v>-5.3415704691129481E-2</v>
      </c>
      <c r="AH78" s="26">
        <f t="shared" si="19"/>
        <v>9.3605429880817965</v>
      </c>
      <c r="AL78" s="26">
        <f t="shared" si="20"/>
        <v>175.39584285599994</v>
      </c>
      <c r="AM78" s="26">
        <f t="shared" si="14"/>
        <v>0.7471363634900885</v>
      </c>
      <c r="AN78" s="26">
        <f t="shared" si="15"/>
        <v>6.5246197188351376</v>
      </c>
      <c r="AO78" s="26">
        <f t="shared" si="16"/>
        <v>-5.7774833553450495</v>
      </c>
      <c r="BB78" s="6">
        <f t="shared" si="23"/>
        <v>1</v>
      </c>
      <c r="BC78" s="26">
        <f t="shared" si="24"/>
        <v>0.27392661286054204</v>
      </c>
      <c r="BD78" s="26">
        <f t="shared" si="25"/>
        <v>21.844027389503744</v>
      </c>
    </row>
    <row r="79" spans="1:56" x14ac:dyDescent="0.25">
      <c r="A79" t="s">
        <v>35</v>
      </c>
      <c r="B79" s="10">
        <v>1</v>
      </c>
      <c r="C79" s="5" t="s">
        <v>19</v>
      </c>
      <c r="AB79" s="26">
        <v>6</v>
      </c>
      <c r="AC79" s="26">
        <f t="shared" si="21"/>
        <v>83.881362694344659</v>
      </c>
      <c r="AD79" s="26">
        <f t="shared" si="13"/>
        <v>6.3884365705792645E-2</v>
      </c>
      <c r="AE79" s="26">
        <f t="shared" si="17"/>
        <v>0.26546665780498901</v>
      </c>
      <c r="AF79" s="26">
        <f t="shared" si="22"/>
        <v>-0.20158229209919637</v>
      </c>
      <c r="AG79" s="26">
        <f t="shared" si="18"/>
        <v>-5.2454405079871654E-2</v>
      </c>
      <c r="AH79" s="26">
        <f t="shared" si="19"/>
        <v>9.5320879006950197</v>
      </c>
      <c r="AL79" s="26">
        <f t="shared" si="20"/>
        <v>205.21313614151993</v>
      </c>
      <c r="AM79" s="26">
        <f t="shared" si="14"/>
        <v>0.76989269061128252</v>
      </c>
      <c r="AN79" s="26">
        <f t="shared" si="15"/>
        <v>8.5639800715358554</v>
      </c>
      <c r="AO79" s="26">
        <f t="shared" si="16"/>
        <v>-7.794087380924573</v>
      </c>
      <c r="BB79" s="6">
        <f t="shared" si="23"/>
        <v>1</v>
      </c>
      <c r="BC79" s="26">
        <f t="shared" si="24"/>
        <v>0.27392661286054204</v>
      </c>
      <c r="BD79" s="26">
        <f t="shared" si="25"/>
        <v>21.844027389503744</v>
      </c>
    </row>
    <row r="80" spans="1:56" x14ac:dyDescent="0.25">
      <c r="A80" t="s">
        <v>9</v>
      </c>
      <c r="B80" s="8">
        <f>(B75*B76+B77*B78)/B79</f>
        <v>2.2857119999999998E-2</v>
      </c>
      <c r="C80" s="4" t="s">
        <v>16</v>
      </c>
      <c r="AB80" s="26">
        <v>7</v>
      </c>
      <c r="AC80" s="26">
        <f t="shared" si="21"/>
        <v>81.959862566831546</v>
      </c>
      <c r="AD80" s="26">
        <f t="shared" si="13"/>
        <v>3.276485460991789E-2</v>
      </c>
      <c r="AE80" s="26">
        <f t="shared" si="17"/>
        <v>0.13404523265294147</v>
      </c>
      <c r="AF80" s="26">
        <f t="shared" si="22"/>
        <v>-0.10128037804302358</v>
      </c>
      <c r="AG80" s="26">
        <f t="shared" si="18"/>
        <v>-5.1943185379835097E-2</v>
      </c>
      <c r="AH80" s="26">
        <f t="shared" si="19"/>
        <v>9.6259017683213823</v>
      </c>
      <c r="AL80" s="26">
        <f t="shared" si="20"/>
        <v>240.09936928557829</v>
      </c>
      <c r="AM80" s="26">
        <f t="shared" si="14"/>
        <v>0.74167643759601143</v>
      </c>
      <c r="AN80" s="26">
        <f t="shared" si="15"/>
        <v>10.950031684195693</v>
      </c>
      <c r="AO80" s="26">
        <f t="shared" si="16"/>
        <v>-10.208355246599682</v>
      </c>
      <c r="BB80" s="6">
        <f t="shared" si="23"/>
        <v>1</v>
      </c>
      <c r="BC80" s="26">
        <f t="shared" si="24"/>
        <v>0.27392661286054204</v>
      </c>
      <c r="BD80" s="26">
        <f t="shared" si="25"/>
        <v>21.844027389503744</v>
      </c>
    </row>
    <row r="81" spans="1:56" x14ac:dyDescent="0.25">
      <c r="A81" t="s">
        <v>3</v>
      </c>
      <c r="B81" s="15">
        <f>B11/B80</f>
        <v>11287.511287511288</v>
      </c>
      <c r="C81" s="4" t="s">
        <v>8</v>
      </c>
      <c r="AB81" s="26">
        <v>8</v>
      </c>
      <c r="AC81" s="26">
        <f t="shared" si="21"/>
        <v>80.984947596730947</v>
      </c>
      <c r="AD81" s="26">
        <f t="shared" si="13"/>
        <v>1.6597084666617617E-2</v>
      </c>
      <c r="AE81" s="26">
        <f t="shared" si="17"/>
        <v>6.7365708182385728E-2</v>
      </c>
      <c r="AF81" s="26">
        <f t="shared" si="22"/>
        <v>-5.0768623515768108E-2</v>
      </c>
      <c r="AG81" s="26">
        <f t="shared" si="18"/>
        <v>-5.1679183801305192E-2</v>
      </c>
      <c r="AH81" s="26">
        <f t="shared" si="19"/>
        <v>9.6750754021655467</v>
      </c>
      <c r="AL81" s="26">
        <f t="shared" si="20"/>
        <v>280.91626206412656</v>
      </c>
      <c r="AM81" s="26">
        <f t="shared" si="14"/>
        <v>0.66831634608219048</v>
      </c>
      <c r="AN81" s="26">
        <f t="shared" si="15"/>
        <v>13.741712071007703</v>
      </c>
      <c r="AO81" s="26">
        <f t="shared" si="16"/>
        <v>-13.073395724925511</v>
      </c>
      <c r="BB81" s="6">
        <f t="shared" si="23"/>
        <v>1</v>
      </c>
      <c r="BC81" s="26">
        <f t="shared" si="24"/>
        <v>0.27392661286054204</v>
      </c>
      <c r="BD81" s="26">
        <f t="shared" si="25"/>
        <v>21.844027389503744</v>
      </c>
    </row>
    <row r="82" spans="1:56" x14ac:dyDescent="0.25">
      <c r="B82" s="6"/>
      <c r="AB82" s="26">
        <v>9</v>
      </c>
      <c r="AC82" s="26">
        <f t="shared" si="21"/>
        <v>80.493757336151731</v>
      </c>
      <c r="AD82" s="26">
        <f t="shared" si="13"/>
        <v>8.3534029383398843E-3</v>
      </c>
      <c r="AE82" s="26">
        <f t="shared" si="17"/>
        <v>3.3770641941264334E-2</v>
      </c>
      <c r="AF82" s="26">
        <f t="shared" si="22"/>
        <v>-2.541723900292445E-2</v>
      </c>
      <c r="AG82" s="26">
        <f t="shared" si="18"/>
        <v>-5.154497867948532E-2</v>
      </c>
      <c r="AH82" s="26">
        <f t="shared" si="19"/>
        <v>9.7002659193842646</v>
      </c>
      <c r="AL82" s="26">
        <f t="shared" si="20"/>
        <v>328.67202661502807</v>
      </c>
      <c r="AM82" s="26">
        <f t="shared" si="14"/>
        <v>0.56141010156413229</v>
      </c>
      <c r="AN82" s="26">
        <f t="shared" si="15"/>
        <v>17.007978123577757</v>
      </c>
      <c r="AO82" s="26">
        <f t="shared" si="16"/>
        <v>-16.446568022013626</v>
      </c>
      <c r="BB82" s="6">
        <f t="shared" si="23"/>
        <v>1</v>
      </c>
      <c r="BC82" s="26">
        <f t="shared" si="24"/>
        <v>0.27392661286054204</v>
      </c>
      <c r="BD82" s="26">
        <f t="shared" si="25"/>
        <v>21.844027389503744</v>
      </c>
    </row>
    <row r="83" spans="1:56" x14ac:dyDescent="0.25">
      <c r="A83" s="1" t="s">
        <v>27</v>
      </c>
      <c r="B83" s="6"/>
      <c r="AB83" s="26">
        <v>10</v>
      </c>
      <c r="AC83" s="26">
        <f t="shared" si="21"/>
        <v>80.247203358886821</v>
      </c>
      <c r="AD83" s="26">
        <f t="shared" si="13"/>
        <v>4.190571052385573E-3</v>
      </c>
      <c r="AE83" s="26">
        <f t="shared" si="17"/>
        <v>1.6907528270282381E-2</v>
      </c>
      <c r="AF83" s="26">
        <f t="shared" si="22"/>
        <v>-1.2716957217896809E-2</v>
      </c>
      <c r="AG83" s="26">
        <f t="shared" si="18"/>
        <v>-5.1477310808907967E-2</v>
      </c>
      <c r="AH83" s="26">
        <f t="shared" si="19"/>
        <v>9.7130170971067269</v>
      </c>
      <c r="AL83" s="26">
        <f t="shared" si="20"/>
        <v>384.54627113958281</v>
      </c>
      <c r="AM83" s="26">
        <f t="shared" si="14"/>
        <v>0.4368974810105804</v>
      </c>
      <c r="AN83" s="26">
        <f t="shared" si="15"/>
        <v>20.829509405084718</v>
      </c>
      <c r="AO83" s="26">
        <f t="shared" si="16"/>
        <v>-20.392611924074139</v>
      </c>
      <c r="BB83" s="6">
        <f t="shared" si="23"/>
        <v>1</v>
      </c>
      <c r="BC83" s="26">
        <f t="shared" si="24"/>
        <v>0.27392661286054204</v>
      </c>
      <c r="BD83" s="26">
        <f t="shared" si="25"/>
        <v>21.844027389503744</v>
      </c>
    </row>
    <row r="84" spans="1:56" x14ac:dyDescent="0.25">
      <c r="A84" t="s">
        <v>46</v>
      </c>
      <c r="B84">
        <f>0.239</f>
        <v>0.23899999999999999</v>
      </c>
      <c r="AB84" s="26">
        <v>11</v>
      </c>
      <c r="AC84" s="26">
        <f t="shared" si="21"/>
        <v>80.123683336006209</v>
      </c>
      <c r="AD84" s="26">
        <f t="shared" si="13"/>
        <v>2.0987725445107048E-3</v>
      </c>
      <c r="AE84" s="26">
        <f t="shared" si="17"/>
        <v>8.45934905376927E-3</v>
      </c>
      <c r="AF84" s="26">
        <f t="shared" si="22"/>
        <v>-6.3605765092585656E-3</v>
      </c>
      <c r="AG84" s="26">
        <f t="shared" si="18"/>
        <v>-5.14433337051802E-2</v>
      </c>
      <c r="AH84" s="26">
        <f t="shared" si="19"/>
        <v>9.7194323148939201</v>
      </c>
      <c r="AL84" s="26">
        <f t="shared" si="20"/>
        <v>449.91913723331186</v>
      </c>
      <c r="AM84" s="26">
        <f t="shared" si="14"/>
        <v>0.31219678283942376</v>
      </c>
      <c r="AN84" s="26">
        <f t="shared" si="15"/>
        <v>25.300701004447859</v>
      </c>
      <c r="AO84" s="26">
        <f t="shared" si="16"/>
        <v>-24.988504221608434</v>
      </c>
      <c r="BB84" s="6">
        <f t="shared" si="23"/>
        <v>1</v>
      </c>
      <c r="BC84" s="26">
        <f t="shared" si="24"/>
        <v>0.27392661286054204</v>
      </c>
      <c r="BD84" s="26">
        <f t="shared" si="25"/>
        <v>21.844027389503744</v>
      </c>
    </row>
    <row r="85" spans="1:56" x14ac:dyDescent="0.25">
      <c r="A85" t="s">
        <v>45</v>
      </c>
      <c r="B85">
        <f>1/(4*3.141592654)</f>
        <v>7.9577471535557012E-2</v>
      </c>
      <c r="AB85" s="26">
        <v>12</v>
      </c>
      <c r="AC85" s="26">
        <f t="shared" si="21"/>
        <v>80.061862143140772</v>
      </c>
      <c r="AD85" s="26">
        <f t="shared" si="13"/>
        <v>1.0502604999597721E-3</v>
      </c>
      <c r="AE85" s="26">
        <f t="shared" si="17"/>
        <v>4.2310749284427034E-3</v>
      </c>
      <c r="AF85" s="26">
        <f t="shared" si="22"/>
        <v>-3.1808144284829311E-3</v>
      </c>
      <c r="AG85" s="26">
        <f t="shared" si="18"/>
        <v>-5.1426309126995806E-2</v>
      </c>
      <c r="AH85" s="26">
        <f t="shared" si="19"/>
        <v>9.7226499137875955</v>
      </c>
      <c r="AL85" s="26">
        <f t="shared" si="20"/>
        <v>526.40539056297484</v>
      </c>
      <c r="AM85" s="26">
        <f t="shared" si="14"/>
        <v>0.20252453164927603</v>
      </c>
      <c r="AN85" s="26">
        <f t="shared" si="15"/>
        <v>30.53199517570274</v>
      </c>
      <c r="AO85" s="26">
        <f t="shared" si="16"/>
        <v>-30.329470644053465</v>
      </c>
      <c r="BB85" s="6">
        <f t="shared" si="23"/>
        <v>1</v>
      </c>
      <c r="BC85" s="26">
        <f t="shared" si="24"/>
        <v>0.27392661286054204</v>
      </c>
      <c r="BD85" s="26">
        <f t="shared" si="25"/>
        <v>21.844027389503744</v>
      </c>
    </row>
    <row r="86" spans="1:56" x14ac:dyDescent="0.25">
      <c r="A86" t="s">
        <v>28</v>
      </c>
      <c r="B86" s="6">
        <v>2.54</v>
      </c>
      <c r="AB86" s="26">
        <v>13</v>
      </c>
      <c r="AC86" s="26">
        <f t="shared" si="21"/>
        <v>80.030936198011915</v>
      </c>
      <c r="AD86" s="26">
        <f t="shared" si="13"/>
        <v>5.2534911732898565E-4</v>
      </c>
      <c r="AE86" s="26">
        <f t="shared" si="17"/>
        <v>2.115888088320752E-3</v>
      </c>
      <c r="AF86" s="26">
        <f t="shared" si="22"/>
        <v>-1.5905389709917664E-3</v>
      </c>
      <c r="AG86" s="26">
        <f t="shared" si="18"/>
        <v>-5.1417787801786581E-2</v>
      </c>
      <c r="AH86" s="26">
        <f t="shared" si="19"/>
        <v>9.7242612211843706</v>
      </c>
      <c r="AL86" s="26">
        <f t="shared" si="20"/>
        <v>615.89430695868054</v>
      </c>
      <c r="AM86" s="26">
        <f t="shared" si="14"/>
        <v>0.11760517999646554</v>
      </c>
      <c r="AN86" s="26">
        <f t="shared" si="15"/>
        <v>36.652609356070947</v>
      </c>
      <c r="AO86" s="26">
        <f t="shared" si="16"/>
        <v>-36.53500417607448</v>
      </c>
      <c r="BB86" s="6">
        <f t="shared" si="23"/>
        <v>1</v>
      </c>
      <c r="BC86" s="26">
        <f t="shared" si="24"/>
        <v>0.27392661286054204</v>
      </c>
      <c r="BD86" s="26">
        <f t="shared" si="25"/>
        <v>21.844027389503744</v>
      </c>
    </row>
    <row r="87" spans="1:56" x14ac:dyDescent="0.25">
      <c r="B87" s="6"/>
      <c r="AB87" s="26">
        <v>14</v>
      </c>
      <c r="AC87" s="26">
        <f t="shared" si="21"/>
        <v>80.015469381575514</v>
      </c>
      <c r="AD87" s="26">
        <f t="shared" si="13"/>
        <v>2.6272931438509257E-4</v>
      </c>
      <c r="AE87" s="26">
        <f t="shared" si="17"/>
        <v>1.0580317657881487E-3</v>
      </c>
      <c r="AF87" s="26">
        <f t="shared" si="22"/>
        <v>-7.9530245140305611E-4</v>
      </c>
      <c r="AG87" s="26">
        <f t="shared" si="18"/>
        <v>-5.1413524876444142E-2</v>
      </c>
      <c r="AH87" s="26">
        <f t="shared" si="19"/>
        <v>9.7250675031830447</v>
      </c>
      <c r="AL87" s="26">
        <f t="shared" si="20"/>
        <v>720.59633914165624</v>
      </c>
      <c r="AM87" s="26">
        <f t="shared" si="14"/>
        <v>6.010529161747543E-2</v>
      </c>
      <c r="AN87" s="26">
        <f t="shared" si="15"/>
        <v>43.813727947101754</v>
      </c>
      <c r="AO87" s="26">
        <f t="shared" si="16"/>
        <v>-43.753622655484278</v>
      </c>
      <c r="BB87" s="6">
        <f t="shared" si="23"/>
        <v>1</v>
      </c>
      <c r="BC87" s="26">
        <f t="shared" si="24"/>
        <v>0.27392661286054204</v>
      </c>
      <c r="BD87" s="26">
        <f t="shared" si="25"/>
        <v>21.844027389503744</v>
      </c>
    </row>
    <row r="88" spans="1:56" x14ac:dyDescent="0.25">
      <c r="AB88" s="26">
        <v>15</v>
      </c>
      <c r="AC88" s="26">
        <f t="shared" si="21"/>
        <v>80.007735011550167</v>
      </c>
      <c r="AD88" s="26">
        <f t="shared" si="13"/>
        <v>1.3137835098810257E-4</v>
      </c>
      <c r="AE88" s="26">
        <f t="shared" si="17"/>
        <v>5.2903782150990253E-4</v>
      </c>
      <c r="AF88" s="26">
        <f t="shared" si="22"/>
        <v>-3.9765947052179998E-4</v>
      </c>
      <c r="AG88" s="26">
        <f t="shared" si="18"/>
        <v>-5.1411392847623867E-2</v>
      </c>
      <c r="AH88" s="26">
        <f t="shared" si="19"/>
        <v>9.7254708014219649</v>
      </c>
      <c r="AL88" s="26">
        <f t="shared" si="20"/>
        <v>843.09771679573771</v>
      </c>
      <c r="AM88" s="26">
        <f t="shared" si="14"/>
        <v>2.6494523922076709E-2</v>
      </c>
      <c r="AN88" s="26">
        <f t="shared" si="15"/>
        <v>52.192236698607786</v>
      </c>
      <c r="AO88" s="26">
        <f t="shared" si="16"/>
        <v>-52.165742174685711</v>
      </c>
      <c r="BB88" s="6">
        <f t="shared" si="23"/>
        <v>1</v>
      </c>
      <c r="BC88" s="26">
        <f t="shared" si="24"/>
        <v>0.27392661286054204</v>
      </c>
      <c r="BD88" s="26">
        <f t="shared" si="25"/>
        <v>21.844027389503744</v>
      </c>
    </row>
    <row r="89" spans="1:56" x14ac:dyDescent="0.25">
      <c r="AB89" s="26">
        <v>16</v>
      </c>
      <c r="AC89" s="26">
        <f t="shared" si="21"/>
        <v>80.0038675859807</v>
      </c>
      <c r="AD89" s="26">
        <f t="shared" si="13"/>
        <v>6.5692599551484625E-5</v>
      </c>
      <c r="AE89" s="26">
        <f t="shared" si="17"/>
        <v>2.6452439643577828E-4</v>
      </c>
      <c r="AF89" s="26">
        <f t="shared" si="22"/>
        <v>-1.9883179688429364E-4</v>
      </c>
      <c r="AG89" s="26">
        <f t="shared" si="18"/>
        <v>-5.1410326691618324E-2</v>
      </c>
      <c r="AH89" s="26">
        <f t="shared" si="19"/>
        <v>9.7256724898719114</v>
      </c>
      <c r="AL89" s="26">
        <f t="shared" si="20"/>
        <v>986.42432865101307</v>
      </c>
      <c r="AM89" s="26">
        <f t="shared" si="14"/>
        <v>9.8346144790020327E-3</v>
      </c>
      <c r="AN89" s="26">
        <f t="shared" si="15"/>
        <v>61.995091937869852</v>
      </c>
      <c r="AO89" s="26">
        <f t="shared" si="16"/>
        <v>-61.985257323390847</v>
      </c>
      <c r="BB89" s="6">
        <f t="shared" si="23"/>
        <v>1</v>
      </c>
      <c r="BC89" s="26">
        <f t="shared" si="24"/>
        <v>0.27392661286054204</v>
      </c>
      <c r="BD89" s="26">
        <f t="shared" si="25"/>
        <v>21.844027389503744</v>
      </c>
    </row>
    <row r="90" spans="1:56" x14ac:dyDescent="0.25">
      <c r="AB90" s="26">
        <v>17</v>
      </c>
      <c r="AC90" s="26">
        <f t="shared" si="21"/>
        <v>80.001933813043635</v>
      </c>
      <c r="AD90" s="26">
        <f t="shared" si="13"/>
        <v>3.2847155866255367E-5</v>
      </c>
      <c r="AE90" s="26">
        <f t="shared" si="17"/>
        <v>1.3226356976675838E-4</v>
      </c>
      <c r="AF90" s="26">
        <f t="shared" si="22"/>
        <v>-9.9416413900503021E-5</v>
      </c>
      <c r="AG90" s="26">
        <f t="shared" si="18"/>
        <v>-5.1409793578209434E-2</v>
      </c>
      <c r="AH90" s="26">
        <f t="shared" si="19"/>
        <v>9.7257733439320813</v>
      </c>
      <c r="AL90" s="26">
        <f t="shared" si="20"/>
        <v>1154.1164645216852</v>
      </c>
      <c r="AM90" s="26">
        <f t="shared" si="14"/>
        <v>2.9884875448285223E-3</v>
      </c>
      <c r="AN90" s="26">
        <f t="shared" si="15"/>
        <v>73.464432567806469</v>
      </c>
      <c r="AO90" s="26">
        <f t="shared" si="16"/>
        <v>-73.461444080261643</v>
      </c>
      <c r="BB90" s="6">
        <f t="shared" si="23"/>
        <v>1</v>
      </c>
      <c r="BC90" s="26">
        <f t="shared" si="24"/>
        <v>0.27392661286054204</v>
      </c>
      <c r="BD90" s="26">
        <f t="shared" si="25"/>
        <v>21.844027389503744</v>
      </c>
    </row>
    <row r="91" spans="1:56" x14ac:dyDescent="0.25">
      <c r="AB91" s="26">
        <v>18</v>
      </c>
      <c r="AC91" s="26">
        <f t="shared" si="21"/>
        <v>80.000966911535372</v>
      </c>
      <c r="AD91" s="26">
        <f t="shared" si="13"/>
        <v>1.64237919652345E-5</v>
      </c>
      <c r="AE91" s="26">
        <f t="shared" si="17"/>
        <v>6.6132127786512257E-5</v>
      </c>
      <c r="AF91" s="26">
        <f t="shared" si="22"/>
        <v>-4.9708335821277761E-5</v>
      </c>
      <c r="AG91" s="26">
        <f t="shared" si="18"/>
        <v>-5.1409527012652542E-2</v>
      </c>
      <c r="AH91" s="26">
        <f t="shared" si="19"/>
        <v>9.725823773421288</v>
      </c>
      <c r="AL91" s="26">
        <f t="shared" si="20"/>
        <v>1350.3162634903715</v>
      </c>
      <c r="AM91" s="26">
        <f t="shared" si="14"/>
        <v>7.1913736429525608E-4</v>
      </c>
      <c r="AN91" s="26">
        <f t="shared" si="15"/>
        <v>86.883561104832296</v>
      </c>
      <c r="AO91" s="26">
        <f t="shared" si="16"/>
        <v>-86.882841967467996</v>
      </c>
      <c r="BB91" s="6">
        <f t="shared" si="23"/>
        <v>1</v>
      </c>
      <c r="BC91" s="26">
        <f t="shared" si="24"/>
        <v>0.27392661286054204</v>
      </c>
      <c r="BD91" s="26">
        <f t="shared" si="25"/>
        <v>21.844027389503744</v>
      </c>
    </row>
    <row r="92" spans="1:56" x14ac:dyDescent="0.25">
      <c r="AB92" s="26">
        <v>19</v>
      </c>
      <c r="AC92" s="26">
        <f t="shared" si="21"/>
        <v>80.000483457021105</v>
      </c>
      <c r="AD92" s="26">
        <f t="shared" si="13"/>
        <v>8.2119494918476794E-6</v>
      </c>
      <c r="AE92" s="26">
        <f t="shared" si="17"/>
        <v>3.3066149621104797E-5</v>
      </c>
      <c r="AF92" s="26">
        <f t="shared" si="22"/>
        <v>-2.4854200129257116E-5</v>
      </c>
      <c r="AG92" s="26">
        <f t="shared" si="18"/>
        <v>-5.1409393727660874E-2</v>
      </c>
      <c r="AH92" s="26">
        <f t="shared" si="19"/>
        <v>9.7258489887807116</v>
      </c>
      <c r="AL92" s="26">
        <f t="shared" si="20"/>
        <v>1579.8700282837347</v>
      </c>
      <c r="AM92" s="26">
        <f t="shared" si="14"/>
        <v>1.317948766825444E-4</v>
      </c>
      <c r="AN92" s="26">
        <f t="shared" si="15"/>
        <v>102.58394149315254</v>
      </c>
      <c r="AO92" s="26">
        <f t="shared" si="16"/>
        <v>-102.58380969827586</v>
      </c>
      <c r="BB92" s="6">
        <f t="shared" si="23"/>
        <v>1</v>
      </c>
      <c r="BC92" s="26">
        <f t="shared" si="24"/>
        <v>0.27392661286054204</v>
      </c>
      <c r="BD92" s="26">
        <f t="shared" si="25"/>
        <v>21.844027389503744</v>
      </c>
    </row>
    <row r="93" spans="1:56" x14ac:dyDescent="0.25">
      <c r="AB93" s="26">
        <v>20</v>
      </c>
      <c r="AC93" s="26">
        <f t="shared" si="21"/>
        <v>80.000241728823909</v>
      </c>
      <c r="AD93" s="26">
        <f t="shared" si="13"/>
        <v>4.1059881233479691E-6</v>
      </c>
      <c r="AE93" s="26">
        <f t="shared" si="17"/>
        <v>1.6533096242636062E-5</v>
      </c>
      <c r="AF93" s="26">
        <f t="shared" si="22"/>
        <v>-1.2427108119288094E-5</v>
      </c>
      <c r="AG93" s="26">
        <f t="shared" si="18"/>
        <v>-5.1409327084611718E-2</v>
      </c>
      <c r="AH93" s="26">
        <f t="shared" si="19"/>
        <v>9.7258615966141342</v>
      </c>
      <c r="AL93" s="26">
        <f t="shared" si="20"/>
        <v>1848.4479330919694</v>
      </c>
      <c r="AM93" s="26">
        <f t="shared" si="14"/>
        <v>1.7572870904964109E-5</v>
      </c>
      <c r="AN93" s="26">
        <f t="shared" si="15"/>
        <v>120.9533865474872</v>
      </c>
      <c r="AO93" s="26">
        <f t="shared" si="16"/>
        <v>-120.9533689746163</v>
      </c>
      <c r="BB93" s="6">
        <f t="shared" si="23"/>
        <v>1</v>
      </c>
      <c r="BC93" s="26">
        <f t="shared" si="24"/>
        <v>0.27392661286054204</v>
      </c>
      <c r="BD93" s="26">
        <f t="shared" si="25"/>
        <v>21.844027389503744</v>
      </c>
    </row>
    <row r="94" spans="1:56" x14ac:dyDescent="0.25">
      <c r="AB94" s="26">
        <v>21</v>
      </c>
      <c r="AC94" s="26">
        <f t="shared" si="21"/>
        <v>80.000120864490299</v>
      </c>
      <c r="AD94" s="26">
        <f t="shared" si="13"/>
        <v>2.0529974061313301E-6</v>
      </c>
      <c r="AE94" s="26">
        <f t="shared" si="17"/>
        <v>8.2665534797034296E-6</v>
      </c>
      <c r="AF94" s="26">
        <f t="shared" si="22"/>
        <v>-6.2135560735720999E-6</v>
      </c>
      <c r="AG94" s="26">
        <f t="shared" si="18"/>
        <v>-5.140929376294881E-2</v>
      </c>
      <c r="AH94" s="26">
        <f t="shared" si="19"/>
        <v>9.7258679005692734</v>
      </c>
      <c r="AL94" s="26">
        <f t="shared" si="20"/>
        <v>2162.6840817176039</v>
      </c>
      <c r="AM94" s="26">
        <f t="shared" si="14"/>
        <v>1.6156910517384388E-6</v>
      </c>
      <c r="AN94" s="26">
        <f t="shared" si="15"/>
        <v>142.44563726105875</v>
      </c>
      <c r="AO94" s="26">
        <f t="shared" si="16"/>
        <v>-142.4456356453677</v>
      </c>
      <c r="BB94" s="6">
        <f t="shared" si="23"/>
        <v>1</v>
      </c>
      <c r="BC94" s="26">
        <f t="shared" si="24"/>
        <v>0.27392661286054204</v>
      </c>
      <c r="BD94" s="26">
        <f t="shared" si="25"/>
        <v>21.844027389503744</v>
      </c>
    </row>
    <row r="95" spans="1:56" x14ac:dyDescent="0.25">
      <c r="AB95" s="26">
        <v>22</v>
      </c>
      <c r="AC95" s="26">
        <f t="shared" si="21"/>
        <v>80.000060432264732</v>
      </c>
      <c r="AD95" s="26">
        <f t="shared" si="13"/>
        <v>1.026499539121005E-6</v>
      </c>
      <c r="AE95" s="26">
        <f t="shared" si="17"/>
        <v>4.1332780792050757E-6</v>
      </c>
      <c r="AF95" s="26">
        <f t="shared" si="22"/>
        <v>-3.1067785400840707E-6</v>
      </c>
      <c r="AG95" s="26">
        <f t="shared" si="18"/>
        <v>-5.1409277102082776E-2</v>
      </c>
      <c r="AH95" s="26">
        <f t="shared" si="19"/>
        <v>9.7258710525564496</v>
      </c>
      <c r="AL95" s="26">
        <f t="shared" si="20"/>
        <v>2530.3403756095963</v>
      </c>
      <c r="AM95" s="26">
        <f t="shared" si="14"/>
        <v>9.6198473648456192E-8</v>
      </c>
      <c r="AN95" s="26">
        <f t="shared" si="15"/>
        <v>167.59157059593747</v>
      </c>
      <c r="AO95" s="26">
        <f t="shared" si="16"/>
        <v>-167.59157049973899</v>
      </c>
      <c r="BB95" s="6">
        <f t="shared" si="23"/>
        <v>1</v>
      </c>
      <c r="BC95" s="26">
        <f t="shared" si="24"/>
        <v>0.27392661286054204</v>
      </c>
      <c r="BD95" s="26">
        <f t="shared" si="25"/>
        <v>21.844027389503744</v>
      </c>
    </row>
    <row r="96" spans="1:56" x14ac:dyDescent="0.25">
      <c r="AB96" s="26">
        <v>23</v>
      </c>
      <c r="AC96" s="26">
        <f t="shared" si="21"/>
        <v>80.000030216137262</v>
      </c>
      <c r="AD96" s="26">
        <f t="shared" si="13"/>
        <v>5.1324997857450586E-7</v>
      </c>
      <c r="AE96" s="26">
        <f t="shared" si="17"/>
        <v>2.0666393744408778E-6</v>
      </c>
      <c r="AF96" s="26">
        <f t="shared" si="22"/>
        <v>-1.553389395866372E-6</v>
      </c>
      <c r="AG96" s="26">
        <f t="shared" si="18"/>
        <v>-5.1409268771641113E-2</v>
      </c>
      <c r="AH96" s="26">
        <f t="shared" si="19"/>
        <v>9.7258726285524393</v>
      </c>
      <c r="AL96" s="26">
        <f t="shared" si="20"/>
        <v>2960.4982394632275</v>
      </c>
      <c r="AM96" s="26">
        <f t="shared" si="14"/>
        <v>3.4461278499147496E-9</v>
      </c>
      <c r="AN96" s="26">
        <f t="shared" si="15"/>
        <v>197.01231259774556</v>
      </c>
      <c r="AO96" s="26">
        <f t="shared" si="16"/>
        <v>-197.01231259429943</v>
      </c>
      <c r="BB96" s="6">
        <f t="shared" si="23"/>
        <v>1</v>
      </c>
      <c r="BC96" s="26">
        <f t="shared" si="24"/>
        <v>0.27392661286054204</v>
      </c>
      <c r="BD96" s="26">
        <f t="shared" si="25"/>
        <v>21.844027389503744</v>
      </c>
    </row>
    <row r="97" spans="28:56" x14ac:dyDescent="0.25">
      <c r="AB97" s="26">
        <v>24</v>
      </c>
      <c r="AC97" s="26">
        <f t="shared" si="21"/>
        <v>80.00001510806986</v>
      </c>
      <c r="AD97" s="26">
        <f t="shared" si="13"/>
        <v>2.5662504163129424E-7</v>
      </c>
      <c r="AE97" s="26">
        <f t="shared" si="17"/>
        <v>1.033319771294507E-6</v>
      </c>
      <c r="AF97" s="26">
        <f t="shared" si="22"/>
        <v>-7.7669472966321277E-7</v>
      </c>
      <c r="AG97" s="26">
        <f t="shared" si="18"/>
        <v>-5.140926460641812E-2</v>
      </c>
      <c r="AH97" s="26">
        <f t="shared" si="19"/>
        <v>9.7258734165510354</v>
      </c>
      <c r="AL97" s="26">
        <f t="shared" si="20"/>
        <v>3463.782940171976</v>
      </c>
      <c r="AM97" s="26">
        <f t="shared" si="14"/>
        <v>6.8148298245855803E-11</v>
      </c>
      <c r="AN97" s="26">
        <f t="shared" si="15"/>
        <v>231.43458073986102</v>
      </c>
      <c r="AO97" s="26">
        <f t="shared" si="16"/>
        <v>-231.43458073979286</v>
      </c>
      <c r="BB97" s="6">
        <f t="shared" si="23"/>
        <v>1</v>
      </c>
      <c r="BC97" s="26">
        <f t="shared" si="24"/>
        <v>0.27392661286054204</v>
      </c>
      <c r="BD97" s="26">
        <f t="shared" si="25"/>
        <v>21.844027389503744</v>
      </c>
    </row>
    <row r="98" spans="28:56" x14ac:dyDescent="0.25">
      <c r="AB98" s="26">
        <v>25</v>
      </c>
      <c r="AC98" s="26">
        <f t="shared" si="21"/>
        <v>80.000007554035236</v>
      </c>
      <c r="AD98" s="26">
        <f t="shared" si="13"/>
        <v>1.2831253387148694E-7</v>
      </c>
      <c r="AE98" s="26">
        <f t="shared" si="17"/>
        <v>5.1665990654427616E-7</v>
      </c>
      <c r="AF98" s="26">
        <f t="shared" si="22"/>
        <v>-3.8834737267278922E-7</v>
      </c>
      <c r="AG98" s="26">
        <f t="shared" si="18"/>
        <v>-5.1409262523806079E-2</v>
      </c>
      <c r="AH98" s="26">
        <f t="shared" si="19"/>
        <v>9.7258738105504836</v>
      </c>
      <c r="AL98" s="26">
        <f t="shared" si="20"/>
        <v>4052.6260400012115</v>
      </c>
      <c r="AM98" s="26">
        <f t="shared" si="14"/>
        <v>6.7262195404104329E-13</v>
      </c>
      <c r="AN98" s="26">
        <f t="shared" si="15"/>
        <v>271.70863446613612</v>
      </c>
      <c r="AO98" s="26">
        <f t="shared" si="16"/>
        <v>-271.70863446613544</v>
      </c>
      <c r="BB98" s="6">
        <f t="shared" si="23"/>
        <v>1</v>
      </c>
      <c r="BC98" s="26">
        <f t="shared" si="24"/>
        <v>0.27392661286054204</v>
      </c>
      <c r="BD98" s="26">
        <f t="shared" si="25"/>
        <v>21.844027389503744</v>
      </c>
    </row>
    <row r="99" spans="28:56" x14ac:dyDescent="0.25">
      <c r="AE99" s="26"/>
      <c r="AG99" s="26"/>
      <c r="AH99" s="26"/>
      <c r="AL99" s="26"/>
      <c r="AM99" s="26"/>
      <c r="AN99" s="26"/>
      <c r="AO99" s="26"/>
    </row>
    <row r="100" spans="28:56" x14ac:dyDescent="0.25">
      <c r="AL100" s="26"/>
      <c r="AM100" s="26"/>
      <c r="AN100" s="26"/>
      <c r="AO100" s="26"/>
    </row>
    <row r="101" spans="28:56" x14ac:dyDescent="0.25">
      <c r="AL101" s="26"/>
      <c r="AM101" s="26"/>
      <c r="AN101" s="26"/>
      <c r="AO101" s="26"/>
    </row>
    <row r="102" spans="28:56" x14ac:dyDescent="0.25">
      <c r="AB102" s="1" t="s">
        <v>100</v>
      </c>
      <c r="AL102" s="1" t="s">
        <v>117</v>
      </c>
      <c r="AM102" s="26"/>
      <c r="AN102" s="26"/>
      <c r="AO102" s="26"/>
      <c r="BB102" s="1" t="s">
        <v>119</v>
      </c>
    </row>
    <row r="103" spans="28:56" x14ac:dyDescent="0.25">
      <c r="AB103" s="26" t="s">
        <v>107</v>
      </c>
      <c r="AC103" s="26" t="s">
        <v>109</v>
      </c>
      <c r="AD103" s="26" t="s">
        <v>111</v>
      </c>
      <c r="AE103" s="26" t="s">
        <v>110</v>
      </c>
      <c r="AF103" s="26" t="s">
        <v>105</v>
      </c>
      <c r="AG103" s="26" t="s">
        <v>106</v>
      </c>
      <c r="AH103" s="26" t="s">
        <v>104</v>
      </c>
      <c r="AL103" s="26" t="s">
        <v>109</v>
      </c>
      <c r="AM103" s="26" t="s">
        <v>111</v>
      </c>
      <c r="AN103" s="26" t="s">
        <v>110</v>
      </c>
      <c r="AO103" t="s">
        <v>105</v>
      </c>
      <c r="BB103" s="26" t="s">
        <v>120</v>
      </c>
      <c r="BC103" s="26" t="s">
        <v>121</v>
      </c>
      <c r="BD103" t="s">
        <v>122</v>
      </c>
    </row>
    <row r="104" spans="28:56" x14ac:dyDescent="0.25">
      <c r="AB104" s="26">
        <v>0</v>
      </c>
      <c r="AC104">
        <f>AC67</f>
        <v>256.42679146617985</v>
      </c>
      <c r="AD104" s="26">
        <f>0.05*B$24*($AC104-$B$16)/EXP(B$24*($AC104-$B$37))</f>
        <v>0.16047110165191977</v>
      </c>
      <c r="AE104" s="26">
        <f>IF(B$20="Inline",2*(AC104-B$16)/(B$21*(B$38+B$27)),AD104)</f>
        <v>12.066749326473948</v>
      </c>
      <c r="AF104" s="26">
        <f>AD104-AE104</f>
        <v>-11.906278224822028</v>
      </c>
      <c r="AG104" s="26">
        <f>0.05*((B$24^2)*B$16+B$24-(B$24^2)*AC104)*EXP(-B$24*(AC104-B$37))-2/(B$21*(B$38+B$27))</f>
        <v>-7.0404826902442111E-2</v>
      </c>
      <c r="AH104" s="26">
        <f>-0.5/AG104</f>
        <v>7.1017858007496448</v>
      </c>
      <c r="AL104" s="6">
        <f>B16</f>
        <v>80</v>
      </c>
      <c r="AM104">
        <f t="shared" ref="AM104:AM129" si="26">IF(B$20="Inline",0.05*B$24*($AL104-$B$16)/EXP(B$24*($AL104-$B$37)),0.5*B$24/EXP(B$24*B$40))</f>
        <v>0</v>
      </c>
      <c r="AN104">
        <f t="shared" ref="AN104:AN129" si="27">IF(B$20="Inline",2*(AL104-B$16)/(B$21*(B$38+B$27)),B$16)</f>
        <v>0</v>
      </c>
      <c r="AO104">
        <f>AM104-AN104</f>
        <v>0</v>
      </c>
      <c r="BB104" s="6">
        <f>B17</f>
        <v>2.2208141581712839</v>
      </c>
      <c r="BC104" s="6">
        <f>B60</f>
        <v>0.60834010014059581</v>
      </c>
      <c r="BD104" s="26">
        <f>$B$15*SQRT(BC104/1.2)</f>
        <v>32.552835319186997</v>
      </c>
    </row>
    <row r="105" spans="28:56" x14ac:dyDescent="0.25">
      <c r="AB105" s="26">
        <v>1</v>
      </c>
      <c r="AC105" s="26">
        <f>AC104+AH104*AF104</f>
        <v>171.87095382936408</v>
      </c>
      <c r="AD105" s="26">
        <f t="shared" ref="AD105:AD129" si="28">0.05*B$24*($AC105-$B$16)/EXP(B$24*($AC105-$B$37))</f>
        <v>0.38907350348564024</v>
      </c>
      <c r="AE105" s="26">
        <f t="shared" ref="AE105:AE129" si="29">IF(B$20="Inline",2*(AC105-B$16)/(B$21*(B$38+B$27)),AD105)</f>
        <v>6.2835341561800622</v>
      </c>
      <c r="AF105" s="26">
        <f>AD105-AE105</f>
        <v>-5.8944606526944217</v>
      </c>
      <c r="AG105" s="26">
        <f>0.05*((B$24^2)*B$16+B$24-(B$24^2)*AC105)*EXP(-B$24*(AC105-B$37))-2/(B$21*(B$38+B$27))</f>
        <v>-7.1237949790986424E-2</v>
      </c>
      <c r="AH105" s="26">
        <f t="shared" ref="AH105:AH129" si="30">-0.3/AG105</f>
        <v>4.21123854462693</v>
      </c>
      <c r="AI105" s="26"/>
      <c r="AL105" s="26">
        <f>AL104*1.17</f>
        <v>93.6</v>
      </c>
      <c r="AM105" s="26">
        <f t="shared" si="26"/>
        <v>0.23919971501086523</v>
      </c>
      <c r="AN105" s="26">
        <f t="shared" si="27"/>
        <v>0.9301750004987438</v>
      </c>
      <c r="AO105" s="26">
        <f t="shared" ref="AO105:AO129" si="31">AM105-AN105</f>
        <v>-0.69097528548787857</v>
      </c>
      <c r="BB105" s="6">
        <f t="shared" ref="BB105:BB129" si="32">IF(CHOOSE($D$13,1,3,5.22761/(1+(95/BD104)^2),3.9207/(1+(40/BD104)^2),1.59593/(1+(10/BD104)^2))&lt;1,1,CHOOSE($D$13,1,3,5.22761/(1+(95/BD104)^2),3.9207/(1+(40/BD104)^2),1.59593/(1+(10/BD104)^2)))</f>
        <v>1.5621067542338256</v>
      </c>
      <c r="BC105" s="26">
        <f t="shared" ref="BC105:BC129" si="33">BC104/BB104*BB105</f>
        <v>0.42790261211384706</v>
      </c>
      <c r="BD105" s="26">
        <f t="shared" ref="BD105:BD129" si="34">$B$15*SQRT(BC105/1.2)</f>
        <v>27.301597992145034</v>
      </c>
    </row>
    <row r="106" spans="28:56" x14ac:dyDescent="0.25">
      <c r="AB106" s="26">
        <v>2</v>
      </c>
      <c r="AC106" s="26">
        <f t="shared" ref="AC106:AC129" si="35">AC105+AH105*AF105</f>
        <v>147.04797392895051</v>
      </c>
      <c r="AD106" s="26">
        <f t="shared" si="28"/>
        <v>0.44601497634632198</v>
      </c>
      <c r="AE106" s="26">
        <f t="shared" si="29"/>
        <v>4.5857609693236272</v>
      </c>
      <c r="AF106" s="26">
        <f>AD106-AE106</f>
        <v>-4.1397459929773053</v>
      </c>
      <c r="AG106" s="26">
        <f>0.05*((B$24^2)*B$16+B$24-(B$24^2)*AC106)*EXP(-B$24*(AC106-B$37))-2/(B$21*(B$38+B$27))</f>
        <v>-6.9856609123426033E-2</v>
      </c>
      <c r="AH106" s="26">
        <f t="shared" si="30"/>
        <v>4.294511339219822</v>
      </c>
      <c r="AI106" s="26"/>
      <c r="AL106" s="26">
        <f t="shared" ref="AL106:AL129" si="36">AL105*1.17</f>
        <v>109.51199999999999</v>
      </c>
      <c r="AM106" s="26">
        <f t="shared" si="26"/>
        <v>0.38860639522661461</v>
      </c>
      <c r="AN106" s="26">
        <f t="shared" si="27"/>
        <v>2.0184797510822738</v>
      </c>
      <c r="AO106" s="26">
        <f t="shared" si="31"/>
        <v>-1.6298733558556593</v>
      </c>
      <c r="BB106" s="6">
        <f t="shared" si="32"/>
        <v>1.2460258117953578</v>
      </c>
      <c r="BC106" s="26">
        <f t="shared" si="33"/>
        <v>0.34131963016190958</v>
      </c>
      <c r="BD106" s="26">
        <f t="shared" si="34"/>
        <v>24.383510534933141</v>
      </c>
    </row>
    <row r="107" spans="28:56" x14ac:dyDescent="0.25">
      <c r="AB107" s="26">
        <v>3</v>
      </c>
      <c r="AC107" s="26">
        <f t="shared" si="35"/>
        <v>129.26978782061965</v>
      </c>
      <c r="AD107" s="26">
        <f t="shared" si="28"/>
        <v>0.45289596974491386</v>
      </c>
      <c r="AE107" s="26">
        <f t="shared" si="29"/>
        <v>3.3698180081336697</v>
      </c>
      <c r="AF107" s="26">
        <f>AD107-AE107</f>
        <v>-2.9169220383887557</v>
      </c>
      <c r="AG107" s="26">
        <f>0.05*((B$24^2)*B$16+B$24-(B$24^2)*AC107)*EXP(-B$24*(AC107-B$37))-2/(B$21*(B$38+B$27))</f>
        <v>-6.7441795721288916E-2</v>
      </c>
      <c r="AH107" s="26">
        <f t="shared" si="30"/>
        <v>4.4482801323942347</v>
      </c>
      <c r="AI107" s="26"/>
      <c r="AL107" s="26">
        <f t="shared" si="36"/>
        <v>128.12903999999997</v>
      </c>
      <c r="AM107" s="26">
        <f t="shared" si="26"/>
        <v>0.45168667190810635</v>
      </c>
      <c r="AN107" s="26">
        <f t="shared" si="27"/>
        <v>3.2917963092650044</v>
      </c>
      <c r="AO107" s="26">
        <f t="shared" si="31"/>
        <v>-2.8401096373568979</v>
      </c>
      <c r="BB107" s="6">
        <f t="shared" si="32"/>
        <v>1.0622078114228126</v>
      </c>
      <c r="BC107" s="26">
        <f t="shared" si="33"/>
        <v>0.29096698793706044</v>
      </c>
      <c r="BD107" s="26">
        <f t="shared" si="34"/>
        <v>22.513211837300773</v>
      </c>
    </row>
    <row r="108" spans="28:56" x14ac:dyDescent="0.25">
      <c r="AB108" s="26">
        <v>4</v>
      </c>
      <c r="AC108" s="26">
        <f t="shared" si="35"/>
        <v>116.29450146951206</v>
      </c>
      <c r="AD108" s="26">
        <f t="shared" si="28"/>
        <v>0.42244285343535826</v>
      </c>
      <c r="AE108" s="26">
        <f t="shared" si="29"/>
        <v>2.4823704354783125</v>
      </c>
      <c r="AF108" s="26">
        <f t="shared" ref="AF108:AF129" si="37">AD108-AE108</f>
        <v>-2.0599275820429543</v>
      </c>
      <c r="AG108" s="26">
        <f t="shared" ref="AG108:AG129" si="38">0.05*((B$24^2)*B$16+B$24-(B$24^2)*AC108)*EXP(-B$24*(AC108-B$37))-2/(B$21*(B$38+B$27))</f>
        <v>-6.444067255136976E-2</v>
      </c>
      <c r="AH108" s="26">
        <f t="shared" si="30"/>
        <v>4.6554448940744821</v>
      </c>
      <c r="AI108" s="26"/>
      <c r="AL108" s="26">
        <f t="shared" si="36"/>
        <v>149.91097679999996</v>
      </c>
      <c r="AM108" s="26">
        <f t="shared" si="26"/>
        <v>0.44145903962791883</v>
      </c>
      <c r="AN108" s="26">
        <f t="shared" si="27"/>
        <v>4.7815766823387982</v>
      </c>
      <c r="AO108" s="26">
        <f t="shared" si="31"/>
        <v>-4.3401176427108794</v>
      </c>
      <c r="BB108" s="6">
        <f t="shared" si="32"/>
        <v>1</v>
      </c>
      <c r="BC108" s="26">
        <f t="shared" si="33"/>
        <v>0.27392661286054204</v>
      </c>
      <c r="BD108" s="26">
        <f t="shared" si="34"/>
        <v>21.844027389503744</v>
      </c>
    </row>
    <row r="109" spans="28:56" x14ac:dyDescent="0.25">
      <c r="AB109" s="26">
        <v>5</v>
      </c>
      <c r="AC109" s="26">
        <f t="shared" si="35"/>
        <v>106.704622125527</v>
      </c>
      <c r="AD109" s="26">
        <f t="shared" si="28"/>
        <v>0.37006415439736651</v>
      </c>
      <c r="AE109" s="26">
        <f t="shared" si="29"/>
        <v>1.8264685219802095</v>
      </c>
      <c r="AF109" s="26">
        <f t="shared" si="37"/>
        <v>-1.4564043675828429</v>
      </c>
      <c r="AG109" s="26">
        <f t="shared" si="38"/>
        <v>-6.1269464580117748E-2</v>
      </c>
      <c r="AH109" s="26">
        <f t="shared" si="30"/>
        <v>4.8964031603003679</v>
      </c>
      <c r="AI109" s="26"/>
      <c r="AL109" s="26">
        <f t="shared" si="36"/>
        <v>175.39584285599994</v>
      </c>
      <c r="AM109" s="26">
        <f t="shared" si="26"/>
        <v>0.37890907358218978</v>
      </c>
      <c r="AN109" s="26">
        <f t="shared" si="27"/>
        <v>6.5246197188351376</v>
      </c>
      <c r="AO109" s="26">
        <f t="shared" si="31"/>
        <v>-6.1457106452529482</v>
      </c>
      <c r="BB109" s="6">
        <f t="shared" si="32"/>
        <v>1</v>
      </c>
      <c r="BC109" s="26">
        <f t="shared" si="33"/>
        <v>0.27392661286054204</v>
      </c>
      <c r="BD109" s="26">
        <f t="shared" si="34"/>
        <v>21.844027389503744</v>
      </c>
    </row>
    <row r="110" spans="28:56" x14ac:dyDescent="0.25">
      <c r="AB110" s="26">
        <v>6</v>
      </c>
      <c r="AC110" s="26">
        <f t="shared" si="35"/>
        <v>99.573479177419102</v>
      </c>
      <c r="AD110" s="26">
        <f t="shared" si="28"/>
        <v>0.30881413584376649</v>
      </c>
      <c r="AE110" s="26">
        <f t="shared" si="29"/>
        <v>1.3387324267366156</v>
      </c>
      <c r="AF110" s="26">
        <f t="shared" si="37"/>
        <v>-1.0299182908928493</v>
      </c>
      <c r="AG110" s="26">
        <f t="shared" si="38"/>
        <v>-5.8235761159409871E-2</v>
      </c>
      <c r="AH110" s="26">
        <f t="shared" si="30"/>
        <v>5.1514738371634605</v>
      </c>
      <c r="AI110" s="26"/>
      <c r="AL110" s="26">
        <f t="shared" si="36"/>
        <v>205.21313614151993</v>
      </c>
      <c r="AM110" s="26">
        <f t="shared" si="26"/>
        <v>0.28912673221826096</v>
      </c>
      <c r="AN110" s="26">
        <f t="shared" si="27"/>
        <v>8.5639800715358554</v>
      </c>
      <c r="AO110" s="26">
        <f t="shared" si="31"/>
        <v>-8.2748533393175947</v>
      </c>
      <c r="BB110" s="6">
        <f t="shared" si="32"/>
        <v>1</v>
      </c>
      <c r="BC110" s="26">
        <f t="shared" si="33"/>
        <v>0.27392661286054204</v>
      </c>
      <c r="BD110" s="26">
        <f t="shared" si="34"/>
        <v>21.844027389503744</v>
      </c>
    </row>
    <row r="111" spans="28:56" x14ac:dyDescent="0.25">
      <c r="AB111" s="26">
        <v>7</v>
      </c>
      <c r="AC111" s="26">
        <f t="shared" si="35"/>
        <v>94.267882047468476</v>
      </c>
      <c r="AD111" s="26">
        <f t="shared" si="28"/>
        <v>0.24791611329475824</v>
      </c>
      <c r="AE111" s="26">
        <f t="shared" si="29"/>
        <v>0.97585494048676569</v>
      </c>
      <c r="AF111" s="26">
        <f t="shared" si="37"/>
        <v>-0.72793882719200742</v>
      </c>
      <c r="AG111" s="26">
        <f t="shared" si="38"/>
        <v>-5.5529304628468036E-2</v>
      </c>
      <c r="AH111" s="26">
        <f t="shared" si="30"/>
        <v>5.4025527963517828</v>
      </c>
      <c r="AI111" s="26"/>
      <c r="AL111" s="26">
        <f t="shared" si="36"/>
        <v>240.09936928557829</v>
      </c>
      <c r="AM111" s="26">
        <f t="shared" si="26"/>
        <v>0.19598117181635075</v>
      </c>
      <c r="AN111" s="26">
        <f t="shared" si="27"/>
        <v>10.950031684195693</v>
      </c>
      <c r="AO111" s="26">
        <f t="shared" si="31"/>
        <v>-10.754050512379342</v>
      </c>
      <c r="BB111" s="6">
        <f t="shared" si="32"/>
        <v>1</v>
      </c>
      <c r="BC111" s="26">
        <f t="shared" si="33"/>
        <v>0.27392661286054204</v>
      </c>
      <c r="BD111" s="26">
        <f t="shared" si="34"/>
        <v>21.844027389503744</v>
      </c>
    </row>
    <row r="112" spans="28:56" x14ac:dyDescent="0.25">
      <c r="AB112" s="26">
        <v>8</v>
      </c>
      <c r="AC112" s="26">
        <f t="shared" si="35"/>
        <v>90.335154101049255</v>
      </c>
      <c r="AD112" s="26">
        <f t="shared" si="28"/>
        <v>0.19289996442521903</v>
      </c>
      <c r="AE112" s="26">
        <f t="shared" si="29"/>
        <v>0.70687514493368309</v>
      </c>
      <c r="AF112" s="26">
        <f t="shared" si="37"/>
        <v>-0.51397518050846402</v>
      </c>
      <c r="AG112" s="26">
        <f t="shared" si="38"/>
        <v>-5.3239860339380496E-2</v>
      </c>
      <c r="AH112" s="26">
        <f t="shared" si="30"/>
        <v>5.6348757883216267</v>
      </c>
      <c r="AI112" s="26"/>
      <c r="AL112" s="26">
        <f t="shared" si="36"/>
        <v>280.91626206412656</v>
      </c>
      <c r="AM112" s="26">
        <f t="shared" si="26"/>
        <v>0.11705012371292639</v>
      </c>
      <c r="AN112" s="26">
        <f t="shared" si="27"/>
        <v>13.741712071007703</v>
      </c>
      <c r="AO112" s="26">
        <f t="shared" si="31"/>
        <v>-13.624661947294776</v>
      </c>
      <c r="BB112" s="6">
        <f t="shared" si="32"/>
        <v>1</v>
      </c>
      <c r="BC112" s="26">
        <f t="shared" si="33"/>
        <v>0.27392661286054204</v>
      </c>
      <c r="BD112" s="26">
        <f t="shared" si="34"/>
        <v>21.844027389503744</v>
      </c>
    </row>
    <row r="113" spans="28:56" x14ac:dyDescent="0.25">
      <c r="AB113" s="26">
        <v>9</v>
      </c>
      <c r="AC113" s="26">
        <f t="shared" si="35"/>
        <v>87.438967800603876</v>
      </c>
      <c r="AD113" s="26">
        <f t="shared" si="28"/>
        <v>0.14635540632026675</v>
      </c>
      <c r="AE113" s="26">
        <f t="shared" si="29"/>
        <v>0.50878984394388627</v>
      </c>
      <c r="AF113" s="26">
        <f t="shared" si="37"/>
        <v>-0.36243443762361949</v>
      </c>
      <c r="AG113" s="26">
        <f t="shared" si="38"/>
        <v>-5.138345178239169E-2</v>
      </c>
      <c r="AH113" s="26">
        <f t="shared" si="30"/>
        <v>5.838455564847929</v>
      </c>
      <c r="AI113" s="26"/>
      <c r="AL113" s="26">
        <f t="shared" si="36"/>
        <v>328.67202661502807</v>
      </c>
      <c r="AM113" s="26">
        <f t="shared" si="26"/>
        <v>6.0770978500785902E-2</v>
      </c>
      <c r="AN113" s="26">
        <f t="shared" si="27"/>
        <v>17.007978123577757</v>
      </c>
      <c r="AO113" s="26">
        <f t="shared" si="31"/>
        <v>-16.947207145076973</v>
      </c>
      <c r="BB113" s="6">
        <f t="shared" si="32"/>
        <v>1</v>
      </c>
      <c r="BC113" s="26">
        <f t="shared" si="33"/>
        <v>0.27392661286054204</v>
      </c>
      <c r="BD113" s="26">
        <f t="shared" si="34"/>
        <v>21.844027389503744</v>
      </c>
    </row>
    <row r="114" spans="28:56" x14ac:dyDescent="0.25">
      <c r="AB114" s="26">
        <v>10</v>
      </c>
      <c r="AC114" s="26">
        <f t="shared" si="35"/>
        <v>85.322910441367725</v>
      </c>
      <c r="AD114" s="26">
        <f t="shared" si="28"/>
        <v>0.10883356474661603</v>
      </c>
      <c r="AE114" s="26">
        <f t="shared" si="29"/>
        <v>0.36406163400397018</v>
      </c>
      <c r="AF114" s="26">
        <f t="shared" si="37"/>
        <v>-0.25522806925735414</v>
      </c>
      <c r="AG114" s="26">
        <f t="shared" si="38"/>
        <v>-4.9928786735871249E-2</v>
      </c>
      <c r="AH114" s="26">
        <f t="shared" si="30"/>
        <v>6.0085577802447485</v>
      </c>
      <c r="AI114" s="26"/>
      <c r="AL114" s="26">
        <f t="shared" si="36"/>
        <v>384.54627113958281</v>
      </c>
      <c r="AM114" s="26">
        <f t="shared" si="26"/>
        <v>2.6933712269719863E-2</v>
      </c>
      <c r="AN114" s="26">
        <f t="shared" si="27"/>
        <v>20.829509405084718</v>
      </c>
      <c r="AO114" s="26">
        <f t="shared" si="31"/>
        <v>-20.802575692814997</v>
      </c>
      <c r="BB114" s="6">
        <f t="shared" si="32"/>
        <v>1</v>
      </c>
      <c r="BC114" s="26">
        <f t="shared" si="33"/>
        <v>0.27392661286054204</v>
      </c>
      <c r="BD114" s="26">
        <f t="shared" si="34"/>
        <v>21.844027389503744</v>
      </c>
    </row>
    <row r="115" spans="28:56" x14ac:dyDescent="0.25">
      <c r="AB115" s="26">
        <v>11</v>
      </c>
      <c r="AC115" s="26">
        <f t="shared" si="35"/>
        <v>83.78935784009461</v>
      </c>
      <c r="AD115" s="26">
        <f t="shared" si="28"/>
        <v>7.967001959490938E-2</v>
      </c>
      <c r="AE115" s="26">
        <f t="shared" si="29"/>
        <v>0.25917396549999444</v>
      </c>
      <c r="AF115" s="26">
        <f t="shared" si="37"/>
        <v>-0.17950394590508506</v>
      </c>
      <c r="AG115" s="26">
        <f t="shared" si="38"/>
        <v>-4.881984136675261E-2</v>
      </c>
      <c r="AH115" s="26">
        <f t="shared" si="30"/>
        <v>6.1450424991406587</v>
      </c>
      <c r="AI115" s="26"/>
      <c r="AL115" s="26">
        <f t="shared" si="36"/>
        <v>449.91913723331186</v>
      </c>
      <c r="AM115" s="26">
        <f t="shared" si="26"/>
        <v>9.9604940818469358E-3</v>
      </c>
      <c r="AN115" s="26">
        <f t="shared" si="27"/>
        <v>25.300701004447859</v>
      </c>
      <c r="AO115" s="26">
        <f t="shared" si="31"/>
        <v>-25.290740510366014</v>
      </c>
      <c r="BB115" s="6">
        <f t="shared" si="32"/>
        <v>1</v>
      </c>
      <c r="BC115" s="26">
        <f t="shared" si="33"/>
        <v>0.27392661286054204</v>
      </c>
      <c r="BD115" s="26">
        <f t="shared" si="34"/>
        <v>21.844027389503744</v>
      </c>
    </row>
    <row r="116" spans="28:56" x14ac:dyDescent="0.25">
      <c r="AB116" s="26">
        <v>12</v>
      </c>
      <c r="AC116" s="26">
        <f t="shared" si="35"/>
        <v>82.686298463744421</v>
      </c>
      <c r="AD116" s="26">
        <f t="shared" si="28"/>
        <v>5.7623300446954753E-2</v>
      </c>
      <c r="AE116" s="26">
        <f t="shared" si="29"/>
        <v>0.18372997609215022</v>
      </c>
      <c r="AF116" s="26">
        <f t="shared" si="37"/>
        <v>-0.12610667564519545</v>
      </c>
      <c r="AG116" s="26">
        <f t="shared" si="38"/>
        <v>-4.7992641514053969E-2</v>
      </c>
      <c r="AH116" s="26">
        <f t="shared" si="30"/>
        <v>6.250958283097404</v>
      </c>
      <c r="AI116" s="26"/>
      <c r="AL116" s="26">
        <f t="shared" si="36"/>
        <v>526.40539056297484</v>
      </c>
      <c r="AM116" s="26">
        <f t="shared" si="26"/>
        <v>2.9897505937943655E-3</v>
      </c>
      <c r="AN116" s="26">
        <f t="shared" si="27"/>
        <v>30.53199517570274</v>
      </c>
      <c r="AO116" s="26">
        <f t="shared" si="31"/>
        <v>-30.529005425108945</v>
      </c>
      <c r="BB116" s="6">
        <f t="shared" si="32"/>
        <v>1</v>
      </c>
      <c r="BC116" s="26">
        <f t="shared" si="33"/>
        <v>0.27392661286054204</v>
      </c>
      <c r="BD116" s="26">
        <f t="shared" si="34"/>
        <v>21.844027389503744</v>
      </c>
    </row>
    <row r="117" spans="28:56" x14ac:dyDescent="0.25">
      <c r="AB117" s="26">
        <v>13</v>
      </c>
      <c r="AC117" s="26">
        <f t="shared" si="35"/>
        <v>81.898010895066207</v>
      </c>
      <c r="AD117" s="26">
        <f t="shared" si="28"/>
        <v>4.130192734441443E-2</v>
      </c>
      <c r="AE117" s="26">
        <f t="shared" si="29"/>
        <v>0.12981487391653171</v>
      </c>
      <c r="AF117" s="26">
        <f t="shared" si="37"/>
        <v>-8.8512946572117279E-2</v>
      </c>
      <c r="AG117" s="26">
        <f t="shared" si="38"/>
        <v>-4.7385916230020517E-2</v>
      </c>
      <c r="AH117" s="26">
        <f t="shared" si="30"/>
        <v>6.3309950269557147</v>
      </c>
      <c r="AI117" s="26"/>
      <c r="AL117" s="26">
        <f t="shared" si="36"/>
        <v>615.89430695868054</v>
      </c>
      <c r="AM117" s="26">
        <f t="shared" si="26"/>
        <v>7.0467760296331916E-4</v>
      </c>
      <c r="AN117" s="26">
        <f t="shared" si="27"/>
        <v>36.652609356070947</v>
      </c>
      <c r="AO117" s="26">
        <f t="shared" si="31"/>
        <v>-36.651904678467986</v>
      </c>
      <c r="BB117" s="6">
        <f t="shared" si="32"/>
        <v>1</v>
      </c>
      <c r="BC117" s="26">
        <f t="shared" si="33"/>
        <v>0.27392661286054204</v>
      </c>
      <c r="BD117" s="26">
        <f t="shared" si="34"/>
        <v>21.844027389503744</v>
      </c>
    </row>
    <row r="118" spans="28:56" x14ac:dyDescent="0.25">
      <c r="AB118" s="26">
        <v>14</v>
      </c>
      <c r="AC118" s="26">
        <f t="shared" si="35"/>
        <v>81.337635870496939</v>
      </c>
      <c r="AD118" s="26">
        <f t="shared" si="28"/>
        <v>2.9406049595485786E-2</v>
      </c>
      <c r="AE118" s="26">
        <f t="shared" si="29"/>
        <v>9.1487900478428572E-2</v>
      </c>
      <c r="AF118" s="26">
        <f t="shared" si="37"/>
        <v>-6.2081850882942782E-2</v>
      </c>
      <c r="AG118" s="26">
        <f t="shared" si="38"/>
        <v>-4.6946554858155576E-2</v>
      </c>
      <c r="AH118" s="26">
        <f t="shared" si="30"/>
        <v>6.3902452673347518</v>
      </c>
      <c r="AI118" s="26"/>
      <c r="AL118" s="26">
        <f t="shared" si="36"/>
        <v>720.59633914165624</v>
      </c>
      <c r="AM118" s="26">
        <f t="shared" si="26"/>
        <v>1.2540433715100581E-4</v>
      </c>
      <c r="AN118" s="26">
        <f t="shared" si="27"/>
        <v>43.813727947101754</v>
      </c>
      <c r="AO118" s="26">
        <f t="shared" si="31"/>
        <v>-43.813602542764606</v>
      </c>
      <c r="BB118" s="6">
        <f t="shared" si="32"/>
        <v>1</v>
      </c>
      <c r="BC118" s="26">
        <f t="shared" si="33"/>
        <v>0.27392661286054204</v>
      </c>
      <c r="BD118" s="26">
        <f t="shared" si="34"/>
        <v>21.844027389503744</v>
      </c>
    </row>
    <row r="119" spans="28:56" x14ac:dyDescent="0.25">
      <c r="AB119" s="26">
        <v>15</v>
      </c>
      <c r="AC119" s="26">
        <f t="shared" si="35"/>
        <v>80.940917616704837</v>
      </c>
      <c r="AD119" s="26">
        <f t="shared" si="28"/>
        <v>2.0834572505961151E-2</v>
      </c>
      <c r="AE119" s="26">
        <f t="shared" si="29"/>
        <v>6.4354267984389646E-2</v>
      </c>
      <c r="AF119" s="26">
        <f t="shared" si="37"/>
        <v>-4.3519695478428495E-2</v>
      </c>
      <c r="AG119" s="26">
        <f t="shared" si="38"/>
        <v>-4.6631404046930017E-2</v>
      </c>
      <c r="AH119" s="26">
        <f t="shared" si="30"/>
        <v>6.4334327076679676</v>
      </c>
      <c r="AI119" s="26"/>
      <c r="AL119" s="26">
        <f t="shared" si="36"/>
        <v>843.09771679573771</v>
      </c>
      <c r="AM119" s="26">
        <f t="shared" si="26"/>
        <v>1.6088067906532024E-5</v>
      </c>
      <c r="AN119" s="26">
        <f t="shared" si="27"/>
        <v>52.192236698607786</v>
      </c>
      <c r="AO119" s="26">
        <f t="shared" si="31"/>
        <v>-52.192220610539877</v>
      </c>
      <c r="BB119" s="6">
        <f t="shared" si="32"/>
        <v>1</v>
      </c>
      <c r="BC119" s="26">
        <f t="shared" si="33"/>
        <v>0.27392661286054204</v>
      </c>
      <c r="BD119" s="26">
        <f t="shared" si="34"/>
        <v>21.844027389503744</v>
      </c>
    </row>
    <row r="120" spans="28:56" x14ac:dyDescent="0.25">
      <c r="AB120" s="26">
        <v>16</v>
      </c>
      <c r="AC120" s="26">
        <f t="shared" si="35"/>
        <v>80.660936584386164</v>
      </c>
      <c r="AD120" s="26">
        <f t="shared" si="28"/>
        <v>1.4709731151880501E-2</v>
      </c>
      <c r="AE120" s="26">
        <f t="shared" si="29"/>
        <v>4.5204903508164578E-2</v>
      </c>
      <c r="AF120" s="26">
        <f t="shared" si="37"/>
        <v>-3.0495172356284076E-2</v>
      </c>
      <c r="AG120" s="26">
        <f t="shared" si="38"/>
        <v>-4.640692002931196E-2</v>
      </c>
      <c r="AH120" s="26">
        <f t="shared" si="30"/>
        <v>6.4645531272170462</v>
      </c>
      <c r="AI120" s="26"/>
      <c r="AL120" s="26">
        <f t="shared" si="36"/>
        <v>986.42432865101307</v>
      </c>
      <c r="AM120" s="26">
        <f t="shared" si="26"/>
        <v>1.4090427823241429E-6</v>
      </c>
      <c r="AN120" s="26">
        <f t="shared" si="27"/>
        <v>61.995091937869852</v>
      </c>
      <c r="AO120" s="26">
        <f t="shared" si="31"/>
        <v>-61.99509052882707</v>
      </c>
      <c r="BB120" s="6">
        <f t="shared" si="32"/>
        <v>1</v>
      </c>
      <c r="BC120" s="26">
        <f t="shared" si="33"/>
        <v>0.27392661286054204</v>
      </c>
      <c r="BD120" s="26">
        <f t="shared" si="34"/>
        <v>21.844027389503744</v>
      </c>
    </row>
    <row r="121" spans="28:56" x14ac:dyDescent="0.25">
      <c r="AB121" s="26">
        <v>17</v>
      </c>
      <c r="AC121" s="26">
        <f t="shared" si="35"/>
        <v>80.463798922565331</v>
      </c>
      <c r="AD121" s="26">
        <f t="shared" si="28"/>
        <v>1.0359341175817896E-2</v>
      </c>
      <c r="AE121" s="26">
        <f t="shared" si="29"/>
        <v>3.1721629634450306E-2</v>
      </c>
      <c r="AF121" s="26">
        <f t="shared" si="37"/>
        <v>-2.136228845863241E-2</v>
      </c>
      <c r="AG121" s="26">
        <f t="shared" si="38"/>
        <v>-4.6247824170180543E-2</v>
      </c>
      <c r="AH121" s="26">
        <f t="shared" si="30"/>
        <v>6.486791657399368</v>
      </c>
      <c r="AI121" s="26"/>
      <c r="AL121" s="26">
        <f t="shared" si="36"/>
        <v>1154.1164645216852</v>
      </c>
      <c r="AM121" s="26">
        <f t="shared" si="26"/>
        <v>7.9034480042831027E-8</v>
      </c>
      <c r="AN121" s="26">
        <f t="shared" si="27"/>
        <v>73.464432567806469</v>
      </c>
      <c r="AO121" s="26">
        <f t="shared" si="31"/>
        <v>-73.46443248877199</v>
      </c>
      <c r="BB121" s="6">
        <f t="shared" si="32"/>
        <v>1</v>
      </c>
      <c r="BC121" s="26">
        <f t="shared" si="33"/>
        <v>0.27392661286054204</v>
      </c>
      <c r="BD121" s="26">
        <f t="shared" si="34"/>
        <v>21.844027389503744</v>
      </c>
    </row>
    <row r="122" spans="28:56" x14ac:dyDescent="0.25">
      <c r="AB122" s="26">
        <v>18</v>
      </c>
      <c r="AC122" s="26">
        <f t="shared" si="35"/>
        <v>80.325226208008914</v>
      </c>
      <c r="AD122" s="26">
        <f t="shared" si="28"/>
        <v>7.2825371731823196E-3</v>
      </c>
      <c r="AE122" s="26">
        <f t="shared" si="29"/>
        <v>2.2243918249771778E-2</v>
      </c>
      <c r="AF122" s="26">
        <f t="shared" si="37"/>
        <v>-1.4961381076589458E-2</v>
      </c>
      <c r="AG122" s="26">
        <f t="shared" si="38"/>
        <v>-4.6135477854434767E-2</v>
      </c>
      <c r="AH122" s="26">
        <f t="shared" si="30"/>
        <v>6.5025878987652561</v>
      </c>
      <c r="AI122" s="26"/>
      <c r="AL122" s="26">
        <f t="shared" si="36"/>
        <v>1350.3162634903715</v>
      </c>
      <c r="AM122" s="26">
        <f t="shared" si="26"/>
        <v>2.6340804066322413E-9</v>
      </c>
      <c r="AN122" s="26">
        <f t="shared" si="27"/>
        <v>86.883561104832296</v>
      </c>
      <c r="AO122" s="26">
        <f t="shared" si="31"/>
        <v>-86.883561102198215</v>
      </c>
      <c r="BB122" s="6">
        <f t="shared" si="32"/>
        <v>1</v>
      </c>
      <c r="BC122" s="26">
        <f t="shared" si="33"/>
        <v>0.27392661286054204</v>
      </c>
      <c r="BD122" s="26">
        <f t="shared" si="34"/>
        <v>21.844027389503744</v>
      </c>
    </row>
    <row r="123" spans="28:56" x14ac:dyDescent="0.25">
      <c r="AB123" s="26">
        <v>19</v>
      </c>
      <c r="AC123" s="26">
        <f t="shared" si="35"/>
        <v>80.227938512471468</v>
      </c>
      <c r="AD123" s="26">
        <f t="shared" si="28"/>
        <v>5.1130906417850607E-3</v>
      </c>
      <c r="AE123" s="26">
        <f t="shared" si="29"/>
        <v>1.5589904849399315E-2</v>
      </c>
      <c r="AF123" s="26">
        <f t="shared" si="37"/>
        <v>-1.0476814207614253E-2</v>
      </c>
      <c r="AG123" s="26">
        <f t="shared" si="38"/>
        <v>-4.6056348454639379E-2</v>
      </c>
      <c r="AH123" s="26">
        <f t="shared" si="30"/>
        <v>6.5137599932714636</v>
      </c>
      <c r="AI123" s="26"/>
      <c r="AL123" s="26">
        <f t="shared" si="36"/>
        <v>1579.8700282837347</v>
      </c>
      <c r="AM123" s="26">
        <f t="shared" si="26"/>
        <v>4.7776526221235342E-11</v>
      </c>
      <c r="AN123" s="26">
        <f t="shared" si="27"/>
        <v>102.58394149315254</v>
      </c>
      <c r="AO123" s="26">
        <f t="shared" si="31"/>
        <v>-102.58394149310476</v>
      </c>
      <c r="BB123" s="6">
        <f t="shared" si="32"/>
        <v>1</v>
      </c>
      <c r="BC123" s="26">
        <f t="shared" si="33"/>
        <v>0.27392661286054204</v>
      </c>
      <c r="BD123" s="26">
        <f t="shared" si="34"/>
        <v>21.844027389503744</v>
      </c>
    </row>
    <row r="124" spans="28:56" x14ac:dyDescent="0.25">
      <c r="AB124" s="26">
        <v>20</v>
      </c>
      <c r="AC124" s="26">
        <f t="shared" si="35"/>
        <v>80.159695059228966</v>
      </c>
      <c r="AD124" s="26">
        <f t="shared" si="28"/>
        <v>3.5867112028274135E-3</v>
      </c>
      <c r="AE124" s="26">
        <f t="shared" si="29"/>
        <v>1.0922378808672818E-2</v>
      </c>
      <c r="AF124" s="26">
        <f t="shared" si="37"/>
        <v>-7.3356676058454039E-3</v>
      </c>
      <c r="AG124" s="26">
        <f t="shared" si="38"/>
        <v>-4.6000716744641165E-2</v>
      </c>
      <c r="AH124" s="26">
        <f t="shared" si="30"/>
        <v>6.5216375141578284</v>
      </c>
      <c r="AI124" s="26"/>
      <c r="AL124" s="26">
        <f t="shared" si="36"/>
        <v>1848.4479330919694</v>
      </c>
      <c r="AM124" s="26">
        <f t="shared" si="26"/>
        <v>4.2549301505171795E-13</v>
      </c>
      <c r="AN124" s="26">
        <f t="shared" si="27"/>
        <v>120.9533865474872</v>
      </c>
      <c r="AO124" s="26">
        <f t="shared" si="31"/>
        <v>-120.95338654748677</v>
      </c>
      <c r="BB124" s="6">
        <f t="shared" si="32"/>
        <v>1</v>
      </c>
      <c r="BC124" s="26">
        <f t="shared" si="33"/>
        <v>0.27392661286054204</v>
      </c>
      <c r="BD124" s="26">
        <f t="shared" si="34"/>
        <v>21.844027389503744</v>
      </c>
    </row>
    <row r="125" spans="28:56" x14ac:dyDescent="0.25">
      <c r="AB125" s="26">
        <v>21</v>
      </c>
      <c r="AC125" s="26">
        <f t="shared" si="35"/>
        <v>80.111854494179298</v>
      </c>
      <c r="AD125" s="26">
        <f t="shared" si="28"/>
        <v>2.5144113310208781E-3</v>
      </c>
      <c r="AE125" s="26">
        <f t="shared" si="29"/>
        <v>7.6503128072805101E-3</v>
      </c>
      <c r="AF125" s="26">
        <f t="shared" si="37"/>
        <v>-5.1359014762596324E-3</v>
      </c>
      <c r="AG125" s="26">
        <f t="shared" si="38"/>
        <v>-4.5961655519592803E-2</v>
      </c>
      <c r="AH125" s="26">
        <f t="shared" si="30"/>
        <v>6.5271800288419604</v>
      </c>
      <c r="AI125" s="26"/>
      <c r="AL125" s="26">
        <f t="shared" si="36"/>
        <v>2162.6840817176039</v>
      </c>
      <c r="AM125" s="26">
        <f t="shared" si="26"/>
        <v>1.6494776522837572E-15</v>
      </c>
      <c r="AN125" s="26">
        <f t="shared" si="27"/>
        <v>142.44563726105875</v>
      </c>
      <c r="AO125" s="26">
        <f t="shared" si="31"/>
        <v>-142.44563726105875</v>
      </c>
      <c r="BB125" s="6">
        <f t="shared" si="32"/>
        <v>1</v>
      </c>
      <c r="BC125" s="26">
        <f t="shared" si="33"/>
        <v>0.27392661286054204</v>
      </c>
      <c r="BD125" s="26">
        <f t="shared" si="34"/>
        <v>21.844027389503744</v>
      </c>
    </row>
    <row r="126" spans="28:56" x14ac:dyDescent="0.25">
      <c r="AB126" s="26">
        <v>22</v>
      </c>
      <c r="AC126" s="26">
        <f t="shared" si="35"/>
        <v>80.078331540633357</v>
      </c>
      <c r="AD126" s="26">
        <f t="shared" si="28"/>
        <v>1.7619127508232701E-3</v>
      </c>
      <c r="AE126" s="26">
        <f t="shared" si="29"/>
        <v>5.3575030035073797E-3</v>
      </c>
      <c r="AF126" s="26">
        <f t="shared" si="37"/>
        <v>-3.5955902526841098E-3</v>
      </c>
      <c r="AG126" s="26">
        <f t="shared" si="38"/>
        <v>-4.5934254035215491E-2</v>
      </c>
      <c r="AH126" s="26">
        <f t="shared" si="30"/>
        <v>6.5310737335585118</v>
      </c>
      <c r="AI126" s="26"/>
      <c r="AL126" s="26">
        <f t="shared" si="36"/>
        <v>2530.3403756095963</v>
      </c>
      <c r="AM126" s="26">
        <f t="shared" si="26"/>
        <v>2.4173204453449988E-18</v>
      </c>
      <c r="AN126" s="26">
        <f t="shared" si="27"/>
        <v>167.59157059593747</v>
      </c>
      <c r="AO126" s="26">
        <f t="shared" si="31"/>
        <v>-167.59157059593747</v>
      </c>
      <c r="BB126" s="6">
        <f t="shared" si="32"/>
        <v>1</v>
      </c>
      <c r="BC126" s="26">
        <f t="shared" si="33"/>
        <v>0.27392661286054204</v>
      </c>
      <c r="BD126" s="26">
        <f t="shared" si="34"/>
        <v>21.844027389503744</v>
      </c>
    </row>
    <row r="127" spans="28:56" x14ac:dyDescent="0.25">
      <c r="AB127" s="26">
        <v>23</v>
      </c>
      <c r="AC127" s="26">
        <f t="shared" si="35"/>
        <v>80.054848475577415</v>
      </c>
      <c r="AD127" s="26">
        <f t="shared" si="28"/>
        <v>1.2342348819465885E-3</v>
      </c>
      <c r="AE127" s="26">
        <f t="shared" si="29"/>
        <v>3.7513735880571899E-3</v>
      </c>
      <c r="AF127" s="26">
        <f t="shared" si="37"/>
        <v>-2.5171387061106013E-3</v>
      </c>
      <c r="AG127" s="26">
        <f t="shared" si="38"/>
        <v>-4.5915044164251337E-2</v>
      </c>
      <c r="AH127" s="26">
        <f t="shared" si="30"/>
        <v>6.5338061949110529</v>
      </c>
      <c r="AI127" s="26"/>
      <c r="AL127" s="26">
        <f t="shared" si="36"/>
        <v>2960.4982394632275</v>
      </c>
      <c r="AM127" s="26">
        <f t="shared" si="26"/>
        <v>1.1354698449643751E-21</v>
      </c>
      <c r="AN127" s="26">
        <f t="shared" si="27"/>
        <v>197.01231259774556</v>
      </c>
      <c r="AO127" s="26">
        <f t="shared" si="31"/>
        <v>-197.01231259774556</v>
      </c>
      <c r="BB127" s="6">
        <f t="shared" si="32"/>
        <v>1</v>
      </c>
      <c r="BC127" s="26">
        <f t="shared" si="33"/>
        <v>0.27392661286054204</v>
      </c>
      <c r="BD127" s="26">
        <f t="shared" si="34"/>
        <v>21.844027389503744</v>
      </c>
    </row>
    <row r="128" spans="28:56" x14ac:dyDescent="0.25">
      <c r="AB128" s="26">
        <v>24</v>
      </c>
      <c r="AC128" s="26">
        <f t="shared" si="35"/>
        <v>80.038401979105984</v>
      </c>
      <c r="AD128" s="26">
        <f t="shared" si="28"/>
        <v>8.6440405364153722E-4</v>
      </c>
      <c r="AE128" s="26">
        <f t="shared" si="29"/>
        <v>2.6265118333868836E-3</v>
      </c>
      <c r="AF128" s="26">
        <f t="shared" si="37"/>
        <v>-1.7621077797453464E-3</v>
      </c>
      <c r="AG128" s="26">
        <f t="shared" si="38"/>
        <v>-4.5901583090827355E-2</v>
      </c>
      <c r="AH128" s="26">
        <f t="shared" si="30"/>
        <v>6.535722295380916</v>
      </c>
      <c r="AI128" s="26"/>
      <c r="AL128" s="26">
        <f t="shared" si="36"/>
        <v>3463.782940171976</v>
      </c>
      <c r="AM128" s="26">
        <f t="shared" si="26"/>
        <v>1.4092326613910317E-25</v>
      </c>
      <c r="AN128" s="26">
        <f t="shared" si="27"/>
        <v>231.43458073986102</v>
      </c>
      <c r="AO128" s="26">
        <f t="shared" si="31"/>
        <v>-231.43458073986102</v>
      </c>
      <c r="BB128" s="6">
        <f t="shared" si="32"/>
        <v>1</v>
      </c>
      <c r="BC128" s="26">
        <f t="shared" si="33"/>
        <v>0.27392661286054204</v>
      </c>
      <c r="BD128" s="26">
        <f t="shared" si="34"/>
        <v>21.844027389503744</v>
      </c>
    </row>
    <row r="129" spans="28:56" x14ac:dyDescent="0.25">
      <c r="AB129" s="26">
        <v>25</v>
      </c>
      <c r="AC129" s="26">
        <f t="shared" si="35"/>
        <v>80.026885332003033</v>
      </c>
      <c r="AD129" s="26">
        <f t="shared" si="28"/>
        <v>6.0529847165705477E-4</v>
      </c>
      <c r="AE129" s="26">
        <f t="shared" si="29"/>
        <v>1.8388282139213405E-3</v>
      </c>
      <c r="AF129" s="26">
        <f t="shared" si="37"/>
        <v>-1.2335297422642858E-3</v>
      </c>
      <c r="AG129" s="26">
        <f t="shared" si="38"/>
        <v>-4.5892153386759116E-2</v>
      </c>
      <c r="AH129" s="26">
        <f t="shared" si="30"/>
        <v>6.5370652248921601</v>
      </c>
      <c r="AI129" s="26"/>
      <c r="AL129" s="26">
        <f t="shared" si="36"/>
        <v>4052.6260400012115</v>
      </c>
      <c r="AM129" s="26">
        <f t="shared" si="26"/>
        <v>3.6862804883325885E-30</v>
      </c>
      <c r="AN129" s="26">
        <f t="shared" si="27"/>
        <v>271.70863446613612</v>
      </c>
      <c r="AO129" s="26">
        <f t="shared" si="31"/>
        <v>-271.70863446613612</v>
      </c>
      <c r="BB129" s="6">
        <f t="shared" si="32"/>
        <v>1</v>
      </c>
      <c r="BC129" s="26">
        <f t="shared" si="33"/>
        <v>0.27392661286054204</v>
      </c>
      <c r="BD129" s="26">
        <f t="shared" si="34"/>
        <v>21.844027389503744</v>
      </c>
    </row>
    <row r="130" spans="28:56" x14ac:dyDescent="0.25">
      <c r="AL130" s="26"/>
      <c r="AM130" s="26"/>
      <c r="AN130" s="26"/>
      <c r="AO130" s="26"/>
    </row>
    <row r="131" spans="28:56" x14ac:dyDescent="0.25">
      <c r="AL131" s="26"/>
      <c r="AM131" s="26"/>
      <c r="AN131" s="26"/>
      <c r="AO131" s="26"/>
    </row>
    <row r="132" spans="28:56" x14ac:dyDescent="0.25">
      <c r="AL132" s="26"/>
      <c r="AM132" s="26"/>
      <c r="AN132" s="26"/>
      <c r="AO132" s="26"/>
    </row>
    <row r="133" spans="28:56" x14ac:dyDescent="0.25">
      <c r="AL133" s="26"/>
      <c r="AM133" s="26"/>
      <c r="AN133" s="26"/>
      <c r="AO133" s="26"/>
    </row>
    <row r="134" spans="28:56" x14ac:dyDescent="0.25">
      <c r="AL134" s="26"/>
      <c r="AM134" s="26"/>
      <c r="AN134" s="26"/>
      <c r="AO134" s="26"/>
    </row>
  </sheetData>
  <conditionalFormatting sqref="B34">
    <cfRule type="notContainsText" dxfId="7" priority="5" operator="notContains" text="Arc Current Good">
      <formula>ISERROR(SEARCH("Arc Current Good",B34))</formula>
    </cfRule>
    <cfRule type="containsText" dxfId="6" priority="8" operator="containsText" text="Arc Current Good">
      <formula>NOT(ISERROR(SEARCH("Arc Current Good",B34)))</formula>
    </cfRule>
  </conditionalFormatting>
  <conditionalFormatting sqref="B33">
    <cfRule type="notContainsText" dxfId="5" priority="4" operator="notContains" text="Arc Voltage Good">
      <formula>ISERROR(SEARCH("Arc Voltage Good",B33))</formula>
    </cfRule>
    <cfRule type="containsText" dxfId="4" priority="7" operator="containsText" text="Arc Voltage Good">
      <formula>NOT(ISERROR(SEARCH("Arc Voltage Good",B33)))</formula>
    </cfRule>
  </conditionalFormatting>
  <conditionalFormatting sqref="B32">
    <cfRule type="notContainsText" dxfId="3" priority="3" operator="notContains" text="Battery Voltage Good">
      <formula>ISERROR(SEARCH("Battery Voltage Good",B32))</formula>
    </cfRule>
    <cfRule type="containsText" dxfId="2" priority="6" operator="containsText" text="Battery Voltage Good">
      <formula>NOT(ISERROR(SEARCH("Battery Voltage Good",B32)))</formula>
    </cfRule>
  </conditionalFormatting>
  <conditionalFormatting sqref="B31">
    <cfRule type="notContainsText" dxfId="1" priority="1" operator="notContains" text="Solved">
      <formula>ISERROR(SEARCH("Solved",B31))</formula>
    </cfRule>
    <cfRule type="containsText" dxfId="0" priority="2" operator="containsText" text="Solved">
      <formula>NOT(ISERROR(SEARCH("Solved",B31)))</formula>
    </cfRule>
  </conditionalFormatting>
  <dataValidations count="1">
    <dataValidation type="list" allowBlank="1" showInputMessage="1" showErrorMessage="1" sqref="B20" xr:uid="{A586D465-6A7D-49D5-8B95-62EE5297BFB3}">
      <formula1>$D$21:$D$23</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8" r:id="rId4" name="Option Button 6">
              <controlPr defaultSize="0" autoPict="0">
                <anchor moveWithCells="1">
                  <from>
                    <xdr:col>3</xdr:col>
                    <xdr:colOff>419100</xdr:colOff>
                    <xdr:row>11</xdr:row>
                    <xdr:rowOff>180975</xdr:rowOff>
                  </from>
                  <to>
                    <xdr:col>4</xdr:col>
                    <xdr:colOff>38100</xdr:colOff>
                    <xdr:row>13</xdr:row>
                    <xdr:rowOff>9525</xdr:rowOff>
                  </to>
                </anchor>
              </controlPr>
            </control>
          </mc:Choice>
        </mc:AlternateContent>
        <mc:AlternateContent xmlns:mc="http://schemas.openxmlformats.org/markup-compatibility/2006">
          <mc:Choice Requires="x14">
            <control shapeId="3079" r:id="rId5" name="Option Button 7">
              <controlPr defaultSize="0" autoPict="0">
                <anchor moveWithCells="1">
                  <from>
                    <xdr:col>3</xdr:col>
                    <xdr:colOff>419100</xdr:colOff>
                    <xdr:row>13</xdr:row>
                    <xdr:rowOff>9525</xdr:rowOff>
                  </from>
                  <to>
                    <xdr:col>5</xdr:col>
                    <xdr:colOff>257175</xdr:colOff>
                    <xdr:row>14</xdr:row>
                    <xdr:rowOff>9525</xdr:rowOff>
                  </to>
                </anchor>
              </controlPr>
            </control>
          </mc:Choice>
        </mc:AlternateContent>
        <mc:AlternateContent xmlns:mc="http://schemas.openxmlformats.org/markup-compatibility/2006">
          <mc:Choice Requires="x14">
            <control shapeId="3080" r:id="rId6" name="Option Button 8">
              <controlPr defaultSize="0" autoPict="0">
                <anchor moveWithCells="1">
                  <from>
                    <xdr:col>3</xdr:col>
                    <xdr:colOff>419100</xdr:colOff>
                    <xdr:row>14</xdr:row>
                    <xdr:rowOff>9525</xdr:rowOff>
                  </from>
                  <to>
                    <xdr:col>9</xdr:col>
                    <xdr:colOff>190500</xdr:colOff>
                    <xdr:row>15</xdr:row>
                    <xdr:rowOff>19050</xdr:rowOff>
                  </to>
                </anchor>
              </controlPr>
            </control>
          </mc:Choice>
        </mc:AlternateContent>
        <mc:AlternateContent xmlns:mc="http://schemas.openxmlformats.org/markup-compatibility/2006">
          <mc:Choice Requires="x14">
            <control shapeId="3081" r:id="rId7" name="Option Button 9">
              <controlPr defaultSize="0" autoPict="0">
                <anchor moveWithCells="1">
                  <from>
                    <xdr:col>3</xdr:col>
                    <xdr:colOff>419100</xdr:colOff>
                    <xdr:row>15</xdr:row>
                    <xdr:rowOff>19050</xdr:rowOff>
                  </from>
                  <to>
                    <xdr:col>9</xdr:col>
                    <xdr:colOff>123825</xdr:colOff>
                    <xdr:row>16</xdr:row>
                    <xdr:rowOff>28575</xdr:rowOff>
                  </to>
                </anchor>
              </controlPr>
            </control>
          </mc:Choice>
        </mc:AlternateContent>
        <mc:AlternateContent xmlns:mc="http://schemas.openxmlformats.org/markup-compatibility/2006">
          <mc:Choice Requires="x14">
            <control shapeId="3082" r:id="rId8" name="Option Button 10">
              <controlPr defaultSize="0" autoPict="0">
                <anchor moveWithCells="1">
                  <from>
                    <xdr:col>3</xdr:col>
                    <xdr:colOff>428625</xdr:colOff>
                    <xdr:row>16</xdr:row>
                    <xdr:rowOff>28575</xdr:rowOff>
                  </from>
                  <to>
                    <xdr:col>8</xdr:col>
                    <xdr:colOff>466725</xdr:colOff>
                    <xdr:row>17</xdr:row>
                    <xdr:rowOff>38100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97586-02B8-4DFF-9E7F-7848407328F5}">
  <sheetPr codeName="Sheet4"/>
  <dimension ref="A2:G44"/>
  <sheetViews>
    <sheetView workbookViewId="0">
      <selection activeCell="E44" sqref="E44"/>
    </sheetView>
  </sheetViews>
  <sheetFormatPr defaultRowHeight="15" x14ac:dyDescent="0.25"/>
  <cols>
    <col min="2" max="2" width="12" bestFit="1" customWidth="1"/>
  </cols>
  <sheetData>
    <row r="2" spans="1:5" x14ac:dyDescent="0.25">
      <c r="A2" t="s">
        <v>92</v>
      </c>
    </row>
    <row r="4" spans="1:5" x14ac:dyDescent="0.25">
      <c r="A4" t="s">
        <v>102</v>
      </c>
      <c r="E4" t="s">
        <v>93</v>
      </c>
    </row>
    <row r="5" spans="1:5" x14ac:dyDescent="0.25">
      <c r="A5" t="s">
        <v>59</v>
      </c>
      <c r="B5" s="21">
        <v>-2.0415030093381898E-5</v>
      </c>
    </row>
    <row r="6" spans="1:5" x14ac:dyDescent="0.25">
      <c r="A6" t="s">
        <v>60</v>
      </c>
      <c r="B6">
        <v>2.93403354295898E-2</v>
      </c>
    </row>
    <row r="8" spans="1:5" x14ac:dyDescent="0.25">
      <c r="A8" t="s">
        <v>61</v>
      </c>
      <c r="B8" s="21">
        <v>2.0487751058393499E-6</v>
      </c>
    </row>
    <row r="9" spans="1:5" x14ac:dyDescent="0.25">
      <c r="A9" t="s">
        <v>62</v>
      </c>
      <c r="B9">
        <v>7.45886600422359E-3</v>
      </c>
    </row>
    <row r="11" spans="1:5" x14ac:dyDescent="0.25">
      <c r="A11" t="s">
        <v>63</v>
      </c>
      <c r="B11" s="21">
        <v>7.2386047990329798E-6</v>
      </c>
    </row>
    <row r="12" spans="1:5" x14ac:dyDescent="0.25">
      <c r="A12" t="s">
        <v>64</v>
      </c>
      <c r="B12">
        <v>1.7717674286328301E-4</v>
      </c>
    </row>
    <row r="14" spans="1:5" x14ac:dyDescent="0.25">
      <c r="A14" t="s">
        <v>65</v>
      </c>
      <c r="E14" t="s">
        <v>94</v>
      </c>
    </row>
    <row r="15" spans="1:5" x14ac:dyDescent="0.25">
      <c r="A15" t="s">
        <v>59</v>
      </c>
      <c r="B15">
        <v>15.3534177768405</v>
      </c>
    </row>
    <row r="16" spans="1:5" x14ac:dyDescent="0.25">
      <c r="A16" t="s">
        <v>60</v>
      </c>
      <c r="B16">
        <v>-1.9987094502252001</v>
      </c>
    </row>
    <row r="17" spans="1:7" x14ac:dyDescent="0.25">
      <c r="A17" t="s">
        <v>66</v>
      </c>
      <c r="B17">
        <v>1.3859474010207901E-2</v>
      </c>
      <c r="D17" s="26"/>
      <c r="E17" s="26"/>
      <c r="F17" s="26"/>
      <c r="G17" s="26"/>
    </row>
    <row r="18" spans="1:7" x14ac:dyDescent="0.25">
      <c r="A18" t="s">
        <v>67</v>
      </c>
      <c r="B18">
        <v>-5.6544489793679098E-2</v>
      </c>
    </row>
    <row r="20" spans="1:7" x14ac:dyDescent="0.25">
      <c r="A20" t="s">
        <v>61</v>
      </c>
      <c r="B20">
        <v>13.2861115774593</v>
      </c>
    </row>
    <row r="21" spans="1:7" x14ac:dyDescent="0.25">
      <c r="A21" t="s">
        <v>62</v>
      </c>
      <c r="B21">
        <v>-1.9845357522395399</v>
      </c>
    </row>
    <row r="22" spans="1:7" x14ac:dyDescent="0.25">
      <c r="A22" t="s">
        <v>68</v>
      </c>
      <c r="B22">
        <v>2.5101660859967598E-4</v>
      </c>
    </row>
    <row r="23" spans="1:7" x14ac:dyDescent="0.25">
      <c r="A23" t="s">
        <v>69</v>
      </c>
      <c r="B23">
        <v>0.449383086745135</v>
      </c>
    </row>
    <row r="25" spans="1:7" x14ac:dyDescent="0.25">
      <c r="A25" t="s">
        <v>63</v>
      </c>
      <c r="B25">
        <v>0.131518433376725</v>
      </c>
    </row>
    <row r="26" spans="1:7" x14ac:dyDescent="0.25">
      <c r="A26" t="s">
        <v>64</v>
      </c>
      <c r="B26">
        <v>-1.0022279204372899</v>
      </c>
    </row>
    <row r="27" spans="1:7" x14ac:dyDescent="0.25">
      <c r="A27" t="s">
        <v>70</v>
      </c>
      <c r="B27" s="21">
        <v>9.1641043502051607E-6</v>
      </c>
    </row>
    <row r="28" spans="1:7" x14ac:dyDescent="0.25">
      <c r="A28" t="s">
        <v>71</v>
      </c>
      <c r="B28">
        <v>0.85218603504760804</v>
      </c>
    </row>
    <row r="30" spans="1:7" x14ac:dyDescent="0.25">
      <c r="A30" t="s">
        <v>72</v>
      </c>
      <c r="E30" s="26" t="s">
        <v>94</v>
      </c>
    </row>
    <row r="31" spans="1:7" x14ac:dyDescent="0.25">
      <c r="A31" t="s">
        <v>59</v>
      </c>
      <c r="B31">
        <v>49.999649942571203</v>
      </c>
    </row>
    <row r="32" spans="1:7" x14ac:dyDescent="0.25">
      <c r="A32" t="s">
        <v>60</v>
      </c>
      <c r="B32">
        <v>-1.52707240547422</v>
      </c>
    </row>
    <row r="33" spans="1:7" x14ac:dyDescent="0.25">
      <c r="A33" t="s">
        <v>66</v>
      </c>
      <c r="B33">
        <v>7.8101463013908997E-3</v>
      </c>
      <c r="D33" s="26"/>
      <c r="E33" s="26"/>
      <c r="F33" s="26"/>
      <c r="G33" s="21"/>
    </row>
    <row r="34" spans="1:7" x14ac:dyDescent="0.25">
      <c r="A34" t="s">
        <v>67</v>
      </c>
      <c r="B34" s="21">
        <v>-3.2875013465207701E-6</v>
      </c>
    </row>
    <row r="36" spans="1:7" x14ac:dyDescent="0.25">
      <c r="A36" t="s">
        <v>61</v>
      </c>
      <c r="B36">
        <v>46.615252883125798</v>
      </c>
      <c r="D36" s="26"/>
      <c r="E36" s="26"/>
      <c r="F36" s="21"/>
      <c r="G36" s="26"/>
    </row>
    <row r="37" spans="1:7" x14ac:dyDescent="0.25">
      <c r="A37" t="s">
        <v>62</v>
      </c>
      <c r="B37">
        <v>-1.6124201005494201</v>
      </c>
    </row>
    <row r="38" spans="1:7" x14ac:dyDescent="0.25">
      <c r="A38" t="s">
        <v>68</v>
      </c>
      <c r="B38" s="21">
        <v>8.1287499233614795E-6</v>
      </c>
    </row>
    <row r="39" spans="1:7" x14ac:dyDescent="0.25">
      <c r="A39" t="s">
        <v>69</v>
      </c>
      <c r="B39">
        <v>0.99938057411414005</v>
      </c>
    </row>
    <row r="41" spans="1:7" x14ac:dyDescent="0.25">
      <c r="A41" t="s">
        <v>63</v>
      </c>
      <c r="B41">
        <v>49.997715523290303</v>
      </c>
    </row>
    <row r="42" spans="1:7" x14ac:dyDescent="0.25">
      <c r="A42" t="s">
        <v>64</v>
      </c>
      <c r="B42">
        <v>-1.77401192383006</v>
      </c>
    </row>
    <row r="43" spans="1:7" x14ac:dyDescent="0.25">
      <c r="A43" t="s">
        <v>70</v>
      </c>
      <c r="B43" s="21">
        <v>7.8202541537416192E-6</v>
      </c>
    </row>
    <row r="44" spans="1:7" x14ac:dyDescent="0.25">
      <c r="A44" t="s">
        <v>71</v>
      </c>
      <c r="B44">
        <v>0.99994833367206504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Max Power</vt:lpstr>
      <vt:lpstr>Arc Resistance</vt:lpstr>
      <vt:lpstr>Self-Extinguish</vt:lpstr>
      <vt:lpstr>Model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Rosewater, David Martin</dc:creator>
  <cp:lastModifiedBy>Rosewater, David Martin</cp:lastModifiedBy>
  <dcterms:created xsi:type="dcterms:W3CDTF">2024-08-19T18:13:56Z</dcterms:created>
  <dcterms:modified xsi:type="dcterms:W3CDTF">2025-02-05T18:46:16Z</dcterms:modified>
</cp:coreProperties>
</file>