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green/projects/thirdyearproject/report/"/>
    </mc:Choice>
  </mc:AlternateContent>
  <bookViews>
    <workbookView xWindow="0" yWindow="460" windowWidth="25600" windowHeight="14640" tabRatio="500" activeTab="1"/>
  </bookViews>
  <sheets>
    <sheet name="T vs Std" sheetId="1" r:id="rId1"/>
    <sheet name="vs Dep" sheetId="2" r:id="rId2"/>
    <sheet name="vs 2" sheetId="3" r:id="rId3"/>
  </sheets>
  <definedNames>
    <definedName name="_xlnm._FilterDatabase" localSheetId="0" hidden="1">'T vs Std'!$L$3:$L$16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3" i="3"/>
  <c r="M10" i="3"/>
  <c r="M3" i="3"/>
  <c r="M11" i="3"/>
  <c r="M4" i="3"/>
  <c r="M5" i="3"/>
  <c r="M8" i="3"/>
  <c r="M13" i="3"/>
  <c r="M15" i="3"/>
  <c r="M6" i="3"/>
  <c r="M16" i="3"/>
  <c r="M7" i="3"/>
  <c r="M12" i="3"/>
  <c r="M14" i="3"/>
  <c r="M9" i="3"/>
  <c r="H15" i="3"/>
  <c r="H16" i="3"/>
  <c r="H14" i="3"/>
  <c r="H13" i="3"/>
  <c r="H12" i="3"/>
  <c r="H11" i="3"/>
  <c r="H10" i="3"/>
  <c r="H9" i="3"/>
  <c r="H8" i="3"/>
  <c r="H7" i="3"/>
  <c r="H6" i="3"/>
  <c r="H5" i="3"/>
  <c r="H4" i="3"/>
  <c r="H3" i="3"/>
  <c r="M21" i="2"/>
  <c r="M22" i="2"/>
  <c r="M23" i="2"/>
  <c r="M20" i="2"/>
  <c r="J21" i="2"/>
  <c r="J22" i="2"/>
  <c r="J23" i="2"/>
  <c r="J20" i="2"/>
  <c r="G21" i="2"/>
  <c r="G22" i="2"/>
  <c r="G23" i="2"/>
  <c r="G20" i="2"/>
  <c r="P23" i="2"/>
  <c r="O23" i="2"/>
  <c r="N23" i="2"/>
  <c r="P22" i="2"/>
  <c r="O22" i="2"/>
  <c r="N22" i="2"/>
  <c r="P21" i="2"/>
  <c r="O21" i="2"/>
  <c r="N21" i="2"/>
  <c r="P20" i="2"/>
  <c r="O20" i="2"/>
  <c r="N20" i="2"/>
  <c r="O13" i="2"/>
  <c r="P13" i="2"/>
  <c r="O14" i="2"/>
  <c r="P14" i="2"/>
  <c r="O15" i="2"/>
  <c r="P15" i="2"/>
  <c r="P12" i="2"/>
  <c r="O12" i="2"/>
  <c r="N13" i="2"/>
  <c r="N14" i="2"/>
  <c r="N15" i="2"/>
  <c r="N12" i="2"/>
  <c r="H5" i="2"/>
  <c r="H6" i="2"/>
  <c r="H7" i="2"/>
  <c r="H4" i="2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U4" i="1"/>
  <c r="P14" i="1"/>
  <c r="P12" i="1"/>
  <c r="P7" i="1"/>
  <c r="P15" i="1"/>
  <c r="P16" i="1"/>
  <c r="P13" i="1"/>
  <c r="P8" i="1"/>
  <c r="P5" i="1"/>
  <c r="P4" i="1"/>
  <c r="P11" i="1"/>
  <c r="P3" i="1"/>
  <c r="P10" i="1"/>
  <c r="P9" i="1"/>
  <c r="N18" i="1"/>
  <c r="O18" i="1"/>
  <c r="N19" i="1"/>
  <c r="H18" i="1"/>
  <c r="I18" i="1"/>
  <c r="J18" i="1"/>
  <c r="H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9" i="1"/>
  <c r="Q3" i="1"/>
  <c r="K3" i="1"/>
  <c r="E3" i="1"/>
  <c r="O4" i="1"/>
  <c r="Q4" i="1"/>
  <c r="K4" i="1"/>
  <c r="E4" i="1"/>
  <c r="Q5" i="1"/>
  <c r="K5" i="1"/>
  <c r="E5" i="1"/>
  <c r="O6" i="1"/>
  <c r="Q6" i="1"/>
  <c r="K6" i="1"/>
  <c r="E6" i="1"/>
  <c r="O7" i="1"/>
  <c r="Q7" i="1"/>
  <c r="K7" i="1"/>
  <c r="E7" i="1"/>
  <c r="N8" i="1"/>
  <c r="O8" i="1"/>
  <c r="Q8" i="1"/>
  <c r="K8" i="1"/>
  <c r="E8" i="1"/>
  <c r="N9" i="1"/>
  <c r="O9" i="1"/>
  <c r="Q9" i="1"/>
  <c r="K9" i="1"/>
  <c r="E9" i="1"/>
  <c r="N10" i="1"/>
  <c r="O10" i="1"/>
  <c r="Q10" i="1"/>
  <c r="K10" i="1"/>
  <c r="E10" i="1"/>
  <c r="N11" i="1"/>
  <c r="O11" i="1"/>
  <c r="Q11" i="1"/>
  <c r="K11" i="1"/>
  <c r="E11" i="1"/>
  <c r="N12" i="1"/>
  <c r="O12" i="1"/>
  <c r="Q12" i="1"/>
  <c r="K12" i="1"/>
  <c r="E12" i="1"/>
  <c r="N13" i="1"/>
  <c r="O13" i="1"/>
  <c r="Q13" i="1"/>
  <c r="K13" i="1"/>
  <c r="E13" i="1"/>
  <c r="N14" i="1"/>
  <c r="O14" i="1"/>
  <c r="Q14" i="1"/>
  <c r="K14" i="1"/>
  <c r="E14" i="1"/>
  <c r="N15" i="1"/>
  <c r="O15" i="1"/>
  <c r="Q15" i="1"/>
  <c r="K15" i="1"/>
  <c r="E15" i="1"/>
  <c r="N16" i="1"/>
  <c r="O16" i="1"/>
  <c r="Q16" i="1"/>
  <c r="K16" i="1"/>
  <c r="E16" i="1"/>
  <c r="E19" i="1"/>
</calcChain>
</file>

<file path=xl/sharedStrings.xml><?xml version="1.0" encoding="utf-8"?>
<sst xmlns="http://schemas.openxmlformats.org/spreadsheetml/2006/main" count="112" uniqueCount="38">
  <si>
    <t>Time Difference</t>
  </si>
  <si>
    <t>Filesize Difference</t>
  </si>
  <si>
    <t>Trivial</t>
  </si>
  <si>
    <t>Filesize</t>
  </si>
  <si>
    <t>Standard</t>
  </si>
  <si>
    <t>Variables</t>
  </si>
  <si>
    <t>Clauses</t>
  </si>
  <si>
    <t>1st</t>
  </si>
  <si>
    <t>2nd</t>
  </si>
  <si>
    <t>3rd</t>
  </si>
  <si>
    <t>Average</t>
  </si>
  <si>
    <t>s27_d5_u-shuffled.qdimacs</t>
  </si>
  <si>
    <t>s298_d2_s-shuffled.qdimacs</t>
  </si>
  <si>
    <t>s298_d5_s-shuffled.qdimacs</t>
  </si>
  <si>
    <t>s499_d4_s-shuffled.qdimacs</t>
  </si>
  <si>
    <t>s510_d4_s-shuffled.qdimacs</t>
  </si>
  <si>
    <t>s298_d9_s-shuffled.qdimacs</t>
  </si>
  <si>
    <t>s1196_d3_u-shuffled.qdimacs</t>
  </si>
  <si>
    <t>s1269_d3_s-shuffled.qdimacs</t>
  </si>
  <si>
    <t>s298_d11_s-shuffled.qdimacs</t>
  </si>
  <si>
    <t>s820_d6_s-shuffled.qdimacs</t>
  </si>
  <si>
    <t>s386_d12_u-shuffled.qdimacs</t>
  </si>
  <si>
    <t>s820_d7_s-shuffled.qdimacs</t>
  </si>
  <si>
    <t>s510_d12_s-shuffled.qdimacs</t>
  </si>
  <si>
    <t>s499_d15_s-shuffled.qdimacs</t>
  </si>
  <si>
    <t>Total</t>
  </si>
  <si>
    <t>Averages</t>
  </si>
  <si>
    <t>toilet_g_08_01.2-shuffled.qdimacs</t>
  </si>
  <si>
    <t>toilet_g_02_01.2-shuffled.qdimacs</t>
  </si>
  <si>
    <t>toilet_g_04_01.2-shuffled.qdimacs</t>
  </si>
  <si>
    <t>qbftoepr</t>
  </si>
  <si>
    <t>toilet_g_20_01.2-shuffled.qdimacs</t>
  </si>
  <si>
    <t>DepQBF</t>
  </si>
  <si>
    <t>qbftoepr + iProver</t>
  </si>
  <si>
    <t>iProver</t>
  </si>
  <si>
    <t>qbf2epr + iProver</t>
  </si>
  <si>
    <t>qbf2epr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</si>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</sst>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Trivial</a:t>
            </a:r>
            <a:r>
              <a:rPr lang="en-US" baseline="0"/>
              <a:t> vs Standard Conversion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Trivial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Std'!$K$3:$K$16</c:f>
              <c:numCache>
                <c:formatCode>General</c:formatCode>
                <c:ptCount val="14"/>
                <c:pt idx="0">
                  <c:v>0.015</c:v>
                </c:pt>
                <c:pt idx="1">
                  <c:v>0.0873333333333333</c:v>
                </c:pt>
                <c:pt idx="2">
                  <c:v>1.231333333333333</c:v>
                </c:pt>
                <c:pt idx="3">
                  <c:v>1.309</c:v>
                </c:pt>
                <c:pt idx="4">
                  <c:v>2.4</c:v>
                </c:pt>
                <c:pt idx="5">
                  <c:v>4.963999999999999</c:v>
                </c:pt>
                <c:pt idx="6">
                  <c:v>6.224333333333334</c:v>
                </c:pt>
                <c:pt idx="7">
                  <c:v>7.068666666666666</c:v>
                </c:pt>
                <c:pt idx="8">
                  <c:v>7.732666666666666</c:v>
                </c:pt>
                <c:pt idx="9">
                  <c:v>14.99666666666667</c:v>
                </c:pt>
                <c:pt idx="10">
                  <c:v>18.66066666666667</c:v>
                </c:pt>
                <c:pt idx="11">
                  <c:v>20.98766666666667</c:v>
                </c:pt>
                <c:pt idx="12">
                  <c:v>30.68833333333333</c:v>
                </c:pt>
                <c:pt idx="13">
                  <c:v>29.18233333333333</c:v>
                </c:pt>
              </c:numCache>
            </c:numRef>
          </c:val>
          <c:smooth val="0"/>
        </c:ser>
        <c:ser>
          <c:idx val="1"/>
          <c:order val="1"/>
          <c:tx>
            <c:v>Standard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Std'!$Q$3:$Q$16</c:f>
              <c:numCache>
                <c:formatCode>General</c:formatCode>
                <c:ptCount val="14"/>
                <c:pt idx="0">
                  <c:v>0.0213333333333333</c:v>
                </c:pt>
                <c:pt idx="1">
                  <c:v>0.194766666666667</c:v>
                </c:pt>
                <c:pt idx="2">
                  <c:v>12.11033333333333</c:v>
                </c:pt>
                <c:pt idx="3">
                  <c:v>13.86066666666667</c:v>
                </c:pt>
                <c:pt idx="4">
                  <c:v>27.887</c:v>
                </c:pt>
                <c:pt idx="5">
                  <c:v>91.83766666666667</c:v>
                </c:pt>
                <c:pt idx="6">
                  <c:v>125.6636666666667</c:v>
                </c:pt>
                <c:pt idx="7">
                  <c:v>157.236</c:v>
                </c:pt>
                <c:pt idx="8">
                  <c:v>178.238</c:v>
                </c:pt>
                <c:pt idx="9">
                  <c:v>441.6953333333333</c:v>
                </c:pt>
                <c:pt idx="10">
                  <c:v>641.3433333333333</c:v>
                </c:pt>
                <c:pt idx="11">
                  <c:v>761.5803333333333</c:v>
                </c:pt>
                <c:pt idx="12">
                  <c:v>1301.649333333334</c:v>
                </c:pt>
                <c:pt idx="13">
                  <c:v>1274.868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95040"/>
        <c:axId val="-2117620256"/>
      </c:lineChart>
      <c:catAx>
        <c:axId val="-20869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20256"/>
        <c:crosses val="autoZero"/>
        <c:auto val="1"/>
        <c:lblAlgn val="ctr"/>
        <c:lblOffset val="100"/>
        <c:noMultiLvlLbl val="0"/>
      </c:catAx>
      <c:valAx>
        <c:axId val="-2117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Trivial Size (MB) over Standard Size 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Trivial Size over Standard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Std'!$F$3:$F$16</c:f>
              <c:numCache>
                <c:formatCode>General</c:formatCode>
                <c:ptCount val="14"/>
                <c:pt idx="0">
                  <c:v>4.56516943673221</c:v>
                </c:pt>
                <c:pt idx="1">
                  <c:v>8.50776079304225</c:v>
                </c:pt>
                <c:pt idx="2">
                  <c:v>38.44251428571429</c:v>
                </c:pt>
                <c:pt idx="3">
                  <c:v>35.9833260769801</c:v>
                </c:pt>
                <c:pt idx="4">
                  <c:v>27.80644477737759</c:v>
                </c:pt>
                <c:pt idx="5">
                  <c:v>79.06240387883292</c:v>
                </c:pt>
                <c:pt idx="6">
                  <c:v>85.38766036547583</c:v>
                </c:pt>
                <c:pt idx="7">
                  <c:v>93.25222573652755</c:v>
                </c:pt>
                <c:pt idx="8">
                  <c:v>101.6603983292574</c:v>
                </c:pt>
                <c:pt idx="9">
                  <c:v>120.3684200330009</c:v>
                </c:pt>
                <c:pt idx="10">
                  <c:v>155.800563957804</c:v>
                </c:pt>
                <c:pt idx="11">
                  <c:v>148.1070489933005</c:v>
                </c:pt>
                <c:pt idx="12">
                  <c:v>223.1295401525761</c:v>
                </c:pt>
                <c:pt idx="13">
                  <c:v>193.4235258731004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37072"/>
        <c:axId val="-2087491168"/>
      </c:lineChart>
      <c:catAx>
        <c:axId val="-20856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91168"/>
        <c:crosses val="autoZero"/>
        <c:auto val="1"/>
        <c:lblAlgn val="ctr"/>
        <c:lblOffset val="100"/>
        <c:noMultiLvlLbl val="0"/>
      </c:catAx>
      <c:valAx>
        <c:axId val="-2087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Duration (s)</a:t>
            </a:r>
            <a:r>
              <a:rPr lang="en-US" baseline="0"/>
              <a:t> </a:t>
            </a:r>
            <a:r>
              <a:rPr lang="en-US"/>
              <a:t>over Trivial Duration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Duration over Trivial 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Std'!$E$3:$E$16</c:f>
              <c:numCache>
                <c:formatCode>General</c:formatCode>
                <c:ptCount val="14"/>
                <c:pt idx="0">
                  <c:v>1.422222222222222</c:v>
                </c:pt>
                <c:pt idx="1">
                  <c:v>2.230152671755725</c:v>
                </c:pt>
                <c:pt idx="2">
                  <c:v>9.83513806172171</c:v>
                </c:pt>
                <c:pt idx="3">
                  <c:v>10.58874458874459</c:v>
                </c:pt>
                <c:pt idx="4">
                  <c:v>11.61958333333333</c:v>
                </c:pt>
                <c:pt idx="5">
                  <c:v>18.50073865162504</c:v>
                </c:pt>
                <c:pt idx="6">
                  <c:v>20.18909655652546</c:v>
                </c:pt>
                <c:pt idx="7">
                  <c:v>22.2440818636235</c:v>
                </c:pt>
                <c:pt idx="8">
                  <c:v>23.05000431071645</c:v>
                </c:pt>
                <c:pt idx="9">
                  <c:v>29.45290064458768</c:v>
                </c:pt>
                <c:pt idx="10">
                  <c:v>34.36872566181987</c:v>
                </c:pt>
                <c:pt idx="11">
                  <c:v>36.28704159585789</c:v>
                </c:pt>
                <c:pt idx="12">
                  <c:v>42.4151197523489</c:v>
                </c:pt>
                <c:pt idx="13">
                  <c:v>43.68629421910517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27872"/>
        <c:axId val="-2077083088"/>
      </c:lineChart>
      <c:catAx>
        <c:axId val="-20863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83088"/>
        <c:crosses val="autoZero"/>
        <c:auto val="1"/>
        <c:lblAlgn val="ctr"/>
        <c:lblOffset val="100"/>
        <c:noMultiLvlLbl val="0"/>
      </c:catAx>
      <c:valAx>
        <c:axId val="-207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Trivial vs Standard</a:t>
            </a:r>
            <a:r>
              <a:rPr lang="en-US" baseline="0"/>
              <a:t> Conversion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Trivial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Std'!$L$3:$L$16</c:f>
              <c:numCache>
                <c:formatCode>General</c:formatCode>
                <c:ptCount val="14"/>
                <c:pt idx="0">
                  <c:v>0.114471435546875</c:v>
                </c:pt>
                <c:pt idx="1">
                  <c:v>0.827485084533691</c:v>
                </c:pt>
                <c:pt idx="2">
                  <c:v>14.59591484069824</c:v>
                </c:pt>
                <c:pt idx="3">
                  <c:v>14.58154201507568</c:v>
                </c:pt>
                <c:pt idx="4">
                  <c:v>13.77882507990938</c:v>
                </c:pt>
                <c:pt idx="5">
                  <c:v>61.67536449432373</c:v>
                </c:pt>
                <c:pt idx="6">
                  <c:v>72.1506414413452</c:v>
                </c:pt>
                <c:pt idx="7">
                  <c:v>83.81838130950928</c:v>
                </c:pt>
                <c:pt idx="8">
                  <c:v>100.5752267837524</c:v>
                </c:pt>
                <c:pt idx="9">
                  <c:v>171.8359937667847</c:v>
                </c:pt>
                <c:pt idx="10">
                  <c:v>244.8114366531372</c:v>
                </c:pt>
                <c:pt idx="11">
                  <c:v>256.0302076339722</c:v>
                </c:pt>
                <c:pt idx="12">
                  <c:v>426.7959766387939</c:v>
                </c:pt>
                <c:pt idx="13">
                  <c:v>388.1993503570557</c:v>
                </c:pt>
              </c:numCache>
            </c:numRef>
          </c:val>
          <c:smooth val="0"/>
        </c:ser>
        <c:ser>
          <c:idx val="1"/>
          <c:order val="1"/>
          <c:tx>
            <c:v>Standard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 vs Std'!$C$3:$C$16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29679.0</c:v>
                </c:pt>
                <c:pt idx="13">
                  <c:v>30628.0</c:v>
                </c:pt>
              </c:numCache>
            </c:numRef>
          </c:cat>
          <c:val>
            <c:numRef>
              <c:f>'T vs Std'!$R$3:$R$16</c:f>
              <c:numCache>
                <c:formatCode>General</c:formatCode>
                <c:ptCount val="14"/>
                <c:pt idx="0">
                  <c:v>0.0250749588012695</c:v>
                </c:pt>
                <c:pt idx="1">
                  <c:v>0.0972623825073242</c:v>
                </c:pt>
                <c:pt idx="2">
                  <c:v>0.379681587219238</c:v>
                </c:pt>
                <c:pt idx="3">
                  <c:v>0.405230522155762</c:v>
                </c:pt>
                <c:pt idx="4">
                  <c:v>0.495526313781738</c:v>
                </c:pt>
                <c:pt idx="5">
                  <c:v>0.780084609985351</c:v>
                </c:pt>
                <c:pt idx="6">
                  <c:v>0.844977378845215</c:v>
                </c:pt>
                <c:pt idx="7">
                  <c:v>0.898835182189941</c:v>
                </c:pt>
                <c:pt idx="8">
                  <c:v>0.989325523376465</c:v>
                </c:pt>
                <c:pt idx="9">
                  <c:v>1.427583694458008</c:v>
                </c:pt>
                <c:pt idx="10">
                  <c:v>1.57131290435791</c:v>
                </c:pt>
                <c:pt idx="11">
                  <c:v>1.728683471679687</c:v>
                </c:pt>
                <c:pt idx="12">
                  <c:v>1.912772178649902</c:v>
                </c:pt>
                <c:pt idx="13">
                  <c:v>2.006991386413574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56192"/>
        <c:axId val="-2077192288"/>
      </c:lineChart>
      <c:catAx>
        <c:axId val="-20834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Clauses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92288"/>
        <c:crosses val="autoZero"/>
        <c:auto val="1"/>
        <c:lblAlgn val="ctr"/>
        <c:lblOffset val="100"/>
        <c:noMultiLvlLbl val="0"/>
      </c:catAx>
      <c:valAx>
        <c:axId val="-2077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Megabytes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Solve Easy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DepQBF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'vs Dep'!$C$4:$C$7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Dep'!$H$4:$H$7</c:f>
              <c:numCache>
                <c:formatCode>General</c:formatCode>
                <c:ptCount val="4"/>
                <c:pt idx="0">
                  <c:v>0.00366666666666667</c:v>
                </c:pt>
                <c:pt idx="1">
                  <c:v>0.00366666666666667</c:v>
                </c:pt>
                <c:pt idx="2">
                  <c:v>0.00933333333333333</c:v>
                </c:pt>
                <c:pt idx="3">
                  <c:v>0.00666666666666667</c:v>
                </c:pt>
              </c:numCache>
            </c:numRef>
          </c:val>
          <c:smooth val="0"/>
        </c:ser>
        <c:ser>
          <c:idx val="1"/>
          <c:order val="1"/>
          <c:tx>
            <c:v>qbftoepr + iProver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Dep'!$C$4:$C$7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Dep'!$P$12:$P$15</c:f>
              <c:numCache>
                <c:formatCode>General</c:formatCode>
                <c:ptCount val="4"/>
                <c:pt idx="0">
                  <c:v>0.0296666666666667</c:v>
                </c:pt>
                <c:pt idx="1">
                  <c:v>0.0263333333333333</c:v>
                </c:pt>
                <c:pt idx="2">
                  <c:v>0.0306666666666667</c:v>
                </c:pt>
                <c:pt idx="3">
                  <c:v>0.102666666666667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287760"/>
        <c:axId val="-2078049568"/>
      </c:lineChart>
      <c:catAx>
        <c:axId val="-20502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49568"/>
        <c:crosses val="autoZero"/>
        <c:auto val="1"/>
        <c:lblAlgn val="ctr"/>
        <c:lblOffset val="100"/>
        <c:noMultiLvlLbl val="0"/>
      </c:catAx>
      <c:valAx>
        <c:axId val="-2078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2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qbftoepr and iProver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qbftoepr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'vs Dep'!$C$12:$C$15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Dep'!$N$12:$N$15</c:f>
              <c:numCache>
                <c:formatCode>General</c:formatCode>
                <c:ptCount val="4"/>
                <c:pt idx="0">
                  <c:v>0.00433333333333333</c:v>
                </c:pt>
                <c:pt idx="1">
                  <c:v>0.00433333333333333</c:v>
                </c:pt>
                <c:pt idx="2">
                  <c:v>0.00466666666666667</c:v>
                </c:pt>
                <c:pt idx="3">
                  <c:v>0.0156666666666667</c:v>
                </c:pt>
              </c:numCache>
            </c:numRef>
          </c:val>
          <c:smooth val="0"/>
        </c:ser>
        <c:ser>
          <c:idx val="1"/>
          <c:order val="1"/>
          <c:tx>
            <c:v>iProver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Dep'!$C$12:$C$15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Dep'!$O$12:$O$15</c:f>
              <c:numCache>
                <c:formatCode>General</c:formatCode>
                <c:ptCount val="4"/>
                <c:pt idx="0">
                  <c:v>0.0253333333333333</c:v>
                </c:pt>
                <c:pt idx="1">
                  <c:v>0.022</c:v>
                </c:pt>
                <c:pt idx="2">
                  <c:v>0.026</c:v>
                </c:pt>
                <c:pt idx="3">
                  <c:v>0.087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93856"/>
        <c:axId val="-2054727072"/>
      </c:lineChart>
      <c:catAx>
        <c:axId val="-20546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27072"/>
        <c:crosses val="autoZero"/>
        <c:auto val="1"/>
        <c:lblAlgn val="ctr"/>
        <c:lblOffset val="100"/>
        <c:noMultiLvlLbl val="0"/>
      </c:catAx>
      <c:valAx>
        <c:axId val="-20547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Convert Easy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qbftoepr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'vs Dep'!$C$20:$C$23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Dep'!$N$12:$N$15</c:f>
              <c:numCache>
                <c:formatCode>General</c:formatCode>
                <c:ptCount val="4"/>
                <c:pt idx="0">
                  <c:v>0.00433333333333333</c:v>
                </c:pt>
                <c:pt idx="1">
                  <c:v>0.00433333333333333</c:v>
                </c:pt>
                <c:pt idx="2">
                  <c:v>0.00466666666666667</c:v>
                </c:pt>
                <c:pt idx="3">
                  <c:v>0.0156666666666667</c:v>
                </c:pt>
              </c:numCache>
            </c:numRef>
          </c:val>
          <c:smooth val="0"/>
        </c:ser>
        <c:ser>
          <c:idx val="1"/>
          <c:order val="1"/>
          <c:tx>
            <c:v>qbf2epr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Dep'!$C$20:$C$23</c:f>
              <c:numCache>
                <c:formatCode>General</c:formatCode>
                <c:ptCount val="4"/>
                <c:pt idx="0">
                  <c:v>22.0</c:v>
                </c:pt>
                <c:pt idx="1">
                  <c:v>52.0</c:v>
                </c:pt>
                <c:pt idx="2">
                  <c:v>136.0</c:v>
                </c:pt>
                <c:pt idx="3">
                  <c:v>580.0</c:v>
                </c:pt>
              </c:numCache>
            </c:numRef>
          </c:cat>
          <c:val>
            <c:numRef>
              <c:f>'vs Dep'!$N$20:$N$23</c:f>
              <c:numCache>
                <c:formatCode>General</c:formatCode>
                <c:ptCount val="4"/>
                <c:pt idx="0">
                  <c:v>0.0546666666666667</c:v>
                </c:pt>
                <c:pt idx="1">
                  <c:v>0.0353333333333333</c:v>
                </c:pt>
                <c:pt idx="2">
                  <c:v>0.037</c:v>
                </c:pt>
                <c:pt idx="3">
                  <c:v>0.0473333333333333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53840"/>
        <c:axId val="-2048912976"/>
      </c:lineChart>
      <c:catAx>
        <c:axId val="-204445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912976"/>
        <c:crosses val="autoZero"/>
        <c:auto val="1"/>
        <c:lblAlgn val="ctr"/>
        <c:lblOffset val="100"/>
        <c:noMultiLvlLbl val="0"/>
      </c:catAx>
      <c:valAx>
        <c:axId val="-2048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Convert </a:t>
            </a:r>
            <a:r>
              <a:rPr lang="en-US" baseline="0"/>
              <a:t>Hard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qbftoepr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'vs 2'!$C$3:$C$16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30628.0</c:v>
                </c:pt>
                <c:pt idx="13">
                  <c:v>29679.0</c:v>
                </c:pt>
              </c:numCache>
            </c:numRef>
          </c:cat>
          <c:val>
            <c:numRef>
              <c:f>'vs 2'!$H$3:$H$16</c:f>
              <c:numCache>
                <c:formatCode>General</c:formatCode>
                <c:ptCount val="14"/>
                <c:pt idx="0">
                  <c:v>0.015</c:v>
                </c:pt>
                <c:pt idx="1">
                  <c:v>0.0873333333333333</c:v>
                </c:pt>
                <c:pt idx="2">
                  <c:v>1.231333333333333</c:v>
                </c:pt>
                <c:pt idx="3">
                  <c:v>1.309</c:v>
                </c:pt>
                <c:pt idx="4">
                  <c:v>2.4</c:v>
                </c:pt>
                <c:pt idx="5">
                  <c:v>4.963999999999999</c:v>
                </c:pt>
                <c:pt idx="6">
                  <c:v>6.224333333333334</c:v>
                </c:pt>
                <c:pt idx="7">
                  <c:v>7.068666666666666</c:v>
                </c:pt>
                <c:pt idx="8">
                  <c:v>7.732666666666666</c:v>
                </c:pt>
                <c:pt idx="9">
                  <c:v>14.99666666666667</c:v>
                </c:pt>
                <c:pt idx="10">
                  <c:v>18.66066666666667</c:v>
                </c:pt>
                <c:pt idx="11">
                  <c:v>20.98766666666667</c:v>
                </c:pt>
                <c:pt idx="12">
                  <c:v>29.18233333333333</c:v>
                </c:pt>
                <c:pt idx="13">
                  <c:v>30.68833333333333</c:v>
                </c:pt>
              </c:numCache>
            </c:numRef>
          </c:val>
          <c:smooth val="0"/>
        </c:ser>
        <c:ser>
          <c:idx val="1"/>
          <c:order val="1"/>
          <c:tx>
            <c:v>qbf2epr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'vs 2'!$C$3:$C$16</c:f>
              <c:numCache>
                <c:formatCode>General</c:formatCode>
                <c:ptCount val="14"/>
                <c:pt idx="0">
                  <c:v>478.0</c:v>
                </c:pt>
                <c:pt idx="1">
                  <c:v>1895.0</c:v>
                </c:pt>
                <c:pt idx="2">
                  <c:v>6482.0</c:v>
                </c:pt>
                <c:pt idx="3">
                  <c:v>6967.0</c:v>
                </c:pt>
                <c:pt idx="4">
                  <c:v>8543.0</c:v>
                </c:pt>
                <c:pt idx="5">
                  <c:v>12598.0</c:v>
                </c:pt>
                <c:pt idx="6">
                  <c:v>14367.0</c:v>
                </c:pt>
                <c:pt idx="7">
                  <c:v>15354.0</c:v>
                </c:pt>
                <c:pt idx="8">
                  <c:v>15656.0</c:v>
                </c:pt>
                <c:pt idx="9">
                  <c:v>22630.0</c:v>
                </c:pt>
                <c:pt idx="10">
                  <c:v>24215.0</c:v>
                </c:pt>
                <c:pt idx="11">
                  <c:v>26960.0</c:v>
                </c:pt>
                <c:pt idx="12">
                  <c:v>30628.0</c:v>
                </c:pt>
                <c:pt idx="13">
                  <c:v>29679.0</c:v>
                </c:pt>
              </c:numCache>
            </c:numRef>
          </c:cat>
          <c:val>
            <c:numRef>
              <c:f>'vs 2'!$M$3:$M$16</c:f>
              <c:numCache>
                <c:formatCode>General</c:formatCode>
                <c:ptCount val="14"/>
                <c:pt idx="0">
                  <c:v>0.041</c:v>
                </c:pt>
                <c:pt idx="1">
                  <c:v>0.0676666666666667</c:v>
                </c:pt>
                <c:pt idx="2">
                  <c:v>0.194</c:v>
                </c:pt>
                <c:pt idx="3">
                  <c:v>0.192333333333333</c:v>
                </c:pt>
                <c:pt idx="4">
                  <c:v>0.250666666666667</c:v>
                </c:pt>
                <c:pt idx="5">
                  <c:v>0.421333333333333</c:v>
                </c:pt>
                <c:pt idx="6">
                  <c:v>0.520666666666667</c:v>
                </c:pt>
                <c:pt idx="7">
                  <c:v>0.509</c:v>
                </c:pt>
                <c:pt idx="8">
                  <c:v>0.561666666666667</c:v>
                </c:pt>
                <c:pt idx="9">
                  <c:v>0.871666666666667</c:v>
                </c:pt>
                <c:pt idx="10">
                  <c:v>1.037666666666667</c:v>
                </c:pt>
                <c:pt idx="11">
                  <c:v>1.150666666666667</c:v>
                </c:pt>
                <c:pt idx="12">
                  <c:v>1.535666666666667</c:v>
                </c:pt>
                <c:pt idx="13">
                  <c:v>1.596666666666667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51344"/>
        <c:axId val="-2078425952"/>
      </c:lineChart>
      <c:catAx>
        <c:axId val="-20515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25952"/>
        <c:crosses val="autoZero"/>
        <c:auto val="1"/>
        <c:lblAlgn val="ctr"/>
        <c:lblOffset val="100"/>
        <c:noMultiLvlLbl val="0"/>
      </c:catAx>
      <c:valAx>
        <c:axId val="-2078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158750</xdr:rowOff>
    </xdr:from>
    <xdr:to>
      <xdr:col>3</xdr:col>
      <xdr:colOff>344900</xdr:colOff>
      <xdr:row>34</xdr:row>
      <xdr:rowOff>181250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19</xdr:row>
      <xdr:rowOff>133350</xdr:rowOff>
    </xdr:from>
    <xdr:to>
      <xdr:col>7</xdr:col>
      <xdr:colOff>179800</xdr:colOff>
      <xdr:row>34</xdr:row>
      <xdr:rowOff>155850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553569</xdr:colOff>
      <xdr:row>35</xdr:row>
      <xdr:rowOff>132603</xdr:rowOff>
    </xdr:from>
    <xdr:to>
      <xdr:col>7</xdr:col>
      <xdr:colOff>225369</xdr:colOff>
      <xdr:row>50</xdr:row>
      <xdr:rowOff>155103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35</xdr:row>
      <xdr:rowOff>146050</xdr:rowOff>
    </xdr:from>
    <xdr:to>
      <xdr:col>3</xdr:col>
      <xdr:colOff>357600</xdr:colOff>
      <xdr:row>50</xdr:row>
      <xdr:rowOff>168550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24</xdr:row>
      <xdr:rowOff>107950</xdr:rowOff>
    </xdr:from>
    <xdr:to>
      <xdr:col>3</xdr:col>
      <xdr:colOff>802100</xdr:colOff>
      <xdr:row>42</xdr:row>
      <xdr:rowOff>16150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24</xdr:row>
      <xdr:rowOff>120650</xdr:rowOff>
    </xdr:from>
    <xdr:to>
      <xdr:col>9</xdr:col>
      <xdr:colOff>548100</xdr:colOff>
      <xdr:row>42</xdr:row>
      <xdr:rowOff>28850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24</xdr:row>
      <xdr:rowOff>95250</xdr:rowOff>
    </xdr:from>
    <xdr:to>
      <xdr:col>15</xdr:col>
      <xdr:colOff>217900</xdr:colOff>
      <xdr:row>42</xdr:row>
      <xdr:rowOff>3450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57150</xdr:rowOff>
    </xdr:from>
    <xdr:to>
      <xdr:col>4</xdr:col>
      <xdr:colOff>230600</xdr:colOff>
      <xdr:row>34</xdr:row>
      <xdr:rowOff>130450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19" workbookViewId="0">
      <selection activeCell="K30" sqref="K30"/>
    </sheetView>
  </sheetViews>
  <sheetFormatPr baseColWidth="10" defaultColWidth="14.5" defaultRowHeight="15.75" customHeight="1" x14ac:dyDescent="0.15"/>
  <cols>
    <col min="1" max="1" width="25.6640625" customWidth="1"/>
    <col min="5" max="5" width="14" customWidth="1"/>
    <col min="6" max="6" width="16.33203125" customWidth="1"/>
    <col min="7" max="7" width="16.1640625" bestFit="1" customWidth="1"/>
  </cols>
  <sheetData>
    <row r="1" spans="1:21" ht="15.75" customHeight="1" x14ac:dyDescent="0.15">
      <c r="A1" s="1"/>
      <c r="B1" s="1"/>
      <c r="C1" s="1"/>
      <c r="D1" s="1"/>
      <c r="E1" s="1" t="s">
        <v>0</v>
      </c>
      <c r="F1" s="1" t="s">
        <v>1</v>
      </c>
      <c r="G1" s="1"/>
      <c r="H1" s="1" t="s">
        <v>2</v>
      </c>
      <c r="K1" s="1"/>
      <c r="L1" s="1" t="s">
        <v>3</v>
      </c>
      <c r="M1" s="1"/>
      <c r="N1" s="1" t="s">
        <v>4</v>
      </c>
      <c r="O1" s="1"/>
      <c r="R1" s="1" t="s">
        <v>3</v>
      </c>
    </row>
    <row r="2" spans="1:21" ht="15" customHeight="1" x14ac:dyDescent="0.15">
      <c r="A2" s="1"/>
      <c r="B2" s="1" t="s">
        <v>5</v>
      </c>
      <c r="C2" s="1" t="s">
        <v>6</v>
      </c>
      <c r="D2" s="1"/>
      <c r="G2" s="1"/>
      <c r="H2" s="1" t="s">
        <v>7</v>
      </c>
      <c r="I2" s="1" t="s">
        <v>8</v>
      </c>
      <c r="J2" s="1" t="s">
        <v>9</v>
      </c>
      <c r="K2" s="1" t="s">
        <v>10</v>
      </c>
      <c r="L2" s="1"/>
      <c r="M2" s="1"/>
      <c r="N2" s="1" t="s">
        <v>7</v>
      </c>
      <c r="O2" s="1" t="s">
        <v>8</v>
      </c>
      <c r="P2" s="1" t="s">
        <v>9</v>
      </c>
      <c r="Q2" s="1" t="s">
        <v>10</v>
      </c>
    </row>
    <row r="3" spans="1:21" ht="15.75" customHeight="1" x14ac:dyDescent="0.15">
      <c r="A3" s="1" t="s">
        <v>11</v>
      </c>
      <c r="B3" s="1">
        <v>403</v>
      </c>
      <c r="C3" s="1">
        <v>478</v>
      </c>
      <c r="D3" s="1"/>
      <c r="E3">
        <f>Q3/K3</f>
        <v>1.4222222222222223</v>
      </c>
      <c r="F3">
        <f>L3/R3</f>
        <v>4.5651694367322104</v>
      </c>
      <c r="H3" s="1">
        <v>1.4999999999999999E-2</v>
      </c>
      <c r="I3" s="1">
        <v>1.4999999999999999E-2</v>
      </c>
      <c r="J3" s="1">
        <v>1.4999999999999999E-2</v>
      </c>
      <c r="K3" s="1">
        <f>AVERAGE(H3:J3)</f>
        <v>1.4999999999999999E-2</v>
      </c>
      <c r="L3" s="1">
        <f>(120032/1024)/1024</f>
        <v>0.114471435546875</v>
      </c>
      <c r="M3" s="1"/>
      <c r="N3" s="1">
        <v>0.02</v>
      </c>
      <c r="O3" s="1">
        <v>2.3E-2</v>
      </c>
      <c r="P3">
        <f>0.021</f>
        <v>2.1000000000000001E-2</v>
      </c>
      <c r="Q3">
        <f>AVERAGE(N3:P3)</f>
        <v>2.1333333333333333E-2</v>
      </c>
      <c r="R3" s="1">
        <f>26293/1024/1024</f>
        <v>2.5074958801269531E-2</v>
      </c>
    </row>
    <row r="4" spans="1:21" ht="15.75" customHeight="1" x14ac:dyDescent="0.15">
      <c r="A4" s="1" t="s">
        <v>12</v>
      </c>
      <c r="B4" s="1">
        <v>853</v>
      </c>
      <c r="C4" s="1">
        <v>1895</v>
      </c>
      <c r="D4" s="1"/>
      <c r="E4">
        <f>Q4/K4</f>
        <v>2.2301526717557252</v>
      </c>
      <c r="F4">
        <f>L4/R4</f>
        <v>8.5077607930422499</v>
      </c>
      <c r="H4" s="1">
        <v>8.6999999999999994E-2</v>
      </c>
      <c r="I4" s="1">
        <v>8.8999999999999996E-2</v>
      </c>
      <c r="J4" s="1">
        <v>8.5999999999999993E-2</v>
      </c>
      <c r="K4" s="1">
        <f>AVERAGE(H4:J4)</f>
        <v>8.7333333333333332E-2</v>
      </c>
      <c r="L4" s="1">
        <f>(867681/1024)/1024</f>
        <v>0.82748508453369141</v>
      </c>
      <c r="M4" s="1"/>
      <c r="N4" s="1">
        <v>0.27400000000000002</v>
      </c>
      <c r="O4">
        <f>0.0283</f>
        <v>2.8299999999999999E-2</v>
      </c>
      <c r="P4">
        <f>0.282</f>
        <v>0.28199999999999997</v>
      </c>
      <c r="Q4">
        <f>AVERAGE(N4:P4)</f>
        <v>0.19476666666666667</v>
      </c>
      <c r="R4" s="1">
        <f>101987/1024/1024</f>
        <v>9.7262382507324219E-2</v>
      </c>
      <c r="U4">
        <f>2*60+27.12</f>
        <v>147.12</v>
      </c>
    </row>
    <row r="5" spans="1:21" ht="15.75" customHeight="1" x14ac:dyDescent="0.15">
      <c r="A5" s="1" t="s">
        <v>13</v>
      </c>
      <c r="B5" s="1">
        <v>4744</v>
      </c>
      <c r="C5" s="1">
        <v>6482</v>
      </c>
      <c r="D5" s="1"/>
      <c r="E5">
        <f>Q5/K5</f>
        <v>9.835138061721711</v>
      </c>
      <c r="F5">
        <f>L5/R5</f>
        <v>38.442514285714289</v>
      </c>
      <c r="H5" s="1">
        <v>1.2170000000000001</v>
      </c>
      <c r="I5" s="1">
        <v>1.248</v>
      </c>
      <c r="J5" s="1">
        <v>1.2290000000000001</v>
      </c>
      <c r="K5" s="1">
        <f>AVERAGE(H5:J5)</f>
        <v>1.2313333333333334</v>
      </c>
      <c r="L5" s="1">
        <f>(15304926/1024)/1024</f>
        <v>14.595914840698242</v>
      </c>
      <c r="M5" s="1"/>
      <c r="N5" s="1">
        <v>12.426</v>
      </c>
      <c r="O5" s="1">
        <v>11.999000000000001</v>
      </c>
      <c r="P5">
        <f>11.906</f>
        <v>11.906000000000001</v>
      </c>
      <c r="Q5">
        <f>AVERAGE(N5:P5)</f>
        <v>12.110333333333335</v>
      </c>
      <c r="R5" s="1">
        <f>398125/1024/1024</f>
        <v>0.37968158721923828</v>
      </c>
    </row>
    <row r="6" spans="1:21" ht="15.75" customHeight="1" x14ac:dyDescent="0.15">
      <c r="A6" s="1" t="s">
        <v>14</v>
      </c>
      <c r="B6" s="1">
        <v>4368</v>
      </c>
      <c r="C6" s="1">
        <v>6967</v>
      </c>
      <c r="D6" s="1"/>
      <c r="E6">
        <f>Q6/K6</f>
        <v>10.588744588744589</v>
      </c>
      <c r="F6">
        <f>L6/R6</f>
        <v>35.983326076980099</v>
      </c>
      <c r="H6" s="1">
        <v>1.302</v>
      </c>
      <c r="I6" s="1">
        <v>1.3069999999999999</v>
      </c>
      <c r="J6" s="1">
        <v>1.3180000000000001</v>
      </c>
      <c r="K6" s="1">
        <f>AVERAGE(H6:J6)</f>
        <v>1.3089999999999999</v>
      </c>
      <c r="L6" s="1">
        <f>(15289855/1024)/1024</f>
        <v>14.581542015075684</v>
      </c>
      <c r="M6" s="1"/>
      <c r="N6" s="1">
        <v>14.266999999999999</v>
      </c>
      <c r="O6">
        <f>13.77</f>
        <v>13.77</v>
      </c>
      <c r="P6">
        <v>13.545</v>
      </c>
      <c r="Q6">
        <f>AVERAGE(N6:P6)</f>
        <v>13.860666666666667</v>
      </c>
      <c r="R6" s="1">
        <f>424915/1024/1024</f>
        <v>0.40523052215576172</v>
      </c>
    </row>
    <row r="7" spans="1:21" ht="15.75" customHeight="1" x14ac:dyDescent="0.15">
      <c r="A7" s="1" t="s">
        <v>15</v>
      </c>
      <c r="B7" s="1">
        <v>5506</v>
      </c>
      <c r="C7" s="1">
        <v>8543</v>
      </c>
      <c r="D7" s="1"/>
      <c r="E7">
        <f>Q7/K7</f>
        <v>11.619583333333335</v>
      </c>
      <c r="F7">
        <f>L7/R7</f>
        <v>27.806444777377585</v>
      </c>
      <c r="H7" s="1">
        <v>2.2970000000000002</v>
      </c>
      <c r="I7" s="1">
        <v>2.29</v>
      </c>
      <c r="J7" s="1">
        <v>2.613</v>
      </c>
      <c r="K7" s="1">
        <f>AVERAGE(H7:J7)</f>
        <v>2.4</v>
      </c>
      <c r="L7" s="1">
        <f>(28416567/1024)/2014</f>
        <v>13.778825079909383</v>
      </c>
      <c r="M7" s="1"/>
      <c r="N7" s="1">
        <v>27.972000000000001</v>
      </c>
      <c r="O7">
        <f>27.618</f>
        <v>27.617999999999999</v>
      </c>
      <c r="P7">
        <f>28.071</f>
        <v>28.071000000000002</v>
      </c>
      <c r="Q7">
        <f>AVERAGE(N7:P7)</f>
        <v>27.887</v>
      </c>
      <c r="R7" s="1">
        <f>519597/1024/1024</f>
        <v>0.49552631378173828</v>
      </c>
    </row>
    <row r="8" spans="1:21" ht="15.75" customHeight="1" x14ac:dyDescent="0.15">
      <c r="A8" s="1" t="s">
        <v>16</v>
      </c>
      <c r="B8" s="1">
        <v>14846</v>
      </c>
      <c r="C8" s="1">
        <v>12598</v>
      </c>
      <c r="D8" s="1"/>
      <c r="E8">
        <f>Q8/K8</f>
        <v>18.500738651625039</v>
      </c>
      <c r="F8">
        <f>L8/R8</f>
        <v>79.062403878832924</v>
      </c>
      <c r="H8" s="1">
        <v>4.9379999999999997</v>
      </c>
      <c r="I8" s="1">
        <v>5.0049999999999999</v>
      </c>
      <c r="J8" s="1">
        <v>4.9489999999999998</v>
      </c>
      <c r="K8" s="1">
        <f>AVERAGE(H8:J8)</f>
        <v>4.9639999999999995</v>
      </c>
      <c r="L8" s="1">
        <f>(64671307/1024)/1024</f>
        <v>61.67536449432373</v>
      </c>
      <c r="N8">
        <f>60+34.582</f>
        <v>94.581999999999994</v>
      </c>
      <c r="O8">
        <f>60+30.858</f>
        <v>90.858000000000004</v>
      </c>
      <c r="P8">
        <f>60+30.073</f>
        <v>90.073000000000008</v>
      </c>
      <c r="Q8">
        <f>AVERAGE(N8:P8)</f>
        <v>91.837666666666678</v>
      </c>
      <c r="R8" s="1">
        <f>817978/1024/1024</f>
        <v>0.78008460998535156</v>
      </c>
    </row>
    <row r="9" spans="1:21" ht="15.75" customHeight="1" x14ac:dyDescent="0.15">
      <c r="A9" s="1" t="s">
        <v>17</v>
      </c>
      <c r="B9" s="1">
        <v>7758</v>
      </c>
      <c r="C9" s="1">
        <v>14367</v>
      </c>
      <c r="D9" s="1"/>
      <c r="E9">
        <f>Q9/K9</f>
        <v>20.18909655652546</v>
      </c>
      <c r="F9">
        <f>L9/R9</f>
        <v>85.387660365475838</v>
      </c>
      <c r="H9" s="1">
        <v>6.2350000000000003</v>
      </c>
      <c r="I9" s="1">
        <v>6.2130000000000001</v>
      </c>
      <c r="J9" s="1">
        <v>6.2249999999999996</v>
      </c>
      <c r="K9" s="1">
        <f>AVERAGE(H9:J9)</f>
        <v>6.2243333333333339</v>
      </c>
      <c r="L9" s="1">
        <f>75655431/1024/1024</f>
        <v>72.150641441345215</v>
      </c>
      <c r="M9" s="1"/>
      <c r="N9" s="1">
        <f>2*60+10.282</f>
        <v>130.28200000000001</v>
      </c>
      <c r="O9">
        <f>2*60+3.287</f>
        <v>123.28700000000001</v>
      </c>
      <c r="P9">
        <f>2*60+3.422</f>
        <v>123.422</v>
      </c>
      <c r="Q9">
        <f>AVERAGE(N9:P9)</f>
        <v>125.66366666666666</v>
      </c>
      <c r="R9" s="1">
        <f>886023/1024/1024</f>
        <v>0.84497737884521484</v>
      </c>
    </row>
    <row r="10" spans="1:21" ht="15.75" customHeight="1" x14ac:dyDescent="0.15">
      <c r="A10" s="1" t="s">
        <v>18</v>
      </c>
      <c r="B10" s="1">
        <v>8353</v>
      </c>
      <c r="C10" s="1">
        <v>15354</v>
      </c>
      <c r="D10" s="1"/>
      <c r="E10">
        <f>Q10/K10</f>
        <v>22.244081863623503</v>
      </c>
      <c r="F10">
        <f>L10/R10</f>
        <v>93.252225736527549</v>
      </c>
      <c r="H10" s="1">
        <v>7.0019999999999998</v>
      </c>
      <c r="I10" s="1">
        <v>7.1550000000000002</v>
      </c>
      <c r="J10" s="1">
        <v>7.0490000000000004</v>
      </c>
      <c r="K10" s="1">
        <f>AVERAGE(H10:J10)</f>
        <v>7.0686666666666662</v>
      </c>
      <c r="L10" s="1">
        <f>87889943/1024/1024</f>
        <v>83.818381309509277</v>
      </c>
      <c r="N10">
        <f>2*60+43.139</f>
        <v>163.13900000000001</v>
      </c>
      <c r="O10">
        <f>2*60+34.666</f>
        <v>154.666</v>
      </c>
      <c r="P10">
        <f>2*60+33.903</f>
        <v>153.90299999999999</v>
      </c>
      <c r="Q10">
        <f>AVERAGE(N10:P10)</f>
        <v>157.23599999999999</v>
      </c>
      <c r="R10" s="1">
        <f>942497/1024/1024</f>
        <v>0.89883518218994141</v>
      </c>
    </row>
    <row r="11" spans="1:21" ht="15.75" customHeight="1" x14ac:dyDescent="0.15">
      <c r="A11" s="1" t="s">
        <v>19</v>
      </c>
      <c r="B11" s="1">
        <v>22003</v>
      </c>
      <c r="C11" s="1">
        <v>15656</v>
      </c>
      <c r="D11" s="1"/>
      <c r="E11">
        <f>Q11/K11</f>
        <v>23.050004310716446</v>
      </c>
      <c r="F11">
        <f>L11/R11</f>
        <v>101.66039832925738</v>
      </c>
      <c r="H11" s="1">
        <v>7.7709999999999999</v>
      </c>
      <c r="I11" s="1">
        <v>7.8120000000000003</v>
      </c>
      <c r="J11" s="1">
        <v>7.6150000000000002</v>
      </c>
      <c r="K11" s="1">
        <f>AVERAGE(H11:J11)</f>
        <v>7.7326666666666668</v>
      </c>
      <c r="L11" s="1">
        <f>105460769/1024/1024</f>
        <v>100.57522678375244</v>
      </c>
      <c r="N11">
        <f>3*60+2.187</f>
        <v>182.18700000000001</v>
      </c>
      <c r="O11">
        <f>2*60+59.446</f>
        <v>179.446</v>
      </c>
      <c r="P11">
        <f>2*60+53.081</f>
        <v>173.08100000000002</v>
      </c>
      <c r="Q11">
        <f>AVERAGE(N11:P11)</f>
        <v>178.23800000000003</v>
      </c>
      <c r="R11" s="1">
        <f>1037383/1024/1024</f>
        <v>0.98932552337646484</v>
      </c>
    </row>
    <row r="12" spans="1:21" ht="15.75" customHeight="1" x14ac:dyDescent="0.15">
      <c r="A12" s="1" t="s">
        <v>20</v>
      </c>
      <c r="B12" s="1">
        <v>18299</v>
      </c>
      <c r="C12" s="1">
        <v>22630</v>
      </c>
      <c r="D12" s="1"/>
      <c r="E12">
        <f>Q12/K12</f>
        <v>29.452900644587682</v>
      </c>
      <c r="F12">
        <f>L12/R12</f>
        <v>120.36842003300087</v>
      </c>
      <c r="H12" s="1">
        <v>14.547000000000001</v>
      </c>
      <c r="I12" s="1">
        <v>14.516999999999999</v>
      </c>
      <c r="J12" s="1">
        <v>15.926</v>
      </c>
      <c r="K12" s="1">
        <f>AVERAGE(H12:J12)</f>
        <v>14.996666666666668</v>
      </c>
      <c r="L12" s="1">
        <f>180183099/1024/1024</f>
        <v>171.83599376678467</v>
      </c>
      <c r="N12">
        <f>7*60+23.291</f>
        <v>443.291</v>
      </c>
      <c r="O12">
        <f>7*60+16.207</f>
        <v>436.20699999999999</v>
      </c>
      <c r="P12">
        <f>7*60+25.588</f>
        <v>445.58800000000002</v>
      </c>
      <c r="Q12">
        <f>AVERAGE(N12:P12)</f>
        <v>441.69533333333334</v>
      </c>
      <c r="R12" s="1">
        <f>1496930/1024/1024</f>
        <v>1.4275836944580078</v>
      </c>
    </row>
    <row r="13" spans="1:21" ht="15.75" customHeight="1" x14ac:dyDescent="0.15">
      <c r="A13" s="1" t="s">
        <v>21</v>
      </c>
      <c r="B13" s="1">
        <v>36462</v>
      </c>
      <c r="C13" s="1">
        <v>24215</v>
      </c>
      <c r="D13" s="1"/>
      <c r="E13">
        <f>Q13/K13</f>
        <v>34.368725661819873</v>
      </c>
      <c r="F13">
        <f>L13/R13</f>
        <v>155.80056395780392</v>
      </c>
      <c r="H13" s="1">
        <v>18.420000000000002</v>
      </c>
      <c r="I13" s="1">
        <v>18.466000000000001</v>
      </c>
      <c r="J13" s="1">
        <v>19.096</v>
      </c>
      <c r="K13" s="1">
        <f>AVERAGE(H13:J13)</f>
        <v>18.660666666666668</v>
      </c>
      <c r="L13" s="1">
        <f>256703397/1024/1024</f>
        <v>244.81143665313721</v>
      </c>
      <c r="N13">
        <f>11*60+1.241</f>
        <v>661.24099999999999</v>
      </c>
      <c r="O13">
        <f>10*60+34.229</f>
        <v>634.22900000000004</v>
      </c>
      <c r="P13">
        <f>10*60+28.56</f>
        <v>628.55999999999995</v>
      </c>
      <c r="Q13">
        <f>AVERAGE(N13:P13)</f>
        <v>641.34333333333336</v>
      </c>
      <c r="R13" s="1">
        <f>1647641/1024/1024</f>
        <v>1.5713129043579102</v>
      </c>
    </row>
    <row r="14" spans="1:21" ht="15.75" customHeight="1" x14ac:dyDescent="0.15">
      <c r="A14" s="1" t="s">
        <v>22</v>
      </c>
      <c r="B14" s="1">
        <v>24757</v>
      </c>
      <c r="C14" s="1">
        <v>26960</v>
      </c>
      <c r="D14" s="1"/>
      <c r="E14">
        <f>Q14/K14</f>
        <v>36.287041595857886</v>
      </c>
      <c r="F14">
        <f>L14/R14</f>
        <v>148.10704899330045</v>
      </c>
      <c r="H14" s="1">
        <v>20.876000000000001</v>
      </c>
      <c r="I14" s="1">
        <v>21.071999999999999</v>
      </c>
      <c r="J14" s="1">
        <v>21.015000000000001</v>
      </c>
      <c r="K14" s="1">
        <f>AVERAGE(H14:J14)</f>
        <v>20.987666666666666</v>
      </c>
      <c r="L14" s="1">
        <f>268467131/1024/1024</f>
        <v>256.03020763397217</v>
      </c>
      <c r="N14">
        <f>12*60+37.344</f>
        <v>757.34400000000005</v>
      </c>
      <c r="O14">
        <f>12*60+44.971</f>
        <v>764.971</v>
      </c>
      <c r="P14">
        <f>12*60+42.426</f>
        <v>762.42600000000004</v>
      </c>
      <c r="Q14">
        <f>AVERAGE(N14:P14)</f>
        <v>761.58033333333333</v>
      </c>
      <c r="R14" s="1">
        <f>1812656/1024/1024</f>
        <v>1.7286834716796875</v>
      </c>
    </row>
    <row r="15" spans="1:21" ht="15.75" customHeight="1" x14ac:dyDescent="0.15">
      <c r="A15" s="1" t="s">
        <v>23</v>
      </c>
      <c r="B15" s="1">
        <v>45786</v>
      </c>
      <c r="C15" s="1">
        <v>29679</v>
      </c>
      <c r="D15" s="1"/>
      <c r="E15">
        <f>Q15/K15</f>
        <v>42.415119752348893</v>
      </c>
      <c r="F15">
        <f>L15/R15</f>
        <v>223.12954015257614</v>
      </c>
      <c r="H15" s="1">
        <v>30.431000000000001</v>
      </c>
      <c r="I15" s="1">
        <v>30.600999999999999</v>
      </c>
      <c r="J15" s="1">
        <v>31.033000000000001</v>
      </c>
      <c r="K15" s="1">
        <f>AVERAGE(H15:J15)</f>
        <v>30.688333333333333</v>
      </c>
      <c r="L15" s="1">
        <f>447528018/1024/1024</f>
        <v>426.79597663879395</v>
      </c>
      <c r="N15">
        <f>22*60+14.69</f>
        <v>1334.69</v>
      </c>
      <c r="O15">
        <f>21*60+31.313</f>
        <v>1291.3130000000001</v>
      </c>
      <c r="P15">
        <f>21*60+18.945</f>
        <v>1278.9449999999999</v>
      </c>
      <c r="Q15">
        <f>AVERAGE(N15:P15)</f>
        <v>1301.6493333333335</v>
      </c>
      <c r="R15" s="1">
        <f>2005687/1024/1024</f>
        <v>1.9127721786499023</v>
      </c>
    </row>
    <row r="16" spans="1:21" ht="15.75" customHeight="1" x14ac:dyDescent="0.15">
      <c r="A16" s="1" t="s">
        <v>24</v>
      </c>
      <c r="B16" s="1">
        <v>56827</v>
      </c>
      <c r="C16" s="1">
        <v>30628</v>
      </c>
      <c r="D16" s="1"/>
      <c r="E16">
        <f>Q16/K16</f>
        <v>43.686294219105172</v>
      </c>
      <c r="F16">
        <f>L16/R16</f>
        <v>193.42352587310043</v>
      </c>
      <c r="H16" s="1">
        <v>29.183</v>
      </c>
      <c r="I16" s="1">
        <v>29.032</v>
      </c>
      <c r="J16" s="1">
        <v>29.332000000000001</v>
      </c>
      <c r="K16" s="1">
        <f>AVERAGE(H16:J16)</f>
        <v>29.182333333333332</v>
      </c>
      <c r="L16" s="1">
        <f>407056522/1024/1024</f>
        <v>388.19935035705566</v>
      </c>
      <c r="M16" s="1"/>
      <c r="N16" s="1">
        <f>21*60+20.893</f>
        <v>1280.893</v>
      </c>
      <c r="O16">
        <f>21*60+20.327</f>
        <v>1280.327</v>
      </c>
      <c r="P16">
        <f>21*60+3.384</f>
        <v>1263.384</v>
      </c>
      <c r="Q16">
        <f>AVERAGE(N16:P16)</f>
        <v>1274.8680000000002</v>
      </c>
      <c r="R16" s="1">
        <f>2104483/1024/1024</f>
        <v>2.0069913864135742</v>
      </c>
    </row>
    <row r="18" spans="1:15" ht="15.75" customHeight="1" x14ac:dyDescent="0.15">
      <c r="A18" s="1" t="s">
        <v>25</v>
      </c>
      <c r="H18">
        <f>2*60+25.74</f>
        <v>145.74</v>
      </c>
      <c r="I18">
        <f>2*60+26.2</f>
        <v>146.19999999999999</v>
      </c>
      <c r="J18">
        <f>2*60+28.89</f>
        <v>148.88999999999999</v>
      </c>
      <c r="N18">
        <f>1*3600+25*60+3.91</f>
        <v>5103.91</v>
      </c>
      <c r="O18">
        <f>1*3600+23*60+29.01</f>
        <v>5009.01</v>
      </c>
    </row>
    <row r="19" spans="1:15" ht="15.75" customHeight="1" x14ac:dyDescent="0.15">
      <c r="A19" s="1" t="s">
        <v>26</v>
      </c>
      <c r="E19">
        <f t="shared" ref="E19:F19" si="0">AVERAGE(E3:E16)</f>
        <v>21.849274580999111</v>
      </c>
      <c r="F19">
        <f t="shared" si="0"/>
        <v>93.964071620694426</v>
      </c>
      <c r="H19">
        <f>AVERAGE(H18:J18)</f>
        <v>146.94333333333333</v>
      </c>
      <c r="N19">
        <f>AVERAGE(N18:P18)</f>
        <v>5056.46</v>
      </c>
    </row>
  </sheetData>
  <sortState ref="A3:U16">
    <sortCondition ref="C3:C16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topLeftCell="A12" workbookViewId="0">
      <selection activeCell="J44" sqref="J44"/>
    </sheetView>
  </sheetViews>
  <sheetFormatPr baseColWidth="10" defaultRowHeight="13" x14ac:dyDescent="0.15"/>
  <cols>
    <col min="1" max="1" width="26.5" bestFit="1" customWidth="1"/>
  </cols>
  <sheetData>
    <row r="2" spans="1:16" x14ac:dyDescent="0.15">
      <c r="E2" t="s">
        <v>32</v>
      </c>
    </row>
    <row r="3" spans="1:16" x14ac:dyDescent="0.15">
      <c r="B3" t="s">
        <v>5</v>
      </c>
      <c r="C3" t="s">
        <v>6</v>
      </c>
      <c r="E3" t="s">
        <v>7</v>
      </c>
      <c r="F3" t="s">
        <v>8</v>
      </c>
      <c r="G3" t="s">
        <v>9</v>
      </c>
      <c r="H3" t="s">
        <v>10</v>
      </c>
    </row>
    <row r="4" spans="1:16" x14ac:dyDescent="0.15">
      <c r="A4" t="s">
        <v>28</v>
      </c>
      <c r="B4">
        <v>11</v>
      </c>
      <c r="C4">
        <v>22</v>
      </c>
      <c r="E4">
        <v>4.0000000000000001E-3</v>
      </c>
      <c r="F4">
        <v>4.0000000000000001E-3</v>
      </c>
      <c r="G4">
        <v>3.0000000000000001E-3</v>
      </c>
      <c r="H4">
        <f>AVERAGE(E4:G4)</f>
        <v>3.6666666666666666E-3</v>
      </c>
    </row>
    <row r="5" spans="1:16" x14ac:dyDescent="0.15">
      <c r="A5" t="s">
        <v>29</v>
      </c>
      <c r="B5">
        <v>22</v>
      </c>
      <c r="C5">
        <v>52</v>
      </c>
      <c r="E5">
        <v>5.0000000000000001E-3</v>
      </c>
      <c r="F5">
        <v>3.0000000000000001E-3</v>
      </c>
      <c r="G5">
        <v>3.0000000000000001E-3</v>
      </c>
      <c r="H5">
        <f t="shared" ref="H5:H7" si="0">AVERAGE(E5:G5)</f>
        <v>3.6666666666666666E-3</v>
      </c>
    </row>
    <row r="6" spans="1:16" x14ac:dyDescent="0.15">
      <c r="A6" t="s">
        <v>27</v>
      </c>
      <c r="B6">
        <v>43</v>
      </c>
      <c r="C6">
        <v>136</v>
      </c>
      <c r="E6">
        <v>6.0000000000000001E-3</v>
      </c>
      <c r="F6">
        <v>1.2999999999999999E-2</v>
      </c>
      <c r="G6">
        <v>8.9999999999999993E-3</v>
      </c>
      <c r="H6">
        <f t="shared" si="0"/>
        <v>9.3333333333333324E-3</v>
      </c>
    </row>
    <row r="7" spans="1:16" x14ac:dyDescent="0.15">
      <c r="A7" t="s">
        <v>31</v>
      </c>
      <c r="B7">
        <v>105</v>
      </c>
      <c r="C7">
        <v>580</v>
      </c>
      <c r="E7">
        <v>6.0000000000000001E-3</v>
      </c>
      <c r="F7">
        <v>6.0000000000000001E-3</v>
      </c>
      <c r="G7">
        <v>8.0000000000000002E-3</v>
      </c>
      <c r="H7">
        <f t="shared" si="0"/>
        <v>6.6666666666666671E-3</v>
      </c>
    </row>
    <row r="9" spans="1:16" x14ac:dyDescent="0.15">
      <c r="E9" s="2" t="s">
        <v>33</v>
      </c>
      <c r="F9" s="2"/>
      <c r="G9" s="2"/>
      <c r="H9" s="2"/>
    </row>
    <row r="10" spans="1:16" x14ac:dyDescent="0.15">
      <c r="E10" t="s">
        <v>7</v>
      </c>
      <c r="H10" t="s">
        <v>8</v>
      </c>
      <c r="K10" t="s">
        <v>9</v>
      </c>
      <c r="N10" t="s">
        <v>10</v>
      </c>
    </row>
    <row r="11" spans="1:16" x14ac:dyDescent="0.15">
      <c r="E11" t="s">
        <v>30</v>
      </c>
      <c r="F11" t="s">
        <v>34</v>
      </c>
      <c r="G11" t="s">
        <v>25</v>
      </c>
      <c r="H11" t="s">
        <v>30</v>
      </c>
      <c r="I11" t="s">
        <v>34</v>
      </c>
      <c r="J11" t="s">
        <v>25</v>
      </c>
      <c r="K11" t="s">
        <v>30</v>
      </c>
      <c r="L11" t="s">
        <v>34</v>
      </c>
      <c r="M11" t="s">
        <v>25</v>
      </c>
      <c r="N11" t="s">
        <v>30</v>
      </c>
      <c r="O11" t="s">
        <v>34</v>
      </c>
      <c r="P11" t="s">
        <v>25</v>
      </c>
    </row>
    <row r="12" spans="1:16" x14ac:dyDescent="0.15">
      <c r="A12" t="s">
        <v>28</v>
      </c>
      <c r="B12">
        <v>11</v>
      </c>
      <c r="C12">
        <v>22</v>
      </c>
      <c r="E12">
        <v>4.0000000000000001E-3</v>
      </c>
      <c r="F12">
        <v>2.7E-2</v>
      </c>
      <c r="G12">
        <v>3.1E-2</v>
      </c>
      <c r="H12">
        <v>5.0000000000000001E-3</v>
      </c>
      <c r="I12">
        <v>2.4E-2</v>
      </c>
      <c r="J12">
        <v>2.9000000000000001E-2</v>
      </c>
      <c r="K12">
        <v>4.0000000000000001E-3</v>
      </c>
      <c r="L12">
        <v>2.5000000000000001E-2</v>
      </c>
      <c r="M12">
        <v>2.9000000000000001E-2</v>
      </c>
      <c r="N12">
        <f>AVERAGE(E12,H12,K12)</f>
        <v>4.333333333333334E-3</v>
      </c>
      <c r="O12">
        <f>AVERAGE(F12,I12,L12)</f>
        <v>2.5333333333333336E-2</v>
      </c>
      <c r="P12">
        <f>AVERAGE(G12,J12,M12)</f>
        <v>2.9666666666666664E-2</v>
      </c>
    </row>
    <row r="13" spans="1:16" x14ac:dyDescent="0.15">
      <c r="A13" t="s">
        <v>29</v>
      </c>
      <c r="B13">
        <v>22</v>
      </c>
      <c r="C13">
        <v>52</v>
      </c>
      <c r="E13">
        <v>3.0000000000000001E-3</v>
      </c>
      <c r="F13">
        <v>2.1000000000000001E-2</v>
      </c>
      <c r="G13">
        <v>2.4E-2</v>
      </c>
      <c r="H13">
        <v>5.0000000000000001E-3</v>
      </c>
      <c r="I13">
        <v>2.1000000000000001E-2</v>
      </c>
      <c r="J13">
        <v>2.5999999999999999E-2</v>
      </c>
      <c r="K13">
        <v>5.0000000000000001E-3</v>
      </c>
      <c r="L13">
        <v>2.4E-2</v>
      </c>
      <c r="M13">
        <v>2.9000000000000001E-2</v>
      </c>
      <c r="N13">
        <f t="shared" ref="N13:N15" si="1">AVERAGE(E13,H13,K13)</f>
        <v>4.333333333333334E-3</v>
      </c>
      <c r="O13">
        <f t="shared" ref="O13:O15" si="2">AVERAGE(F13,I13,L13)</f>
        <v>2.2000000000000002E-2</v>
      </c>
      <c r="P13">
        <f t="shared" ref="P13:P15" si="3">AVERAGE(G13,J13,M13)</f>
        <v>2.6333333333333334E-2</v>
      </c>
    </row>
    <row r="14" spans="1:16" x14ac:dyDescent="0.15">
      <c r="A14" t="s">
        <v>27</v>
      </c>
      <c r="B14">
        <v>43</v>
      </c>
      <c r="C14">
        <v>136</v>
      </c>
      <c r="E14">
        <v>6.0000000000000001E-3</v>
      </c>
      <c r="F14">
        <v>2.4E-2</v>
      </c>
      <c r="G14">
        <v>0.03</v>
      </c>
      <c r="H14">
        <v>4.0000000000000001E-3</v>
      </c>
      <c r="I14">
        <v>2.9000000000000001E-2</v>
      </c>
      <c r="J14">
        <v>3.3000000000000002E-2</v>
      </c>
      <c r="K14">
        <v>4.0000000000000001E-3</v>
      </c>
      <c r="L14">
        <v>2.5000000000000001E-2</v>
      </c>
      <c r="M14">
        <v>2.9000000000000001E-2</v>
      </c>
      <c r="N14">
        <f t="shared" si="1"/>
        <v>4.6666666666666671E-3</v>
      </c>
      <c r="O14">
        <f t="shared" si="2"/>
        <v>2.6000000000000006E-2</v>
      </c>
      <c r="P14">
        <f t="shared" si="3"/>
        <v>3.0666666666666665E-2</v>
      </c>
    </row>
    <row r="15" spans="1:16" x14ac:dyDescent="0.15">
      <c r="A15" t="s">
        <v>31</v>
      </c>
      <c r="B15">
        <v>105</v>
      </c>
      <c r="C15">
        <v>580</v>
      </c>
      <c r="E15">
        <v>1.6E-2</v>
      </c>
      <c r="F15">
        <v>8.7999999999999995E-2</v>
      </c>
      <c r="G15">
        <v>0.104</v>
      </c>
      <c r="H15">
        <v>1.4E-2</v>
      </c>
      <c r="I15">
        <v>8.5000000000000006E-2</v>
      </c>
      <c r="J15">
        <v>9.9000000000000005E-2</v>
      </c>
      <c r="K15">
        <v>1.7000000000000001E-2</v>
      </c>
      <c r="L15">
        <v>8.7999999999999995E-2</v>
      </c>
      <c r="M15">
        <v>0.105</v>
      </c>
      <c r="N15">
        <f t="shared" si="1"/>
        <v>1.5666666666666666E-2</v>
      </c>
      <c r="O15">
        <f t="shared" si="2"/>
        <v>8.7000000000000008E-2</v>
      </c>
      <c r="P15">
        <f t="shared" si="3"/>
        <v>0.10266666666666667</v>
      </c>
    </row>
    <row r="17" spans="1:16" x14ac:dyDescent="0.15">
      <c r="E17" t="s">
        <v>35</v>
      </c>
    </row>
    <row r="18" spans="1:16" x14ac:dyDescent="0.15">
      <c r="E18" t="s">
        <v>7</v>
      </c>
      <c r="H18" t="s">
        <v>8</v>
      </c>
      <c r="K18" t="s">
        <v>9</v>
      </c>
      <c r="N18" t="s">
        <v>10</v>
      </c>
    </row>
    <row r="19" spans="1:16" x14ac:dyDescent="0.15">
      <c r="E19" t="s">
        <v>36</v>
      </c>
      <c r="F19" t="s">
        <v>34</v>
      </c>
      <c r="G19" t="s">
        <v>25</v>
      </c>
      <c r="H19" t="s">
        <v>36</v>
      </c>
      <c r="I19" t="s">
        <v>34</v>
      </c>
      <c r="J19" t="s">
        <v>25</v>
      </c>
      <c r="K19" t="s">
        <v>36</v>
      </c>
      <c r="L19" t="s">
        <v>34</v>
      </c>
      <c r="M19" t="s">
        <v>25</v>
      </c>
      <c r="N19" t="s">
        <v>36</v>
      </c>
      <c r="O19" t="s">
        <v>34</v>
      </c>
      <c r="P19" t="s">
        <v>25</v>
      </c>
    </row>
    <row r="20" spans="1:16" x14ac:dyDescent="0.15">
      <c r="A20" t="s">
        <v>28</v>
      </c>
      <c r="B20">
        <v>11</v>
      </c>
      <c r="C20">
        <v>22</v>
      </c>
      <c r="E20">
        <v>7.3999999999999996E-2</v>
      </c>
      <c r="F20">
        <v>1.6E-2</v>
      </c>
      <c r="G20">
        <f>SUM(E20,F20)</f>
        <v>0.09</v>
      </c>
      <c r="H20">
        <v>4.5999999999999999E-2</v>
      </c>
      <c r="I20">
        <v>1.6E-2</v>
      </c>
      <c r="J20">
        <f>SUM(H20,I20)</f>
        <v>6.2E-2</v>
      </c>
      <c r="K20">
        <v>4.3999999999999997E-2</v>
      </c>
      <c r="L20">
        <v>1.6E-2</v>
      </c>
      <c r="M20">
        <f>SUM(K20,L20)</f>
        <v>0.06</v>
      </c>
      <c r="N20">
        <f>AVERAGE(E20,H20,K20)</f>
        <v>5.4666666666666662E-2</v>
      </c>
      <c r="O20">
        <f>AVERAGE(F20,I20,L20)</f>
        <v>1.6E-2</v>
      </c>
      <c r="P20">
        <f>AVERAGE(G20,J20,M20)</f>
        <v>7.0666666666666669E-2</v>
      </c>
    </row>
    <row r="21" spans="1:16" x14ac:dyDescent="0.15">
      <c r="A21" t="s">
        <v>29</v>
      </c>
      <c r="B21">
        <v>22</v>
      </c>
      <c r="C21">
        <v>52</v>
      </c>
      <c r="E21">
        <v>3.6999999999999998E-2</v>
      </c>
      <c r="F21">
        <v>1.9E-2</v>
      </c>
      <c r="G21">
        <f t="shared" ref="G21:G23" si="4">SUM(E21,F21)</f>
        <v>5.5999999999999994E-2</v>
      </c>
      <c r="H21">
        <v>3.5000000000000003E-2</v>
      </c>
      <c r="I21">
        <v>1.9E-2</v>
      </c>
      <c r="J21">
        <f t="shared" ref="J21:J23" si="5">SUM(H21,I21)</f>
        <v>5.4000000000000006E-2</v>
      </c>
      <c r="K21">
        <v>3.4000000000000002E-2</v>
      </c>
      <c r="L21">
        <v>0.02</v>
      </c>
      <c r="M21">
        <f t="shared" ref="M21:M23" si="6">SUM(K21,L21)</f>
        <v>5.4000000000000006E-2</v>
      </c>
      <c r="N21">
        <f t="shared" ref="N21:N23" si="7">AVERAGE(E21,H21,K21)</f>
        <v>3.5333333333333335E-2</v>
      </c>
      <c r="O21">
        <f t="shared" ref="O21:O23" si="8">AVERAGE(F21,I21,L21)</f>
        <v>1.9333333333333331E-2</v>
      </c>
      <c r="P21">
        <f t="shared" ref="P21:P23" si="9">AVERAGE(G21,J21,M21)</f>
        <v>5.4666666666666669E-2</v>
      </c>
    </row>
    <row r="22" spans="1:16" x14ac:dyDescent="0.15">
      <c r="A22" t="s">
        <v>27</v>
      </c>
      <c r="B22">
        <v>43</v>
      </c>
      <c r="C22">
        <v>136</v>
      </c>
      <c r="E22">
        <v>3.5999999999999997E-2</v>
      </c>
      <c r="F22">
        <v>2.5999999999999999E-2</v>
      </c>
      <c r="G22">
        <f t="shared" si="4"/>
        <v>6.2E-2</v>
      </c>
      <c r="H22">
        <v>3.7999999999999999E-2</v>
      </c>
      <c r="I22">
        <v>2.1999999999999999E-2</v>
      </c>
      <c r="J22">
        <f t="shared" si="5"/>
        <v>0.06</v>
      </c>
      <c r="K22">
        <v>3.6999999999999998E-2</v>
      </c>
      <c r="L22">
        <v>2.5000000000000001E-2</v>
      </c>
      <c r="M22">
        <f t="shared" si="6"/>
        <v>6.2E-2</v>
      </c>
      <c r="N22">
        <f t="shared" si="7"/>
        <v>3.6999999999999998E-2</v>
      </c>
      <c r="O22">
        <f t="shared" si="8"/>
        <v>2.4333333333333335E-2</v>
      </c>
      <c r="P22">
        <f t="shared" si="9"/>
        <v>6.133333333333333E-2</v>
      </c>
    </row>
    <row r="23" spans="1:16" x14ac:dyDescent="0.15">
      <c r="A23" t="s">
        <v>31</v>
      </c>
      <c r="B23">
        <v>105</v>
      </c>
      <c r="C23">
        <v>580</v>
      </c>
      <c r="E23">
        <v>4.7E-2</v>
      </c>
      <c r="F23">
        <v>8.5000000000000006E-2</v>
      </c>
      <c r="G23">
        <f t="shared" si="4"/>
        <v>0.13200000000000001</v>
      </c>
      <c r="H23">
        <v>4.4999999999999998E-2</v>
      </c>
      <c r="I23">
        <v>8.2000000000000003E-2</v>
      </c>
      <c r="J23">
        <f t="shared" si="5"/>
        <v>0.127</v>
      </c>
      <c r="K23">
        <v>0.05</v>
      </c>
      <c r="L23">
        <v>8.6999999999999994E-2</v>
      </c>
      <c r="M23">
        <f t="shared" si="6"/>
        <v>0.13700000000000001</v>
      </c>
      <c r="N23">
        <f t="shared" si="7"/>
        <v>4.7333333333333338E-2</v>
      </c>
      <c r="O23">
        <f t="shared" si="8"/>
        <v>8.4666666666666668E-2</v>
      </c>
      <c r="P23">
        <f t="shared" si="9"/>
        <v>0.13200000000000001</v>
      </c>
    </row>
  </sheetData>
  <mergeCells count="1">
    <mergeCell ref="E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19" sqref="G19"/>
    </sheetView>
  </sheetViews>
  <sheetFormatPr baseColWidth="10" defaultRowHeight="13" x14ac:dyDescent="0.15"/>
  <cols>
    <col min="1" max="1" width="23.33203125" bestFit="1" customWidth="1"/>
  </cols>
  <sheetData>
    <row r="1" spans="1:15" x14ac:dyDescent="0.15">
      <c r="A1" s="1"/>
      <c r="B1" s="1"/>
      <c r="C1" s="1"/>
      <c r="D1" s="1"/>
      <c r="E1" s="1" t="s">
        <v>30</v>
      </c>
      <c r="H1" s="1"/>
      <c r="J1" s="1" t="s">
        <v>36</v>
      </c>
      <c r="M1" s="1"/>
    </row>
    <row r="2" spans="1:15" x14ac:dyDescent="0.15">
      <c r="A2" s="1"/>
      <c r="B2" s="1" t="s">
        <v>5</v>
      </c>
      <c r="C2" s="1" t="s">
        <v>6</v>
      </c>
      <c r="D2" s="1"/>
      <c r="E2" s="1" t="s">
        <v>7</v>
      </c>
      <c r="F2" s="1" t="s">
        <v>8</v>
      </c>
      <c r="G2" s="1" t="s">
        <v>9</v>
      </c>
      <c r="H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O2" s="1" t="s">
        <v>37</v>
      </c>
    </row>
    <row r="3" spans="1:15" x14ac:dyDescent="0.15">
      <c r="A3" s="1" t="s">
        <v>11</v>
      </c>
      <c r="B3" s="1">
        <v>403</v>
      </c>
      <c r="C3" s="1">
        <v>478</v>
      </c>
      <c r="D3" s="1"/>
      <c r="E3" s="1">
        <v>1.4999999999999999E-2</v>
      </c>
      <c r="F3" s="1">
        <v>1.4999999999999999E-2</v>
      </c>
      <c r="G3" s="1">
        <v>1.4999999999999999E-2</v>
      </c>
      <c r="H3" s="1">
        <f>AVERAGE(E3:G3)</f>
        <v>1.4999999999999999E-2</v>
      </c>
      <c r="J3" s="1">
        <v>4.9000000000000002E-2</v>
      </c>
      <c r="K3" s="1">
        <v>3.5999999999999997E-2</v>
      </c>
      <c r="L3" s="1">
        <v>3.7999999999999999E-2</v>
      </c>
      <c r="M3">
        <f>AVERAGE(J3:L3)</f>
        <v>4.1000000000000002E-2</v>
      </c>
      <c r="O3">
        <f>H3/M3</f>
        <v>0.36585365853658536</v>
      </c>
    </row>
    <row r="4" spans="1:15" x14ac:dyDescent="0.15">
      <c r="A4" s="1" t="s">
        <v>12</v>
      </c>
      <c r="B4" s="1">
        <v>853</v>
      </c>
      <c r="C4" s="1">
        <v>1895</v>
      </c>
      <c r="D4" s="1"/>
      <c r="E4" s="1">
        <v>8.6999999999999994E-2</v>
      </c>
      <c r="F4" s="1">
        <v>8.8999999999999996E-2</v>
      </c>
      <c r="G4" s="1">
        <v>8.5999999999999993E-2</v>
      </c>
      <c r="H4" s="1">
        <f>AVERAGE(E4:G4)</f>
        <v>8.7333333333333332E-2</v>
      </c>
      <c r="J4" s="1">
        <v>7.2999999999999995E-2</v>
      </c>
      <c r="K4" s="1">
        <v>6.7000000000000004E-2</v>
      </c>
      <c r="L4" s="1">
        <v>6.3E-2</v>
      </c>
      <c r="M4">
        <f>AVERAGE(J4:L4)</f>
        <v>6.7666666666666667E-2</v>
      </c>
      <c r="O4">
        <f t="shared" ref="O4:O16" si="0">H4/M4</f>
        <v>1.2906403940886699</v>
      </c>
    </row>
    <row r="5" spans="1:15" x14ac:dyDescent="0.15">
      <c r="A5" s="1" t="s">
        <v>13</v>
      </c>
      <c r="B5" s="1">
        <v>4744</v>
      </c>
      <c r="C5" s="1">
        <v>6482</v>
      </c>
      <c r="D5" s="1"/>
      <c r="E5" s="1">
        <v>1.2170000000000001</v>
      </c>
      <c r="F5" s="1">
        <v>1.248</v>
      </c>
      <c r="G5" s="1">
        <v>1.2290000000000001</v>
      </c>
      <c r="H5" s="1">
        <f>AVERAGE(E5:G5)</f>
        <v>1.2313333333333334</v>
      </c>
      <c r="J5" s="1">
        <v>0.19400000000000001</v>
      </c>
      <c r="K5" s="1">
        <v>0.20300000000000001</v>
      </c>
      <c r="L5" s="1">
        <v>0.185</v>
      </c>
      <c r="M5">
        <f>AVERAGE(J5:L5)</f>
        <v>0.19400000000000003</v>
      </c>
      <c r="O5">
        <f t="shared" si="0"/>
        <v>6.3470790378006861</v>
      </c>
    </row>
    <row r="6" spans="1:15" x14ac:dyDescent="0.15">
      <c r="A6" s="1" t="s">
        <v>14</v>
      </c>
      <c r="B6" s="1">
        <v>4368</v>
      </c>
      <c r="C6" s="1">
        <v>6967</v>
      </c>
      <c r="D6" s="1"/>
      <c r="E6" s="1">
        <v>1.302</v>
      </c>
      <c r="F6" s="1">
        <v>1.3069999999999999</v>
      </c>
      <c r="G6" s="1">
        <v>1.3180000000000001</v>
      </c>
      <c r="H6" s="1">
        <f>AVERAGE(E6:G6)</f>
        <v>1.3089999999999999</v>
      </c>
      <c r="J6" s="1">
        <v>0.19600000000000001</v>
      </c>
      <c r="K6" s="1">
        <v>0.19500000000000001</v>
      </c>
      <c r="L6" s="1">
        <v>0.186</v>
      </c>
      <c r="M6">
        <f>AVERAGE(J6:L6)</f>
        <v>0.19233333333333333</v>
      </c>
      <c r="O6">
        <f t="shared" si="0"/>
        <v>6.8058925476603118</v>
      </c>
    </row>
    <row r="7" spans="1:15" x14ac:dyDescent="0.15">
      <c r="A7" s="1" t="s">
        <v>15</v>
      </c>
      <c r="B7" s="1">
        <v>5506</v>
      </c>
      <c r="C7" s="1">
        <v>8543</v>
      </c>
      <c r="D7" s="1"/>
      <c r="E7" s="1">
        <v>2.2970000000000002</v>
      </c>
      <c r="F7" s="1">
        <v>2.29</v>
      </c>
      <c r="G7" s="1">
        <v>2.613</v>
      </c>
      <c r="H7" s="1">
        <f>AVERAGE(E7:G7)</f>
        <v>2.4</v>
      </c>
      <c r="J7" s="1">
        <v>0.25800000000000001</v>
      </c>
      <c r="K7" s="1">
        <v>0.247</v>
      </c>
      <c r="L7" s="1">
        <v>0.247</v>
      </c>
      <c r="M7">
        <f>AVERAGE(J7:L7)</f>
        <v>0.25066666666666665</v>
      </c>
      <c r="O7">
        <f t="shared" si="0"/>
        <v>9.5744680851063837</v>
      </c>
    </row>
    <row r="8" spans="1:15" x14ac:dyDescent="0.15">
      <c r="A8" s="1" t="s">
        <v>16</v>
      </c>
      <c r="B8" s="1">
        <v>14846</v>
      </c>
      <c r="C8" s="1">
        <v>12598</v>
      </c>
      <c r="D8" s="1"/>
      <c r="E8" s="1">
        <v>4.9379999999999997</v>
      </c>
      <c r="F8" s="1">
        <v>5.0049999999999999</v>
      </c>
      <c r="G8" s="1">
        <v>4.9489999999999998</v>
      </c>
      <c r="H8" s="1">
        <f>AVERAGE(E8:G8)</f>
        <v>4.9639999999999995</v>
      </c>
      <c r="J8" s="1">
        <v>0.438</v>
      </c>
      <c r="K8" s="1">
        <v>0.41399999999999998</v>
      </c>
      <c r="L8" s="1">
        <v>0.41199999999999998</v>
      </c>
      <c r="M8">
        <f>AVERAGE(J8:L8)</f>
        <v>0.42133333333333334</v>
      </c>
      <c r="O8">
        <f t="shared" si="0"/>
        <v>11.781645569620252</v>
      </c>
    </row>
    <row r="9" spans="1:15" x14ac:dyDescent="0.15">
      <c r="A9" s="1" t="s">
        <v>17</v>
      </c>
      <c r="B9" s="1">
        <v>7758</v>
      </c>
      <c r="C9" s="1">
        <v>14367</v>
      </c>
      <c r="D9" s="1"/>
      <c r="E9" s="1">
        <v>6.2350000000000003</v>
      </c>
      <c r="F9" s="1">
        <v>6.2130000000000001</v>
      </c>
      <c r="G9" s="1">
        <v>6.2249999999999996</v>
      </c>
      <c r="H9" s="1">
        <f>AVERAGE(E9:G9)</f>
        <v>6.2243333333333339</v>
      </c>
      <c r="J9" s="1">
        <v>0.61199999999999999</v>
      </c>
      <c r="K9" s="1">
        <v>0.47</v>
      </c>
      <c r="L9" s="1">
        <v>0.48</v>
      </c>
      <c r="M9">
        <f>AVERAGE(J9:L9)</f>
        <v>0.52066666666666661</v>
      </c>
      <c r="O9">
        <f t="shared" si="0"/>
        <v>11.954545454545457</v>
      </c>
    </row>
    <row r="10" spans="1:15" x14ac:dyDescent="0.15">
      <c r="A10" s="1" t="s">
        <v>18</v>
      </c>
      <c r="B10" s="1">
        <v>8353</v>
      </c>
      <c r="C10" s="1">
        <v>15354</v>
      </c>
      <c r="D10" s="1"/>
      <c r="E10" s="1">
        <v>7.0019999999999998</v>
      </c>
      <c r="F10" s="1">
        <v>7.1550000000000002</v>
      </c>
      <c r="G10" s="1">
        <v>7.0490000000000004</v>
      </c>
      <c r="H10" s="1">
        <f>AVERAGE(E10:G10)</f>
        <v>7.0686666666666662</v>
      </c>
      <c r="J10" s="1">
        <v>0.51</v>
      </c>
      <c r="K10" s="1">
        <v>0.51300000000000001</v>
      </c>
      <c r="L10" s="1">
        <v>0.504</v>
      </c>
      <c r="M10">
        <f>AVERAGE(J10:L10)</f>
        <v>0.50900000000000001</v>
      </c>
      <c r="O10">
        <f t="shared" si="0"/>
        <v>13.887360838244923</v>
      </c>
    </row>
    <row r="11" spans="1:15" x14ac:dyDescent="0.15">
      <c r="A11" s="1" t="s">
        <v>19</v>
      </c>
      <c r="B11" s="1">
        <v>22003</v>
      </c>
      <c r="C11" s="1">
        <v>15656</v>
      </c>
      <c r="D11" s="1"/>
      <c r="E11" s="1">
        <v>7.7709999999999999</v>
      </c>
      <c r="F11" s="1">
        <v>7.8120000000000003</v>
      </c>
      <c r="G11" s="1">
        <v>7.6150000000000002</v>
      </c>
      <c r="H11" s="1">
        <f>AVERAGE(E11:G11)</f>
        <v>7.7326666666666668</v>
      </c>
      <c r="J11" s="1">
        <v>0.53900000000000003</v>
      </c>
      <c r="K11" s="1">
        <v>0.60499999999999998</v>
      </c>
      <c r="L11" s="1">
        <v>0.54100000000000004</v>
      </c>
      <c r="M11">
        <f>AVERAGE(J11:L11)</f>
        <v>0.56166666666666665</v>
      </c>
      <c r="O11">
        <f t="shared" si="0"/>
        <v>13.767359050445105</v>
      </c>
    </row>
    <row r="12" spans="1:15" x14ac:dyDescent="0.15">
      <c r="A12" s="1" t="s">
        <v>20</v>
      </c>
      <c r="B12" s="1">
        <v>18299</v>
      </c>
      <c r="C12" s="1">
        <v>22630</v>
      </c>
      <c r="D12" s="1"/>
      <c r="E12" s="1">
        <v>14.547000000000001</v>
      </c>
      <c r="F12" s="1">
        <v>14.516999999999999</v>
      </c>
      <c r="G12" s="1">
        <v>15.926</v>
      </c>
      <c r="H12" s="1">
        <f>AVERAGE(E12:G12)</f>
        <v>14.996666666666668</v>
      </c>
      <c r="J12" s="1">
        <v>0.91400000000000003</v>
      </c>
      <c r="K12" s="1">
        <v>0.84399999999999997</v>
      </c>
      <c r="L12" s="1">
        <v>0.85699999999999998</v>
      </c>
      <c r="M12">
        <f>AVERAGE(J12:L12)</f>
        <v>0.8716666666666667</v>
      </c>
      <c r="O12">
        <f t="shared" si="0"/>
        <v>17.204588910133843</v>
      </c>
    </row>
    <row r="13" spans="1:15" x14ac:dyDescent="0.15">
      <c r="A13" s="1" t="s">
        <v>21</v>
      </c>
      <c r="B13" s="1">
        <v>36462</v>
      </c>
      <c r="C13" s="1">
        <v>24215</v>
      </c>
      <c r="D13" s="1"/>
      <c r="E13" s="1">
        <v>18.420000000000002</v>
      </c>
      <c r="F13" s="1">
        <v>18.466000000000001</v>
      </c>
      <c r="G13" s="1">
        <v>19.096</v>
      </c>
      <c r="H13" s="1">
        <f>AVERAGE(E13:G13)</f>
        <v>18.660666666666668</v>
      </c>
      <c r="J13" s="1">
        <v>1.038</v>
      </c>
      <c r="K13" s="1">
        <v>1.038</v>
      </c>
      <c r="L13" s="1">
        <v>1.0369999999999999</v>
      </c>
      <c r="M13">
        <f>AVERAGE(J13:L13)</f>
        <v>1.0376666666666667</v>
      </c>
      <c r="O13">
        <f t="shared" si="0"/>
        <v>17.983295856087373</v>
      </c>
    </row>
    <row r="14" spans="1:15" x14ac:dyDescent="0.15">
      <c r="A14" s="1" t="s">
        <v>22</v>
      </c>
      <c r="B14" s="1">
        <v>24757</v>
      </c>
      <c r="C14" s="1">
        <v>26960</v>
      </c>
      <c r="D14" s="1"/>
      <c r="E14" s="1">
        <v>20.876000000000001</v>
      </c>
      <c r="F14" s="1">
        <v>21.071999999999999</v>
      </c>
      <c r="G14" s="1">
        <v>21.015000000000001</v>
      </c>
      <c r="H14" s="1">
        <f>AVERAGE(E14:G14)</f>
        <v>20.987666666666666</v>
      </c>
      <c r="J14" s="1">
        <v>1.206</v>
      </c>
      <c r="K14" s="1">
        <v>1.1319999999999999</v>
      </c>
      <c r="L14" s="1">
        <v>1.1140000000000001</v>
      </c>
      <c r="M14">
        <f>AVERAGE(J14:L14)</f>
        <v>1.1506666666666667</v>
      </c>
      <c r="O14">
        <f t="shared" si="0"/>
        <v>18.23957126303592</v>
      </c>
    </row>
    <row r="15" spans="1:15" x14ac:dyDescent="0.15">
      <c r="A15" s="1" t="s">
        <v>24</v>
      </c>
      <c r="B15" s="1">
        <v>56827</v>
      </c>
      <c r="C15" s="1">
        <v>30628</v>
      </c>
      <c r="D15" s="1"/>
      <c r="E15" s="1">
        <v>29.183</v>
      </c>
      <c r="F15" s="1">
        <v>29.032</v>
      </c>
      <c r="G15" s="1">
        <v>29.332000000000001</v>
      </c>
      <c r="H15" s="1">
        <f>AVERAGE(E15:G15)</f>
        <v>29.182333333333332</v>
      </c>
      <c r="J15" s="1">
        <v>1.5389999999999999</v>
      </c>
      <c r="K15" s="1">
        <v>1.5029999999999999</v>
      </c>
      <c r="L15" s="1">
        <v>1.5649999999999999</v>
      </c>
      <c r="M15">
        <f>AVERAGE(J15:L15)</f>
        <v>1.5356666666666665</v>
      </c>
      <c r="O15">
        <f t="shared" si="0"/>
        <v>19.003038853917953</v>
      </c>
    </row>
    <row r="16" spans="1:15" x14ac:dyDescent="0.15">
      <c r="A16" s="1" t="s">
        <v>23</v>
      </c>
      <c r="B16" s="1">
        <v>45786</v>
      </c>
      <c r="C16" s="1">
        <v>29679</v>
      </c>
      <c r="D16" s="1"/>
      <c r="E16" s="1">
        <v>30.431000000000001</v>
      </c>
      <c r="F16" s="1">
        <v>30.600999999999999</v>
      </c>
      <c r="G16" s="1">
        <v>31.033000000000001</v>
      </c>
      <c r="H16" s="1">
        <f>AVERAGE(E16:G16)</f>
        <v>30.688333333333333</v>
      </c>
      <c r="J16" s="1">
        <v>1.581</v>
      </c>
      <c r="K16" s="1">
        <v>1.629</v>
      </c>
      <c r="L16" s="1">
        <v>1.58</v>
      </c>
      <c r="M16">
        <f>AVERAGE(J16:L16)</f>
        <v>1.5966666666666667</v>
      </c>
      <c r="O16">
        <f t="shared" si="0"/>
        <v>19.220250521920669</v>
      </c>
    </row>
  </sheetData>
  <sortState ref="A3:M16">
    <sortCondition ref="H3:H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vs Std</vt:lpstr>
      <vt:lpstr>vs Dep</vt:lpstr>
      <vt:lpstr>vs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2016-04-29T10:41:25Z</dcterms:created>
  <dcterms:modified xsi:type="dcterms:W3CDTF">2016-04-29T15:18:26Z</dcterms:modified>
</cp:coreProperties>
</file>