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ver" sheetId="1" r:id="rId1"/>
  </sheets>
  <definedNames>
    <definedName name="apce_19x12_geom" localSheetId="0">Hover!$A$19:$B$37</definedName>
    <definedName name="apce_19x12_static_jb1078" localSheetId="0">Hover!$F$3:$X$19</definedName>
  </definedNames>
  <calcPr calcId="152511"/>
</workbook>
</file>

<file path=xl/calcChain.xml><?xml version="1.0" encoding="utf-8"?>
<calcChain xmlns="http://schemas.openxmlformats.org/spreadsheetml/2006/main">
  <c r="D38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0" i="1"/>
  <c r="B7" i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V19" i="1"/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4" i="1"/>
  <c r="B16" i="1"/>
  <c r="L4" i="1"/>
  <c r="M6" i="1"/>
  <c r="N17" i="1"/>
  <c r="N5" i="1"/>
  <c r="N6" i="1"/>
  <c r="N7" i="1"/>
  <c r="N8" i="1"/>
  <c r="N9" i="1"/>
  <c r="N10" i="1"/>
  <c r="N11" i="1"/>
  <c r="N12" i="1"/>
  <c r="N13" i="1"/>
  <c r="N14" i="1"/>
  <c r="N15" i="1"/>
  <c r="N16" i="1"/>
  <c r="N18" i="1"/>
  <c r="N19" i="1"/>
  <c r="N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19" i="1"/>
  <c r="Y20" i="1" l="1"/>
  <c r="AF10" i="1"/>
  <c r="AF9" i="1"/>
  <c r="V5" i="1"/>
  <c r="W5" i="1" s="1"/>
  <c r="V6" i="1"/>
  <c r="W6" i="1" s="1"/>
  <c r="V10" i="1"/>
  <c r="W10" i="1" s="1"/>
  <c r="V13" i="1"/>
  <c r="W13" i="1" s="1"/>
  <c r="V14" i="1"/>
  <c r="W14" i="1" s="1"/>
  <c r="V18" i="1"/>
  <c r="W18" i="1" s="1"/>
  <c r="T19" i="1"/>
  <c r="W19" i="1" s="1"/>
  <c r="U19" i="1"/>
  <c r="U18" i="1"/>
  <c r="T18" i="1"/>
  <c r="U17" i="1"/>
  <c r="T17" i="1"/>
  <c r="V17" i="1" s="1"/>
  <c r="W17" i="1" s="1"/>
  <c r="U16" i="1"/>
  <c r="T16" i="1"/>
  <c r="V16" i="1" s="1"/>
  <c r="W16" i="1" s="1"/>
  <c r="U15" i="1"/>
  <c r="T15" i="1"/>
  <c r="V15" i="1" s="1"/>
  <c r="W15" i="1" s="1"/>
  <c r="U14" i="1"/>
  <c r="T14" i="1"/>
  <c r="U13" i="1"/>
  <c r="T13" i="1"/>
  <c r="U12" i="1"/>
  <c r="T12" i="1"/>
  <c r="V12" i="1" s="1"/>
  <c r="W12" i="1" s="1"/>
  <c r="U11" i="1"/>
  <c r="T11" i="1"/>
  <c r="V11" i="1" s="1"/>
  <c r="W11" i="1" s="1"/>
  <c r="U10" i="1"/>
  <c r="T10" i="1"/>
  <c r="U9" i="1"/>
  <c r="T9" i="1"/>
  <c r="V9" i="1" s="1"/>
  <c r="W9" i="1" s="1"/>
  <c r="U8" i="1"/>
  <c r="T8" i="1"/>
  <c r="V8" i="1" s="1"/>
  <c r="W8" i="1" s="1"/>
  <c r="U7" i="1"/>
  <c r="T7" i="1"/>
  <c r="V7" i="1" s="1"/>
  <c r="W7" i="1" s="1"/>
  <c r="U6" i="1"/>
  <c r="T6" i="1"/>
  <c r="U5" i="1"/>
  <c r="T5" i="1"/>
  <c r="U4" i="1"/>
  <c r="T4" i="1"/>
  <c r="V4" i="1" s="1"/>
  <c r="W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B42" i="1"/>
  <c r="B4" i="1" s="1"/>
  <c r="B41" i="1"/>
  <c r="B5" i="1" s="1"/>
  <c r="C38" i="1"/>
  <c r="B3" i="1"/>
  <c r="B2" i="1"/>
  <c r="B10" i="1" l="1"/>
  <c r="M4" i="1" l="1"/>
  <c r="Z4" i="1" s="1"/>
  <c r="AB4" i="1" s="1"/>
  <c r="K4" i="1"/>
  <c r="K5" i="1"/>
  <c r="K9" i="1"/>
  <c r="K6" i="1"/>
  <c r="K7" i="1"/>
  <c r="K18" i="1"/>
  <c r="K16" i="1"/>
  <c r="K15" i="1"/>
  <c r="K13" i="1"/>
  <c r="K8" i="1"/>
  <c r="K11" i="1"/>
  <c r="K17" i="1"/>
  <c r="K14" i="1"/>
  <c r="K10" i="1"/>
  <c r="K12" i="1"/>
  <c r="L6" i="1"/>
  <c r="L9" i="1"/>
  <c r="M9" i="1" s="1"/>
  <c r="L13" i="1"/>
  <c r="M13" i="1" s="1"/>
  <c r="L17" i="1"/>
  <c r="M17" i="1" s="1"/>
  <c r="L10" i="1"/>
  <c r="M10" i="1" s="1"/>
  <c r="L14" i="1"/>
  <c r="M14" i="1" s="1"/>
  <c r="L7" i="1"/>
  <c r="M7" i="1" s="1"/>
  <c r="L11" i="1"/>
  <c r="M11" i="1" s="1"/>
  <c r="L15" i="1"/>
  <c r="M15" i="1" s="1"/>
  <c r="L18" i="1"/>
  <c r="M18" i="1" s="1"/>
  <c r="L5" i="1"/>
  <c r="M5" i="1" s="1"/>
  <c r="L8" i="1"/>
  <c r="M8" i="1" s="1"/>
  <c r="L12" i="1"/>
  <c r="M12" i="1" s="1"/>
  <c r="L16" i="1"/>
  <c r="M16" i="1" s="1"/>
  <c r="L19" i="1"/>
  <c r="M19" i="1" s="1"/>
  <c r="Z17" i="1" l="1"/>
  <c r="Z5" i="1"/>
  <c r="Z18" i="1"/>
  <c r="Z9" i="1"/>
  <c r="Z15" i="1"/>
  <c r="Z6" i="1"/>
  <c r="Z11" i="1"/>
  <c r="Z7" i="1"/>
  <c r="Z16" i="1"/>
  <c r="Z14" i="1"/>
  <c r="Z12" i="1"/>
  <c r="Z10" i="1"/>
  <c r="Z8" i="1"/>
  <c r="Z13" i="1"/>
  <c r="Z19" i="1"/>
  <c r="R19" i="1"/>
  <c r="R18" i="1"/>
  <c r="K20" i="1"/>
  <c r="R10" i="1"/>
  <c r="R9" i="1"/>
  <c r="N20" i="1" l="1"/>
  <c r="R13" i="1" s="1"/>
  <c r="R15" i="1" s="1"/>
  <c r="AB19" i="1"/>
  <c r="AA20" i="1"/>
  <c r="Z21" i="1" s="1"/>
  <c r="R12" i="1" l="1"/>
  <c r="R14" i="1" s="1"/>
  <c r="L21" i="1"/>
  <c r="AB5" i="1"/>
  <c r="AB16" i="1"/>
  <c r="AB18" i="1"/>
  <c r="AB10" i="1"/>
  <c r="AB9" i="1"/>
  <c r="AB12" i="1"/>
  <c r="AB7" i="1"/>
  <c r="AB11" i="1"/>
  <c r="AB6" i="1"/>
  <c r="AB14" i="1"/>
  <c r="AB13" i="1"/>
  <c r="AB8" i="1"/>
  <c r="AB17" i="1"/>
  <c r="AB15" i="1" l="1"/>
  <c r="AF12" i="1"/>
  <c r="AF13" i="1"/>
  <c r="AF15" i="1" s="1"/>
  <c r="AF14" i="1" l="1"/>
</calcChain>
</file>

<file path=xl/connections.xml><?xml version="1.0" encoding="utf-8"?>
<connections xmlns="http://schemas.openxmlformats.org/spreadsheetml/2006/main">
  <connection id="1" name="apce_19x12_geom" type="6" refreshedVersion="5" background="1" saveData="1">
    <textPr codePage="850" sourceFile="C:\Users\David\Dropbox\Future's UAV\XXCopter\3-P Convertible\Design\Props &amp; Theo\APC thin electric 19x12\apce_19x12_geom.txt" delimited="0" thousands=" ">
      <textFields count="3">
        <textField/>
        <textField position="5"/>
        <textField position="13"/>
      </textFields>
    </textPr>
  </connection>
  <connection id="2" name="apce_19x12_static_jb1078" type="6" refreshedVersion="5" background="1" saveData="1">
    <textPr codePage="850" sourceFile="C:\Users\David\Dropbox\Future's UAV\XXCopter\3-P Convertible\Design\Props &amp; Theo\APC thin electric 19x12\apce_19x12_static_jb1078.txt" delimited="0" thousands=" ">
      <textFields count="3">
        <textField/>
        <textField position="5"/>
        <textField position="14"/>
      </textFields>
    </textPr>
  </connection>
</connections>
</file>

<file path=xl/sharedStrings.xml><?xml version="1.0" encoding="utf-8"?>
<sst xmlns="http://schemas.openxmlformats.org/spreadsheetml/2006/main" count="67" uniqueCount="52">
  <si>
    <t>Thrust Test</t>
  </si>
  <si>
    <t>Moment Test</t>
  </si>
  <si>
    <t>Thrust (g)</t>
  </si>
  <si>
    <t>rad/s</t>
  </si>
  <si>
    <t>Prop params</t>
  </si>
  <si>
    <t>a</t>
  </si>
  <si>
    <t>c</t>
  </si>
  <si>
    <t>c_d_0</t>
  </si>
  <si>
    <t>C_T test</t>
  </si>
  <si>
    <t>rho</t>
  </si>
  <si>
    <t>Atmos params</t>
  </si>
  <si>
    <t>S</t>
  </si>
  <si>
    <t>inches to m</t>
  </si>
  <si>
    <t>TBT</t>
  </si>
  <si>
    <t>Thrust estimation</t>
  </si>
  <si>
    <t>v_i_0</t>
  </si>
  <si>
    <t>lambda_i</t>
  </si>
  <si>
    <t>R (m)</t>
  </si>
  <si>
    <t>pitch (m)</t>
  </si>
  <si>
    <t>C_T theo</t>
  </si>
  <si>
    <t>b</t>
  </si>
  <si>
    <t>sigma</t>
  </si>
  <si>
    <t>C_Q theo</t>
  </si>
  <si>
    <t>Fit Lambda-Omega</t>
  </si>
  <si>
    <t>Slope</t>
  </si>
  <si>
    <t>Intercept</t>
  </si>
  <si>
    <t>Fit THEOR C_T-Omega</t>
  </si>
  <si>
    <t>Fit TEST C_T-Omega</t>
  </si>
  <si>
    <t>Slope Diff</t>
  </si>
  <si>
    <t>Inter Diff</t>
  </si>
  <si>
    <t>Fit TEST C_Q-Omega</t>
  </si>
  <si>
    <t>Fit THEOR C_Q-Omega</t>
  </si>
  <si>
    <t>% Parasita</t>
  </si>
  <si>
    <t xml:space="preserve">RPM </t>
  </si>
  <si>
    <t>rps</t>
  </si>
  <si>
    <t>C_T test TEP</t>
  </si>
  <si>
    <t>theta_0 EQ (rad)</t>
  </si>
  <si>
    <t xml:space="preserve">theta_1  EQ(rad) </t>
  </si>
  <si>
    <t>Geometry</t>
  </si>
  <si>
    <t>beta</t>
  </si>
  <si>
    <t>r/R</t>
  </si>
  <si>
    <t>c/R</t>
  </si>
  <si>
    <t>Equivalent linear geom</t>
  </si>
  <si>
    <t>theta_1</t>
  </si>
  <si>
    <t>theta_0</t>
  </si>
  <si>
    <t>Num palas</t>
  </si>
  <si>
    <t>Aerodynamic model (Blade Element theory) of 19x12 prop</t>
  </si>
  <si>
    <t>RPM</t>
  </si>
  <si>
    <t>P  (W)</t>
  </si>
  <si>
    <t>CP Test</t>
  </si>
  <si>
    <t>Q (N.cm)</t>
  </si>
  <si>
    <t>C_Q test 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</si>
</sst>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0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50">
    <xf numFmtId="0" fontId="0" fillId="0" borderId="0" xfId="0"/>
    <xf numFmtId="0" fontId="1" fillId="0" borderId="4" xfId="0" applyFont="1" applyBorder="1"/>
    <xf numFmtId="0" fontId="0" fillId="0" borderId="4" xfId="0" applyBorder="1"/>
    <xf numFmtId="0" fontId="1" fillId="0" borderId="0" xfId="0" applyFont="1"/>
    <xf numFmtId="0" fontId="2" fillId="2" borderId="0" xfId="0" applyFont="1" applyFill="1"/>
    <xf numFmtId="0" fontId="1" fillId="0" borderId="7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" xfId="0" applyFont="1" applyBorder="1"/>
    <xf numFmtId="0" fontId="1" fillId="0" borderId="3" xfId="0" applyFont="1" applyBorder="1"/>
    <xf numFmtId="164" fontId="1" fillId="0" borderId="0" xfId="0" applyNumberFormat="1" applyFont="1"/>
    <xf numFmtId="165" fontId="1" fillId="0" borderId="0" xfId="0" applyNumberFormat="1" applyFont="1"/>
    <xf numFmtId="165" fontId="1" fillId="0" borderId="0" xfId="0" applyNumberFormat="1" applyFont="1" applyBorder="1"/>
    <xf numFmtId="165" fontId="1" fillId="0" borderId="5" xfId="0" applyNumberFormat="1" applyFont="1" applyBorder="1"/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/>
    <xf numFmtId="0" fontId="4" fillId="0" borderId="0" xfId="0" applyFont="1"/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1" fontId="1" fillId="0" borderId="0" xfId="0" applyNumberFormat="1" applyFont="1"/>
    <xf numFmtId="0" fontId="1" fillId="0" borderId="0" xfId="0" applyFont="1" applyFill="1" applyBorder="1"/>
    <xf numFmtId="166" fontId="1" fillId="0" borderId="17" xfId="0" applyNumberFormat="1" applyFont="1" applyBorder="1"/>
    <xf numFmtId="166" fontId="1" fillId="0" borderId="3" xfId="0" applyNumberFormat="1" applyFont="1" applyBorder="1"/>
    <xf numFmtId="0" fontId="0" fillId="0" borderId="0" xfId="0" applyBorder="1"/>
    <xf numFmtId="0" fontId="3" fillId="0" borderId="0" xfId="0" applyFont="1" applyBorder="1" applyAlignment="1">
      <alignment vertical="center" textRotation="255" wrapText="1"/>
    </xf>
    <xf numFmtId="0" fontId="3" fillId="0" borderId="5" xfId="0" applyFont="1" applyBorder="1" applyAlignment="1">
      <alignment vertical="center" textRotation="255" wrapText="1"/>
    </xf>
    <xf numFmtId="0" fontId="0" fillId="0" borderId="0" xfId="0"/>
    <xf numFmtId="0" fontId="0" fillId="0" borderId="0" xfId="0"/>
    <xf numFmtId="0" fontId="1" fillId="0" borderId="0" xfId="0" applyFont="1" applyAlignment="1">
      <alignment horizontal="center" wrapText="1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3" borderId="5" xfId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2">
    <cellStyle name="20% - Énfasis1" xfId="1" builtinId="3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C_T vs. omega (rad/s)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Hover!$H$4:$H$33</c:f>
              <c:numCache>
                <c:formatCode>General</c:formatCode>
                <c:ptCount val="30"/>
                <c:pt idx="0">
                  <c:v>132.05161120589096</c:v>
                </c:pt>
                <c:pt idx="1">
                  <c:v>144.09438304465183</c:v>
                </c:pt>
                <c:pt idx="2">
                  <c:v>157.60323145508795</c:v>
                </c:pt>
                <c:pt idx="3">
                  <c:v>168.80824525289154</c:v>
                </c:pt>
                <c:pt idx="4">
                  <c:v>180.22269856093448</c:v>
                </c:pt>
                <c:pt idx="5">
                  <c:v>191.95131113433635</c:v>
                </c:pt>
                <c:pt idx="6">
                  <c:v>204.72712125893486</c:v>
                </c:pt>
                <c:pt idx="7">
                  <c:v>216.76989309769573</c:v>
                </c:pt>
                <c:pt idx="8">
                  <c:v>229.44098346717456</c:v>
                </c:pt>
                <c:pt idx="9">
                  <c:v>241.7979145712944</c:v>
                </c:pt>
                <c:pt idx="10">
                  <c:v>254.05012592029462</c:v>
                </c:pt>
                <c:pt idx="11">
                  <c:v>265.67401873857682</c:v>
                </c:pt>
                <c:pt idx="12">
                  <c:v>277.71679057733769</c:v>
                </c:pt>
                <c:pt idx="13">
                  <c:v>290.70204021217552</c:v>
                </c:pt>
                <c:pt idx="14">
                  <c:v>302.53537254069704</c:v>
                </c:pt>
                <c:pt idx="15">
                  <c:v>314.89230364481693</c:v>
                </c:pt>
              </c:numCache>
            </c:numRef>
          </c:xVal>
          <c:yVal>
            <c:numRef>
              <c:f>Hover!$K$4:$K$33</c:f>
              <c:numCache>
                <c:formatCode>General</c:formatCode>
                <c:ptCount val="30"/>
                <c:pt idx="0">
                  <c:v>1.1352540120486221E-2</c:v>
                </c:pt>
                <c:pt idx="1">
                  <c:v>1.153314871331214E-2</c:v>
                </c:pt>
                <c:pt idx="2">
                  <c:v>1.1571850554631977E-2</c:v>
                </c:pt>
                <c:pt idx="3">
                  <c:v>1.1765359761231178E-2</c:v>
                </c:pt>
                <c:pt idx="4">
                  <c:v>1.1778260375004453E-2</c:v>
                </c:pt>
                <c:pt idx="5">
                  <c:v>1.1907266512737253E-2</c:v>
                </c:pt>
                <c:pt idx="6">
                  <c:v>1.1958868967830374E-2</c:v>
                </c:pt>
                <c:pt idx="7">
                  <c:v>1.2062073878016609E-2</c:v>
                </c:pt>
                <c:pt idx="8">
                  <c:v>1.2010471422923491E-2</c:v>
                </c:pt>
                <c:pt idx="9">
                  <c:v>1.2023372036696775E-2</c:v>
                </c:pt>
                <c:pt idx="10">
                  <c:v>1.2074974491789887E-2</c:v>
                </c:pt>
                <c:pt idx="11">
                  <c:v>1.2436191677441725E-2</c:v>
                </c:pt>
                <c:pt idx="12">
                  <c:v>1.2320086153482212E-2</c:v>
                </c:pt>
                <c:pt idx="13">
                  <c:v>1.2332986767255487E-2</c:v>
                </c:pt>
                <c:pt idx="14">
                  <c:v>1.2436191677441727E-2</c:v>
                </c:pt>
                <c:pt idx="15">
                  <c:v>1.2461992904988287E-2</c:v>
                </c:pt>
                <c:pt idx="16">
                  <c:v>1.1997014893426139E-2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Hover!$H$4:$H$33</c:f>
              <c:numCache>
                <c:formatCode>General</c:formatCode>
                <c:ptCount val="30"/>
                <c:pt idx="0">
                  <c:v>132.05161120589096</c:v>
                </c:pt>
                <c:pt idx="1">
                  <c:v>144.09438304465183</c:v>
                </c:pt>
                <c:pt idx="2">
                  <c:v>157.60323145508795</c:v>
                </c:pt>
                <c:pt idx="3">
                  <c:v>168.80824525289154</c:v>
                </c:pt>
                <c:pt idx="4">
                  <c:v>180.22269856093448</c:v>
                </c:pt>
                <c:pt idx="5">
                  <c:v>191.95131113433635</c:v>
                </c:pt>
                <c:pt idx="6">
                  <c:v>204.72712125893486</c:v>
                </c:pt>
                <c:pt idx="7">
                  <c:v>216.76989309769573</c:v>
                </c:pt>
                <c:pt idx="8">
                  <c:v>229.44098346717456</c:v>
                </c:pt>
                <c:pt idx="9">
                  <c:v>241.7979145712944</c:v>
                </c:pt>
                <c:pt idx="10">
                  <c:v>254.05012592029462</c:v>
                </c:pt>
                <c:pt idx="11">
                  <c:v>265.67401873857682</c:v>
                </c:pt>
                <c:pt idx="12">
                  <c:v>277.71679057733769</c:v>
                </c:pt>
                <c:pt idx="13">
                  <c:v>290.70204021217552</c:v>
                </c:pt>
                <c:pt idx="14">
                  <c:v>302.53537254069704</c:v>
                </c:pt>
                <c:pt idx="15">
                  <c:v>314.89230364481693</c:v>
                </c:pt>
              </c:numCache>
            </c:numRef>
          </c:xVal>
          <c:yVal>
            <c:numRef>
              <c:f>Hover!$N$4:$N$33</c:f>
              <c:numCache>
                <c:formatCode>General</c:formatCode>
                <c:ptCount val="30"/>
                <c:pt idx="0">
                  <c:v>1.2243769484897134E-2</c:v>
                </c:pt>
                <c:pt idx="1">
                  <c:v>1.2174353770861276E-2</c:v>
                </c:pt>
                <c:pt idx="2">
                  <c:v>1.2159549848443215E-2</c:v>
                </c:pt>
                <c:pt idx="3">
                  <c:v>1.2085898806608033E-2</c:v>
                </c:pt>
                <c:pt idx="4">
                  <c:v>1.2081010349958553E-2</c:v>
                </c:pt>
                <c:pt idx="5">
                  <c:v>1.2032272265256405E-2</c:v>
                </c:pt>
                <c:pt idx="6">
                  <c:v>1.2012850997882652E-2</c:v>
                </c:pt>
                <c:pt idx="7">
                  <c:v>1.1974133762649232E-2</c:v>
                </c:pt>
                <c:pt idx="8">
                  <c:v>1.1993471586834555E-2</c:v>
                </c:pt>
                <c:pt idx="9">
                  <c:v>1.1988633242482141E-2</c:v>
                </c:pt>
                <c:pt idx="10">
                  <c:v>1.1969305773247254E-2</c:v>
                </c:pt>
                <c:pt idx="11">
                  <c:v>1.183515406479629E-2</c:v>
                </c:pt>
                <c:pt idx="12">
                  <c:v>1.1878059212607973E-2</c:v>
                </c:pt>
                <c:pt idx="13">
                  <c:v>1.187328201883342E-2</c:v>
                </c:pt>
                <c:pt idx="14">
                  <c:v>1.183515406479629E-2</c:v>
                </c:pt>
                <c:pt idx="15">
                  <c:v>1.1825646821984309E-2</c:v>
                </c:pt>
                <c:pt idx="16">
                  <c:v>1.1997014893426141E-2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98368"/>
        <c:axId val="186624064"/>
      </c:scatterChart>
      <c:valAx>
        <c:axId val="18689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624064"/>
        <c:crosses val="autoZero"/>
        <c:crossBetween val="midCat"/>
      </c:valAx>
      <c:valAx>
        <c:axId val="1866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89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C_Q vs. omega (rad/s)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9761150820918604E-2"/>
          <c:y val="0.15604833593808573"/>
          <c:w val="0.66767783058468577"/>
          <c:h val="0.72402804770445384"/>
        </c:manualLayout>
      </c:layout>
      <c:scatterChart>
        <c:scatterStyle val="lineMarker"/>
        <c:varyColors val="0"/>
        <c:ser>
          <c:idx val="0"/>
          <c:order val="0"/>
          <c:tx>
            <c:v>Test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Hover!$U$4:$U$19</c:f>
              <c:numCache>
                <c:formatCode>General</c:formatCode>
                <c:ptCount val="16"/>
                <c:pt idx="0">
                  <c:v>132.05161120589096</c:v>
                </c:pt>
                <c:pt idx="1">
                  <c:v>144.09438304465183</c:v>
                </c:pt>
                <c:pt idx="2">
                  <c:v>157.60323145508795</c:v>
                </c:pt>
                <c:pt idx="3">
                  <c:v>168.80824525289154</c:v>
                </c:pt>
                <c:pt idx="4">
                  <c:v>180.22269856093448</c:v>
                </c:pt>
                <c:pt idx="5">
                  <c:v>191.95131113433635</c:v>
                </c:pt>
                <c:pt idx="6">
                  <c:v>204.72712125893486</c:v>
                </c:pt>
                <c:pt idx="7">
                  <c:v>216.76989309769573</c:v>
                </c:pt>
                <c:pt idx="8">
                  <c:v>229.44098346717456</c:v>
                </c:pt>
                <c:pt idx="9">
                  <c:v>241.7979145712944</c:v>
                </c:pt>
                <c:pt idx="10">
                  <c:v>254.05012592029462</c:v>
                </c:pt>
                <c:pt idx="11">
                  <c:v>265.67401873857682</c:v>
                </c:pt>
                <c:pt idx="12">
                  <c:v>277.71679057733769</c:v>
                </c:pt>
                <c:pt idx="13">
                  <c:v>290.70204021217552</c:v>
                </c:pt>
                <c:pt idx="14">
                  <c:v>302.53537254069704</c:v>
                </c:pt>
                <c:pt idx="15">
                  <c:v>314.89230364481693</c:v>
                </c:pt>
              </c:numCache>
            </c:numRef>
          </c:xVal>
          <c:yVal>
            <c:numRef>
              <c:f>Hover!$Y$4:$Y$19</c:f>
              <c:numCache>
                <c:formatCode>General</c:formatCode>
                <c:ptCount val="16"/>
                <c:pt idx="0">
                  <c:v>1.6548763394551153E-3</c:v>
                </c:pt>
                <c:pt idx="1">
                  <c:v>1.6548763394551153E-3</c:v>
                </c:pt>
                <c:pt idx="2">
                  <c:v>1.6589827323569885E-3</c:v>
                </c:pt>
                <c:pt idx="3">
                  <c:v>1.6425571607494938E-3</c:v>
                </c:pt>
                <c:pt idx="4">
                  <c:v>1.6384507678476198E-3</c:v>
                </c:pt>
                <c:pt idx="5">
                  <c:v>1.6466635536513674E-3</c:v>
                </c:pt>
                <c:pt idx="6">
                  <c:v>1.6384507678476206E-3</c:v>
                </c:pt>
                <c:pt idx="7">
                  <c:v>1.6343443749457464E-3</c:v>
                </c:pt>
                <c:pt idx="8">
                  <c:v>1.6302379820438721E-3</c:v>
                </c:pt>
                <c:pt idx="9">
                  <c:v>1.6343443749457468E-3</c:v>
                </c:pt>
                <c:pt idx="10">
                  <c:v>1.6425571607494931E-3</c:v>
                </c:pt>
                <c:pt idx="11">
                  <c:v>1.6014932317307564E-3</c:v>
                </c:pt>
                <c:pt idx="12">
                  <c:v>1.6179188033382519E-3</c:v>
                </c:pt>
                <c:pt idx="13">
                  <c:v>1.6261315891419991E-3</c:v>
                </c:pt>
                <c:pt idx="14">
                  <c:v>1.63845076784762E-3</c:v>
                </c:pt>
                <c:pt idx="15">
                  <c:v>1.6384507678476202E-3</c:v>
                </c:pt>
              </c:numCache>
            </c:numRef>
          </c:yVal>
          <c:smooth val="0"/>
        </c:ser>
        <c:ser>
          <c:idx val="1"/>
          <c:order val="1"/>
          <c:tx>
            <c:v>C_Q theo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Hover!$U$4:$U$19</c:f>
              <c:numCache>
                <c:formatCode>General</c:formatCode>
                <c:ptCount val="16"/>
                <c:pt idx="0">
                  <c:v>132.05161120589096</c:v>
                </c:pt>
                <c:pt idx="1">
                  <c:v>144.09438304465183</c:v>
                </c:pt>
                <c:pt idx="2">
                  <c:v>157.60323145508795</c:v>
                </c:pt>
                <c:pt idx="3">
                  <c:v>168.80824525289154</c:v>
                </c:pt>
                <c:pt idx="4">
                  <c:v>180.22269856093448</c:v>
                </c:pt>
                <c:pt idx="5">
                  <c:v>191.95131113433635</c:v>
                </c:pt>
                <c:pt idx="6">
                  <c:v>204.72712125893486</c:v>
                </c:pt>
                <c:pt idx="7">
                  <c:v>216.76989309769573</c:v>
                </c:pt>
                <c:pt idx="8">
                  <c:v>229.44098346717456</c:v>
                </c:pt>
                <c:pt idx="9">
                  <c:v>241.7979145712944</c:v>
                </c:pt>
                <c:pt idx="10">
                  <c:v>254.05012592029462</c:v>
                </c:pt>
                <c:pt idx="11">
                  <c:v>265.67401873857682</c:v>
                </c:pt>
                <c:pt idx="12">
                  <c:v>277.71679057733769</c:v>
                </c:pt>
                <c:pt idx="13">
                  <c:v>290.70204021217552</c:v>
                </c:pt>
                <c:pt idx="14">
                  <c:v>302.53537254069704</c:v>
                </c:pt>
                <c:pt idx="15">
                  <c:v>314.89230364481693</c:v>
                </c:pt>
              </c:numCache>
            </c:numRef>
          </c:xVal>
          <c:yVal>
            <c:numRef>
              <c:f>Hover!$AA$4:$AA$19</c:f>
              <c:numCache>
                <c:formatCode>General</c:formatCode>
                <c:ptCount val="16"/>
                <c:pt idx="0">
                  <c:v>1.6306503980307262E-3</c:v>
                </c:pt>
                <c:pt idx="1">
                  <c:v>1.6326878909711689E-3</c:v>
                </c:pt>
                <c:pt idx="2">
                  <c:v>1.6331116946575216E-3</c:v>
                </c:pt>
                <c:pt idx="3">
                  <c:v>1.6351641378641929E-3</c:v>
                </c:pt>
                <c:pt idx="4">
                  <c:v>1.6352970634678431E-3</c:v>
                </c:pt>
                <c:pt idx="5">
                  <c:v>1.6365998603471512E-3</c:v>
                </c:pt>
                <c:pt idx="6">
                  <c:v>1.6371076184524542E-3</c:v>
                </c:pt>
                <c:pt idx="7">
                  <c:v>1.6381005016826782E-3</c:v>
                </c:pt>
                <c:pt idx="8">
                  <c:v>1.6376078160065105E-3</c:v>
                </c:pt>
                <c:pt idx="9">
                  <c:v>1.6377316897742875E-3</c:v>
                </c:pt>
                <c:pt idx="10">
                  <c:v>1.6382225050250846E-3</c:v>
                </c:pt>
                <c:pt idx="11">
                  <c:v>1.6414521883272172E-3</c:v>
                </c:pt>
                <c:pt idx="12">
                  <c:v>1.6404529194910178E-3</c:v>
                </c:pt>
                <c:pt idx="13">
                  <c:v>1.6405657475668856E-3</c:v>
                </c:pt>
                <c:pt idx="14">
                  <c:v>1.6414521883272172E-3</c:v>
                </c:pt>
                <c:pt idx="15">
                  <c:v>1.6416693286764894E-3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9456"/>
        <c:axId val="187382752"/>
      </c:scatterChart>
      <c:valAx>
        <c:axId val="18661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382752"/>
        <c:crosses val="autoZero"/>
        <c:crossBetween val="midCat"/>
      </c:valAx>
      <c:valAx>
        <c:axId val="1873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61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41972229469421"/>
          <c:y val="0.36990571992024301"/>
          <c:w val="0.2625802777053059"/>
          <c:h val="0.39003824054196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v_i_0 vs. Omega (rad/s)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Hover!$H$4:$H$33</c:f>
              <c:numCache>
                <c:formatCode>General</c:formatCode>
                <c:ptCount val="30"/>
                <c:pt idx="0">
                  <c:v>132.05161120589096</c:v>
                </c:pt>
                <c:pt idx="1">
                  <c:v>144.09438304465183</c:v>
                </c:pt>
                <c:pt idx="2">
                  <c:v>157.60323145508795</c:v>
                </c:pt>
                <c:pt idx="3">
                  <c:v>168.80824525289154</c:v>
                </c:pt>
                <c:pt idx="4">
                  <c:v>180.22269856093448</c:v>
                </c:pt>
                <c:pt idx="5">
                  <c:v>191.95131113433635</c:v>
                </c:pt>
                <c:pt idx="6">
                  <c:v>204.72712125893486</c:v>
                </c:pt>
                <c:pt idx="7">
                  <c:v>216.76989309769573</c:v>
                </c:pt>
                <c:pt idx="8">
                  <c:v>229.44098346717456</c:v>
                </c:pt>
                <c:pt idx="9">
                  <c:v>241.7979145712944</c:v>
                </c:pt>
                <c:pt idx="10">
                  <c:v>254.05012592029462</c:v>
                </c:pt>
                <c:pt idx="11">
                  <c:v>265.67401873857682</c:v>
                </c:pt>
                <c:pt idx="12">
                  <c:v>277.71679057733769</c:v>
                </c:pt>
                <c:pt idx="13">
                  <c:v>290.70204021217552</c:v>
                </c:pt>
                <c:pt idx="14">
                  <c:v>302.53537254069704</c:v>
                </c:pt>
                <c:pt idx="15">
                  <c:v>314.89230364481693</c:v>
                </c:pt>
              </c:numCache>
            </c:numRef>
          </c:xVal>
          <c:yVal>
            <c:numRef>
              <c:f>Hover!$L$4:$L$33</c:f>
              <c:numCache>
                <c:formatCode>General</c:formatCode>
                <c:ptCount val="30"/>
                <c:pt idx="0">
                  <c:v>2.4006704753185839</c:v>
                </c:pt>
                <c:pt idx="1">
                  <c:v>2.6403610770981376</c:v>
                </c:pt>
                <c:pt idx="2">
                  <c:v>2.8927363311866756</c:v>
                </c:pt>
                <c:pt idx="3">
                  <c:v>3.1241982537065374</c:v>
                </c:pt>
                <c:pt idx="4">
                  <c:v>3.3372780173632139</c:v>
                </c:pt>
                <c:pt idx="5">
                  <c:v>3.5738757045449727</c:v>
                </c:pt>
                <c:pt idx="6">
                  <c:v>3.81999467468605</c:v>
                </c:pt>
                <c:pt idx="7">
                  <c:v>4.0621156106311203</c:v>
                </c:pt>
                <c:pt idx="8">
                  <c:v>4.290356164783657</c:v>
                </c:pt>
                <c:pt idx="9">
                  <c:v>4.5238481399997958</c:v>
                </c:pt>
                <c:pt idx="10">
                  <c:v>4.7632661604371993</c:v>
                </c:pt>
                <c:pt idx="11">
                  <c:v>5.055162408567103</c:v>
                </c:pt>
                <c:pt idx="12">
                  <c:v>5.2595832569808492</c:v>
                </c:pt>
                <c:pt idx="13">
                  <c:v>5.5083881659613523</c:v>
                </c:pt>
                <c:pt idx="14">
                  <c:v>5.7565487577258034</c:v>
                </c:pt>
                <c:pt idx="15">
                  <c:v>5.9978847982511665</c:v>
                </c:pt>
                <c:pt idx="17">
                  <c:v>-1.7347234759768071E-15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79072"/>
        <c:axId val="187512064"/>
      </c:scatterChart>
      <c:valAx>
        <c:axId val="1873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512064"/>
        <c:crosses val="autoZero"/>
        <c:crossBetween val="midCat"/>
      </c:valAx>
      <c:valAx>
        <c:axId val="1875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37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Torsion (beta)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Hover!$A$20:$A$37</c:f>
              <c:numCache>
                <c:formatCode>General</c:formatCode>
                <c:ptCount val="1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</c:numCache>
            </c:numRef>
          </c:xVal>
          <c:yVal>
            <c:numRef>
              <c:f>Hover!$B$20:$B$37</c:f>
              <c:numCache>
                <c:formatCode>General</c:formatCode>
                <c:ptCount val="18"/>
                <c:pt idx="0">
                  <c:v>34.11</c:v>
                </c:pt>
                <c:pt idx="1">
                  <c:v>42.88</c:v>
                </c:pt>
                <c:pt idx="2">
                  <c:v>40.83</c:v>
                </c:pt>
                <c:pt idx="3">
                  <c:v>35.049999999999997</c:v>
                </c:pt>
                <c:pt idx="4">
                  <c:v>30.43</c:v>
                </c:pt>
                <c:pt idx="5">
                  <c:v>26.83</c:v>
                </c:pt>
                <c:pt idx="6">
                  <c:v>23.97</c:v>
                </c:pt>
                <c:pt idx="7">
                  <c:v>21.64</c:v>
                </c:pt>
                <c:pt idx="8">
                  <c:v>19.73</c:v>
                </c:pt>
                <c:pt idx="9">
                  <c:v>17.93</c:v>
                </c:pt>
                <c:pt idx="10">
                  <c:v>16.260000000000002</c:v>
                </c:pt>
                <c:pt idx="11">
                  <c:v>14.95</c:v>
                </c:pt>
                <c:pt idx="12">
                  <c:v>13.81</c:v>
                </c:pt>
                <c:pt idx="13">
                  <c:v>12.98</c:v>
                </c:pt>
                <c:pt idx="14">
                  <c:v>12.19</c:v>
                </c:pt>
                <c:pt idx="15">
                  <c:v>11.81</c:v>
                </c:pt>
                <c:pt idx="16">
                  <c:v>11.25</c:v>
                </c:pt>
                <c:pt idx="17">
                  <c:v>10.66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90056"/>
        <c:axId val="186290448"/>
      </c:scatterChart>
      <c:valAx>
        <c:axId val="18629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290448"/>
        <c:crosses val="autoZero"/>
        <c:crossBetween val="midCat"/>
      </c:valAx>
      <c:valAx>
        <c:axId val="1862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29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Cuerda (c(r/R))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Hover!$A$20:$A$37</c:f>
              <c:numCache>
                <c:formatCode>General</c:formatCode>
                <c:ptCount val="1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</c:numCache>
            </c:numRef>
          </c:xVal>
          <c:yVal>
            <c:numRef>
              <c:f>Hover!$D$20:$D$37</c:f>
              <c:numCache>
                <c:formatCode>General</c:formatCode>
                <c:ptCount val="18"/>
                <c:pt idx="0">
                  <c:v>2.70256E-2</c:v>
                </c:pt>
                <c:pt idx="1">
                  <c:v>3.0403799999999998E-2</c:v>
                </c:pt>
                <c:pt idx="2">
                  <c:v>3.4023299999999992E-2</c:v>
                </c:pt>
                <c:pt idx="3">
                  <c:v>3.6677599999999998E-2</c:v>
                </c:pt>
                <c:pt idx="4">
                  <c:v>3.8125399999999997E-2</c:v>
                </c:pt>
                <c:pt idx="5">
                  <c:v>3.8607999999999996E-2</c:v>
                </c:pt>
                <c:pt idx="6">
                  <c:v>3.8366699999999997E-2</c:v>
                </c:pt>
                <c:pt idx="7">
                  <c:v>3.7160199999999997E-2</c:v>
                </c:pt>
                <c:pt idx="8">
                  <c:v>3.5471099999999998E-2</c:v>
                </c:pt>
                <c:pt idx="9">
                  <c:v>3.32994E-2</c:v>
                </c:pt>
                <c:pt idx="10">
                  <c:v>3.0645099999999998E-2</c:v>
                </c:pt>
                <c:pt idx="11">
                  <c:v>2.75082E-2</c:v>
                </c:pt>
                <c:pt idx="12">
                  <c:v>2.4612599999999998E-2</c:v>
                </c:pt>
                <c:pt idx="13">
                  <c:v>2.1475699999999997E-2</c:v>
                </c:pt>
                <c:pt idx="14">
                  <c:v>1.8580099999999999E-2</c:v>
                </c:pt>
                <c:pt idx="15">
                  <c:v>1.5684500000000001E-2</c:v>
                </c:pt>
                <c:pt idx="16">
                  <c:v>1.1823699999999999E-2</c:v>
                </c:pt>
                <c:pt idx="17">
                  <c:v>7.7215999999999995E-3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3736"/>
        <c:axId val="207238424"/>
      </c:scatterChart>
      <c:valAx>
        <c:axId val="21177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238424"/>
        <c:crosses val="autoZero"/>
        <c:crossBetween val="midCat"/>
      </c:valAx>
      <c:valAx>
        <c:axId val="20723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7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689304</xdr:colOff>
      <xdr:row>20</xdr:row>
      <xdr:rowOff>17628</xdr:rowOff>
    </xdr:from>
    <xdr:to>
      <xdr:col>18</xdr:col>
      <xdr:colOff>70037</xdr:colOff>
      <xdr:row>33</xdr:row>
      <xdr:rowOff>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265231</xdr:colOff>
      <xdr:row>23</xdr:row>
      <xdr:rowOff>114750</xdr:rowOff>
    </xdr:from>
    <xdr:to>
      <xdr:col>29</xdr:col>
      <xdr:colOff>599662</xdr:colOff>
      <xdr:row>37</xdr:row>
      <xdr:rowOff>101301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201788</xdr:colOff>
      <xdr:row>33</xdr:row>
      <xdr:rowOff>200137</xdr:rowOff>
    </xdr:from>
    <xdr:to>
      <xdr:col>10</xdr:col>
      <xdr:colOff>635616</xdr:colOff>
      <xdr:row>36</xdr:row>
      <xdr:rowOff>187565</xdr:rowOff>
    </xdr:to>
    <xdr:pic>
      <xdr:nvPicPr>
        <xdr:cNvPr id="4" name="1 Imagen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387" t="40126" r="9864" b="40718"/>
        <a:stretch/>
      </xdr:blipFill>
      <xdr:spPr>
        <a:xfrm>
          <a:off x="3877317" y="6923666"/>
          <a:ext cx="3593887" cy="581340"/>
        </a:xfrm>
        <a:prstGeom prst="rect">
          <a:avLst/>
        </a:prstGeom>
      </xdr:spPr>
    </xdr:pic>
    <xdr:clientData/>
  </xdr:twoCellAnchor>
  <xdr:twoCellAnchor>
    <xdr:from>
      <xdr:col>8</xdr:col>
      <xdr:colOff>591363</xdr:colOff>
      <xdr:row>34</xdr:row>
      <xdr:rowOff>193586</xdr:rowOff>
    </xdr:from>
    <xdr:to>
      <xdr:col>19</xdr:col>
      <xdr:colOff>35371</xdr:colOff>
      <xdr:row>49</xdr:row>
      <xdr:rowOff>42103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11206</xdr:colOff>
      <xdr:row>21</xdr:row>
      <xdr:rowOff>145676</xdr:rowOff>
    </xdr:from>
    <xdr:to>
      <xdr:col>4</xdr:col>
      <xdr:colOff>291353</xdr:colOff>
      <xdr:row>33</xdr:row>
      <xdr:rowOff>145676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238126</xdr:colOff>
      <xdr:row>21</xdr:row>
      <xdr:rowOff>166687</xdr:rowOff>
    </xdr:from>
    <xdr:to>
      <xdr:col>10</xdr:col>
      <xdr:colOff>428625</xdr:colOff>
      <xdr:row>30</xdr:row>
      <xdr:rowOff>97162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26" y="4310062"/>
          <a:ext cx="3405187" cy="1644975"/>
        </a:xfrm>
        <a:prstGeom prst="rect">
          <a:avLst/>
        </a:prstGeom>
      </xdr:spPr>
    </xdr:pic>
    <xdr:clientData/>
  </xdr:twoCellAnchor>
  <xdr:twoCellAnchor>
    <xdr:from>
      <xdr:col>0</xdr:col>
      <xdr:colOff>291354</xdr:colOff>
      <xdr:row>43</xdr:row>
      <xdr:rowOff>56029</xdr:rowOff>
    </xdr:from>
    <xdr:to>
      <xdr:col>5</xdr:col>
      <xdr:colOff>22413</xdr:colOff>
      <xdr:row>56</xdr:row>
      <xdr:rowOff>-1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pce_19x12_static_jb1078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pce_19x12_ge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tabSelected="1" topLeftCell="A28" zoomScale="85" zoomScaleNormal="85" workbookViewId="0">
      <selection activeCell="F41" sqref="F41"/>
    </sheetView>
  </sheetViews>
  <sheetFormatPr baseColWidth="10" defaultColWidth="9.140625" defaultRowHeight="15" x14ac:dyDescent="0.25"/>
  <cols>
    <col min="1" max="1" width="17" customWidth="1"/>
    <col min="2" max="2" width="12.28515625" customWidth="1"/>
    <col min="3" max="3" width="11.42578125" customWidth="1"/>
    <col min="4" max="4" width="8.28515625" customWidth="1"/>
    <col min="5" max="5" width="8.28515625" style="27" customWidth="1"/>
    <col min="8" max="8" width="9.140625" style="25"/>
    <col min="9" max="9" width="10.28515625" customWidth="1"/>
    <col min="10" max="10" width="9.85546875" style="2" customWidth="1"/>
    <col min="11" max="11" width="13.140625" style="2" customWidth="1"/>
    <col min="13" max="13" width="10.42578125" customWidth="1"/>
    <col min="16" max="16" width="4.85546875" customWidth="1"/>
    <col min="17" max="18" width="9.7109375" customWidth="1"/>
    <col min="19" max="20" width="8.7109375" customWidth="1"/>
    <col min="22" max="22" width="12" customWidth="1"/>
    <col min="23" max="23" width="12" style="27" customWidth="1"/>
    <col min="24" max="24" width="11" style="2" customWidth="1"/>
    <col min="25" max="25" width="11" style="35" customWidth="1"/>
    <col min="26" max="26" width="10.5703125" customWidth="1"/>
    <col min="27" max="27" width="12.85546875" customWidth="1"/>
    <col min="28" max="28" width="12.85546875" style="23" customWidth="1"/>
    <col min="30" max="30" width="14.140625" bestFit="1" customWidth="1"/>
    <col min="31" max="33" width="14.140625" customWidth="1"/>
    <col min="35" max="35" width="14.42578125" bestFit="1" customWidth="1"/>
  </cols>
  <sheetData>
    <row r="1" spans="1:37" ht="15.75" x14ac:dyDescent="0.25">
      <c r="A1" s="48" t="s">
        <v>4</v>
      </c>
      <c r="B1" s="48"/>
      <c r="C1" s="48"/>
      <c r="D1" s="3"/>
      <c r="E1" s="3"/>
      <c r="F1" s="47" t="s">
        <v>46</v>
      </c>
      <c r="G1" s="47"/>
      <c r="H1" s="47"/>
      <c r="I1" s="47"/>
      <c r="J1" s="47"/>
      <c r="K1" s="47"/>
      <c r="L1" s="47"/>
      <c r="M1" s="47"/>
      <c r="N1" s="47"/>
      <c r="O1" s="47"/>
      <c r="P1" s="3"/>
      <c r="Q1" s="3"/>
      <c r="R1" s="3"/>
      <c r="S1" s="3"/>
      <c r="T1" s="3"/>
      <c r="U1" s="3"/>
      <c r="V1" s="3"/>
      <c r="W1" s="3"/>
      <c r="X1" s="1"/>
      <c r="Y1" s="6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ht="16.5" thickBot="1" x14ac:dyDescent="0.3">
      <c r="A2" s="3" t="s">
        <v>17</v>
      </c>
      <c r="B2" s="20">
        <f>19*$B$13/2</f>
        <v>0.24129999999999999</v>
      </c>
      <c r="C2" s="3"/>
      <c r="D2" s="3"/>
      <c r="E2" s="3"/>
      <c r="F2" s="49" t="s">
        <v>0</v>
      </c>
      <c r="G2" s="48"/>
      <c r="H2" s="48"/>
      <c r="I2" s="48"/>
      <c r="J2" s="48"/>
      <c r="K2" s="29"/>
      <c r="L2" s="44" t="s">
        <v>14</v>
      </c>
      <c r="M2" s="44"/>
      <c r="N2" s="44"/>
      <c r="O2" s="45"/>
      <c r="P2" s="3"/>
      <c r="Q2" s="3"/>
      <c r="R2" s="3"/>
      <c r="S2" s="43" t="s">
        <v>1</v>
      </c>
      <c r="T2" s="44"/>
      <c r="U2" s="44"/>
      <c r="V2" s="44"/>
      <c r="W2" s="44"/>
      <c r="X2" s="44"/>
      <c r="Y2" s="28"/>
      <c r="Z2" s="44"/>
      <c r="AA2" s="45"/>
      <c r="AB2" s="24"/>
      <c r="AC2" s="3"/>
      <c r="AD2" s="3"/>
      <c r="AE2" s="3"/>
      <c r="AF2" s="3"/>
      <c r="AG2" s="3"/>
      <c r="AH2" s="3"/>
      <c r="AI2" s="3"/>
      <c r="AJ2" s="3"/>
      <c r="AK2" s="3"/>
    </row>
    <row r="3" spans="1:37" ht="15.75" x14ac:dyDescent="0.25">
      <c r="A3" s="3" t="s">
        <v>18</v>
      </c>
      <c r="B3" s="20">
        <f>12*B13</f>
        <v>0.30479999999999996</v>
      </c>
      <c r="C3" s="3"/>
      <c r="D3" s="3"/>
      <c r="E3" s="3"/>
      <c r="F3" s="7" t="s">
        <v>33</v>
      </c>
      <c r="G3" s="7" t="s">
        <v>34</v>
      </c>
      <c r="H3" s="7" t="s">
        <v>3</v>
      </c>
      <c r="I3" s="8" t="s">
        <v>8</v>
      </c>
      <c r="J3" s="7" t="s">
        <v>2</v>
      </c>
      <c r="K3" s="8" t="s">
        <v>35</v>
      </c>
      <c r="L3" s="7" t="s">
        <v>15</v>
      </c>
      <c r="M3" s="7" t="s">
        <v>16</v>
      </c>
      <c r="N3" s="7" t="s">
        <v>19</v>
      </c>
      <c r="O3" s="7"/>
      <c r="P3" s="3"/>
      <c r="Q3" s="3"/>
      <c r="R3" s="3"/>
      <c r="S3" s="5" t="s">
        <v>47</v>
      </c>
      <c r="T3" s="7" t="s">
        <v>34</v>
      </c>
      <c r="U3" s="7" t="s">
        <v>3</v>
      </c>
      <c r="V3" s="13" t="s">
        <v>48</v>
      </c>
      <c r="W3" s="32" t="s">
        <v>50</v>
      </c>
      <c r="X3" s="3" t="s">
        <v>49</v>
      </c>
      <c r="Y3" s="3" t="s">
        <v>51</v>
      </c>
      <c r="Z3" s="7" t="s">
        <v>16</v>
      </c>
      <c r="AA3" s="7" t="s">
        <v>22</v>
      </c>
      <c r="AB3" s="6" t="s">
        <v>32</v>
      </c>
      <c r="AC3" s="36"/>
      <c r="AD3" s="3"/>
      <c r="AE3" s="3"/>
      <c r="AF3" s="14"/>
      <c r="AG3" s="3"/>
      <c r="AH3" s="3"/>
      <c r="AI3" s="3"/>
      <c r="AJ3" s="3"/>
      <c r="AK3" s="3"/>
    </row>
    <row r="4" spans="1:37" ht="15.75" x14ac:dyDescent="0.25">
      <c r="A4" s="3" t="s">
        <v>36</v>
      </c>
      <c r="B4" s="3">
        <f>$B$42*PI()/180</f>
        <v>0.76078697962356567</v>
      </c>
      <c r="C4" s="3"/>
      <c r="D4" s="26"/>
      <c r="E4" s="26"/>
      <c r="F4" s="3">
        <v>1261</v>
      </c>
      <c r="G4" s="6">
        <f>F4/60</f>
        <v>21.016666666666666</v>
      </c>
      <c r="H4" s="6">
        <f>F4*2*PI()/60</f>
        <v>132.05161120589096</v>
      </c>
      <c r="I4" s="3">
        <v>8.7999999999999995E-2</v>
      </c>
      <c r="J4" s="1">
        <f>I4*$B$15*G4^2*(2*$B$2)^4/9.81*1000</f>
        <v>263.28535111068516</v>
      </c>
      <c r="K4" s="1">
        <f t="shared" ref="K4:K18" si="0">J4*9.81/1000/($B$15*$B$16*(H4*$B$2)^2)</f>
        <v>1.1352540120486221E-2</v>
      </c>
      <c r="L4" s="3">
        <f>SQRT(J4/1000*9.81/(2*$B$15*$B$16))</f>
        <v>2.4006704753185839</v>
      </c>
      <c r="M4" s="3">
        <f>L4/(H4*$B$2)</f>
        <v>7.5341025080915322E-2</v>
      </c>
      <c r="N4" s="3">
        <f>$B$10*$B$6/4*($B$4*(2/3+0^2)+$B$5/2*(1+0^2)-M4)</f>
        <v>1.2243769484897134E-2</v>
      </c>
      <c r="O4" s="3"/>
      <c r="P4" s="3"/>
      <c r="Q4" s="3"/>
      <c r="R4" s="3"/>
      <c r="S4" s="1">
        <v>1261</v>
      </c>
      <c r="T4" s="6">
        <f t="shared" ref="T4:T19" si="1">S4/60</f>
        <v>21.016666666666666</v>
      </c>
      <c r="U4" s="6">
        <f t="shared" ref="U4:U19" si="2">S4*2*PI()/60</f>
        <v>132.05161120589096</v>
      </c>
      <c r="V4" s="6">
        <f>X4*$B$15*T4^3*(2*$B$2)^5</f>
        <v>11.996905316532445</v>
      </c>
      <c r="W4" s="6">
        <f>V4/(2*PI()*T4)*100</f>
        <v>9.0850124485245587</v>
      </c>
      <c r="X4" s="3">
        <v>4.0300000000000002E-2</v>
      </c>
      <c r="Y4" s="3">
        <f t="shared" ref="Y4:Y18" si="3">W4/100/($B$15*$B$16*$B$2*(U4*$B$2)^2)</f>
        <v>1.6548763394551153E-3</v>
      </c>
      <c r="Z4" s="6">
        <f>M4</f>
        <v>7.5341025080915322E-2</v>
      </c>
      <c r="AA4" s="6">
        <f>$B$10*$B$6/4*(2/3*$B$4-Z4+$B$5/2)*Z4+$B$10*$B$8/8*(1+0^2)</f>
        <v>1.6306503980307262E-3</v>
      </c>
      <c r="AB4" s="3">
        <f>$B$10*$B$8/8*(1+0^2)/AA4*100</f>
        <v>43.430048221212978</v>
      </c>
      <c r="AC4" s="36"/>
      <c r="AD4" s="3"/>
      <c r="AE4" s="19"/>
      <c r="AF4" s="19"/>
      <c r="AG4" s="19"/>
      <c r="AK4" s="3"/>
    </row>
    <row r="5" spans="1:37" ht="15.75" x14ac:dyDescent="0.25">
      <c r="A5" s="9" t="s">
        <v>37</v>
      </c>
      <c r="B5" s="3">
        <f>$B$41*PI()/180</f>
        <v>-0.65312057798314116</v>
      </c>
      <c r="C5" s="10"/>
      <c r="D5" s="3"/>
      <c r="E5" s="3"/>
      <c r="F5" s="3">
        <v>1376</v>
      </c>
      <c r="G5" s="6">
        <f t="shared" ref="G5:G19" si="4">F5/60</f>
        <v>22.933333333333334</v>
      </c>
      <c r="H5" s="6">
        <f t="shared" ref="H5:H19" si="5">F5*2*PI()/60</f>
        <v>144.09438304465183</v>
      </c>
      <c r="I5" s="3">
        <v>8.9399999999999993E-2</v>
      </c>
      <c r="J5" s="1">
        <f t="shared" ref="J5:J19" si="6">I5*$B$15*G5^2*(2*$B$2)^4/9.81*1000</f>
        <v>318.4844534275457</v>
      </c>
      <c r="K5" s="1">
        <f t="shared" si="0"/>
        <v>1.153314871331214E-2</v>
      </c>
      <c r="L5" s="3">
        <f t="shared" ref="L5:L19" si="7">SQRT(J5/1000*9.81/(2*$B$15*$B$16))</f>
        <v>2.6403610770981376</v>
      </c>
      <c r="M5" s="3">
        <f t="shared" ref="M5:M19" si="8">L5/(H5*$B$2)</f>
        <v>7.5937963869569691E-2</v>
      </c>
      <c r="N5" s="3">
        <f t="shared" ref="N5:N19" si="9">$B$10*$B$6/4*($B$4*(2/3+0^2)+$B$5/2*(1+0^2)-M5)</f>
        <v>1.2174353770861276E-2</v>
      </c>
      <c r="O5" s="3"/>
      <c r="P5" s="3"/>
      <c r="Q5" s="3"/>
      <c r="R5" s="3"/>
      <c r="S5" s="1">
        <v>1376</v>
      </c>
      <c r="T5" s="6">
        <f t="shared" si="1"/>
        <v>22.933333333333334</v>
      </c>
      <c r="U5" s="6">
        <f t="shared" si="2"/>
        <v>144.09438304465183</v>
      </c>
      <c r="V5" s="6">
        <f t="shared" ref="V5:V18" si="10">X5*$B$15*T5^3*(2*$B$2)^5</f>
        <v>15.587600739510021</v>
      </c>
      <c r="W5" s="6">
        <f t="shared" ref="W5:W19" si="11">V5/(2*PI()*T5)*100</f>
        <v>10.817632450447253</v>
      </c>
      <c r="X5" s="3">
        <v>4.0300000000000002E-2</v>
      </c>
      <c r="Y5" s="3">
        <f t="shared" si="3"/>
        <v>1.6548763394551153E-3</v>
      </c>
      <c r="Z5" s="6">
        <f t="shared" ref="Z5:Z19" si="12">M5</f>
        <v>7.5937963869569691E-2</v>
      </c>
      <c r="AA5" s="6">
        <f t="shared" ref="AA5:AA19" si="13">$B$10*$B$6/4*(2/3*$B$4-Z5+$B$5/2)*Z5+$B$10*$B$8/8*(1+0^2)</f>
        <v>1.6326878909711689E-3</v>
      </c>
      <c r="AB5" s="3">
        <f t="shared" ref="AB5:AB14" si="14">$B$10*$B$8/8*(1+0^2)/AA5*100</f>
        <v>43.375850222230348</v>
      </c>
      <c r="AC5" s="36"/>
      <c r="AD5" s="3"/>
      <c r="AE5" s="19"/>
      <c r="AF5" s="19"/>
      <c r="AG5" s="19"/>
      <c r="AK5" s="3"/>
    </row>
    <row r="6" spans="1:37" ht="15.75" x14ac:dyDescent="0.25">
      <c r="A6" s="11" t="s">
        <v>5</v>
      </c>
      <c r="B6" s="21">
        <v>6.7727320165810578</v>
      </c>
      <c r="C6" s="1" t="s">
        <v>13</v>
      </c>
      <c r="D6" s="3"/>
      <c r="E6" s="3"/>
      <c r="F6" s="3">
        <v>1505</v>
      </c>
      <c r="G6" s="6">
        <f t="shared" si="4"/>
        <v>25.083333333333332</v>
      </c>
      <c r="H6" s="6">
        <f t="shared" si="5"/>
        <v>157.60323145508795</v>
      </c>
      <c r="I6" s="3">
        <v>8.9700000000000002E-2</v>
      </c>
      <c r="J6" s="1">
        <f t="shared" si="6"/>
        <v>382.27798991707181</v>
      </c>
      <c r="K6" s="1">
        <f t="shared" si="0"/>
        <v>1.1571850554631977E-2</v>
      </c>
      <c r="L6" s="3">
        <f t="shared" si="7"/>
        <v>2.8927363311866756</v>
      </c>
      <c r="M6" s="3">
        <f>L6/(H6*$B$2)</f>
        <v>7.6065269849754605E-2</v>
      </c>
      <c r="N6" s="3">
        <f t="shared" si="9"/>
        <v>1.2159549848443215E-2</v>
      </c>
      <c r="O6" s="3"/>
      <c r="P6" s="3"/>
      <c r="Q6" s="3"/>
      <c r="R6" s="3"/>
      <c r="S6" s="1">
        <v>1505</v>
      </c>
      <c r="T6" s="6">
        <f t="shared" si="1"/>
        <v>25.083333333333332</v>
      </c>
      <c r="U6" s="6">
        <f t="shared" si="2"/>
        <v>157.60323145508795</v>
      </c>
      <c r="V6" s="6">
        <f t="shared" si="10"/>
        <v>20.446067504081842</v>
      </c>
      <c r="W6" s="6">
        <f t="shared" si="11"/>
        <v>12.973127083316397</v>
      </c>
      <c r="X6" s="3">
        <v>4.0399999999999998E-2</v>
      </c>
      <c r="Y6" s="3">
        <f t="shared" si="3"/>
        <v>1.6589827323569885E-3</v>
      </c>
      <c r="Z6" s="6">
        <f t="shared" si="12"/>
        <v>7.6065269849754605E-2</v>
      </c>
      <c r="AA6" s="6">
        <f t="shared" si="13"/>
        <v>1.6331116946575216E-3</v>
      </c>
      <c r="AB6" s="3">
        <f t="shared" si="14"/>
        <v>43.364593891580697</v>
      </c>
      <c r="AC6" s="36"/>
      <c r="AD6" s="3"/>
      <c r="AE6" s="19"/>
      <c r="AF6" s="19"/>
      <c r="AG6" s="19"/>
      <c r="AK6" s="3"/>
    </row>
    <row r="7" spans="1:37" ht="16.5" thickBot="1" x14ac:dyDescent="0.3">
      <c r="A7" s="11" t="s">
        <v>6</v>
      </c>
      <c r="B7">
        <f>C38*B2</f>
        <v>2.6031625867790557E-2</v>
      </c>
      <c r="C7" s="1"/>
      <c r="D7" s="3"/>
      <c r="E7" s="3"/>
      <c r="F7" s="3">
        <v>1612</v>
      </c>
      <c r="G7" s="6">
        <f t="shared" si="4"/>
        <v>26.866666666666667</v>
      </c>
      <c r="H7" s="6">
        <f t="shared" si="5"/>
        <v>168.80824525289154</v>
      </c>
      <c r="I7" s="3">
        <v>9.1200000000000003E-2</v>
      </c>
      <c r="J7" s="1">
        <f t="shared" si="6"/>
        <v>445.90132628265019</v>
      </c>
      <c r="K7" s="1">
        <f t="shared" si="0"/>
        <v>1.1765359761231178E-2</v>
      </c>
      <c r="L7" s="3">
        <f t="shared" si="7"/>
        <v>3.1241982537065374</v>
      </c>
      <c r="M7" s="3">
        <f t="shared" si="8"/>
        <v>7.6698630239500284E-2</v>
      </c>
      <c r="N7" s="3">
        <f t="shared" si="9"/>
        <v>1.2085898806608033E-2</v>
      </c>
      <c r="O7" s="3"/>
      <c r="P7" s="3"/>
      <c r="Q7" s="3"/>
      <c r="R7" s="3"/>
      <c r="S7" s="1">
        <v>1612</v>
      </c>
      <c r="T7" s="6">
        <f t="shared" si="1"/>
        <v>26.866666666666667</v>
      </c>
      <c r="U7" s="6">
        <f t="shared" si="2"/>
        <v>168.80824525289154</v>
      </c>
      <c r="V7" s="6">
        <f t="shared" si="10"/>
        <v>24.875626600714824</v>
      </c>
      <c r="W7" s="6">
        <f t="shared" si="11"/>
        <v>14.736025816421858</v>
      </c>
      <c r="X7" s="3">
        <v>0.04</v>
      </c>
      <c r="Y7" s="3">
        <f t="shared" si="3"/>
        <v>1.6425571607494938E-3</v>
      </c>
      <c r="Z7" s="6">
        <f t="shared" si="12"/>
        <v>7.6698630239500284E-2</v>
      </c>
      <c r="AA7" s="6">
        <f t="shared" si="13"/>
        <v>1.6351641378641929E-3</v>
      </c>
      <c r="AB7" s="3">
        <f t="shared" si="14"/>
        <v>43.310163046332903</v>
      </c>
      <c r="AC7" s="36"/>
      <c r="AD7" s="3"/>
      <c r="AE7" s="19"/>
      <c r="AF7" s="19"/>
      <c r="AG7" s="19"/>
      <c r="AK7" s="3"/>
    </row>
    <row r="8" spans="1:37" ht="15.75" x14ac:dyDescent="0.25">
      <c r="A8" s="12" t="s">
        <v>7</v>
      </c>
      <c r="B8" s="22">
        <v>8.2492993671985038E-2</v>
      </c>
      <c r="C8" s="8" t="s">
        <v>13</v>
      </c>
      <c r="D8" s="3"/>
      <c r="E8" s="3"/>
      <c r="F8" s="3">
        <v>1721</v>
      </c>
      <c r="G8" s="6">
        <f t="shared" si="4"/>
        <v>28.683333333333334</v>
      </c>
      <c r="H8" s="6">
        <f t="shared" si="5"/>
        <v>180.22269856093448</v>
      </c>
      <c r="I8" s="3">
        <v>9.1300000000000006E-2</v>
      </c>
      <c r="J8" s="1">
        <f t="shared" si="6"/>
        <v>508.79914054008236</v>
      </c>
      <c r="K8" s="1">
        <f t="shared" si="0"/>
        <v>1.1778260375004453E-2</v>
      </c>
      <c r="L8" s="3">
        <f t="shared" si="7"/>
        <v>3.3372780173632139</v>
      </c>
      <c r="M8" s="3">
        <f t="shared" si="8"/>
        <v>7.674066840666835E-2</v>
      </c>
      <c r="N8" s="3">
        <f t="shared" si="9"/>
        <v>1.2081010349958553E-2</v>
      </c>
      <c r="O8" s="3"/>
      <c r="P8" s="3"/>
      <c r="Q8" s="41" t="s">
        <v>27</v>
      </c>
      <c r="R8" s="42"/>
      <c r="S8" s="1">
        <v>1721</v>
      </c>
      <c r="T8" s="6">
        <f t="shared" si="1"/>
        <v>28.683333333333334</v>
      </c>
      <c r="U8" s="6">
        <f t="shared" si="2"/>
        <v>180.22269856093448</v>
      </c>
      <c r="V8" s="6">
        <f t="shared" si="10"/>
        <v>30.194958154674566</v>
      </c>
      <c r="W8" s="6">
        <f t="shared" si="11"/>
        <v>16.754248158405783</v>
      </c>
      <c r="X8" s="3">
        <v>3.9899999999999998E-2</v>
      </c>
      <c r="Y8" s="3">
        <f t="shared" si="3"/>
        <v>1.6384507678476198E-3</v>
      </c>
      <c r="Z8" s="6">
        <f t="shared" si="12"/>
        <v>7.674066840666835E-2</v>
      </c>
      <c r="AA8" s="6">
        <f t="shared" si="13"/>
        <v>1.6352970634678431E-3</v>
      </c>
      <c r="AB8" s="3">
        <f t="shared" si="14"/>
        <v>43.306642566968186</v>
      </c>
      <c r="AC8" s="36"/>
      <c r="AD8" s="7"/>
      <c r="AE8" s="41" t="s">
        <v>30</v>
      </c>
      <c r="AF8" s="42"/>
      <c r="AG8" s="19"/>
      <c r="AH8" s="39"/>
      <c r="AI8" s="39"/>
      <c r="AK8" s="3"/>
    </row>
    <row r="9" spans="1:37" ht="15.75" x14ac:dyDescent="0.25">
      <c r="A9" s="3" t="s">
        <v>20</v>
      </c>
      <c r="B9" s="31">
        <v>2</v>
      </c>
      <c r="C9" s="3" t="s">
        <v>45</v>
      </c>
      <c r="D9" s="3"/>
      <c r="E9" s="3"/>
      <c r="F9" s="3">
        <v>1833</v>
      </c>
      <c r="G9" s="6">
        <f t="shared" si="4"/>
        <v>30.55</v>
      </c>
      <c r="H9" s="6">
        <f t="shared" si="5"/>
        <v>191.95131113433635</v>
      </c>
      <c r="I9" s="3">
        <v>9.2299999999999993E-2</v>
      </c>
      <c r="J9" s="1">
        <f t="shared" si="6"/>
        <v>583.49949134693384</v>
      </c>
      <c r="K9" s="1">
        <f t="shared" si="0"/>
        <v>1.1907266512737253E-2</v>
      </c>
      <c r="L9" s="3">
        <f t="shared" si="7"/>
        <v>3.5738757045449727</v>
      </c>
      <c r="M9" s="3">
        <f t="shared" si="8"/>
        <v>7.7159790411642684E-2</v>
      </c>
      <c r="N9" s="3">
        <f t="shared" si="9"/>
        <v>1.2032272265256405E-2</v>
      </c>
      <c r="O9" s="3"/>
      <c r="P9" s="3"/>
      <c r="Q9" s="15" t="s">
        <v>24</v>
      </c>
      <c r="R9" s="16">
        <f>SLOPE(K4:K19,H4:H19)</f>
        <v>5.710127341622336E-6</v>
      </c>
      <c r="S9" s="1">
        <v>1833</v>
      </c>
      <c r="T9" s="6">
        <f t="shared" si="1"/>
        <v>30.55</v>
      </c>
      <c r="U9" s="6">
        <f t="shared" si="2"/>
        <v>191.95131113433635</v>
      </c>
      <c r="V9" s="6">
        <f t="shared" si="10"/>
        <v>36.664915878783972</v>
      </c>
      <c r="W9" s="6">
        <f t="shared" si="11"/>
        <v>19.10115417399998</v>
      </c>
      <c r="X9" s="3">
        <v>4.0099999999999997E-2</v>
      </c>
      <c r="Y9" s="3">
        <f t="shared" si="3"/>
        <v>1.6466635536513674E-3</v>
      </c>
      <c r="Z9" s="6">
        <f t="shared" si="12"/>
        <v>7.7159790411642684E-2</v>
      </c>
      <c r="AA9" s="6">
        <f t="shared" si="13"/>
        <v>1.6365998603471512E-3</v>
      </c>
      <c r="AB9" s="3">
        <f t="shared" si="14"/>
        <v>43.272168802087386</v>
      </c>
      <c r="AC9" s="36"/>
      <c r="AD9" s="3"/>
      <c r="AE9" s="15" t="s">
        <v>24</v>
      </c>
      <c r="AF9" s="16">
        <f>SLOPE(Y4:Y19,U4:U19)</f>
        <v>-1.6103213625276604E-7</v>
      </c>
      <c r="AG9" s="19"/>
      <c r="AK9" s="3"/>
    </row>
    <row r="10" spans="1:37" ht="16.5" thickBot="1" x14ac:dyDescent="0.3">
      <c r="A10" s="3" t="s">
        <v>21</v>
      </c>
      <c r="B10" s="20">
        <f>B9*B7/(PI()*B2)</f>
        <v>6.8679020863285825E-2</v>
      </c>
      <c r="C10" s="3"/>
      <c r="D10" s="3"/>
      <c r="E10" s="3"/>
      <c r="F10" s="3">
        <v>1955</v>
      </c>
      <c r="G10" s="6">
        <f t="shared" si="4"/>
        <v>32.583333333333336</v>
      </c>
      <c r="H10" s="6">
        <f t="shared" si="5"/>
        <v>204.72712125893486</v>
      </c>
      <c r="I10" s="3">
        <v>9.2700000000000005E-2</v>
      </c>
      <c r="J10" s="1">
        <f t="shared" si="6"/>
        <v>666.63346039179578</v>
      </c>
      <c r="K10" s="1">
        <f t="shared" si="0"/>
        <v>1.1958868967830374E-2</v>
      </c>
      <c r="L10" s="3">
        <f t="shared" si="7"/>
        <v>3.81999467468605</v>
      </c>
      <c r="M10" s="3">
        <f t="shared" si="8"/>
        <v>7.7326803140406547E-2</v>
      </c>
      <c r="N10" s="3">
        <f t="shared" si="9"/>
        <v>1.2012850997882652E-2</v>
      </c>
      <c r="O10" s="3"/>
      <c r="P10" s="3"/>
      <c r="Q10" s="17" t="s">
        <v>25</v>
      </c>
      <c r="R10" s="18">
        <f>INTERCEPT(K4:K19,H4:H19)</f>
        <v>1.0726445861479361E-2</v>
      </c>
      <c r="S10" s="1">
        <v>1955</v>
      </c>
      <c r="T10" s="6">
        <f t="shared" si="1"/>
        <v>32.583333333333336</v>
      </c>
      <c r="U10" s="6">
        <f t="shared" si="2"/>
        <v>204.72712125893486</v>
      </c>
      <c r="V10" s="6">
        <f t="shared" si="10"/>
        <v>44.262109301435636</v>
      </c>
      <c r="W10" s="6">
        <f t="shared" si="11"/>
        <v>21.620051622497925</v>
      </c>
      <c r="X10" s="3">
        <v>3.9899999999999998E-2</v>
      </c>
      <c r="Y10" s="3">
        <f t="shared" si="3"/>
        <v>1.6384507678476206E-3</v>
      </c>
      <c r="Z10" s="6">
        <f t="shared" si="12"/>
        <v>7.7326803140406547E-2</v>
      </c>
      <c r="AA10" s="6">
        <f t="shared" si="13"/>
        <v>1.6371076184524542E-3</v>
      </c>
      <c r="AB10" s="3">
        <f t="shared" si="14"/>
        <v>43.25874769635454</v>
      </c>
      <c r="AC10" s="36"/>
      <c r="AD10" s="3"/>
      <c r="AE10" s="17" t="s">
        <v>25</v>
      </c>
      <c r="AF10" s="18">
        <f>INTERCEPT(Y4:Y19,U4:U19)</f>
        <v>1.6733850414501314E-3</v>
      </c>
      <c r="AG10" s="19"/>
      <c r="AK10" s="3"/>
    </row>
    <row r="11" spans="1:37" ht="15.75" x14ac:dyDescent="0.25">
      <c r="C11" s="3"/>
      <c r="D11" s="3"/>
      <c r="E11" s="3"/>
      <c r="F11" s="3">
        <v>2070</v>
      </c>
      <c r="G11" s="6">
        <f t="shared" si="4"/>
        <v>34.5</v>
      </c>
      <c r="H11" s="6">
        <f t="shared" si="5"/>
        <v>216.76989309769573</v>
      </c>
      <c r="I11" s="3">
        <v>9.35E-2</v>
      </c>
      <c r="J11" s="1">
        <f t="shared" si="6"/>
        <v>753.81739096273861</v>
      </c>
      <c r="K11" s="1">
        <f t="shared" si="0"/>
        <v>1.2062073878016609E-2</v>
      </c>
      <c r="L11" s="3">
        <f t="shared" si="7"/>
        <v>4.0621156106311203</v>
      </c>
      <c r="M11" s="3">
        <f t="shared" si="8"/>
        <v>7.765975108773078E-2</v>
      </c>
      <c r="N11" s="3">
        <f t="shared" si="9"/>
        <v>1.1974133762649232E-2</v>
      </c>
      <c r="O11" s="3"/>
      <c r="P11" s="3"/>
      <c r="Q11" s="41" t="s">
        <v>26</v>
      </c>
      <c r="R11" s="42"/>
      <c r="S11" s="1">
        <v>2070</v>
      </c>
      <c r="T11" s="6">
        <f t="shared" si="1"/>
        <v>34.5</v>
      </c>
      <c r="U11" s="6">
        <f t="shared" si="2"/>
        <v>216.76989309769573</v>
      </c>
      <c r="V11" s="6">
        <f t="shared" si="10"/>
        <v>52.409864134944058</v>
      </c>
      <c r="W11" s="6">
        <f t="shared" si="11"/>
        <v>24.177649112611562</v>
      </c>
      <c r="X11" s="3">
        <v>3.9800000000000002E-2</v>
      </c>
      <c r="Y11" s="3">
        <f t="shared" si="3"/>
        <v>1.6343443749457464E-3</v>
      </c>
      <c r="Z11" s="6">
        <f t="shared" si="12"/>
        <v>7.765975108773078E-2</v>
      </c>
      <c r="AA11" s="6">
        <f t="shared" si="13"/>
        <v>1.6381005016826782E-3</v>
      </c>
      <c r="AB11" s="3">
        <f t="shared" si="14"/>
        <v>43.232527763509097</v>
      </c>
      <c r="AC11" s="36"/>
      <c r="AD11" s="3"/>
      <c r="AE11" s="41" t="s">
        <v>31</v>
      </c>
      <c r="AF11" s="42"/>
      <c r="AG11" s="19"/>
      <c r="AK11" s="3"/>
    </row>
    <row r="12" spans="1:37" ht="15.75" x14ac:dyDescent="0.25">
      <c r="A12" s="3"/>
      <c r="B12" s="3"/>
      <c r="C12" s="3"/>
      <c r="D12" s="3"/>
      <c r="E12" s="3"/>
      <c r="F12" s="3">
        <v>2191</v>
      </c>
      <c r="G12" s="6">
        <f t="shared" si="4"/>
        <v>36.516666666666666</v>
      </c>
      <c r="H12" s="6">
        <f t="shared" si="5"/>
        <v>229.44098346717456</v>
      </c>
      <c r="I12" s="3">
        <v>9.3100000000000002E-2</v>
      </c>
      <c r="J12" s="1">
        <f t="shared" si="6"/>
        <v>840.90761812222593</v>
      </c>
      <c r="K12" s="1">
        <f t="shared" si="0"/>
        <v>1.2010471422923491E-2</v>
      </c>
      <c r="L12" s="3">
        <f t="shared" si="7"/>
        <v>4.290356164783657</v>
      </c>
      <c r="M12" s="3">
        <f t="shared" si="8"/>
        <v>7.7493455926689353E-2</v>
      </c>
      <c r="N12" s="3">
        <f t="shared" si="9"/>
        <v>1.1993471586834555E-2</v>
      </c>
      <c r="O12" s="3"/>
      <c r="P12" s="3"/>
      <c r="Q12" s="15" t="s">
        <v>24</v>
      </c>
      <c r="R12" s="16">
        <f>SLOPE(N4:N28,G4:G28)</f>
        <v>-1.3484608013593855E-5</v>
      </c>
      <c r="S12" s="1">
        <v>2191</v>
      </c>
      <c r="T12" s="6">
        <f t="shared" si="1"/>
        <v>36.516666666666666</v>
      </c>
      <c r="U12" s="6">
        <f t="shared" si="2"/>
        <v>229.44098346717456</v>
      </c>
      <c r="V12" s="6">
        <f t="shared" si="10"/>
        <v>61.992130890674197</v>
      </c>
      <c r="W12" s="6">
        <f t="shared" si="11"/>
        <v>27.018769687039466</v>
      </c>
      <c r="X12" s="3">
        <v>3.9699999999999999E-2</v>
      </c>
      <c r="Y12" s="3">
        <f t="shared" si="3"/>
        <v>1.6302379820438721E-3</v>
      </c>
      <c r="Z12" s="6">
        <f t="shared" si="12"/>
        <v>7.7493455926689353E-2</v>
      </c>
      <c r="AA12" s="6">
        <f t="shared" si="13"/>
        <v>1.6376078160065105E-3</v>
      </c>
      <c r="AB12" s="3">
        <f t="shared" si="14"/>
        <v>43.245534569513204</v>
      </c>
      <c r="AC12" s="36"/>
      <c r="AD12" s="3"/>
      <c r="AE12" s="15" t="s">
        <v>24</v>
      </c>
      <c r="AF12" s="16">
        <f>SLOPE(AA15:AA21,T15:T21)</f>
        <v>7.2633294507740805E-8</v>
      </c>
      <c r="AG12" s="19"/>
      <c r="AK12" s="3"/>
    </row>
    <row r="13" spans="1:37" ht="16.5" thickBot="1" x14ac:dyDescent="0.3">
      <c r="A13" s="4" t="s">
        <v>12</v>
      </c>
      <c r="B13" s="4">
        <v>2.5399999999999999E-2</v>
      </c>
      <c r="C13" s="3"/>
      <c r="D13" s="3"/>
      <c r="E13" s="3"/>
      <c r="F13" s="3">
        <v>2309</v>
      </c>
      <c r="G13" s="6">
        <f t="shared" si="4"/>
        <v>38.483333333333334</v>
      </c>
      <c r="H13" s="6">
        <f t="shared" si="5"/>
        <v>241.7979145712944</v>
      </c>
      <c r="I13" s="3">
        <v>9.3200000000000005E-2</v>
      </c>
      <c r="J13" s="1">
        <f t="shared" si="6"/>
        <v>934.92684277946796</v>
      </c>
      <c r="K13" s="1">
        <f t="shared" si="0"/>
        <v>1.2023372036696775E-2</v>
      </c>
      <c r="L13" s="3">
        <f t="shared" si="7"/>
        <v>4.5238481399997958</v>
      </c>
      <c r="M13" s="3">
        <f t="shared" si="8"/>
        <v>7.7535063154345774E-2</v>
      </c>
      <c r="N13" s="3">
        <f t="shared" si="9"/>
        <v>1.1988633242482141E-2</v>
      </c>
      <c r="O13" s="3"/>
      <c r="P13" s="3"/>
      <c r="Q13" s="17" t="s">
        <v>25</v>
      </c>
      <c r="R13" s="18">
        <f>INTERCEPT(N4:N28,G4:G28)</f>
        <v>1.2476924572658487E-2</v>
      </c>
      <c r="S13" s="1">
        <v>2309</v>
      </c>
      <c r="T13" s="6">
        <f t="shared" si="1"/>
        <v>38.483333333333334</v>
      </c>
      <c r="U13" s="6">
        <f t="shared" si="2"/>
        <v>241.7979145712944</v>
      </c>
      <c r="V13" s="6">
        <f t="shared" si="10"/>
        <v>72.740083664669257</v>
      </c>
      <c r="W13" s="6">
        <f t="shared" si="11"/>
        <v>30.083007040667319</v>
      </c>
      <c r="X13" s="3">
        <v>3.9800000000000002E-2</v>
      </c>
      <c r="Y13" s="3">
        <f t="shared" si="3"/>
        <v>1.6343443749457468E-3</v>
      </c>
      <c r="Z13" s="6">
        <f t="shared" si="12"/>
        <v>7.7535063154345774E-2</v>
      </c>
      <c r="AA13" s="6">
        <f t="shared" si="13"/>
        <v>1.6377316897742875E-3</v>
      </c>
      <c r="AB13" s="3">
        <f t="shared" si="14"/>
        <v>43.24226358969392</v>
      </c>
      <c r="AC13" s="36"/>
      <c r="AD13" s="3"/>
      <c r="AE13" s="17" t="s">
        <v>25</v>
      </c>
      <c r="AF13" s="18">
        <f>INTERCEPT(AA15:AA21,T15:T21)</f>
        <v>1.6377625741605261E-3</v>
      </c>
      <c r="AG13" s="19"/>
      <c r="AJ13" s="3"/>
      <c r="AK13" s="3"/>
    </row>
    <row r="14" spans="1:37" ht="15.75" x14ac:dyDescent="0.25">
      <c r="A14" s="48" t="s">
        <v>10</v>
      </c>
      <c r="B14" s="48"/>
      <c r="C14" s="3"/>
      <c r="D14" s="3"/>
      <c r="E14" s="3"/>
      <c r="F14" s="3">
        <v>2426</v>
      </c>
      <c r="G14" s="6">
        <f t="shared" si="4"/>
        <v>40.43333333333333</v>
      </c>
      <c r="H14" s="6">
        <f t="shared" si="5"/>
        <v>254.05012592029462</v>
      </c>
      <c r="I14" s="3">
        <v>9.3600000000000003E-2</v>
      </c>
      <c r="J14" s="1">
        <f t="shared" si="6"/>
        <v>1036.5047403669896</v>
      </c>
      <c r="K14" s="1">
        <f t="shared" si="0"/>
        <v>1.2074974491789887E-2</v>
      </c>
      <c r="L14" s="3">
        <f t="shared" si="7"/>
        <v>4.7632661604371993</v>
      </c>
      <c r="M14" s="3">
        <f t="shared" si="8"/>
        <v>7.7701269268236187E-2</v>
      </c>
      <c r="N14" s="3">
        <f t="shared" si="9"/>
        <v>1.1969305773247254E-2</v>
      </c>
      <c r="O14" s="3"/>
      <c r="P14" s="3"/>
      <c r="Q14" s="3" t="s">
        <v>28</v>
      </c>
      <c r="R14" s="3">
        <f>(R9-R12)*10000</f>
        <v>0.19194735355216191</v>
      </c>
      <c r="S14" s="1">
        <v>2426</v>
      </c>
      <c r="T14" s="6">
        <f t="shared" si="1"/>
        <v>40.43333333333333</v>
      </c>
      <c r="U14" s="6">
        <f t="shared" si="2"/>
        <v>254.05012592029462</v>
      </c>
      <c r="V14" s="6">
        <f t="shared" si="10"/>
        <v>84.791302443945554</v>
      </c>
      <c r="W14" s="6">
        <f t="shared" si="11"/>
        <v>33.37581594844314</v>
      </c>
      <c r="X14" s="3">
        <v>0.04</v>
      </c>
      <c r="Y14" s="3">
        <f t="shared" si="3"/>
        <v>1.6425571607494931E-3</v>
      </c>
      <c r="Z14" s="6">
        <f t="shared" si="12"/>
        <v>7.7701269268236187E-2</v>
      </c>
      <c r="AA14" s="6">
        <f t="shared" si="13"/>
        <v>1.6382225050250846E-3</v>
      </c>
      <c r="AB14" s="3">
        <f t="shared" si="14"/>
        <v>43.229308107527295</v>
      </c>
      <c r="AC14" s="37"/>
      <c r="AD14" s="3"/>
      <c r="AE14" s="3" t="s">
        <v>28</v>
      </c>
      <c r="AF14" s="3">
        <f>(AF9-AF12)*10000</f>
        <v>-2.3366543076050682E-3</v>
      </c>
      <c r="AG14" s="19"/>
      <c r="AJ14" s="3"/>
      <c r="AK14" s="3"/>
    </row>
    <row r="15" spans="1:37" ht="15.75" x14ac:dyDescent="0.25">
      <c r="A15" s="3" t="s">
        <v>9</v>
      </c>
      <c r="B15" s="3">
        <v>1.2250000000000001</v>
      </c>
      <c r="C15" s="3"/>
      <c r="D15" s="3"/>
      <c r="E15" s="3"/>
      <c r="F15" s="3">
        <v>2537</v>
      </c>
      <c r="G15" s="6">
        <f t="shared" si="4"/>
        <v>42.283333333333331</v>
      </c>
      <c r="H15" s="6">
        <f t="shared" si="5"/>
        <v>265.67401873857682</v>
      </c>
      <c r="I15" s="3">
        <v>9.64E-2</v>
      </c>
      <c r="J15" s="1">
        <f t="shared" si="6"/>
        <v>1167.4326069363906</v>
      </c>
      <c r="K15" s="1">
        <f t="shared" si="0"/>
        <v>1.2436191677441725E-2</v>
      </c>
      <c r="L15" s="3">
        <f t="shared" si="7"/>
        <v>5.055162408567103</v>
      </c>
      <c r="M15" s="3">
        <f t="shared" si="8"/>
        <v>7.8854903707511206E-2</v>
      </c>
      <c r="N15" s="3">
        <f t="shared" si="9"/>
        <v>1.183515406479629E-2</v>
      </c>
      <c r="O15" s="3"/>
      <c r="P15" s="3"/>
      <c r="Q15" s="3" t="s">
        <v>29</v>
      </c>
      <c r="R15" s="3">
        <f>R10-R13</f>
        <v>-1.7504787111791258E-3</v>
      </c>
      <c r="S15" s="1">
        <v>2537</v>
      </c>
      <c r="T15" s="6">
        <f t="shared" si="1"/>
        <v>42.283333333333331</v>
      </c>
      <c r="U15" s="6">
        <f t="shared" si="2"/>
        <v>265.67401873857682</v>
      </c>
      <c r="V15" s="6">
        <f t="shared" si="10"/>
        <v>94.546386293861474</v>
      </c>
      <c r="W15" s="6">
        <f t="shared" si="11"/>
        <v>35.587366330651662</v>
      </c>
      <c r="X15" s="3">
        <v>3.9E-2</v>
      </c>
      <c r="Y15" s="3">
        <f t="shared" si="3"/>
        <v>1.6014932317307564E-3</v>
      </c>
      <c r="Z15" s="6">
        <f t="shared" si="12"/>
        <v>7.8854903707511206E-2</v>
      </c>
      <c r="AA15" s="6">
        <f t="shared" si="13"/>
        <v>1.6414521883272172E-3</v>
      </c>
      <c r="AB15" s="3">
        <f t="shared" ref="AB15:AB19" si="15">$B$10*$B$8/8*(1+0^2)/AA15*100</f>
        <v>43.144251122285525</v>
      </c>
      <c r="AC15" s="27"/>
      <c r="AD15" s="3"/>
      <c r="AE15" s="3" t="s">
        <v>29</v>
      </c>
      <c r="AF15" s="3">
        <f>(AF10-AF13)*1000</f>
        <v>3.5622467289605358E-2</v>
      </c>
      <c r="AG15" s="19"/>
      <c r="AJ15" s="3"/>
      <c r="AK15" s="3"/>
    </row>
    <row r="16" spans="1:37" ht="16.5" thickBot="1" x14ac:dyDescent="0.3">
      <c r="A16" s="3" t="s">
        <v>11</v>
      </c>
      <c r="B16" s="3">
        <f>PI()*B2^2</f>
        <v>0.18292139995419668</v>
      </c>
      <c r="C16" s="3"/>
      <c r="D16" s="3"/>
      <c r="E16" s="3"/>
      <c r="F16" s="3">
        <v>2652</v>
      </c>
      <c r="G16" s="6">
        <f t="shared" si="4"/>
        <v>44.2</v>
      </c>
      <c r="H16" s="6">
        <f t="shared" si="5"/>
        <v>277.71679057733769</v>
      </c>
      <c r="I16" s="3">
        <v>9.5500000000000002E-2</v>
      </c>
      <c r="J16" s="1">
        <f t="shared" si="6"/>
        <v>1263.7590011848272</v>
      </c>
      <c r="K16" s="1">
        <f t="shared" si="0"/>
        <v>1.2320086153482212E-2</v>
      </c>
      <c r="L16" s="3">
        <f t="shared" si="7"/>
        <v>5.2595832569808492</v>
      </c>
      <c r="M16" s="3">
        <f t="shared" si="8"/>
        <v>7.8485941905166098E-2</v>
      </c>
      <c r="N16" s="3">
        <f t="shared" si="9"/>
        <v>1.1878059212607973E-2</v>
      </c>
      <c r="O16" s="3"/>
      <c r="P16" s="3"/>
      <c r="Q16" s="3"/>
      <c r="R16" s="3"/>
      <c r="S16" s="1">
        <v>2652</v>
      </c>
      <c r="T16" s="6">
        <f t="shared" si="1"/>
        <v>44.2</v>
      </c>
      <c r="U16" s="6">
        <f t="shared" si="2"/>
        <v>277.71679057733769</v>
      </c>
      <c r="V16" s="6">
        <f t="shared" si="10"/>
        <v>109.10275227579643</v>
      </c>
      <c r="W16" s="6">
        <f t="shared" si="11"/>
        <v>39.285616130369988</v>
      </c>
      <c r="X16" s="3">
        <v>3.9399999999999998E-2</v>
      </c>
      <c r="Y16" s="3">
        <f t="shared" si="3"/>
        <v>1.6179188033382519E-3</v>
      </c>
      <c r="Z16" s="6">
        <f t="shared" si="12"/>
        <v>7.8485941905166098E-2</v>
      </c>
      <c r="AA16" s="6">
        <f t="shared" si="13"/>
        <v>1.6404529194910178E-3</v>
      </c>
      <c r="AB16" s="3">
        <f t="shared" si="15"/>
        <v>43.170532099383628</v>
      </c>
      <c r="AC16" s="27"/>
      <c r="AD16" s="3"/>
      <c r="AE16" s="19"/>
      <c r="AF16" s="19"/>
      <c r="AG16" s="19"/>
      <c r="AJ16" s="3"/>
      <c r="AK16" s="3"/>
    </row>
    <row r="17" spans="1:37" ht="15.75" x14ac:dyDescent="0.25">
      <c r="A17" s="3"/>
      <c r="B17" s="3"/>
      <c r="C17" s="3"/>
      <c r="D17" s="3"/>
      <c r="E17" s="3"/>
      <c r="F17" s="3">
        <v>2776</v>
      </c>
      <c r="G17" s="6">
        <f t="shared" si="4"/>
        <v>46.266666666666666</v>
      </c>
      <c r="H17" s="6">
        <f t="shared" si="5"/>
        <v>290.70204021217552</v>
      </c>
      <c r="I17" s="3">
        <v>9.5600000000000004E-2</v>
      </c>
      <c r="J17" s="1">
        <f t="shared" si="6"/>
        <v>1386.1513960186787</v>
      </c>
      <c r="K17" s="1">
        <f t="shared" si="0"/>
        <v>1.2332986767255487E-2</v>
      </c>
      <c r="L17" s="3">
        <f t="shared" si="7"/>
        <v>5.5083881659613523</v>
      </c>
      <c r="M17" s="3">
        <f t="shared" si="8"/>
        <v>7.8527023269876622E-2</v>
      </c>
      <c r="N17" s="3">
        <f>$B$10*$B$6/4*($B$4*(2/3+0^2)+$B$5/2*(1+0^2)-M17)</f>
        <v>1.187328201883342E-2</v>
      </c>
      <c r="O17" s="3"/>
      <c r="P17" s="3"/>
      <c r="Q17" s="41" t="s">
        <v>23</v>
      </c>
      <c r="R17" s="42"/>
      <c r="S17" s="1">
        <v>2776</v>
      </c>
      <c r="T17" s="6">
        <f t="shared" si="1"/>
        <v>46.266666666666666</v>
      </c>
      <c r="U17" s="6">
        <f t="shared" si="2"/>
        <v>290.70204021217552</v>
      </c>
      <c r="V17" s="6">
        <f t="shared" si="10"/>
        <v>125.76867822382019</v>
      </c>
      <c r="W17" s="6">
        <f t="shared" si="11"/>
        <v>43.263775559340779</v>
      </c>
      <c r="X17" s="3">
        <v>3.9600000000000003E-2</v>
      </c>
      <c r="Y17" s="3">
        <f t="shared" si="3"/>
        <v>1.6261315891419991E-3</v>
      </c>
      <c r="Z17" s="6">
        <f t="shared" si="12"/>
        <v>7.8527023269876622E-2</v>
      </c>
      <c r="AA17" s="6">
        <f t="shared" si="13"/>
        <v>1.6405657475668856E-3</v>
      </c>
      <c r="AB17" s="3">
        <f t="shared" si="15"/>
        <v>43.167563094283899</v>
      </c>
      <c r="AC17" s="27"/>
      <c r="AD17" s="3"/>
      <c r="AE17" s="19"/>
      <c r="AF17" s="19"/>
      <c r="AG17" s="19"/>
      <c r="AJ17" s="3"/>
      <c r="AK17" s="3"/>
    </row>
    <row r="18" spans="1:37" ht="15.75" x14ac:dyDescent="0.25">
      <c r="A18" s="46" t="s">
        <v>38</v>
      </c>
      <c r="B18" s="46"/>
      <c r="C18" s="46"/>
      <c r="D18" s="3"/>
      <c r="E18" s="3"/>
      <c r="F18" s="3">
        <v>2889</v>
      </c>
      <c r="G18" s="6">
        <f t="shared" si="4"/>
        <v>48.15</v>
      </c>
      <c r="H18" s="6">
        <f t="shared" si="5"/>
        <v>302.53537254069704</v>
      </c>
      <c r="I18" s="3">
        <v>9.64E-2</v>
      </c>
      <c r="J18" s="1">
        <f t="shared" si="6"/>
        <v>1513.860886993574</v>
      </c>
      <c r="K18" s="1">
        <f t="shared" si="0"/>
        <v>1.2436191677441727E-2</v>
      </c>
      <c r="L18" s="3">
        <f t="shared" si="7"/>
        <v>5.7565487577258034</v>
      </c>
      <c r="M18" s="3">
        <f t="shared" si="8"/>
        <v>7.8854903707511206E-2</v>
      </c>
      <c r="N18" s="3">
        <f t="shared" si="9"/>
        <v>1.183515406479629E-2</v>
      </c>
      <c r="O18" s="3"/>
      <c r="P18" s="3"/>
      <c r="Q18" s="15" t="s">
        <v>24</v>
      </c>
      <c r="R18" s="33">
        <f>SLOPE(M4:M28,H4:H28)</f>
        <v>1.8455697475735176E-5</v>
      </c>
      <c r="S18" s="1">
        <v>2889</v>
      </c>
      <c r="T18" s="6">
        <f t="shared" si="1"/>
        <v>48.15</v>
      </c>
      <c r="U18" s="6">
        <f t="shared" si="2"/>
        <v>302.53537254069704</v>
      </c>
      <c r="V18" s="6">
        <f t="shared" si="10"/>
        <v>142.83493669178029</v>
      </c>
      <c r="W18" s="6">
        <f t="shared" si="11"/>
        <v>47.212640126095053</v>
      </c>
      <c r="X18" s="3">
        <v>3.9899999999999998E-2</v>
      </c>
      <c r="Y18" s="3">
        <f t="shared" si="3"/>
        <v>1.63845076784762E-3</v>
      </c>
      <c r="Z18" s="6">
        <f t="shared" si="12"/>
        <v>7.8854903707511206E-2</v>
      </c>
      <c r="AA18" s="6">
        <f t="shared" si="13"/>
        <v>1.6414521883272172E-3</v>
      </c>
      <c r="AB18" s="3">
        <f t="shared" si="15"/>
        <v>43.144251122285525</v>
      </c>
      <c r="AC18" s="27"/>
      <c r="AD18" s="3"/>
      <c r="AE18" s="19"/>
      <c r="AF18" s="19"/>
      <c r="AG18" s="19"/>
      <c r="AJ18" s="3"/>
      <c r="AK18" s="3"/>
    </row>
    <row r="19" spans="1:37" ht="16.5" thickBot="1" x14ac:dyDescent="0.3">
      <c r="A19" s="7" t="s">
        <v>40</v>
      </c>
      <c r="B19" s="7" t="s">
        <v>39</v>
      </c>
      <c r="C19" s="7" t="s">
        <v>41</v>
      </c>
      <c r="D19" s="3" t="s">
        <v>6</v>
      </c>
      <c r="E19" s="3"/>
      <c r="F19" s="3">
        <v>3007</v>
      </c>
      <c r="G19" s="6">
        <f t="shared" si="4"/>
        <v>50.116666666666667</v>
      </c>
      <c r="H19" s="6">
        <f t="shared" si="5"/>
        <v>314.89230364481693</v>
      </c>
      <c r="I19" s="3">
        <v>9.6600000000000005E-2</v>
      </c>
      <c r="J19" s="1">
        <f t="shared" si="6"/>
        <v>1643.4550622322349</v>
      </c>
      <c r="K19" s="1">
        <f>J19*9.81/1000/($B$15*$B$16*(H19*$B$2)^2)</f>
        <v>1.2461992904988287E-2</v>
      </c>
      <c r="L19" s="3">
        <f t="shared" si="7"/>
        <v>5.9978847982511665</v>
      </c>
      <c r="M19" s="3">
        <f t="shared" si="8"/>
        <v>7.8936661016882029E-2</v>
      </c>
      <c r="N19" s="3">
        <f t="shared" si="9"/>
        <v>1.1825646821984309E-2</v>
      </c>
      <c r="O19" s="3"/>
      <c r="P19" s="3"/>
      <c r="Q19" s="17" t="s">
        <v>25</v>
      </c>
      <c r="R19" s="34">
        <f>INTERCEPT(M4:M28,H4:H28)</f>
        <v>7.333601342627806E-2</v>
      </c>
      <c r="S19" s="1">
        <v>3007</v>
      </c>
      <c r="T19" s="6">
        <f t="shared" si="1"/>
        <v>50.116666666666667</v>
      </c>
      <c r="U19" s="6">
        <f t="shared" si="2"/>
        <v>314.89230364481693</v>
      </c>
      <c r="V19" s="6">
        <f>X19*$B$15*T19^3*(2*$B$2)^5</f>
        <v>161.06163571534208</v>
      </c>
      <c r="W19" s="6">
        <f t="shared" si="11"/>
        <v>51.148165214292341</v>
      </c>
      <c r="X19" s="3">
        <v>3.9899999999999998E-2</v>
      </c>
      <c r="Y19" s="3">
        <f>W19/100/($B$15*$B$16*$B$2*(U19*$B$2)^2)</f>
        <v>1.6384507678476202E-3</v>
      </c>
      <c r="Z19" s="6">
        <f t="shared" si="12"/>
        <v>7.8936661016882029E-2</v>
      </c>
      <c r="AA19" s="6">
        <f t="shared" si="13"/>
        <v>1.6416693286764894E-3</v>
      </c>
      <c r="AB19" s="3">
        <f t="shared" si="15"/>
        <v>43.138544517676344</v>
      </c>
      <c r="AC19" s="27"/>
      <c r="AD19" s="40"/>
      <c r="AE19" s="40"/>
      <c r="AF19" s="40"/>
      <c r="AG19" s="40"/>
      <c r="AH19" s="3"/>
      <c r="AI19" s="3"/>
      <c r="AJ19" s="3"/>
      <c r="AK19" s="3"/>
    </row>
    <row r="20" spans="1:37" ht="15.75" x14ac:dyDescent="0.25">
      <c r="A20" s="3">
        <v>0.15</v>
      </c>
      <c r="B20" s="3">
        <v>34.11</v>
      </c>
      <c r="C20" s="3">
        <v>0.112</v>
      </c>
      <c r="D20">
        <f>C20*$B$2</f>
        <v>2.70256E-2</v>
      </c>
      <c r="E20" s="3"/>
      <c r="F20" s="1"/>
      <c r="G20" s="6"/>
      <c r="H20" s="6"/>
      <c r="J20" s="1"/>
      <c r="K20" s="3">
        <f>GEOMEAN(K4:K19)</f>
        <v>1.1997014893426139E-2</v>
      </c>
      <c r="L20" s="3"/>
      <c r="M20" s="3"/>
      <c r="N20" s="3">
        <f>GEOMEAN(N4:N19)</f>
        <v>1.1997014893426141E-2</v>
      </c>
      <c r="O20" s="3"/>
      <c r="P20" s="3"/>
      <c r="Q20" s="3"/>
      <c r="R20" s="3"/>
      <c r="S20" s="1"/>
      <c r="T20" s="6"/>
      <c r="U20" s="1"/>
      <c r="V20" s="6"/>
      <c r="W20" s="6"/>
      <c r="X20" s="1"/>
      <c r="Y20" s="6">
        <f>GEOMEAN(Y4:Y19)</f>
        <v>1.6373650060819078E-3</v>
      </c>
      <c r="Z20" s="3"/>
      <c r="AA20" s="3">
        <f>GEOMEAN(AA4:AA19)</f>
        <v>1.6373638884716467E-3</v>
      </c>
      <c r="AB20" s="3"/>
      <c r="AD20" s="40"/>
      <c r="AE20" s="40"/>
      <c r="AF20" s="40"/>
      <c r="AG20" s="40"/>
      <c r="AH20" s="3"/>
      <c r="AI20" s="3"/>
      <c r="AJ20" s="3"/>
      <c r="AK20" s="3"/>
    </row>
    <row r="21" spans="1:37" ht="15.75" x14ac:dyDescent="0.25">
      <c r="A21" s="3">
        <v>0.2</v>
      </c>
      <c r="B21" s="3">
        <v>42.88</v>
      </c>
      <c r="C21" s="3">
        <v>0.126</v>
      </c>
      <c r="D21" s="38">
        <f t="shared" ref="D21:D37" si="16">C21*$B$2</f>
        <v>3.0403799999999998E-2</v>
      </c>
      <c r="E21" s="3"/>
      <c r="F21" s="2"/>
      <c r="G21" s="6"/>
      <c r="H21" s="6"/>
      <c r="J21" s="1"/>
      <c r="K21" s="1"/>
      <c r="L21" s="3">
        <f>(K20-N20)*1000</f>
        <v>-1.7347234759768071E-15</v>
      </c>
      <c r="M21" s="3"/>
      <c r="N21" s="3"/>
      <c r="O21" s="3"/>
      <c r="P21" s="3"/>
      <c r="Q21" s="3"/>
      <c r="R21" s="3"/>
      <c r="S21" s="1"/>
      <c r="T21" s="6"/>
      <c r="U21" s="1"/>
      <c r="V21" s="6"/>
      <c r="W21" s="6"/>
      <c r="X21" s="1"/>
      <c r="Y21" s="6"/>
      <c r="Z21" s="3">
        <f>(Y20-AA20)*100</f>
        <v>1.1176102610640365E-7</v>
      </c>
      <c r="AA21" s="3"/>
      <c r="AB21" s="3"/>
      <c r="AD21" s="40"/>
      <c r="AE21" s="40"/>
      <c r="AF21" s="40"/>
      <c r="AG21" s="40"/>
      <c r="AH21" s="3"/>
      <c r="AI21" s="3"/>
      <c r="AJ21" s="3"/>
      <c r="AK21" s="3"/>
    </row>
    <row r="22" spans="1:37" ht="15.75" x14ac:dyDescent="0.25">
      <c r="A22" s="3">
        <v>0.25</v>
      </c>
      <c r="B22" s="3">
        <v>40.83</v>
      </c>
      <c r="C22" s="3">
        <v>0.14099999999999999</v>
      </c>
      <c r="D22" s="38">
        <f t="shared" si="16"/>
        <v>3.4023299999999992E-2</v>
      </c>
      <c r="E22" s="3"/>
      <c r="F22" s="1"/>
      <c r="G22" s="6"/>
      <c r="H22" s="6"/>
      <c r="J22" s="1"/>
      <c r="K22" s="1"/>
      <c r="L22" s="3"/>
      <c r="M22" s="3"/>
      <c r="N22" s="3"/>
      <c r="O22" s="3"/>
      <c r="P22" s="3"/>
      <c r="Q22" s="3"/>
      <c r="R22" s="3"/>
      <c r="S22" s="1"/>
      <c r="T22" s="6"/>
      <c r="U22" s="1"/>
      <c r="V22" s="6"/>
      <c r="W22" s="6"/>
      <c r="X22" s="3"/>
      <c r="Y22" s="3"/>
      <c r="Z22" s="3"/>
      <c r="AA22" s="3"/>
      <c r="AB22" s="3"/>
      <c r="AC22" s="3"/>
      <c r="AD22" s="40"/>
      <c r="AE22" s="40"/>
      <c r="AF22" s="40"/>
      <c r="AG22" s="40"/>
      <c r="AH22" s="3"/>
      <c r="AI22" s="3"/>
      <c r="AJ22" s="3"/>
      <c r="AK22" s="3"/>
    </row>
    <row r="23" spans="1:37" ht="15.75" x14ac:dyDescent="0.25">
      <c r="A23" s="3">
        <v>0.3</v>
      </c>
      <c r="B23" s="3">
        <v>35.049999999999997</v>
      </c>
      <c r="C23" s="3">
        <v>0.152</v>
      </c>
      <c r="D23" s="38">
        <f t="shared" si="16"/>
        <v>3.6677599999999998E-2</v>
      </c>
      <c r="E23" s="3"/>
      <c r="F23" s="1"/>
      <c r="G23" s="6"/>
      <c r="H23" s="6"/>
      <c r="J23" s="1"/>
      <c r="K23" s="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1"/>
      <c r="Y23" s="6"/>
      <c r="Z23" s="3"/>
      <c r="AA23" s="3"/>
      <c r="AB23" s="3"/>
      <c r="AC23" s="3"/>
      <c r="AD23" s="40"/>
      <c r="AE23" s="40"/>
      <c r="AF23" s="40"/>
      <c r="AG23" s="40"/>
      <c r="AH23" s="3"/>
      <c r="AI23" s="3"/>
      <c r="AJ23" s="3"/>
      <c r="AK23" s="3"/>
    </row>
    <row r="24" spans="1:37" ht="15.75" x14ac:dyDescent="0.25">
      <c r="A24" s="3">
        <v>0.35</v>
      </c>
      <c r="B24" s="3">
        <v>30.43</v>
      </c>
      <c r="C24" s="3">
        <v>0.158</v>
      </c>
      <c r="D24" s="38">
        <f t="shared" si="16"/>
        <v>3.8125399999999997E-2</v>
      </c>
      <c r="E24" s="3"/>
      <c r="F24" s="1"/>
      <c r="G24" s="6"/>
      <c r="H24" s="6"/>
      <c r="J24" s="1"/>
      <c r="K24" s="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1"/>
      <c r="Y24" s="6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ht="15.75" x14ac:dyDescent="0.25">
      <c r="A25" s="3">
        <v>0.4</v>
      </c>
      <c r="B25" s="3">
        <v>26.83</v>
      </c>
      <c r="C25" s="3">
        <v>0.16</v>
      </c>
      <c r="D25" s="38">
        <f t="shared" si="16"/>
        <v>3.8607999999999996E-2</v>
      </c>
      <c r="E25" s="3"/>
      <c r="F25" s="1"/>
      <c r="G25" s="6"/>
      <c r="H25" s="6"/>
      <c r="J25" s="3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1"/>
      <c r="Y25" s="6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ht="15.75" x14ac:dyDescent="0.25">
      <c r="A26" s="3">
        <v>0.45</v>
      </c>
      <c r="B26" s="3">
        <v>23.97</v>
      </c>
      <c r="C26" s="3">
        <v>0.159</v>
      </c>
      <c r="D26" s="38">
        <f t="shared" si="16"/>
        <v>3.8366699999999997E-2</v>
      </c>
      <c r="E26" s="3"/>
      <c r="F26" s="1"/>
      <c r="G26" s="6"/>
      <c r="H26" s="6"/>
      <c r="J26" s="1"/>
      <c r="K26" s="1"/>
      <c r="L26" s="3"/>
      <c r="M26" s="3"/>
      <c r="N26" s="3"/>
      <c r="R26" s="27"/>
      <c r="S26" s="27"/>
      <c r="T26" s="27"/>
      <c r="X26" s="1"/>
      <c r="Y26" s="6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ht="15.75" x14ac:dyDescent="0.25">
      <c r="A27" s="3">
        <v>0.5</v>
      </c>
      <c r="B27" s="3">
        <v>21.64</v>
      </c>
      <c r="C27" s="3">
        <v>0.154</v>
      </c>
      <c r="D27" s="38">
        <f t="shared" si="16"/>
        <v>3.7160199999999997E-2</v>
      </c>
      <c r="E27" s="3"/>
      <c r="F27" s="1"/>
      <c r="G27" s="6"/>
      <c r="H27" s="6"/>
      <c r="J27" s="1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1"/>
      <c r="Y27" s="6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ht="15.75" x14ac:dyDescent="0.25">
      <c r="A28" s="3">
        <v>0.55000000000000004</v>
      </c>
      <c r="B28" s="3">
        <v>19.73</v>
      </c>
      <c r="C28" s="3">
        <v>0.14699999999999999</v>
      </c>
      <c r="D28" s="38">
        <f t="shared" si="16"/>
        <v>3.5471099999999998E-2</v>
      </c>
      <c r="E28" s="3"/>
      <c r="F28" s="1"/>
      <c r="G28" s="6"/>
      <c r="H28" s="6"/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1"/>
      <c r="Y28" s="6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ht="15.75" x14ac:dyDescent="0.25">
      <c r="A29" s="3">
        <v>0.6</v>
      </c>
      <c r="B29" s="3">
        <v>17.93</v>
      </c>
      <c r="C29" s="3">
        <v>0.13800000000000001</v>
      </c>
      <c r="D29" s="38">
        <f t="shared" si="16"/>
        <v>3.32994E-2</v>
      </c>
      <c r="E29" s="3"/>
      <c r="F29" s="1"/>
      <c r="G29" s="6"/>
      <c r="H29" s="6"/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1"/>
      <c r="Y29" s="6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ht="15.75" x14ac:dyDescent="0.25">
      <c r="A30" s="3">
        <v>0.65</v>
      </c>
      <c r="B30" s="3">
        <v>16.260000000000002</v>
      </c>
      <c r="C30" s="3">
        <v>0.127</v>
      </c>
      <c r="D30" s="38">
        <f t="shared" si="16"/>
        <v>3.0645099999999998E-2</v>
      </c>
      <c r="E30" s="3"/>
      <c r="F30" s="1"/>
      <c r="G30" s="6"/>
      <c r="H30" s="6"/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1"/>
      <c r="Y30" s="6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ht="15.75" x14ac:dyDescent="0.25">
      <c r="A31" s="3">
        <v>0.7</v>
      </c>
      <c r="B31" s="3">
        <v>14.95</v>
      </c>
      <c r="C31" s="3">
        <v>0.114</v>
      </c>
      <c r="D31" s="38">
        <f t="shared" si="16"/>
        <v>2.75082E-2</v>
      </c>
      <c r="E31" s="3"/>
      <c r="F31" s="1"/>
      <c r="G31" s="6"/>
      <c r="H31" s="6"/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1"/>
      <c r="Y31" s="6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ht="15.75" x14ac:dyDescent="0.25">
      <c r="A32" s="3">
        <v>0.75</v>
      </c>
      <c r="B32" s="3">
        <v>13.81</v>
      </c>
      <c r="C32" s="3">
        <v>0.10199999999999999</v>
      </c>
      <c r="D32" s="38">
        <f t="shared" si="16"/>
        <v>2.4612599999999998E-2</v>
      </c>
      <c r="E32" s="3"/>
      <c r="F32" s="1"/>
      <c r="G32" s="6"/>
      <c r="H32" s="6"/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1"/>
      <c r="Y32" s="6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15.75" x14ac:dyDescent="0.25">
      <c r="A33" s="3">
        <v>0.8</v>
      </c>
      <c r="B33" s="3">
        <v>12.98</v>
      </c>
      <c r="C33" s="3">
        <v>8.8999999999999996E-2</v>
      </c>
      <c r="D33" s="38">
        <f t="shared" si="16"/>
        <v>2.1475699999999997E-2</v>
      </c>
      <c r="E33" s="3"/>
      <c r="F33" s="1"/>
      <c r="G33" s="6"/>
      <c r="H33" s="6"/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1"/>
      <c r="Y33" s="6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15.75" x14ac:dyDescent="0.25">
      <c r="A34" s="3">
        <v>0.85</v>
      </c>
      <c r="B34" s="3">
        <v>12.19</v>
      </c>
      <c r="C34" s="3">
        <v>7.6999999999999999E-2</v>
      </c>
      <c r="D34" s="38">
        <f t="shared" si="16"/>
        <v>1.8580099999999999E-2</v>
      </c>
      <c r="E34" s="3"/>
      <c r="F34" s="3"/>
      <c r="G34" s="6"/>
      <c r="H34" s="6"/>
      <c r="J34" s="1"/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1"/>
      <c r="Y34" s="6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15.75" x14ac:dyDescent="0.25">
      <c r="A35" s="27">
        <v>0.9</v>
      </c>
      <c r="B35" s="27">
        <v>11.81</v>
      </c>
      <c r="C35" s="27">
        <v>6.5000000000000002E-2</v>
      </c>
      <c r="D35" s="38">
        <f t="shared" si="16"/>
        <v>1.5684500000000001E-2</v>
      </c>
      <c r="E35" s="3"/>
      <c r="F35" s="3"/>
      <c r="G35" s="3"/>
      <c r="H35" s="3"/>
      <c r="J35" s="1"/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1"/>
      <c r="Y35" s="6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25">
      <c r="A36" s="27">
        <v>0.95</v>
      </c>
      <c r="B36" s="27">
        <v>11.25</v>
      </c>
      <c r="C36" s="27">
        <v>4.9000000000000002E-2</v>
      </c>
      <c r="D36" s="38">
        <f t="shared" si="16"/>
        <v>1.1823699999999999E-2</v>
      </c>
      <c r="R36" s="27"/>
      <c r="S36" s="27"/>
      <c r="T36" s="27"/>
    </row>
    <row r="37" spans="1:37" x14ac:dyDescent="0.25">
      <c r="A37" s="30">
        <v>1</v>
      </c>
      <c r="B37" s="30">
        <v>10.66</v>
      </c>
      <c r="C37" s="30">
        <v>3.2000000000000001E-2</v>
      </c>
      <c r="D37" s="38">
        <f t="shared" si="16"/>
        <v>7.7215999999999995E-3</v>
      </c>
      <c r="R37" s="27"/>
      <c r="S37" s="27"/>
      <c r="T37" s="27"/>
    </row>
    <row r="38" spans="1:37" x14ac:dyDescent="0.25">
      <c r="C38">
        <f>GEOMEAN(C20:C37)</f>
        <v>0.10788075369991944</v>
      </c>
      <c r="D38" s="38">
        <f>GEOMEAN(D20:D37)</f>
        <v>2.6031625867790557E-2</v>
      </c>
      <c r="R38" s="27"/>
      <c r="S38" s="27"/>
      <c r="T38" s="27"/>
    </row>
    <row r="39" spans="1:37" ht="15.75" thickBot="1" x14ac:dyDescent="0.3">
      <c r="R39" s="27"/>
      <c r="S39" s="27"/>
      <c r="T39" s="27"/>
    </row>
    <row r="40" spans="1:37" ht="15.75" x14ac:dyDescent="0.25">
      <c r="A40" s="41" t="s">
        <v>42</v>
      </c>
      <c r="B40" s="42"/>
    </row>
    <row r="41" spans="1:37" ht="15.75" x14ac:dyDescent="0.25">
      <c r="A41" s="15" t="s">
        <v>43</v>
      </c>
      <c r="B41" s="16">
        <f>SLOPE(B20:B37,A20:A37)</f>
        <v>-37.421052631578945</v>
      </c>
    </row>
    <row r="42" spans="1:37" ht="16.5" thickBot="1" x14ac:dyDescent="0.3">
      <c r="A42" s="17" t="s">
        <v>44</v>
      </c>
      <c r="B42" s="18">
        <f>INTERCEPT(B20:B37,A20:A37)</f>
        <v>43.589883040935675</v>
      </c>
    </row>
  </sheetData>
  <mergeCells count="16">
    <mergeCell ref="A18:C18"/>
    <mergeCell ref="A40:B40"/>
    <mergeCell ref="F1:O1"/>
    <mergeCell ref="AE8:AF8"/>
    <mergeCell ref="AE11:AF11"/>
    <mergeCell ref="A1:C1"/>
    <mergeCell ref="A14:B14"/>
    <mergeCell ref="F2:J2"/>
    <mergeCell ref="L2:O2"/>
    <mergeCell ref="AH8:AI8"/>
    <mergeCell ref="AD19:AG23"/>
    <mergeCell ref="Q17:R17"/>
    <mergeCell ref="S2:X2"/>
    <mergeCell ref="Z2:AA2"/>
    <mergeCell ref="Q11:R11"/>
    <mergeCell ref="Q8:R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Hover</vt:lpstr>
      <vt:lpstr>Hover!apce_19x12_geom</vt:lpstr>
      <vt:lpstr>Hover!apce_19x12_static_jb1078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2015-08-28T08:41:47Z</dcterms:modified>
</cp:coreProperties>
</file>