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W15" i="1" l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T23" i="1" l="1"/>
  <c r="D3" i="1" l="1"/>
  <c r="D2" i="1"/>
  <c r="B5" i="1" s="1"/>
  <c r="B4" i="1" l="1"/>
  <c r="H34" i="1" l="1"/>
  <c r="S13" i="1" l="1"/>
  <c r="S14" i="1"/>
  <c r="S15" i="1"/>
  <c r="S16" i="1"/>
  <c r="S17" i="1"/>
  <c r="S18" i="1"/>
  <c r="S19" i="1"/>
  <c r="S20" i="1"/>
  <c r="S21" i="1"/>
  <c r="S22" i="1"/>
  <c r="Q13" i="1"/>
  <c r="Q14" i="1"/>
  <c r="Q15" i="1"/>
  <c r="Q16" i="1"/>
  <c r="Q17" i="1"/>
  <c r="Q18" i="1"/>
  <c r="Q19" i="1"/>
  <c r="Q20" i="1"/>
  <c r="Q21" i="1"/>
  <c r="Q22" i="1"/>
  <c r="F29" i="1" l="1"/>
  <c r="F30" i="1"/>
  <c r="F31" i="1"/>
  <c r="F32" i="1"/>
  <c r="F33" i="1"/>
  <c r="B2" i="1" l="1"/>
  <c r="F26" i="1"/>
  <c r="F27" i="1"/>
  <c r="F2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B3" i="1" l="1"/>
  <c r="B10" i="1" l="1"/>
  <c r="Q5" i="1"/>
  <c r="Q6" i="1"/>
  <c r="Q7" i="1"/>
  <c r="Q8" i="1"/>
  <c r="Q9" i="1"/>
  <c r="Q10" i="1"/>
  <c r="Q11" i="1"/>
  <c r="Q12" i="1"/>
  <c r="Q4" i="1"/>
  <c r="S11" i="1" l="1"/>
  <c r="S9" i="1"/>
  <c r="S10" i="1"/>
  <c r="S12" i="1"/>
  <c r="S5" i="1"/>
  <c r="S6" i="1"/>
  <c r="S7" i="1"/>
  <c r="S8" i="1"/>
  <c r="S4" i="1"/>
  <c r="B16" i="1" l="1"/>
  <c r="T14" i="1" l="1"/>
  <c r="T20" i="1"/>
  <c r="T18" i="1"/>
  <c r="T22" i="1"/>
  <c r="T16" i="1"/>
  <c r="I30" i="1"/>
  <c r="J30" i="1" s="1"/>
  <c r="T21" i="1"/>
  <c r="I32" i="1"/>
  <c r="J32" i="1" s="1"/>
  <c r="H33" i="1"/>
  <c r="T17" i="1"/>
  <c r="H31" i="1"/>
  <c r="I31" i="1"/>
  <c r="J31" i="1" s="1"/>
  <c r="T15" i="1"/>
  <c r="T19" i="1"/>
  <c r="H32" i="1"/>
  <c r="T13" i="1"/>
  <c r="I29" i="1"/>
  <c r="J29" i="1" s="1"/>
  <c r="I33" i="1"/>
  <c r="J33" i="1" s="1"/>
  <c r="H29" i="1"/>
  <c r="H30" i="1"/>
  <c r="H26" i="1"/>
  <c r="I26" i="1"/>
  <c r="J26" i="1" s="1"/>
  <c r="I27" i="1"/>
  <c r="J27" i="1" s="1"/>
  <c r="I28" i="1"/>
  <c r="J28" i="1" s="1"/>
  <c r="H27" i="1"/>
  <c r="H28" i="1"/>
  <c r="I22" i="1"/>
  <c r="J22" i="1" s="1"/>
  <c r="I6" i="1"/>
  <c r="J6" i="1" s="1"/>
  <c r="I9" i="1"/>
  <c r="J9" i="1" s="1"/>
  <c r="I13" i="1"/>
  <c r="J13" i="1" s="1"/>
  <c r="I17" i="1"/>
  <c r="J17" i="1" s="1"/>
  <c r="I10" i="1"/>
  <c r="J10" i="1" s="1"/>
  <c r="I14" i="1"/>
  <c r="J14" i="1" s="1"/>
  <c r="I23" i="1"/>
  <c r="J23" i="1" s="1"/>
  <c r="I7" i="1"/>
  <c r="J7" i="1" s="1"/>
  <c r="I20" i="1"/>
  <c r="J20" i="1" s="1"/>
  <c r="I4" i="1"/>
  <c r="J4" i="1" s="1"/>
  <c r="I11" i="1"/>
  <c r="J11" i="1" s="1"/>
  <c r="I15" i="1"/>
  <c r="J15" i="1" s="1"/>
  <c r="I18" i="1"/>
  <c r="J18" i="1" s="1"/>
  <c r="I24" i="1"/>
  <c r="J24" i="1" s="1"/>
  <c r="H8" i="1"/>
  <c r="I21" i="1"/>
  <c r="J21" i="1" s="1"/>
  <c r="I5" i="1"/>
  <c r="J5" i="1" s="1"/>
  <c r="I8" i="1"/>
  <c r="J8" i="1" s="1"/>
  <c r="I12" i="1"/>
  <c r="J12" i="1" s="1"/>
  <c r="I16" i="1"/>
  <c r="J16" i="1" s="1"/>
  <c r="H19" i="1"/>
  <c r="I25" i="1"/>
  <c r="J25" i="1" s="1"/>
  <c r="I19" i="1"/>
  <c r="J19" i="1" s="1"/>
  <c r="H25" i="1"/>
  <c r="H11" i="1"/>
  <c r="H16" i="1"/>
  <c r="H4" i="1"/>
  <c r="H12" i="1"/>
  <c r="H20" i="1"/>
  <c r="H17" i="1"/>
  <c r="H5" i="1"/>
  <c r="H7" i="1"/>
  <c r="H13" i="1"/>
  <c r="H21" i="1"/>
  <c r="H23" i="1"/>
  <c r="H9" i="1"/>
  <c r="H24" i="1"/>
  <c r="H14" i="1"/>
  <c r="H6" i="1"/>
  <c r="H18" i="1"/>
  <c r="H10" i="1"/>
  <c r="H22" i="1"/>
  <c r="H15" i="1"/>
  <c r="T5" i="1"/>
  <c r="T4" i="1"/>
  <c r="T8" i="1"/>
  <c r="T6" i="1"/>
  <c r="T10" i="1"/>
  <c r="T12" i="1"/>
  <c r="T7" i="1"/>
  <c r="T9" i="1"/>
  <c r="T11" i="1"/>
  <c r="K34" i="1" l="1"/>
  <c r="J35" i="1" s="1"/>
  <c r="AB9" i="1"/>
  <c r="AB10" i="1"/>
  <c r="O10" i="1"/>
  <c r="O9" i="1"/>
  <c r="O18" i="1"/>
  <c r="O19" i="1"/>
  <c r="V4" i="1" s="1"/>
  <c r="V13" i="1" l="1"/>
  <c r="X13" i="1" s="1"/>
  <c r="V20" i="1"/>
  <c r="X20" i="1" s="1"/>
  <c r="V18" i="1"/>
  <c r="X18" i="1" s="1"/>
  <c r="V16" i="1"/>
  <c r="V15" i="1"/>
  <c r="X15" i="1" s="1"/>
  <c r="V21" i="1"/>
  <c r="X21" i="1" s="1"/>
  <c r="V19" i="1"/>
  <c r="X19" i="1" s="1"/>
  <c r="V17" i="1"/>
  <c r="X17" i="1" s="1"/>
  <c r="V14" i="1"/>
  <c r="X14" i="1" s="1"/>
  <c r="V22" i="1"/>
  <c r="X22" i="1" s="1"/>
  <c r="V11" i="1"/>
  <c r="X11" i="1" s="1"/>
  <c r="O12" i="1"/>
  <c r="O14" i="1" s="1"/>
  <c r="O13" i="1"/>
  <c r="O15" i="1" s="1"/>
  <c r="V5" i="1"/>
  <c r="X5" i="1" s="1"/>
  <c r="V10" i="1"/>
  <c r="X10" i="1" s="1"/>
  <c r="V9" i="1"/>
  <c r="X9" i="1" s="1"/>
  <c r="V8" i="1"/>
  <c r="X8" i="1" s="1"/>
  <c r="V6" i="1"/>
  <c r="X6" i="1" s="1"/>
  <c r="V7" i="1"/>
  <c r="X7" i="1" s="1"/>
  <c r="V12" i="1"/>
  <c r="X12" i="1" s="1"/>
  <c r="W23" i="1" l="1"/>
  <c r="V24" i="1" s="1"/>
  <c r="X16" i="1"/>
  <c r="X4" i="1"/>
  <c r="AB13" i="1" l="1"/>
  <c r="AB15" i="1" s="1"/>
  <c r="AB12" i="1"/>
  <c r="AB14" i="1" l="1"/>
</calcChain>
</file>

<file path=xl/sharedStrings.xml><?xml version="1.0" encoding="utf-8"?>
<sst xmlns="http://schemas.openxmlformats.org/spreadsheetml/2006/main" count="62" uniqueCount="46">
  <si>
    <t>Thrust Test</t>
  </si>
  <si>
    <t>Moment Test</t>
  </si>
  <si>
    <t xml:space="preserve">2xRPM </t>
  </si>
  <si>
    <t>Thrust (g)</t>
  </si>
  <si>
    <t>Load (g)</t>
  </si>
  <si>
    <t>Mom (N.cm)</t>
  </si>
  <si>
    <t>rad/s</t>
  </si>
  <si>
    <t>Prop params</t>
  </si>
  <si>
    <t>a</t>
  </si>
  <si>
    <t>c</t>
  </si>
  <si>
    <t>c_d_0</t>
  </si>
  <si>
    <t>C_T test</t>
  </si>
  <si>
    <t>rho</t>
  </si>
  <si>
    <t>Atmos params</t>
  </si>
  <si>
    <t>S</t>
  </si>
  <si>
    <t>inches to m</t>
  </si>
  <si>
    <t>theta_0 (rad)</t>
  </si>
  <si>
    <t xml:space="preserve">theta_1 (rad) </t>
  </si>
  <si>
    <t>TBT</t>
  </si>
  <si>
    <t>Arm (cm)=</t>
  </si>
  <si>
    <t>C_q test</t>
  </si>
  <si>
    <t>Thrust estimation</t>
  </si>
  <si>
    <t>v_i_0</t>
  </si>
  <si>
    <t>lambda_i</t>
  </si>
  <si>
    <t>R (m)</t>
  </si>
  <si>
    <t>pitch (m)</t>
  </si>
  <si>
    <t>C_T theo</t>
  </si>
  <si>
    <t>b</t>
  </si>
  <si>
    <t>sigma</t>
  </si>
  <si>
    <t>C_Q theo</t>
  </si>
  <si>
    <t>Fit Lambda-Omega</t>
  </si>
  <si>
    <t>Slope</t>
  </si>
  <si>
    <t>Intercept</t>
  </si>
  <si>
    <t>Theoretic estimation</t>
  </si>
  <si>
    <t>Aerodynamic model (Blade Element theory) of 10x4.5 prop</t>
  </si>
  <si>
    <t>Fit THEOR C_T-Omega</t>
  </si>
  <si>
    <t>Fit TEST C_T-Omega</t>
  </si>
  <si>
    <t>Slope Diff</t>
  </si>
  <si>
    <t>Inter Diff</t>
  </si>
  <si>
    <t>Unbalanced measure</t>
  </si>
  <si>
    <t>Fit TEST C_Q-Omega</t>
  </si>
  <si>
    <t>Fit THEOR C_Q-Omega</t>
  </si>
  <si>
    <t>Estos datos de Momentos estan mal: se hizo los ensayos mal. Puede verse en que las pendientes de los datos no se ajustan a las pendientes teoricas, por lo que no puede determinarse el corte en el origen</t>
  </si>
  <si>
    <t>% Parasita</t>
  </si>
  <si>
    <t>thtea_root</t>
  </si>
  <si>
    <t>thtea_tip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</si>
</sst>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2" fillId="2" borderId="0" xfId="0" applyFont="1" applyFill="1"/>
    <xf numFmtId="0" fontId="1" fillId="0" borderId="7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/>
    <xf numFmtId="0" fontId="0" fillId="0" borderId="0" xfId="0"/>
    <xf numFmtId="0" fontId="1" fillId="0" borderId="0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C_T vs. omega (rad/s)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Hoja1!$F$4:$F$33</c:f>
              <c:numCache>
                <c:formatCode>General</c:formatCode>
                <c:ptCount val="30"/>
                <c:pt idx="0">
                  <c:v>297.61354405007307</c:v>
                </c:pt>
                <c:pt idx="1">
                  <c:v>320.75660993151791</c:v>
                </c:pt>
                <c:pt idx="2">
                  <c:v>469.17068287485569</c:v>
                </c:pt>
                <c:pt idx="3">
                  <c:v>727.8022980816354</c:v>
                </c:pt>
                <c:pt idx="4">
                  <c:v>870.79712369753076</c:v>
                </c:pt>
                <c:pt idx="5">
                  <c:v>892.10759386438156</c:v>
                </c:pt>
                <c:pt idx="6">
                  <c:v>877.1326688822702</c:v>
                </c:pt>
                <c:pt idx="7">
                  <c:v>434.26235250571705</c:v>
                </c:pt>
                <c:pt idx="8">
                  <c:v>543.3384494383547</c:v>
                </c:pt>
                <c:pt idx="9">
                  <c:v>782.51837013165766</c:v>
                </c:pt>
                <c:pt idx="10">
                  <c:v>948.44682211875852</c:v>
                </c:pt>
                <c:pt idx="11">
                  <c:v>1070.1835374453631</c:v>
                </c:pt>
                <c:pt idx="12">
                  <c:v>1065.4711484649783</c:v>
                </c:pt>
                <c:pt idx="13">
                  <c:v>425.21456566337849</c:v>
                </c:pt>
                <c:pt idx="14">
                  <c:v>564.96307887056457</c:v>
                </c:pt>
                <c:pt idx="15">
                  <c:v>786.44536094864486</c:v>
                </c:pt>
                <c:pt idx="16">
                  <c:v>971.95640714312208</c:v>
                </c:pt>
                <c:pt idx="17">
                  <c:v>994.83767363676782</c:v>
                </c:pt>
                <c:pt idx="18">
                  <c:v>989.54932600322502</c:v>
                </c:pt>
                <c:pt idx="19">
                  <c:v>369.71309544995881</c:v>
                </c:pt>
                <c:pt idx="20">
                  <c:v>467.20718746636209</c:v>
                </c:pt>
                <c:pt idx="21">
                  <c:v>584.85983234329979</c:v>
                </c:pt>
                <c:pt idx="22">
                  <c:v>662.87604990744637</c:v>
                </c:pt>
                <c:pt idx="23">
                  <c:v>719.31999791694295</c:v>
                </c:pt>
                <c:pt idx="24">
                  <c:v>826.97190617995318</c:v>
                </c:pt>
                <c:pt idx="25">
                  <c:v>396.88787190351053</c:v>
                </c:pt>
                <c:pt idx="26">
                  <c:v>491.46551873983123</c:v>
                </c:pt>
                <c:pt idx="27">
                  <c:v>691.35982329999376</c:v>
                </c:pt>
                <c:pt idx="28">
                  <c:v>886.55744684303966</c:v>
                </c:pt>
                <c:pt idx="29">
                  <c:v>998.9217440864345</c:v>
                </c:pt>
              </c:numCache>
            </c:numRef>
          </c:xVal>
          <c:yVal>
            <c:numRef>
              <c:f>Hoja1!$H$4:$H$33</c:f>
              <c:numCache>
                <c:formatCode>General</c:formatCode>
                <c:ptCount val="30"/>
                <c:pt idx="0">
                  <c:v>1.5518911914790403E-2</c:v>
                </c:pt>
                <c:pt idx="1">
                  <c:v>1.5284155450315759E-2</c:v>
                </c:pt>
                <c:pt idx="2">
                  <c:v>1.6585668810186312E-2</c:v>
                </c:pt>
                <c:pt idx="3">
                  <c:v>1.8268902804176378E-2</c:v>
                </c:pt>
                <c:pt idx="4">
                  <c:v>1.8779863655050372E-2</c:v>
                </c:pt>
                <c:pt idx="5">
                  <c:v>1.8929656484974803E-2</c:v>
                </c:pt>
                <c:pt idx="6">
                  <c:v>1.8581014285530079E-2</c:v>
                </c:pt>
                <c:pt idx="7">
                  <c:v>1.6443769676288196E-2</c:v>
                </c:pt>
                <c:pt idx="8">
                  <c:v>1.7209083256213592E-2</c:v>
                </c:pt>
                <c:pt idx="9">
                  <c:v>1.8227772397209428E-2</c:v>
                </c:pt>
                <c:pt idx="10">
                  <c:v>1.8947955885847145E-2</c:v>
                </c:pt>
                <c:pt idx="11">
                  <c:v>1.9587106003721367E-2</c:v>
                </c:pt>
                <c:pt idx="12">
                  <c:v>1.9760749711311355E-2</c:v>
                </c:pt>
                <c:pt idx="13">
                  <c:v>1.6481990651735747E-2</c:v>
                </c:pt>
                <c:pt idx="14">
                  <c:v>1.7398342753224799E-2</c:v>
                </c:pt>
                <c:pt idx="15">
                  <c:v>1.825954586066568E-2</c:v>
                </c:pt>
                <c:pt idx="16">
                  <c:v>1.9346129194616046E-2</c:v>
                </c:pt>
                <c:pt idx="17">
                  <c:v>1.9388652324153651E-2</c:v>
                </c:pt>
                <c:pt idx="18">
                  <c:v>1.9315688386217715E-2</c:v>
                </c:pt>
                <c:pt idx="19">
                  <c:v>1.5446432798256245E-2</c:v>
                </c:pt>
                <c:pt idx="20">
                  <c:v>1.6120836968273551E-2</c:v>
                </c:pt>
                <c:pt idx="21">
                  <c:v>1.6234705896547297E-2</c:v>
                </c:pt>
                <c:pt idx="22">
                  <c:v>1.68925710817277E-2</c:v>
                </c:pt>
                <c:pt idx="23">
                  <c:v>1.7320881011218477E-2</c:v>
                </c:pt>
                <c:pt idx="24">
                  <c:v>1.7526759371068283E-2</c:v>
                </c:pt>
                <c:pt idx="25">
                  <c:v>1.6405476331080558E-2</c:v>
                </c:pt>
                <c:pt idx="26">
                  <c:v>1.689057528238368E-2</c:v>
                </c:pt>
                <c:pt idx="27">
                  <c:v>1.7944979434751783E-2</c:v>
                </c:pt>
                <c:pt idx="28">
                  <c:v>1.8565805520660623E-2</c:v>
                </c:pt>
                <c:pt idx="29">
                  <c:v>1.9395740836738208E-2</c:v>
                </c:pt>
              </c:numCache>
            </c:numRef>
          </c:yVal>
          <c:smooth val="0"/>
        </c:ser>
        <c:ser>
          <c:idx val="1"/>
          <c:order val="1"/>
          <c:tx>
            <c:v>C_T hteor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Hoja1!$F$4:$F$33</c:f>
              <c:numCache>
                <c:formatCode>General</c:formatCode>
                <c:ptCount val="30"/>
                <c:pt idx="0">
                  <c:v>297.61354405007307</c:v>
                </c:pt>
                <c:pt idx="1">
                  <c:v>320.75660993151791</c:v>
                </c:pt>
                <c:pt idx="2">
                  <c:v>469.17068287485569</c:v>
                </c:pt>
                <c:pt idx="3">
                  <c:v>727.8022980816354</c:v>
                </c:pt>
                <c:pt idx="4">
                  <c:v>870.79712369753076</c:v>
                </c:pt>
                <c:pt idx="5">
                  <c:v>892.10759386438156</c:v>
                </c:pt>
                <c:pt idx="6">
                  <c:v>877.1326688822702</c:v>
                </c:pt>
                <c:pt idx="7">
                  <c:v>434.26235250571705</c:v>
                </c:pt>
                <c:pt idx="8">
                  <c:v>543.3384494383547</c:v>
                </c:pt>
                <c:pt idx="9">
                  <c:v>782.51837013165766</c:v>
                </c:pt>
                <c:pt idx="10">
                  <c:v>948.44682211875852</c:v>
                </c:pt>
                <c:pt idx="11">
                  <c:v>1070.1835374453631</c:v>
                </c:pt>
                <c:pt idx="12">
                  <c:v>1065.4711484649783</c:v>
                </c:pt>
                <c:pt idx="13">
                  <c:v>425.21456566337849</c:v>
                </c:pt>
                <c:pt idx="14">
                  <c:v>564.96307887056457</c:v>
                </c:pt>
                <c:pt idx="15">
                  <c:v>786.44536094864486</c:v>
                </c:pt>
                <c:pt idx="16">
                  <c:v>971.95640714312208</c:v>
                </c:pt>
                <c:pt idx="17">
                  <c:v>994.83767363676782</c:v>
                </c:pt>
                <c:pt idx="18">
                  <c:v>989.54932600322502</c:v>
                </c:pt>
                <c:pt idx="19">
                  <c:v>369.71309544995881</c:v>
                </c:pt>
                <c:pt idx="20">
                  <c:v>467.20718746636209</c:v>
                </c:pt>
                <c:pt idx="21">
                  <c:v>584.85983234329979</c:v>
                </c:pt>
                <c:pt idx="22">
                  <c:v>662.87604990744637</c:v>
                </c:pt>
                <c:pt idx="23">
                  <c:v>719.31999791694295</c:v>
                </c:pt>
                <c:pt idx="24">
                  <c:v>826.97190617995318</c:v>
                </c:pt>
                <c:pt idx="25">
                  <c:v>396.88787190351053</c:v>
                </c:pt>
                <c:pt idx="26">
                  <c:v>491.46551873983123</c:v>
                </c:pt>
                <c:pt idx="27">
                  <c:v>691.35982329999376</c:v>
                </c:pt>
                <c:pt idx="28">
                  <c:v>886.55744684303966</c:v>
                </c:pt>
                <c:pt idx="29">
                  <c:v>998.9217440864345</c:v>
                </c:pt>
              </c:numCache>
            </c:numRef>
          </c:xVal>
          <c:yVal>
            <c:numRef>
              <c:f>Hoja1!$K$4:$K$33</c:f>
              <c:numCache>
                <c:formatCode>General</c:formatCode>
                <c:ptCount val="30"/>
                <c:pt idx="0">
                  <c:v>1.9339677541014542E-2</c:v>
                </c:pt>
                <c:pt idx="1">
                  <c:v>1.952715329951921E-2</c:v>
                </c:pt>
                <c:pt idx="2">
                  <c:v>1.8505106506497417E-2</c:v>
                </c:pt>
                <c:pt idx="3">
                  <c:v>1.7241060947517178E-2</c:v>
                </c:pt>
                <c:pt idx="4">
                  <c:v>1.6868984255603466E-2</c:v>
                </c:pt>
                <c:pt idx="5">
                  <c:v>1.6760868803676172E-2</c:v>
                </c:pt>
                <c:pt idx="6">
                  <c:v>1.7013175406533836E-2</c:v>
                </c:pt>
                <c:pt idx="7">
                  <c:v>1.8614540321646025E-2</c:v>
                </c:pt>
                <c:pt idx="8">
                  <c:v>1.8029779933546621E-2</c:v>
                </c:pt>
                <c:pt idx="9">
                  <c:v>1.7271236679455324E-2</c:v>
                </c:pt>
                <c:pt idx="10">
                  <c:v>1.6747690273516202E-2</c:v>
                </c:pt>
                <c:pt idx="11">
                  <c:v>1.6291326494603117E-2</c:v>
                </c:pt>
                <c:pt idx="12">
                  <c:v>1.6168633162525519E-2</c:v>
                </c:pt>
                <c:pt idx="13">
                  <c:v>1.8585017672708561E-2</c:v>
                </c:pt>
                <c:pt idx="14">
                  <c:v>1.7887187643340907E-2</c:v>
                </c:pt>
                <c:pt idx="15">
                  <c:v>1.7247922774852573E-2</c:v>
                </c:pt>
                <c:pt idx="16">
                  <c:v>1.6462500759384793E-2</c:v>
                </c:pt>
                <c:pt idx="17">
                  <c:v>1.6432217953112643E-2</c:v>
                </c:pt>
                <c:pt idx="18">
                  <c:v>1.648419959702653E-2</c:v>
                </c:pt>
                <c:pt idx="19">
                  <c:v>1.9397406884371401E-2</c:v>
                </c:pt>
                <c:pt idx="20">
                  <c:v>1.8865362447094611E-2</c:v>
                </c:pt>
                <c:pt idx="21">
                  <c:v>1.877663602909942E-2</c:v>
                </c:pt>
                <c:pt idx="22">
                  <c:v>1.8270010774207042E-2</c:v>
                </c:pt>
                <c:pt idx="23">
                  <c:v>1.7945454811971982E-2</c:v>
                </c:pt>
                <c:pt idx="24">
                  <c:v>1.7790876950322283E-2</c:v>
                </c:pt>
                <c:pt idx="25">
                  <c:v>1.8644153298459341E-2</c:v>
                </c:pt>
                <c:pt idx="26">
                  <c:v>1.8271532681566362E-2</c:v>
                </c:pt>
                <c:pt idx="27">
                  <c:v>1.7479638990081339E-2</c:v>
                </c:pt>
                <c:pt idx="28">
                  <c:v>1.7024235391177648E-2</c:v>
                </c:pt>
                <c:pt idx="29">
                  <c:v>1.642717310604918E-2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9952"/>
        <c:axId val="46701216"/>
      </c:scatterChart>
      <c:valAx>
        <c:axId val="1685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216"/>
        <c:crosses val="autoZero"/>
        <c:crossBetween val="midCat"/>
      </c:valAx>
      <c:valAx>
        <c:axId val="467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C_Q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61150820918604E-2"/>
          <c:y val="0.15604833593808573"/>
          <c:w val="0.66767783058468577"/>
          <c:h val="0.72402804770445384"/>
        </c:manualLayout>
      </c:layout>
      <c:scatterChart>
        <c:scatterStyle val="lineMarker"/>
        <c:varyColors val="0"/>
        <c:ser>
          <c:idx val="0"/>
          <c:order val="0"/>
          <c:tx>
            <c:v>Test_good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Hoja1!$Q$15:$Q$22</c:f>
              <c:numCache>
                <c:formatCode>General</c:formatCode>
                <c:ptCount val="8"/>
                <c:pt idx="0">
                  <c:v>360.18359773406979</c:v>
                </c:pt>
                <c:pt idx="1">
                  <c:v>456.49697451149888</c:v>
                </c:pt>
                <c:pt idx="2">
                  <c:v>567.94759189147476</c:v>
                </c:pt>
                <c:pt idx="3">
                  <c:v>635.23003455585615</c:v>
                </c:pt>
                <c:pt idx="4">
                  <c:v>692.04050170827168</c:v>
                </c:pt>
                <c:pt idx="5">
                  <c:v>742.14890453302883</c:v>
                </c:pt>
                <c:pt idx="6">
                  <c:v>799.01173156300399</c:v>
                </c:pt>
                <c:pt idx="7">
                  <c:v>796.18429817477329</c:v>
                </c:pt>
              </c:numCache>
            </c:numRef>
          </c:xVal>
          <c:yVal>
            <c:numRef>
              <c:f>Hoja1!$T$15:$T$22</c:f>
              <c:numCache>
                <c:formatCode>General</c:formatCode>
                <c:ptCount val="8"/>
                <c:pt idx="0">
                  <c:v>2.16780929601756E-3</c:v>
                </c:pt>
                <c:pt idx="1">
                  <c:v>2.1086920308375952E-3</c:v>
                </c:pt>
                <c:pt idx="2">
                  <c:v>2.7790899668921373E-3</c:v>
                </c:pt>
                <c:pt idx="3">
                  <c:v>3.310552652980238E-3</c:v>
                </c:pt>
                <c:pt idx="4">
                  <c:v>3.1563443799946743E-3</c:v>
                </c:pt>
                <c:pt idx="5">
                  <c:v>3.3189460503997119E-3</c:v>
                </c:pt>
                <c:pt idx="6">
                  <c:v>3.0285540474136556E-3</c:v>
                </c:pt>
                <c:pt idx="7">
                  <c:v>3.1055588315537334E-3</c:v>
                </c:pt>
              </c:numCache>
            </c:numRef>
          </c:yVal>
          <c:smooth val="0"/>
        </c:ser>
        <c:ser>
          <c:idx val="1"/>
          <c:order val="1"/>
          <c:tx>
            <c:v>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Hoja1!$Q$15:$Q$23</c:f>
              <c:numCache>
                <c:formatCode>General</c:formatCode>
                <c:ptCount val="9"/>
                <c:pt idx="0">
                  <c:v>360.18359773406979</c:v>
                </c:pt>
                <c:pt idx="1">
                  <c:v>456.49697451149888</c:v>
                </c:pt>
                <c:pt idx="2">
                  <c:v>567.94759189147476</c:v>
                </c:pt>
                <c:pt idx="3">
                  <c:v>635.23003455585615</c:v>
                </c:pt>
                <c:pt idx="4">
                  <c:v>692.04050170827168</c:v>
                </c:pt>
                <c:pt idx="5">
                  <c:v>742.14890453302883</c:v>
                </c:pt>
                <c:pt idx="6">
                  <c:v>799.01173156300399</c:v>
                </c:pt>
                <c:pt idx="7">
                  <c:v>796.18429817477329</c:v>
                </c:pt>
              </c:numCache>
            </c:numRef>
          </c:xVal>
          <c:yVal>
            <c:numRef>
              <c:f>Hoja1!$W$15:$W$23</c:f>
              <c:numCache>
                <c:formatCode>General</c:formatCode>
                <c:ptCount val="9"/>
                <c:pt idx="0">
                  <c:v>2.9761610469629229E-3</c:v>
                </c:pt>
                <c:pt idx="1">
                  <c:v>2.9673526175874845E-3</c:v>
                </c:pt>
                <c:pt idx="2">
                  <c:v>2.955719839808879E-3</c:v>
                </c:pt>
                <c:pt idx="3">
                  <c:v>2.9479493312526608E-3</c:v>
                </c:pt>
                <c:pt idx="4">
                  <c:v>2.9409498385100687E-3</c:v>
                </c:pt>
                <c:pt idx="5">
                  <c:v>2.9344429253754917E-3</c:v>
                </c:pt>
                <c:pt idx="6">
                  <c:v>2.9266806430178881E-3</c:v>
                </c:pt>
                <c:pt idx="7">
                  <c:v>2.9270761138248192E-3</c:v>
                </c:pt>
                <c:pt idx="8">
                  <c:v>2.9428482481925265E-3</c:v>
                </c:pt>
              </c:numCache>
            </c:numRef>
          </c:yVal>
          <c:smooth val="0"/>
        </c:ser>
        <c:ser>
          <c:idx val="2"/>
          <c:order val="2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Hoja1!$Q$4:$Q$8</c:f>
              <c:numCache>
                <c:formatCode>General</c:formatCode>
                <c:ptCount val="5"/>
                <c:pt idx="0">
                  <c:v>438.9852134616138</c:v>
                </c:pt>
                <c:pt idx="1">
                  <c:v>691.67398256535284</c:v>
                </c:pt>
                <c:pt idx="2">
                  <c:v>843.67470712153897</c:v>
                </c:pt>
                <c:pt idx="3">
                  <c:v>853.78016349058612</c:v>
                </c:pt>
                <c:pt idx="4">
                  <c:v>737.01763653216551</c:v>
                </c:pt>
              </c:numCache>
            </c:numRef>
          </c:xVal>
          <c:yVal>
            <c:numRef>
              <c:f>Hoja1!$T$4:$T$8</c:f>
              <c:numCache>
                <c:formatCode>General</c:formatCode>
                <c:ptCount val="5"/>
                <c:pt idx="0">
                  <c:v>2.0066510288007239E-3</c:v>
                </c:pt>
                <c:pt idx="1">
                  <c:v>1.3594016708534562E-3</c:v>
                </c:pt>
                <c:pt idx="2">
                  <c:v>1.6298319678698723E-3</c:v>
                </c:pt>
                <c:pt idx="3">
                  <c:v>1.8567248918405386E-3</c:v>
                </c:pt>
                <c:pt idx="4">
                  <c:v>2.4916321119527484E-3</c:v>
                </c:pt>
              </c:numCache>
            </c:numRef>
          </c:yVal>
          <c:smooth val="0"/>
        </c:ser>
        <c:ser>
          <c:idx val="3"/>
          <c:order val="3"/>
          <c:tx>
            <c:v>Test_2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Hoja1!$Q$9:$Q$14</c:f>
              <c:numCache>
                <c:formatCode>General</c:formatCode>
                <c:ptCount val="6"/>
                <c:pt idx="0">
                  <c:v>430.39819354180162</c:v>
                </c:pt>
                <c:pt idx="1">
                  <c:v>570.61794564702609</c:v>
                </c:pt>
                <c:pt idx="2">
                  <c:v>795.45125988893562</c:v>
                </c:pt>
                <c:pt idx="3">
                  <c:v>987.97852967643007</c:v>
                </c:pt>
                <c:pt idx="4">
                  <c:v>996.04195082064382</c:v>
                </c:pt>
                <c:pt idx="5">
                  <c:v>1000.0736613927509</c:v>
                </c:pt>
              </c:numCache>
            </c:numRef>
          </c:xVal>
          <c:yVal>
            <c:numRef>
              <c:f>Hoja1!$T$9:$T$14</c:f>
              <c:numCache>
                <c:formatCode>General</c:formatCode>
                <c:ptCount val="6"/>
                <c:pt idx="0">
                  <c:v>9.488729703281205E-4</c:v>
                </c:pt>
                <c:pt idx="1">
                  <c:v>8.6373016272606597E-4</c:v>
                </c:pt>
                <c:pt idx="2">
                  <c:v>6.94483314213474E-4</c:v>
                </c:pt>
                <c:pt idx="3">
                  <c:v>7.203008593576431E-4</c:v>
                </c:pt>
                <c:pt idx="4">
                  <c:v>8.5042287228767393E-4</c:v>
                </c:pt>
                <c:pt idx="5">
                  <c:v>8.2600530007153619E-4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33536"/>
        <c:axId val="222434096"/>
      </c:scatterChart>
      <c:valAx>
        <c:axId val="2224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4096"/>
        <c:crosses val="autoZero"/>
        <c:crossBetween val="midCat"/>
      </c:valAx>
      <c:valAx>
        <c:axId val="2224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41972229469421"/>
          <c:y val="0.36990571992024301"/>
          <c:w val="0.2625802777053059"/>
          <c:h val="0.3900382405419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</a:t>
            </a:r>
            <a:r>
              <a:rPr lang="en-GB" baseline="0"/>
              <a:t>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943161157173275"/>
                  <c:y val="0.28461755137264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Hoja1!$F$4:$F$33</c:f>
              <c:numCache>
                <c:formatCode>General</c:formatCode>
                <c:ptCount val="30"/>
                <c:pt idx="0">
                  <c:v>297.61354405007307</c:v>
                </c:pt>
                <c:pt idx="1">
                  <c:v>320.75660993151791</c:v>
                </c:pt>
                <c:pt idx="2">
                  <c:v>469.17068287485569</c:v>
                </c:pt>
                <c:pt idx="3">
                  <c:v>727.8022980816354</c:v>
                </c:pt>
                <c:pt idx="4">
                  <c:v>870.79712369753076</c:v>
                </c:pt>
                <c:pt idx="5">
                  <c:v>892.10759386438156</c:v>
                </c:pt>
                <c:pt idx="6">
                  <c:v>877.1326688822702</c:v>
                </c:pt>
                <c:pt idx="7">
                  <c:v>434.26235250571705</c:v>
                </c:pt>
                <c:pt idx="8">
                  <c:v>543.3384494383547</c:v>
                </c:pt>
                <c:pt idx="9">
                  <c:v>782.51837013165766</c:v>
                </c:pt>
                <c:pt idx="10">
                  <c:v>948.44682211875852</c:v>
                </c:pt>
                <c:pt idx="11">
                  <c:v>1070.1835374453631</c:v>
                </c:pt>
                <c:pt idx="12">
                  <c:v>1065.4711484649783</c:v>
                </c:pt>
                <c:pt idx="13">
                  <c:v>425.21456566337849</c:v>
                </c:pt>
                <c:pt idx="14">
                  <c:v>564.96307887056457</c:v>
                </c:pt>
                <c:pt idx="15">
                  <c:v>786.44536094864486</c:v>
                </c:pt>
                <c:pt idx="16">
                  <c:v>971.95640714312208</c:v>
                </c:pt>
                <c:pt idx="17">
                  <c:v>994.83767363676782</c:v>
                </c:pt>
                <c:pt idx="18">
                  <c:v>989.54932600322502</c:v>
                </c:pt>
                <c:pt idx="19">
                  <c:v>369.71309544995881</c:v>
                </c:pt>
                <c:pt idx="20">
                  <c:v>467.20718746636209</c:v>
                </c:pt>
                <c:pt idx="21">
                  <c:v>584.85983234329979</c:v>
                </c:pt>
                <c:pt idx="22">
                  <c:v>662.87604990744637</c:v>
                </c:pt>
                <c:pt idx="23">
                  <c:v>719.31999791694295</c:v>
                </c:pt>
                <c:pt idx="24">
                  <c:v>826.97190617995318</c:v>
                </c:pt>
                <c:pt idx="25">
                  <c:v>396.88787190351053</c:v>
                </c:pt>
                <c:pt idx="26">
                  <c:v>491.46551873983123</c:v>
                </c:pt>
                <c:pt idx="27">
                  <c:v>691.35982329999376</c:v>
                </c:pt>
                <c:pt idx="28">
                  <c:v>886.55744684303966</c:v>
                </c:pt>
                <c:pt idx="29">
                  <c:v>998.9217440864345</c:v>
                </c:pt>
              </c:numCache>
            </c:numRef>
          </c:xVal>
          <c:yVal>
            <c:numRef>
              <c:f>Hoja1!$J$4:$J$33</c:f>
              <c:numCache>
                <c:formatCode>General</c:formatCode>
                <c:ptCount val="30"/>
                <c:pt idx="0">
                  <c:v>8.8087774165290386E-2</c:v>
                </c:pt>
                <c:pt idx="1">
                  <c:v>8.7418978060589791E-2</c:v>
                </c:pt>
                <c:pt idx="2">
                  <c:v>9.1065000988816522E-2</c:v>
                </c:pt>
                <c:pt idx="3">
                  <c:v>9.5574323968774105E-2</c:v>
                </c:pt>
                <c:pt idx="4">
                  <c:v>9.6901660602515913E-2</c:v>
                </c:pt>
                <c:pt idx="5">
                  <c:v>9.7287348830602846E-2</c:v>
                </c:pt>
                <c:pt idx="6">
                  <c:v>9.638727687182079E-2</c:v>
                </c:pt>
                <c:pt idx="7">
                  <c:v>9.0674609666345399E-2</c:v>
                </c:pt>
                <c:pt idx="8">
                  <c:v>9.2760668540641703E-2</c:v>
                </c:pt>
                <c:pt idx="9">
                  <c:v>9.5466675853958141E-2</c:v>
                </c:pt>
                <c:pt idx="10">
                  <c:v>9.7334361573514078E-2</c:v>
                </c:pt>
                <c:pt idx="11">
                  <c:v>9.8962381751151698E-2</c:v>
                </c:pt>
                <c:pt idx="12">
                  <c:v>9.9400074726610138E-2</c:v>
                </c:pt>
                <c:pt idx="13">
                  <c:v>9.0779927989990572E-2</c:v>
                </c:pt>
                <c:pt idx="14">
                  <c:v>9.3269348537514715E-2</c:v>
                </c:pt>
                <c:pt idx="15">
                  <c:v>9.5549845265875968E-2</c:v>
                </c:pt>
                <c:pt idx="16">
                  <c:v>9.8351739167683375E-2</c:v>
                </c:pt>
                <c:pt idx="17">
                  <c:v>9.8459769256670646E-2</c:v>
                </c:pt>
                <c:pt idx="18">
                  <c:v>9.827433130329026E-2</c:v>
                </c:pt>
                <c:pt idx="19">
                  <c:v>8.7881832019639436E-2</c:v>
                </c:pt>
                <c:pt idx="20">
                  <c:v>8.9779833393344943E-2</c:v>
                </c:pt>
                <c:pt idx="21">
                  <c:v>9.0096353690222383E-2</c:v>
                </c:pt>
                <c:pt idx="22">
                  <c:v>9.1903675339258598E-2</c:v>
                </c:pt>
                <c:pt idx="23">
                  <c:v>9.3061487768083942E-2</c:v>
                </c:pt>
                <c:pt idx="24">
                  <c:v>9.3612924778227816E-2</c:v>
                </c:pt>
                <c:pt idx="25">
                  <c:v>9.0568969109404582E-2</c:v>
                </c:pt>
                <c:pt idx="26">
                  <c:v>9.189824612685403E-2</c:v>
                </c:pt>
                <c:pt idx="27">
                  <c:v>9.4723226915978176E-2</c:v>
                </c:pt>
                <c:pt idx="28">
                  <c:v>9.6347821772629155E-2</c:v>
                </c:pt>
                <c:pt idx="29">
                  <c:v>9.8477766111793499E-2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36896"/>
        <c:axId val="222437456"/>
      </c:scatterChart>
      <c:valAx>
        <c:axId val="2224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7456"/>
        <c:crosses val="autoZero"/>
        <c:crossBetween val="midCat"/>
      </c:valAx>
      <c:valAx>
        <c:axId val="2224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295718</xdr:colOff>
      <xdr:row>18</xdr:row>
      <xdr:rowOff>182787</xdr:rowOff>
    </xdr:from>
    <xdr:to>
      <xdr:col>9</xdr:col>
      <xdr:colOff>117950</xdr:colOff>
      <xdr:row>32</xdr:row>
      <xdr:rowOff>104425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66072</xdr:colOff>
      <xdr:row>26</xdr:row>
      <xdr:rowOff>8366</xdr:rowOff>
    </xdr:from>
    <xdr:to>
      <xdr:col>25</xdr:col>
      <xdr:colOff>427717</xdr:colOff>
      <xdr:row>39</xdr:row>
      <xdr:rowOff>180470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154335</xdr:colOff>
      <xdr:row>36</xdr:row>
      <xdr:rowOff>25498</xdr:rowOff>
    </xdr:from>
    <xdr:to>
      <xdr:col>9</xdr:col>
      <xdr:colOff>140147</xdr:colOff>
      <xdr:row>50</xdr:row>
      <xdr:rowOff>75721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B1" zoomScale="70" zoomScaleNormal="70" workbookViewId="0">
      <selection activeCell="V24" sqref="V24"/>
    </sheetView>
  </sheetViews>
  <sheetFormatPr baseColWidth="10" defaultColWidth="9.140625" defaultRowHeight="15" x14ac:dyDescent="0.25"/>
  <cols>
    <col min="1" max="1" width="13" customWidth="1"/>
    <col min="2" max="2" width="8.28515625" customWidth="1"/>
    <col min="3" max="3" width="13" customWidth="1"/>
    <col min="4" max="4" width="8.28515625" customWidth="1"/>
    <col min="7" max="7" width="11" customWidth="1"/>
    <col min="8" max="8" width="9.140625" style="2"/>
    <col min="10" max="10" width="10.42578125" customWidth="1"/>
    <col min="14" max="14" width="10.5703125" customWidth="1"/>
    <col min="15" max="15" width="14.42578125" bestFit="1" customWidth="1"/>
    <col min="19" max="19" width="13.5703125" customWidth="1"/>
    <col min="20" max="20" width="11" style="2" customWidth="1"/>
    <col min="21" max="21" width="4.28515625" customWidth="1"/>
    <col min="22" max="22" width="10.5703125" customWidth="1"/>
    <col min="23" max="23" width="12.85546875" customWidth="1"/>
    <col min="24" max="24" width="12.85546875" style="22" customWidth="1"/>
    <col min="26" max="26" width="14.140625" bestFit="1" customWidth="1"/>
    <col min="27" max="29" width="14.140625" customWidth="1"/>
    <col min="31" max="31" width="14.42578125" bestFit="1" customWidth="1"/>
  </cols>
  <sheetData>
    <row r="1" spans="1:33" ht="15.75" x14ac:dyDescent="0.25">
      <c r="A1" s="29" t="s">
        <v>7</v>
      </c>
      <c r="B1" s="29"/>
      <c r="C1" s="29"/>
      <c r="D1" s="3"/>
      <c r="E1" s="3" t="s">
        <v>34</v>
      </c>
      <c r="F1" s="3"/>
      <c r="G1" s="3"/>
      <c r="H1" s="1"/>
      <c r="I1" s="3"/>
      <c r="J1" s="3"/>
      <c r="K1" s="3"/>
      <c r="L1" s="3"/>
      <c r="M1" s="3"/>
      <c r="N1" s="3" t="s">
        <v>19</v>
      </c>
      <c r="O1" s="3">
        <v>20.3</v>
      </c>
      <c r="P1" s="3"/>
      <c r="Q1" s="3"/>
      <c r="R1" s="3"/>
      <c r="S1" s="3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6.5" thickBot="1" x14ac:dyDescent="0.3">
      <c r="A2" s="3" t="s">
        <v>24</v>
      </c>
      <c r="B2" s="3">
        <f>10*$B$13/2</f>
        <v>0.127</v>
      </c>
      <c r="C2" s="3" t="s">
        <v>44</v>
      </c>
      <c r="D2" s="3">
        <f>RADIANS(21)</f>
        <v>0.36651914291880922</v>
      </c>
      <c r="E2" s="30" t="s">
        <v>0</v>
      </c>
      <c r="F2" s="29"/>
      <c r="G2" s="29"/>
      <c r="H2" s="29"/>
      <c r="I2" s="27" t="s">
        <v>21</v>
      </c>
      <c r="J2" s="27"/>
      <c r="K2" s="27"/>
      <c r="L2" s="28"/>
      <c r="M2" s="3"/>
      <c r="N2" s="3"/>
      <c r="O2" s="3"/>
      <c r="P2" s="26" t="s">
        <v>1</v>
      </c>
      <c r="Q2" s="27"/>
      <c r="R2" s="27"/>
      <c r="S2" s="27"/>
      <c r="T2" s="27"/>
      <c r="U2" s="27" t="s">
        <v>33</v>
      </c>
      <c r="V2" s="27"/>
      <c r="W2" s="28"/>
      <c r="X2" s="2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 x14ac:dyDescent="0.25">
      <c r="A3" s="3" t="s">
        <v>25</v>
      </c>
      <c r="B3" s="3">
        <f>4.5*B13</f>
        <v>0.1143</v>
      </c>
      <c r="C3" s="3" t="s">
        <v>45</v>
      </c>
      <c r="D3" s="3">
        <f>RADIANS(11)</f>
        <v>0.19198621771937624</v>
      </c>
      <c r="E3" s="8" t="s">
        <v>2</v>
      </c>
      <c r="F3" s="8" t="s">
        <v>6</v>
      </c>
      <c r="G3" s="8" t="s">
        <v>3</v>
      </c>
      <c r="H3" s="9" t="s">
        <v>11</v>
      </c>
      <c r="I3" s="8" t="s">
        <v>22</v>
      </c>
      <c r="J3" s="8" t="s">
        <v>23</v>
      </c>
      <c r="K3" s="8" t="s">
        <v>26</v>
      </c>
      <c r="L3" s="8"/>
      <c r="M3" s="3"/>
      <c r="N3" s="3"/>
      <c r="O3" s="3"/>
      <c r="P3" s="5" t="s">
        <v>2</v>
      </c>
      <c r="Q3" s="6" t="s">
        <v>6</v>
      </c>
      <c r="R3" s="5" t="s">
        <v>4</v>
      </c>
      <c r="S3" s="15" t="s">
        <v>5</v>
      </c>
      <c r="T3" s="16" t="s">
        <v>20</v>
      </c>
      <c r="U3" s="8" t="s">
        <v>22</v>
      </c>
      <c r="V3" s="8" t="s">
        <v>23</v>
      </c>
      <c r="W3" s="8" t="s">
        <v>29</v>
      </c>
      <c r="X3" s="7" t="s">
        <v>43</v>
      </c>
      <c r="Y3" s="31" t="s">
        <v>39</v>
      </c>
      <c r="Z3" s="3"/>
      <c r="AA3" s="3"/>
      <c r="AB3" s="16"/>
      <c r="AC3" s="3"/>
      <c r="AD3" s="3"/>
      <c r="AE3" s="3"/>
      <c r="AF3" s="3"/>
      <c r="AG3" s="3"/>
    </row>
    <row r="4" spans="1:33" ht="15.75" x14ac:dyDescent="0.25">
      <c r="A4" s="3" t="s">
        <v>16</v>
      </c>
      <c r="B4" s="3">
        <f>D2</f>
        <v>0.36651914291880922</v>
      </c>
      <c r="C4" s="3"/>
      <c r="D4" s="3"/>
      <c r="E4" s="1">
        <v>5684</v>
      </c>
      <c r="F4" s="7">
        <f>E4/2*2*PI()/60</f>
        <v>297.61354405007307</v>
      </c>
      <c r="G4" s="1">
        <v>125</v>
      </c>
      <c r="H4" s="1">
        <f>G4/1000*9.81/($B$15*$B$16*(F4*$B$2)^2)</f>
        <v>1.5518911914790403E-2</v>
      </c>
      <c r="I4" s="3">
        <f>SQRT(G4/1000*9.81/(2*$B$15*$B$16))</f>
        <v>3.3294465614154465</v>
      </c>
      <c r="J4" s="3">
        <f>I4/(F4*$B$2)</f>
        <v>8.8087774165290386E-2</v>
      </c>
      <c r="K4" s="3">
        <f>$B$10*$B$6/4*($B$4*(2/3+0^2)+$B$5/2*(1+0^2)-J4)</f>
        <v>1.9339677541014542E-2</v>
      </c>
      <c r="L4" s="3"/>
      <c r="M4" s="3"/>
      <c r="N4" s="3"/>
      <c r="O4" s="3"/>
      <c r="P4" s="1">
        <v>8384</v>
      </c>
      <c r="Q4" s="7">
        <f>P4/2*2*PI()/60</f>
        <v>438.9852134616138</v>
      </c>
      <c r="R4" s="1">
        <v>22</v>
      </c>
      <c r="S4" s="7">
        <f t="shared" ref="S4:S12" si="0">R4/1000*9.81*$O$1</f>
        <v>4.3811460000000002</v>
      </c>
      <c r="T4" s="1">
        <f>S4/100/($B$15*$B$16*$B$2*(Q4*$B$2)^2)</f>
        <v>2.0066510288007239E-3</v>
      </c>
      <c r="U4" s="7"/>
      <c r="V4" s="7">
        <f>$O$19+$O$18*Q4</f>
        <v>8.994861241685416E-2</v>
      </c>
      <c r="W4" s="7">
        <f>$B$10*$B$6/4*(2/3*$B$4-V4+$B$5/2)*V4+$B$10*$B$8/8*(1+0^2)</f>
        <v>2.9690399867301001E-3</v>
      </c>
      <c r="X4" s="3">
        <f>$B$10*$B$8/8*(1+0^2)/W4*100</f>
        <v>42.989735809947973</v>
      </c>
      <c r="Y4" s="31"/>
      <c r="Z4" s="3"/>
      <c r="AA4" s="21"/>
      <c r="AB4" s="21"/>
      <c r="AC4" s="21"/>
      <c r="AG4" s="3"/>
    </row>
    <row r="5" spans="1:33" ht="15.75" x14ac:dyDescent="0.25">
      <c r="A5" s="10" t="s">
        <v>17</v>
      </c>
      <c r="B5" s="11">
        <f>D3-D2</f>
        <v>-0.17453292519943298</v>
      </c>
      <c r="C5" s="12"/>
      <c r="D5" s="3"/>
      <c r="E5" s="2">
        <v>6126</v>
      </c>
      <c r="F5" s="7">
        <f t="shared" ref="F5:F33" si="1">E5/2*2*PI()/60</f>
        <v>320.75660993151791</v>
      </c>
      <c r="G5" s="2">
        <v>143</v>
      </c>
      <c r="H5" s="1">
        <f t="shared" ref="H5:H25" si="2">G5/1000*9.81/($B$15*$B$16*(F5*$B$2)^2)</f>
        <v>1.5284155450315759E-2</v>
      </c>
      <c r="I5" s="3">
        <f t="shared" ref="I5:I25" si="3">SQRT(G5/1000*9.81/(2*$B$15*$B$16))</f>
        <v>3.5611073108918503</v>
      </c>
      <c r="J5" s="3">
        <f t="shared" ref="J5:J25" si="4">I5/(F5*$B$2)</f>
        <v>8.7418978060589791E-2</v>
      </c>
      <c r="K5" s="3">
        <f t="shared" ref="K5:K33" si="5">$B$10*$B$6/4*($B$4*(2/3+0^2)+$B$5/2*(1+0^2)-J5)</f>
        <v>1.952715329951921E-2</v>
      </c>
      <c r="L5" s="3"/>
      <c r="M5" s="3"/>
      <c r="N5" s="3"/>
      <c r="O5" s="3"/>
      <c r="P5" s="1">
        <v>13210</v>
      </c>
      <c r="Q5" s="7">
        <f t="shared" ref="Q5:Q22" si="6">P5/2*2*PI()/60</f>
        <v>691.67398256535284</v>
      </c>
      <c r="R5" s="1">
        <v>37</v>
      </c>
      <c r="S5" s="7">
        <f t="shared" si="0"/>
        <v>7.3682910000000001</v>
      </c>
      <c r="T5" s="1">
        <f t="shared" ref="T5:T12" si="7">S5/100/($B$15*$B$16*$B$2*(Q5*$B$2)^2)</f>
        <v>1.3594016708534562E-3</v>
      </c>
      <c r="U5" s="7"/>
      <c r="V5" s="7">
        <f t="shared" ref="V5:V12" si="8">$O$19+$O$18*Q5</f>
        <v>9.3712258500156284E-2</v>
      </c>
      <c r="W5" s="7">
        <f t="shared" ref="W5:W22" si="9">$B$10*$B$6/4*(2/3*$B$4-V5+$B$5/2)*V5+$B$10*$B$8/8*(1+0^2)</f>
        <v>2.9409962830316567E-3</v>
      </c>
      <c r="X5" s="3">
        <f t="shared" ref="X5:X14" si="10">$B$10*$B$8/8*(1+0^2)/W5*100</f>
        <v>43.399662004035441</v>
      </c>
      <c r="Y5" s="31"/>
      <c r="Z5" s="3"/>
      <c r="AA5" s="21"/>
      <c r="AB5" s="21"/>
      <c r="AC5" s="21"/>
      <c r="AG5" s="3"/>
    </row>
    <row r="6" spans="1:33" ht="15.75" x14ac:dyDescent="0.25">
      <c r="A6" s="13" t="s">
        <v>8</v>
      </c>
      <c r="B6" s="7">
        <v>9.7253924998664179</v>
      </c>
      <c r="C6" s="1" t="s">
        <v>18</v>
      </c>
      <c r="D6" s="3"/>
      <c r="E6" s="1">
        <v>8960.5</v>
      </c>
      <c r="F6" s="7">
        <f t="shared" si="1"/>
        <v>469.17068287485569</v>
      </c>
      <c r="G6" s="1">
        <v>332</v>
      </c>
      <c r="H6" s="1">
        <f t="shared" si="2"/>
        <v>1.6585668810186312E-2</v>
      </c>
      <c r="I6" s="3">
        <f t="shared" si="3"/>
        <v>5.4260786448901523</v>
      </c>
      <c r="J6" s="3">
        <f t="shared" si="4"/>
        <v>9.1065000988816522E-2</v>
      </c>
      <c r="K6" s="3">
        <f t="shared" si="5"/>
        <v>1.8505106506497417E-2</v>
      </c>
      <c r="L6" s="3"/>
      <c r="M6" s="3"/>
      <c r="N6" s="3"/>
      <c r="O6" s="3"/>
      <c r="P6" s="1">
        <v>16113</v>
      </c>
      <c r="Q6" s="7">
        <f t="shared" si="6"/>
        <v>843.67470712153897</v>
      </c>
      <c r="R6" s="1">
        <v>66</v>
      </c>
      <c r="S6" s="7">
        <f t="shared" si="0"/>
        <v>13.143438000000002</v>
      </c>
      <c r="T6" s="1">
        <f t="shared" si="7"/>
        <v>1.6298319678698723E-3</v>
      </c>
      <c r="U6" s="7"/>
      <c r="V6" s="7">
        <f t="shared" si="8"/>
        <v>9.5976217178114429E-2</v>
      </c>
      <c r="W6" s="7">
        <f t="shared" si="9"/>
        <v>2.9203017672053146E-3</v>
      </c>
      <c r="X6" s="3">
        <f t="shared" si="10"/>
        <v>43.707210697217207</v>
      </c>
      <c r="Y6" s="31"/>
      <c r="Z6" s="3"/>
      <c r="AA6" s="21"/>
      <c r="AB6" s="21"/>
      <c r="AC6" s="21"/>
      <c r="AG6" s="3"/>
    </row>
    <row r="7" spans="1:33" ht="16.5" thickBot="1" x14ac:dyDescent="0.3">
      <c r="A7" s="13" t="s">
        <v>9</v>
      </c>
      <c r="B7" s="7">
        <v>2.3E-2</v>
      </c>
      <c r="C7" s="1" t="s">
        <v>18</v>
      </c>
      <c r="D7" s="3"/>
      <c r="E7" s="1">
        <v>13900</v>
      </c>
      <c r="F7" s="7">
        <f t="shared" si="1"/>
        <v>727.8022980816354</v>
      </c>
      <c r="G7" s="1">
        <v>880</v>
      </c>
      <c r="H7" s="1">
        <f t="shared" si="2"/>
        <v>1.8268902804176378E-2</v>
      </c>
      <c r="I7" s="3">
        <f t="shared" si="3"/>
        <v>8.8340200030032108</v>
      </c>
      <c r="J7" s="3">
        <f t="shared" si="4"/>
        <v>9.5574323968774105E-2</v>
      </c>
      <c r="K7" s="3">
        <f t="shared" si="5"/>
        <v>1.7241060947517178E-2</v>
      </c>
      <c r="L7" s="3"/>
      <c r="M7" s="3"/>
      <c r="N7" s="3"/>
      <c r="O7" s="3"/>
      <c r="P7" s="1">
        <v>16306</v>
      </c>
      <c r="Q7" s="7">
        <f t="shared" si="6"/>
        <v>853.78016349058612</v>
      </c>
      <c r="R7" s="1">
        <v>77</v>
      </c>
      <c r="S7" s="7">
        <f t="shared" si="0"/>
        <v>15.334011</v>
      </c>
      <c r="T7" s="1">
        <f t="shared" si="7"/>
        <v>1.8567248918405386E-3</v>
      </c>
      <c r="U7" s="7"/>
      <c r="V7" s="7">
        <f t="shared" si="8"/>
        <v>9.6126731826700701E-2</v>
      </c>
      <c r="W7" s="7">
        <f t="shared" si="9"/>
        <v>2.9188240633036058E-3</v>
      </c>
      <c r="X7" s="3">
        <f t="shared" si="10"/>
        <v>43.729338209660348</v>
      </c>
      <c r="Y7" s="31"/>
      <c r="Z7" s="3"/>
      <c r="AA7" s="21"/>
      <c r="AB7" s="21"/>
      <c r="AC7" s="21"/>
      <c r="AG7" s="3"/>
    </row>
    <row r="8" spans="1:33" ht="15.75" x14ac:dyDescent="0.25">
      <c r="A8" s="14" t="s">
        <v>10</v>
      </c>
      <c r="B8" s="8">
        <v>8.8565906439307895E-2</v>
      </c>
      <c r="C8" s="9" t="s">
        <v>18</v>
      </c>
      <c r="D8" s="3"/>
      <c r="E8" s="1">
        <v>16631</v>
      </c>
      <c r="F8" s="7">
        <f t="shared" si="1"/>
        <v>870.79712369753076</v>
      </c>
      <c r="G8" s="1">
        <v>1295</v>
      </c>
      <c r="H8" s="1">
        <f t="shared" si="2"/>
        <v>1.8779863655050372E-2</v>
      </c>
      <c r="I8" s="3">
        <f t="shared" si="3"/>
        <v>10.71647429144152</v>
      </c>
      <c r="J8" s="3">
        <f t="shared" si="4"/>
        <v>9.6901660602515913E-2</v>
      </c>
      <c r="K8" s="3">
        <f t="shared" si="5"/>
        <v>1.6868984255603466E-2</v>
      </c>
      <c r="L8" s="3"/>
      <c r="M8" s="3"/>
      <c r="N8" s="24" t="s">
        <v>36</v>
      </c>
      <c r="O8" s="25"/>
      <c r="P8" s="1">
        <v>14076</v>
      </c>
      <c r="Q8" s="7">
        <f t="shared" si="6"/>
        <v>737.01763653216551</v>
      </c>
      <c r="R8" s="1">
        <v>77</v>
      </c>
      <c r="S8" s="7">
        <f t="shared" si="0"/>
        <v>15.334011</v>
      </c>
      <c r="T8" s="1">
        <f t="shared" si="7"/>
        <v>2.4916321119527484E-3</v>
      </c>
      <c r="U8" s="7"/>
      <c r="V8" s="7">
        <f t="shared" si="8"/>
        <v>9.4387624747180654E-2</v>
      </c>
      <c r="W8" s="7">
        <f t="shared" si="9"/>
        <v>2.9351236070751276E-3</v>
      </c>
      <c r="X8" s="3">
        <f t="shared" si="10"/>
        <v>43.486497240193202</v>
      </c>
      <c r="Y8" s="31"/>
      <c r="Z8" s="8"/>
      <c r="AA8" s="24" t="s">
        <v>40</v>
      </c>
      <c r="AB8" s="25"/>
      <c r="AC8" s="21"/>
      <c r="AD8" s="33"/>
      <c r="AE8" s="33"/>
      <c r="AG8" s="3"/>
    </row>
    <row r="9" spans="1:33" ht="15.75" x14ac:dyDescent="0.25">
      <c r="A9" s="3" t="s">
        <v>27</v>
      </c>
      <c r="B9" s="3">
        <v>2</v>
      </c>
      <c r="C9" s="3"/>
      <c r="D9" s="3"/>
      <c r="E9" s="1">
        <v>17038</v>
      </c>
      <c r="F9" s="7">
        <f t="shared" si="1"/>
        <v>892.10759386438156</v>
      </c>
      <c r="G9" s="1">
        <v>1370</v>
      </c>
      <c r="H9" s="1">
        <f t="shared" si="2"/>
        <v>1.8929656484974803E-2</v>
      </c>
      <c r="I9" s="3">
        <f t="shared" si="3"/>
        <v>11.022429400196661</v>
      </c>
      <c r="J9" s="3">
        <f t="shared" si="4"/>
        <v>9.7287348830602846E-2</v>
      </c>
      <c r="K9" s="3">
        <f t="shared" si="5"/>
        <v>1.6760868803676172E-2</v>
      </c>
      <c r="L9" s="3"/>
      <c r="M9" s="3"/>
      <c r="N9" s="17" t="s">
        <v>31</v>
      </c>
      <c r="O9" s="18">
        <f>SLOPE(H4:H28,F4:F28)</f>
        <v>5.578797248786947E-6</v>
      </c>
      <c r="P9" s="1">
        <v>8220</v>
      </c>
      <c r="Q9" s="7">
        <f t="shared" si="6"/>
        <v>430.39819354180162</v>
      </c>
      <c r="R9" s="1">
        <v>10</v>
      </c>
      <c r="S9" s="7">
        <f t="shared" si="0"/>
        <v>1.9914300000000003</v>
      </c>
      <c r="T9" s="1">
        <f t="shared" si="7"/>
        <v>9.488729703281205E-4</v>
      </c>
      <c r="U9" s="7"/>
      <c r="V9" s="7">
        <f t="shared" si="8"/>
        <v>8.9820713958988108E-2</v>
      </c>
      <c r="W9" s="7">
        <f t="shared" si="9"/>
        <v>2.9698534638184773E-3</v>
      </c>
      <c r="X9" s="3">
        <f t="shared" si="10"/>
        <v>42.977960425895247</v>
      </c>
      <c r="Y9" s="31"/>
      <c r="Z9" s="3"/>
      <c r="AA9" s="17" t="s">
        <v>31</v>
      </c>
      <c r="AB9" s="18">
        <f>SLOPE(T4:T8,Q4:Q8)</f>
        <v>-3.9711155886313597E-7</v>
      </c>
      <c r="AC9" s="21"/>
      <c r="AG9" s="3"/>
    </row>
    <row r="10" spans="1:33" ht="16.5" thickBot="1" x14ac:dyDescent="0.3">
      <c r="A10" s="3" t="s">
        <v>28</v>
      </c>
      <c r="B10" s="3">
        <f>B9*B7/(PI()*B2)</f>
        <v>0.11529334460200293</v>
      </c>
      <c r="C10" s="3"/>
      <c r="D10" s="3"/>
      <c r="E10" s="1">
        <v>16752</v>
      </c>
      <c r="F10" s="7">
        <f t="shared" si="1"/>
        <v>877.1326688822702</v>
      </c>
      <c r="G10" s="2">
        <v>1300</v>
      </c>
      <c r="H10" s="1">
        <f t="shared" si="2"/>
        <v>1.8581014285530079E-2</v>
      </c>
      <c r="I10" s="3">
        <f t="shared" si="3"/>
        <v>10.73714253492706</v>
      </c>
      <c r="J10" s="3">
        <f t="shared" si="4"/>
        <v>9.638727687182079E-2</v>
      </c>
      <c r="K10" s="3">
        <f t="shared" si="5"/>
        <v>1.7013175406533836E-2</v>
      </c>
      <c r="L10" s="3"/>
      <c r="M10" s="3"/>
      <c r="N10" s="19" t="s">
        <v>32</v>
      </c>
      <c r="O10" s="20">
        <f>INTERCEPT(H4:H28,F4:F28)</f>
        <v>1.3732638957480059E-2</v>
      </c>
      <c r="P10" s="1">
        <v>10898</v>
      </c>
      <c r="Q10" s="7">
        <f t="shared" si="6"/>
        <v>570.61794564702609</v>
      </c>
      <c r="R10" s="1">
        <v>16</v>
      </c>
      <c r="S10" s="7">
        <f t="shared" si="0"/>
        <v>3.1862880000000002</v>
      </c>
      <c r="T10" s="1">
        <f t="shared" si="7"/>
        <v>8.6373016272606597E-4</v>
      </c>
      <c r="U10" s="7"/>
      <c r="V10" s="7">
        <f t="shared" si="8"/>
        <v>9.1909202191703218E-2</v>
      </c>
      <c r="W10" s="7">
        <f t="shared" si="9"/>
        <v>2.9554221678058327E-3</v>
      </c>
      <c r="X10" s="3">
        <f t="shared" si="10"/>
        <v>43.187821364099648</v>
      </c>
      <c r="Y10" s="31"/>
      <c r="Z10" s="3"/>
      <c r="AA10" s="19" t="s">
        <v>32</v>
      </c>
      <c r="AB10" s="20">
        <f>INTERCEPT(T4:T8,Q4:Q8)</f>
        <v>2.1519993359032132E-3</v>
      </c>
      <c r="AC10" s="21"/>
      <c r="AG10" s="3"/>
    </row>
    <row r="11" spans="1:33" ht="15.75" x14ac:dyDescent="0.25">
      <c r="C11" s="3"/>
      <c r="D11" s="3"/>
      <c r="E11" s="2">
        <v>8293.7999999999993</v>
      </c>
      <c r="F11" s="7">
        <f t="shared" si="1"/>
        <v>434.26235250571705</v>
      </c>
      <c r="G11" s="1">
        <v>282</v>
      </c>
      <c r="H11" s="1">
        <f t="shared" si="2"/>
        <v>1.6443769676288196E-2</v>
      </c>
      <c r="I11" s="3">
        <f t="shared" si="3"/>
        <v>5.000824301893088</v>
      </c>
      <c r="J11" s="3">
        <f t="shared" si="4"/>
        <v>9.0674609666345399E-2</v>
      </c>
      <c r="K11" s="3">
        <f t="shared" si="5"/>
        <v>1.8614540321646025E-2</v>
      </c>
      <c r="L11" s="3"/>
      <c r="M11" s="3"/>
      <c r="N11" s="24" t="s">
        <v>35</v>
      </c>
      <c r="O11" s="25"/>
      <c r="P11" s="1">
        <v>15192</v>
      </c>
      <c r="Q11" s="7">
        <f t="shared" si="6"/>
        <v>795.45125988893562</v>
      </c>
      <c r="R11" s="1">
        <v>25</v>
      </c>
      <c r="S11" s="7">
        <f t="shared" si="0"/>
        <v>4.9785750000000011</v>
      </c>
      <c r="T11" s="1">
        <f t="shared" si="7"/>
        <v>6.94483314213474E-4</v>
      </c>
      <c r="U11" s="7"/>
      <c r="V11" s="7">
        <f t="shared" si="8"/>
        <v>9.52579581555862E-2</v>
      </c>
      <c r="W11" s="7">
        <f t="shared" si="9"/>
        <v>2.9271784809885254E-3</v>
      </c>
      <c r="X11" s="3">
        <f t="shared" si="10"/>
        <v>43.604530939156895</v>
      </c>
      <c r="Y11" s="31"/>
      <c r="Z11" s="3"/>
      <c r="AA11" s="24" t="s">
        <v>41</v>
      </c>
      <c r="AB11" s="25"/>
      <c r="AC11" s="21"/>
      <c r="AG11" s="3"/>
    </row>
    <row r="12" spans="1:33" ht="15.75" x14ac:dyDescent="0.25">
      <c r="A12" s="3"/>
      <c r="B12" s="3"/>
      <c r="C12" s="3"/>
      <c r="D12" s="3"/>
      <c r="E12" s="1">
        <v>10377</v>
      </c>
      <c r="F12" s="7">
        <f t="shared" si="1"/>
        <v>543.3384494383547</v>
      </c>
      <c r="G12" s="1">
        <v>462</v>
      </c>
      <c r="H12" s="1">
        <f t="shared" si="2"/>
        <v>1.7209083256213592E-2</v>
      </c>
      <c r="I12" s="3">
        <f t="shared" si="3"/>
        <v>6.4008556023446532</v>
      </c>
      <c r="J12" s="3">
        <f t="shared" si="4"/>
        <v>9.2760668540641703E-2</v>
      </c>
      <c r="K12" s="3">
        <f t="shared" si="5"/>
        <v>1.8029779933546621E-2</v>
      </c>
      <c r="L12" s="3"/>
      <c r="M12" s="3"/>
      <c r="N12" s="17" t="s">
        <v>31</v>
      </c>
      <c r="O12" s="18">
        <f>SLOPE(K4:K28,F4:F28)</f>
        <v>-4.1751705649728392E-6</v>
      </c>
      <c r="P12" s="1">
        <v>18869</v>
      </c>
      <c r="Q12" s="7">
        <f t="shared" si="6"/>
        <v>987.97852967643007</v>
      </c>
      <c r="R12" s="1">
        <v>40</v>
      </c>
      <c r="S12" s="7">
        <f t="shared" si="0"/>
        <v>7.965720000000001</v>
      </c>
      <c r="T12" s="1">
        <f t="shared" si="7"/>
        <v>7.203008593576431E-4</v>
      </c>
      <c r="U12" s="7"/>
      <c r="V12" s="7">
        <f t="shared" si="8"/>
        <v>9.8125535165180452E-2</v>
      </c>
      <c r="W12" s="7">
        <f t="shared" si="9"/>
        <v>2.8979961965843724E-3</v>
      </c>
      <c r="X12" s="3">
        <f t="shared" si="10"/>
        <v>44.043620481329491</v>
      </c>
      <c r="Y12" s="31"/>
      <c r="Z12" s="3"/>
      <c r="AA12" s="17" t="s">
        <v>31</v>
      </c>
      <c r="AB12" s="18">
        <f>SLOPE(W4:W8,Q4:Q8)</f>
        <v>-1.2078991785812297E-7</v>
      </c>
      <c r="AC12" s="21"/>
      <c r="AG12" s="3"/>
    </row>
    <row r="13" spans="1:33" ht="16.5" thickBot="1" x14ac:dyDescent="0.3">
      <c r="A13" s="4" t="s">
        <v>15</v>
      </c>
      <c r="B13" s="4">
        <v>2.5399999999999999E-2</v>
      </c>
      <c r="C13" s="3"/>
      <c r="D13" s="3"/>
      <c r="E13" s="1">
        <v>14945</v>
      </c>
      <c r="F13" s="7">
        <f t="shared" si="1"/>
        <v>782.51837013165766</v>
      </c>
      <c r="G13" s="1">
        <v>1015</v>
      </c>
      <c r="H13" s="1">
        <f t="shared" si="2"/>
        <v>1.8227772397209428E-2</v>
      </c>
      <c r="I13" s="3">
        <f t="shared" si="3"/>
        <v>9.4874623040730786</v>
      </c>
      <c r="J13" s="3">
        <f t="shared" si="4"/>
        <v>9.5466675853958141E-2</v>
      </c>
      <c r="K13" s="3">
        <f t="shared" si="5"/>
        <v>1.7271236679455324E-2</v>
      </c>
      <c r="L13" s="3"/>
      <c r="M13" s="3"/>
      <c r="N13" s="19" t="s">
        <v>32</v>
      </c>
      <c r="O13" s="20">
        <f>INTERCEPT(K4:K28,F4:F28)</f>
        <v>2.0650888747072601E-2</v>
      </c>
      <c r="P13" s="1">
        <v>19023</v>
      </c>
      <c r="Q13" s="7">
        <f t="shared" si="6"/>
        <v>996.04195082064382</v>
      </c>
      <c r="R13" s="1">
        <v>48</v>
      </c>
      <c r="S13" s="7">
        <f t="shared" ref="S13:S22" si="11">R13/1000*9.81*$O$1</f>
        <v>9.5588640000000016</v>
      </c>
      <c r="T13" s="1">
        <f t="shared" ref="T13:T22" si="12">S13/100/($B$15*$B$16*$B$2*(Q13*$B$2)^2)</f>
        <v>8.5042287228767393E-4</v>
      </c>
      <c r="U13" s="7"/>
      <c r="V13" s="7">
        <f t="shared" ref="V13:V22" si="13">$O$19+$O$18*Q13</f>
        <v>9.8245634936591261E-2</v>
      </c>
      <c r="W13" s="7">
        <f t="shared" si="9"/>
        <v>2.896673401453314E-3</v>
      </c>
      <c r="X13" s="3">
        <f t="shared" si="10"/>
        <v>44.06373344494412</v>
      </c>
      <c r="Y13" s="31"/>
      <c r="Z13" s="3"/>
      <c r="AA13" s="19" t="s">
        <v>32</v>
      </c>
      <c r="AB13" s="20">
        <f>INTERCEPT(W4:W8,Q4:Q8)</f>
        <v>3.0229835345850506E-3</v>
      </c>
      <c r="AC13" s="21"/>
      <c r="AF13" s="3"/>
      <c r="AG13" s="3"/>
    </row>
    <row r="14" spans="1:33" ht="15.75" x14ac:dyDescent="0.25">
      <c r="A14" s="29" t="s">
        <v>13</v>
      </c>
      <c r="B14" s="29"/>
      <c r="C14" s="3"/>
      <c r="D14" s="3"/>
      <c r="E14" s="1">
        <v>18114</v>
      </c>
      <c r="F14" s="7">
        <f t="shared" si="1"/>
        <v>948.44682211875852</v>
      </c>
      <c r="G14" s="1">
        <v>1550</v>
      </c>
      <c r="H14" s="1">
        <f t="shared" si="2"/>
        <v>1.8947955885847145E-2</v>
      </c>
      <c r="I14" s="3">
        <f t="shared" si="3"/>
        <v>11.724191171504419</v>
      </c>
      <c r="J14" s="3">
        <f t="shared" si="4"/>
        <v>9.7334361573514078E-2</v>
      </c>
      <c r="K14" s="3">
        <f t="shared" si="5"/>
        <v>1.6747690273516202E-2</v>
      </c>
      <c r="L14" s="3"/>
      <c r="M14" s="3"/>
      <c r="N14" s="3" t="s">
        <v>37</v>
      </c>
      <c r="O14" s="3">
        <f>(O9-O12)*10000</f>
        <v>9.7539678137597868E-2</v>
      </c>
      <c r="P14" s="9">
        <v>19100</v>
      </c>
      <c r="Q14" s="8">
        <f t="shared" si="6"/>
        <v>1000.0736613927509</v>
      </c>
      <c r="R14" s="9">
        <v>47</v>
      </c>
      <c r="S14" s="8">
        <f t="shared" si="11"/>
        <v>9.3597210000000004</v>
      </c>
      <c r="T14" s="9">
        <f t="shared" si="12"/>
        <v>8.2600530007153619E-4</v>
      </c>
      <c r="U14" s="8"/>
      <c r="V14" s="8">
        <f>$O$19+$O$18*Q14</f>
        <v>9.8305684822296666E-2</v>
      </c>
      <c r="W14" s="7">
        <f t="shared" si="9"/>
        <v>2.896008971414319E-3</v>
      </c>
      <c r="X14" s="3">
        <f t="shared" si="10"/>
        <v>44.073842967538859</v>
      </c>
      <c r="Y14" s="32"/>
      <c r="Z14" s="3"/>
      <c r="AA14" s="3" t="s">
        <v>37</v>
      </c>
      <c r="AB14" s="3">
        <f>(AB9-AB12)*10000</f>
        <v>-2.7632164100501299E-3</v>
      </c>
      <c r="AC14" s="21"/>
      <c r="AF14" s="3"/>
      <c r="AG14" s="3"/>
    </row>
    <row r="15" spans="1:33" ht="15.75" x14ac:dyDescent="0.25">
      <c r="A15" s="3" t="s">
        <v>12</v>
      </c>
      <c r="B15" s="3">
        <v>1.0915600000000001</v>
      </c>
      <c r="C15" s="3"/>
      <c r="D15" s="3"/>
      <c r="E15" s="1">
        <v>20439</v>
      </c>
      <c r="F15" s="7">
        <f t="shared" si="1"/>
        <v>1070.1835374453631</v>
      </c>
      <c r="G15" s="1">
        <v>2040</v>
      </c>
      <c r="H15" s="1">
        <f t="shared" si="2"/>
        <v>1.9587106003721367E-2</v>
      </c>
      <c r="I15" s="3">
        <f t="shared" si="3"/>
        <v>13.450304795611178</v>
      </c>
      <c r="J15" s="3">
        <f t="shared" si="4"/>
        <v>9.8962381751151698E-2</v>
      </c>
      <c r="K15" s="3">
        <f t="shared" si="5"/>
        <v>1.6291326494603117E-2</v>
      </c>
      <c r="L15" s="3"/>
      <c r="M15" s="3"/>
      <c r="N15" s="3" t="s">
        <v>38</v>
      </c>
      <c r="O15" s="3">
        <f>O10-O13</f>
        <v>-6.918249789592542E-3</v>
      </c>
      <c r="P15" s="1">
        <v>6879</v>
      </c>
      <c r="Q15" s="7">
        <f t="shared" si="6"/>
        <v>360.18359773406979</v>
      </c>
      <c r="R15" s="1">
        <v>16</v>
      </c>
      <c r="S15" s="7">
        <f t="shared" si="11"/>
        <v>3.1862880000000002</v>
      </c>
      <c r="T15" s="1">
        <f t="shared" si="12"/>
        <v>2.16780929601756E-3</v>
      </c>
      <c r="U15" s="3"/>
      <c r="V15" s="3">
        <f t="shared" si="13"/>
        <v>8.8774910105339513E-2</v>
      </c>
      <c r="W15" s="7">
        <f>$B$10*$B$6/4*(2/3*$B$4-V15+$B$5/2)*V15+$B$10*$B$8/8*(1+0^2)</f>
        <v>2.9761610469629229E-3</v>
      </c>
      <c r="X15" s="3">
        <f t="shared" ref="X15:X22" si="14">$B$10*$B$8/8*(1+0^2)/W15*100</f>
        <v>42.886874273470241</v>
      </c>
      <c r="Y15" s="3"/>
      <c r="Z15" s="3"/>
      <c r="AA15" s="3" t="s">
        <v>38</v>
      </c>
      <c r="AB15" s="3">
        <f>(AB10-AB13)*1000</f>
        <v>-0.87098419868183752</v>
      </c>
      <c r="AC15" s="21"/>
      <c r="AF15" s="3"/>
      <c r="AG15" s="3"/>
    </row>
    <row r="16" spans="1:33" ht="16.5" thickBot="1" x14ac:dyDescent="0.3">
      <c r="A16" s="3" t="s">
        <v>14</v>
      </c>
      <c r="B16" s="3">
        <f>PI()*B2^2</f>
        <v>5.0670747909749778E-2</v>
      </c>
      <c r="C16" s="3"/>
      <c r="D16" s="3"/>
      <c r="E16" s="1">
        <v>20349</v>
      </c>
      <c r="F16" s="7">
        <f t="shared" si="1"/>
        <v>1065.4711484649783</v>
      </c>
      <c r="G16" s="1">
        <v>2040</v>
      </c>
      <c r="H16" s="1">
        <f t="shared" si="2"/>
        <v>1.9760749711311355E-2</v>
      </c>
      <c r="I16" s="3">
        <f t="shared" si="3"/>
        <v>13.450304795611178</v>
      </c>
      <c r="J16" s="3">
        <f t="shared" si="4"/>
        <v>9.9400074726610138E-2</v>
      </c>
      <c r="K16" s="3">
        <f t="shared" si="5"/>
        <v>1.6168633162525519E-2</v>
      </c>
      <c r="L16" s="3"/>
      <c r="M16" s="3"/>
      <c r="N16" s="3"/>
      <c r="O16" s="3"/>
      <c r="P16" s="1">
        <v>8718.4500000000007</v>
      </c>
      <c r="Q16" s="7">
        <f t="shared" si="6"/>
        <v>456.49697451149888</v>
      </c>
      <c r="R16" s="1">
        <v>25</v>
      </c>
      <c r="S16" s="7">
        <f t="shared" si="11"/>
        <v>4.9785750000000011</v>
      </c>
      <c r="T16" s="1">
        <f t="shared" si="12"/>
        <v>2.1086920308375952E-3</v>
      </c>
      <c r="U16" s="3"/>
      <c r="V16" s="3">
        <f t="shared" si="13"/>
        <v>9.0209439485349888E-2</v>
      </c>
      <c r="W16" s="7">
        <f t="shared" si="9"/>
        <v>2.9673526175874845E-3</v>
      </c>
      <c r="X16" s="3">
        <f t="shared" si="14"/>
        <v>43.014181692525241</v>
      </c>
      <c r="Y16" s="3"/>
      <c r="Z16" s="3"/>
      <c r="AA16" s="21"/>
      <c r="AB16" s="21"/>
      <c r="AC16" s="21"/>
      <c r="AF16" s="3"/>
      <c r="AG16" s="3"/>
    </row>
    <row r="17" spans="1:33" ht="15.75" x14ac:dyDescent="0.25">
      <c r="A17" s="3"/>
      <c r="B17" s="3"/>
      <c r="C17" s="3"/>
      <c r="D17" s="3"/>
      <c r="E17" s="1">
        <v>8121</v>
      </c>
      <c r="F17" s="7">
        <f t="shared" si="1"/>
        <v>425.21456566337849</v>
      </c>
      <c r="G17" s="1">
        <v>271</v>
      </c>
      <c r="H17" s="1">
        <f t="shared" si="2"/>
        <v>1.6481990651735747E-2</v>
      </c>
      <c r="I17" s="3">
        <f t="shared" si="3"/>
        <v>4.9023203517045104</v>
      </c>
      <c r="J17" s="3">
        <f t="shared" si="4"/>
        <v>9.0779927989990572E-2</v>
      </c>
      <c r="K17" s="3">
        <f t="shared" si="5"/>
        <v>1.8585017672708561E-2</v>
      </c>
      <c r="L17" s="3"/>
      <c r="M17" s="3"/>
      <c r="N17" s="24" t="s">
        <v>30</v>
      </c>
      <c r="O17" s="25"/>
      <c r="P17" s="1">
        <v>10847</v>
      </c>
      <c r="Q17" s="7">
        <f t="shared" si="6"/>
        <v>567.94759189147476</v>
      </c>
      <c r="R17" s="1">
        <v>51</v>
      </c>
      <c r="S17" s="7">
        <f t="shared" si="11"/>
        <v>10.156293000000002</v>
      </c>
      <c r="T17" s="1">
        <f t="shared" si="12"/>
        <v>2.7790899668921373E-3</v>
      </c>
      <c r="U17" s="3"/>
      <c r="V17" s="3">
        <f t="shared" si="13"/>
        <v>9.1869428890781452E-2</v>
      </c>
      <c r="W17" s="7">
        <f t="shared" si="9"/>
        <v>2.955719839808879E-3</v>
      </c>
      <c r="X17" s="3">
        <f t="shared" si="14"/>
        <v>43.183471897306653</v>
      </c>
      <c r="Y17" s="3"/>
      <c r="Z17" s="3"/>
      <c r="AA17" s="21"/>
      <c r="AB17" s="21"/>
      <c r="AC17" s="21"/>
      <c r="AF17" s="3"/>
      <c r="AG17" s="3"/>
    </row>
    <row r="18" spans="1:33" ht="15.75" x14ac:dyDescent="0.25">
      <c r="A18" s="3"/>
      <c r="B18" s="3"/>
      <c r="C18" s="3"/>
      <c r="D18" s="3"/>
      <c r="E18" s="1">
        <v>10790</v>
      </c>
      <c r="F18" s="7">
        <f t="shared" si="1"/>
        <v>564.96307887056457</v>
      </c>
      <c r="G18" s="1">
        <v>505</v>
      </c>
      <c r="H18" s="1">
        <f t="shared" si="2"/>
        <v>1.7398342753224799E-2</v>
      </c>
      <c r="I18" s="3">
        <f t="shared" si="3"/>
        <v>6.6921047658787742</v>
      </c>
      <c r="J18" s="3">
        <f t="shared" si="4"/>
        <v>9.3269348537514715E-2</v>
      </c>
      <c r="K18" s="3">
        <f t="shared" si="5"/>
        <v>1.7887187643340907E-2</v>
      </c>
      <c r="L18" s="3"/>
      <c r="M18" s="3"/>
      <c r="N18" s="17" t="s">
        <v>31</v>
      </c>
      <c r="O18" s="18">
        <f>SLOPE(J4:J28,F4:F28)</f>
        <v>1.4894393987716126E-5</v>
      </c>
      <c r="P18" s="1">
        <v>12132</v>
      </c>
      <c r="Q18" s="7">
        <f t="shared" si="6"/>
        <v>635.23003455585615</v>
      </c>
      <c r="R18" s="1">
        <v>76</v>
      </c>
      <c r="S18" s="7">
        <f t="shared" si="11"/>
        <v>15.134868000000001</v>
      </c>
      <c r="T18" s="1">
        <f t="shared" si="12"/>
        <v>3.310552652980238E-3</v>
      </c>
      <c r="U18" s="3"/>
      <c r="V18" s="3">
        <f t="shared" si="13"/>
        <v>9.2871560100280665E-2</v>
      </c>
      <c r="W18" s="7">
        <f t="shared" si="9"/>
        <v>2.9479493312526608E-3</v>
      </c>
      <c r="X18" s="3">
        <f t="shared" si="14"/>
        <v>43.297299341458363</v>
      </c>
      <c r="Y18" s="3"/>
      <c r="Z18" s="3"/>
      <c r="AA18" s="21"/>
      <c r="AB18" s="21"/>
      <c r="AC18" s="21"/>
      <c r="AF18" s="3"/>
      <c r="AG18" s="3"/>
    </row>
    <row r="19" spans="1:33" ht="16.5" thickBot="1" x14ac:dyDescent="0.3">
      <c r="A19" s="3"/>
      <c r="B19" s="3"/>
      <c r="C19" s="3"/>
      <c r="D19" s="3"/>
      <c r="E19" s="1">
        <v>15020</v>
      </c>
      <c r="F19" s="7">
        <f t="shared" si="1"/>
        <v>786.44536094864486</v>
      </c>
      <c r="G19" s="1">
        <v>1027</v>
      </c>
      <c r="H19" s="1">
        <f t="shared" si="2"/>
        <v>1.825954586066568E-2</v>
      </c>
      <c r="I19" s="3">
        <f t="shared" si="3"/>
        <v>9.5433810336860425</v>
      </c>
      <c r="J19" s="3">
        <f t="shared" si="4"/>
        <v>9.5549845265875968E-2</v>
      </c>
      <c r="K19" s="3">
        <f t="shared" si="5"/>
        <v>1.7247922774852573E-2</v>
      </c>
      <c r="L19" s="3"/>
      <c r="M19" s="3"/>
      <c r="N19" s="19" t="s">
        <v>32</v>
      </c>
      <c r="O19" s="20">
        <f>INTERCEPT(J4:J28,F4:F28)</f>
        <v>8.341019369277522E-2</v>
      </c>
      <c r="P19" s="1">
        <v>13217</v>
      </c>
      <c r="Q19" s="7">
        <f t="shared" si="6"/>
        <v>692.04050170827168</v>
      </c>
      <c r="R19" s="1">
        <v>86</v>
      </c>
      <c r="S19" s="7">
        <f t="shared" si="11"/>
        <v>17.126297999999998</v>
      </c>
      <c r="T19" s="1">
        <f t="shared" si="12"/>
        <v>3.1563443799946743E-3</v>
      </c>
      <c r="U19" s="3"/>
      <c r="V19" s="3">
        <f t="shared" si="13"/>
        <v>9.3717717580674958E-2</v>
      </c>
      <c r="W19" s="7">
        <f t="shared" si="9"/>
        <v>2.9409498385100687E-3</v>
      </c>
      <c r="X19" s="3">
        <f t="shared" si="14"/>
        <v>43.400347386870756</v>
      </c>
      <c r="Y19" s="3"/>
      <c r="Z19" s="34" t="s">
        <v>42</v>
      </c>
      <c r="AA19" s="34"/>
      <c r="AB19" s="34"/>
      <c r="AC19" s="34"/>
      <c r="AD19" s="3"/>
      <c r="AE19" s="3"/>
      <c r="AF19" s="3"/>
      <c r="AG19" s="3"/>
    </row>
    <row r="20" spans="1:33" ht="15.75" x14ac:dyDescent="0.25">
      <c r="A20" s="3"/>
      <c r="B20" s="3"/>
      <c r="C20" s="3"/>
      <c r="D20" s="3"/>
      <c r="E20" s="1">
        <v>18563</v>
      </c>
      <c r="F20" s="7">
        <f t="shared" si="1"/>
        <v>971.95640714312208</v>
      </c>
      <c r="G20" s="1">
        <v>1662</v>
      </c>
      <c r="H20" s="1">
        <f t="shared" si="2"/>
        <v>1.9346129194616046E-2</v>
      </c>
      <c r="I20" s="3">
        <f t="shared" si="3"/>
        <v>12.140387585787774</v>
      </c>
      <c r="J20" s="3">
        <f t="shared" si="4"/>
        <v>9.8351739167683375E-2</v>
      </c>
      <c r="K20" s="3">
        <f t="shared" si="5"/>
        <v>1.6462500759384793E-2</v>
      </c>
      <c r="L20" s="3"/>
      <c r="M20" s="3"/>
      <c r="N20" s="3"/>
      <c r="O20" s="3"/>
      <c r="P20" s="1">
        <v>14174</v>
      </c>
      <c r="Q20" s="7">
        <f t="shared" si="6"/>
        <v>742.14890453302883</v>
      </c>
      <c r="R20" s="1">
        <v>104</v>
      </c>
      <c r="S20" s="7">
        <f t="shared" si="11"/>
        <v>20.710872000000002</v>
      </c>
      <c r="T20" s="1">
        <f t="shared" si="12"/>
        <v>3.3189460503997119E-3</v>
      </c>
      <c r="U20" s="3"/>
      <c r="V20" s="3">
        <f t="shared" si="13"/>
        <v>9.4464051874442068E-2</v>
      </c>
      <c r="W20" s="7">
        <f t="shared" si="9"/>
        <v>2.9344429253754917E-3</v>
      </c>
      <c r="X20" s="3">
        <f t="shared" si="14"/>
        <v>43.496584491370136</v>
      </c>
      <c r="Y20" s="3"/>
      <c r="Z20" s="34"/>
      <c r="AA20" s="34"/>
      <c r="AB20" s="34"/>
      <c r="AC20" s="34"/>
      <c r="AD20" s="3"/>
      <c r="AE20" s="3"/>
      <c r="AF20" s="3"/>
      <c r="AG20" s="3"/>
    </row>
    <row r="21" spans="1:33" ht="15.75" x14ac:dyDescent="0.25">
      <c r="A21" s="3"/>
      <c r="B21" s="3"/>
      <c r="C21" s="3"/>
      <c r="D21" s="3"/>
      <c r="E21" s="1">
        <v>19000</v>
      </c>
      <c r="F21" s="7">
        <f t="shared" si="1"/>
        <v>994.83767363676782</v>
      </c>
      <c r="G21" s="1">
        <v>1745</v>
      </c>
      <c r="H21" s="1">
        <f t="shared" si="2"/>
        <v>1.9388652324153651E-2</v>
      </c>
      <c r="I21" s="3">
        <f t="shared" si="3"/>
        <v>12.439838949853135</v>
      </c>
      <c r="J21" s="3">
        <f t="shared" si="4"/>
        <v>9.8459769256670646E-2</v>
      </c>
      <c r="K21" s="3">
        <f t="shared" si="5"/>
        <v>1.6432217953112643E-2</v>
      </c>
      <c r="L21" s="3"/>
      <c r="M21" s="3"/>
      <c r="N21" s="3"/>
      <c r="O21" s="3"/>
      <c r="P21" s="1">
        <v>15260</v>
      </c>
      <c r="Q21" s="7">
        <f t="shared" si="6"/>
        <v>799.01173156300399</v>
      </c>
      <c r="R21" s="1">
        <v>110</v>
      </c>
      <c r="S21" s="7">
        <f t="shared" si="11"/>
        <v>21.905730000000005</v>
      </c>
      <c r="T21" s="1">
        <f t="shared" si="12"/>
        <v>3.0285540474136556E-3</v>
      </c>
      <c r="U21" s="3"/>
      <c r="V21" s="3">
        <f t="shared" si="13"/>
        <v>9.5310989223481885E-2</v>
      </c>
      <c r="W21" s="7">
        <f t="shared" si="9"/>
        <v>2.9266806430178881E-3</v>
      </c>
      <c r="X21" s="3">
        <f t="shared" si="14"/>
        <v>43.611948212799348</v>
      </c>
      <c r="Y21" s="3"/>
      <c r="Z21" s="34"/>
      <c r="AA21" s="34"/>
      <c r="AB21" s="34"/>
      <c r="AC21" s="34"/>
      <c r="AD21" s="3"/>
      <c r="AE21" s="3"/>
      <c r="AF21" s="3"/>
      <c r="AG21" s="3"/>
    </row>
    <row r="22" spans="1:33" ht="15.75" x14ac:dyDescent="0.25">
      <c r="A22" s="3"/>
      <c r="B22" s="3"/>
      <c r="C22" s="3"/>
      <c r="D22" s="3"/>
      <c r="E22" s="1">
        <v>18899</v>
      </c>
      <c r="F22" s="7">
        <f t="shared" si="1"/>
        <v>989.54932600322502</v>
      </c>
      <c r="G22" s="1">
        <v>1720</v>
      </c>
      <c r="H22" s="1">
        <f t="shared" si="2"/>
        <v>1.9315688386217715E-2</v>
      </c>
      <c r="I22" s="3">
        <f t="shared" si="3"/>
        <v>12.350406884682743</v>
      </c>
      <c r="J22" s="3">
        <f t="shared" si="4"/>
        <v>9.827433130329026E-2</v>
      </c>
      <c r="K22" s="3">
        <f t="shared" si="5"/>
        <v>1.648419959702653E-2</v>
      </c>
      <c r="L22" s="3"/>
      <c r="M22" s="3"/>
      <c r="N22" s="3"/>
      <c r="O22" s="3"/>
      <c r="P22" s="1">
        <v>15206</v>
      </c>
      <c r="Q22" s="7">
        <f t="shared" si="6"/>
        <v>796.18429817477329</v>
      </c>
      <c r="R22" s="1">
        <v>112</v>
      </c>
      <c r="S22" s="7">
        <f t="shared" si="11"/>
        <v>22.304016000000004</v>
      </c>
      <c r="T22" s="1">
        <f t="shared" si="12"/>
        <v>3.1055588315537334E-3</v>
      </c>
      <c r="U22" s="3"/>
      <c r="V22" s="3">
        <f t="shared" si="13"/>
        <v>9.5268876316623549E-2</v>
      </c>
      <c r="W22" s="7">
        <f t="shared" si="9"/>
        <v>2.9270761138248192E-3</v>
      </c>
      <c r="X22" s="3">
        <f t="shared" si="14"/>
        <v>43.606055898530485</v>
      </c>
      <c r="Y22" s="3"/>
      <c r="Z22" s="34"/>
      <c r="AA22" s="34"/>
      <c r="AB22" s="34"/>
      <c r="AC22" s="34"/>
      <c r="AD22" s="3"/>
      <c r="AE22" s="3"/>
      <c r="AF22" s="3"/>
      <c r="AG22" s="3"/>
    </row>
    <row r="23" spans="1:33" ht="15.75" x14ac:dyDescent="0.25">
      <c r="A23" s="3"/>
      <c r="B23" s="3"/>
      <c r="C23" s="3"/>
      <c r="D23" s="3"/>
      <c r="E23" s="1">
        <v>7061</v>
      </c>
      <c r="F23" s="7">
        <f t="shared" si="1"/>
        <v>369.71309544995881</v>
      </c>
      <c r="G23" s="1">
        <v>192</v>
      </c>
      <c r="H23" s="1">
        <f t="shared" si="2"/>
        <v>1.5446432798256245E-2</v>
      </c>
      <c r="I23" s="3">
        <f t="shared" si="3"/>
        <v>4.126365147023864</v>
      </c>
      <c r="J23" s="3">
        <f t="shared" si="4"/>
        <v>8.7881832019639436E-2</v>
      </c>
      <c r="K23" s="3">
        <f t="shared" si="5"/>
        <v>1.9397406884371401E-2</v>
      </c>
      <c r="L23" s="3"/>
      <c r="M23" s="3"/>
      <c r="N23" s="3"/>
      <c r="O23" s="3"/>
      <c r="P23" s="3"/>
      <c r="Q23" s="3"/>
      <c r="R23" s="3"/>
      <c r="S23" s="3"/>
      <c r="T23" s="3">
        <f>GEOMEAN(T16:T22)</f>
        <v>2.9428490737041396E-3</v>
      </c>
      <c r="U23" s="3"/>
      <c r="V23" s="3"/>
      <c r="W23" s="3">
        <f>GEOMEAN(W16:W22)</f>
        <v>2.9428482481925265E-3</v>
      </c>
      <c r="X23" s="3"/>
      <c r="Y23" s="3"/>
      <c r="Z23" s="34"/>
      <c r="AA23" s="34"/>
      <c r="AB23" s="34"/>
      <c r="AC23" s="34"/>
      <c r="AD23" s="3"/>
      <c r="AE23" s="3"/>
      <c r="AF23" s="3"/>
      <c r="AG23" s="3"/>
    </row>
    <row r="24" spans="1:33" ht="15.75" x14ac:dyDescent="0.25">
      <c r="A24" s="3"/>
      <c r="B24" s="3"/>
      <c r="C24" s="3"/>
      <c r="D24" s="3"/>
      <c r="E24" s="1">
        <v>8923</v>
      </c>
      <c r="F24" s="7">
        <f t="shared" si="1"/>
        <v>467.20718746636209</v>
      </c>
      <c r="G24" s="1">
        <v>320</v>
      </c>
      <c r="H24" s="1">
        <f t="shared" si="2"/>
        <v>1.6120836968273551E-2</v>
      </c>
      <c r="I24" s="3">
        <f t="shared" si="3"/>
        <v>5.3271144982647147</v>
      </c>
      <c r="J24" s="3">
        <f t="shared" si="4"/>
        <v>8.9779833393344943E-2</v>
      </c>
      <c r="K24" s="3">
        <f t="shared" si="5"/>
        <v>1.8865362447094611E-2</v>
      </c>
      <c r="L24" s="3"/>
      <c r="M24" s="3"/>
      <c r="N24" s="3"/>
      <c r="O24" s="3"/>
      <c r="P24" s="3"/>
      <c r="Q24" s="3"/>
      <c r="R24" s="3"/>
      <c r="S24" s="3"/>
      <c r="T24" s="1"/>
      <c r="U24" s="3"/>
      <c r="V24" s="3">
        <f>(W23-T23)*100000</f>
        <v>-8.2551161306038123E-5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5.75" x14ac:dyDescent="0.25">
      <c r="A25" s="3"/>
      <c r="B25" s="3"/>
      <c r="C25" s="3"/>
      <c r="D25" s="3"/>
      <c r="E25" s="1">
        <v>11170</v>
      </c>
      <c r="F25" s="7">
        <f t="shared" si="1"/>
        <v>584.85983234329979</v>
      </c>
      <c r="G25" s="1">
        <v>505</v>
      </c>
      <c r="H25" s="1">
        <f t="shared" si="2"/>
        <v>1.6234705896547297E-2</v>
      </c>
      <c r="I25" s="3">
        <f t="shared" si="3"/>
        <v>6.6921047658787742</v>
      </c>
      <c r="J25" s="3">
        <f t="shared" si="4"/>
        <v>9.0096353690222383E-2</v>
      </c>
      <c r="K25" s="3">
        <f t="shared" si="5"/>
        <v>1.877663602909942E-2</v>
      </c>
      <c r="L25" s="3"/>
      <c r="M25" s="3"/>
      <c r="N25" s="3"/>
      <c r="O25" s="3"/>
      <c r="P25" s="3"/>
      <c r="Q25" s="3"/>
      <c r="R25" s="3"/>
      <c r="S25" s="3"/>
      <c r="T25" s="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5.75" x14ac:dyDescent="0.25">
      <c r="A26" s="3"/>
      <c r="B26" s="3"/>
      <c r="C26" s="3"/>
      <c r="D26" s="3"/>
      <c r="E26" s="1">
        <v>12660</v>
      </c>
      <c r="F26" s="7">
        <f t="shared" si="1"/>
        <v>662.87604990744637</v>
      </c>
      <c r="G26" s="1">
        <v>675</v>
      </c>
      <c r="H26" s="1">
        <f t="shared" ref="H26:H28" si="15">G26/1000*9.81/($B$15*$B$16*(F26*$B$2)^2)</f>
        <v>1.68925710817277E-2</v>
      </c>
      <c r="I26" s="3">
        <f t="shared" ref="I26:I28" si="16">SQRT(G26/1000*9.81/(2*$B$15*$B$16))</f>
        <v>7.7369346506697445</v>
      </c>
      <c r="J26" s="3">
        <f t="shared" ref="J26:J28" si="17">I26/(F26*$B$2)</f>
        <v>9.1903675339258598E-2</v>
      </c>
      <c r="K26" s="3">
        <f t="shared" si="5"/>
        <v>1.8270010774207042E-2</v>
      </c>
      <c r="T26" s="1"/>
      <c r="U26" s="3"/>
      <c r="V26" s="3"/>
      <c r="W26" s="3"/>
      <c r="X26" s="3"/>
      <c r="Y26" s="3"/>
      <c r="Z26" s="3"/>
      <c r="AB26" s="3"/>
      <c r="AC26" s="3"/>
      <c r="AD26" s="3"/>
      <c r="AE26" s="3"/>
      <c r="AF26" s="3"/>
      <c r="AG26" s="3"/>
    </row>
    <row r="27" spans="1:33" ht="15.75" x14ac:dyDescent="0.25">
      <c r="A27" s="3"/>
      <c r="B27" s="3"/>
      <c r="C27" s="3"/>
      <c r="D27" s="3"/>
      <c r="E27" s="1">
        <v>13738</v>
      </c>
      <c r="F27" s="7">
        <f t="shared" si="1"/>
        <v>719.31999791694295</v>
      </c>
      <c r="G27" s="1">
        <v>815</v>
      </c>
      <c r="H27" s="1">
        <f t="shared" si="15"/>
        <v>1.7320881011218477E-2</v>
      </c>
      <c r="I27" s="3">
        <f t="shared" si="16"/>
        <v>8.5015056268106903</v>
      </c>
      <c r="J27" s="3">
        <f t="shared" si="17"/>
        <v>9.3061487768083942E-2</v>
      </c>
      <c r="K27" s="3">
        <f t="shared" si="5"/>
        <v>1.7945454811971982E-2</v>
      </c>
      <c r="L27" s="3"/>
      <c r="M27" s="3"/>
      <c r="N27" s="3"/>
      <c r="O27" s="3"/>
      <c r="P27" s="3"/>
      <c r="Q27" s="3"/>
      <c r="R27" s="3"/>
      <c r="S27" s="3"/>
      <c r="T27" s="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5.75" x14ac:dyDescent="0.25">
      <c r="A28" s="3"/>
      <c r="B28" s="3"/>
      <c r="C28" s="3"/>
      <c r="D28" s="3"/>
      <c r="E28" s="1">
        <v>15794</v>
      </c>
      <c r="F28" s="7">
        <f t="shared" si="1"/>
        <v>826.97190617995318</v>
      </c>
      <c r="G28" s="1">
        <v>1090</v>
      </c>
      <c r="H28" s="1">
        <f t="shared" si="15"/>
        <v>1.7526759371068283E-2</v>
      </c>
      <c r="I28" s="3">
        <f t="shared" si="16"/>
        <v>9.8317378735603178</v>
      </c>
      <c r="J28" s="3">
        <f t="shared" si="17"/>
        <v>9.3612924778227816E-2</v>
      </c>
      <c r="K28" s="3">
        <f t="shared" si="5"/>
        <v>1.7790876950322283E-2</v>
      </c>
      <c r="L28" s="3"/>
      <c r="M28" s="3"/>
      <c r="N28" s="3"/>
      <c r="O28" s="3"/>
      <c r="P28" s="3"/>
      <c r="Q28" s="3"/>
      <c r="R28" s="3"/>
      <c r="S28" s="3"/>
      <c r="T28" s="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5.75" x14ac:dyDescent="0.25">
      <c r="A29" s="3"/>
      <c r="B29" s="3"/>
      <c r="C29" s="3"/>
      <c r="D29" s="3"/>
      <c r="E29" s="1">
        <v>7580</v>
      </c>
      <c r="F29" s="7">
        <f t="shared" si="1"/>
        <v>396.88787190351053</v>
      </c>
      <c r="G29" s="1">
        <v>235</v>
      </c>
      <c r="H29" s="1">
        <f t="shared" ref="H29:H33" si="18">G29/1000*9.81/($B$15*$B$16*(F29*$B$2)^2)</f>
        <v>1.6405476331080558E-2</v>
      </c>
      <c r="I29" s="3">
        <f t="shared" ref="I29:I33" si="19">SQRT(G29/1000*9.81/(2*$B$15*$B$16))</f>
        <v>4.5651071271114487</v>
      </c>
      <c r="J29" s="3">
        <f t="shared" ref="J29:J33" si="20">I29/(F29*$B$2)</f>
        <v>9.0568969109404582E-2</v>
      </c>
      <c r="K29" s="3">
        <f t="shared" si="5"/>
        <v>1.8644153298459341E-2</v>
      </c>
      <c r="L29" s="3"/>
      <c r="M29" s="3"/>
      <c r="N29" s="3"/>
      <c r="O29" s="3"/>
      <c r="P29" s="3"/>
      <c r="Q29" s="3"/>
      <c r="R29" s="3"/>
      <c r="S29" s="3"/>
      <c r="T29" s="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5.75" x14ac:dyDescent="0.25">
      <c r="A30" s="3"/>
      <c r="B30" s="3"/>
      <c r="C30" s="3"/>
      <c r="D30" s="3"/>
      <c r="E30" s="1">
        <v>9386.2999999999993</v>
      </c>
      <c r="F30" s="7">
        <f t="shared" si="1"/>
        <v>491.46551873983123</v>
      </c>
      <c r="G30" s="1">
        <v>371</v>
      </c>
      <c r="H30" s="1">
        <f t="shared" si="18"/>
        <v>1.689057528238368E-2</v>
      </c>
      <c r="I30" s="3">
        <f t="shared" si="19"/>
        <v>5.7359320389099056</v>
      </c>
      <c r="J30" s="3">
        <f t="shared" si="20"/>
        <v>9.189824612685403E-2</v>
      </c>
      <c r="K30" s="3">
        <f t="shared" si="5"/>
        <v>1.8271532681566362E-2</v>
      </c>
      <c r="L30" s="3"/>
      <c r="M30" s="3"/>
      <c r="N30" s="3"/>
      <c r="O30" s="3"/>
      <c r="P30" s="3"/>
      <c r="Q30" s="3"/>
      <c r="R30" s="3"/>
      <c r="S30" s="3"/>
      <c r="T30" s="1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5.75" x14ac:dyDescent="0.25">
      <c r="A31" s="3"/>
      <c r="B31" s="3"/>
      <c r="C31" s="3"/>
      <c r="D31" s="3"/>
      <c r="E31" s="1">
        <v>13204</v>
      </c>
      <c r="F31" s="7">
        <f t="shared" si="1"/>
        <v>691.35982329999376</v>
      </c>
      <c r="G31" s="1">
        <v>780</v>
      </c>
      <c r="H31" s="1">
        <f t="shared" si="18"/>
        <v>1.7944979434751783E-2</v>
      </c>
      <c r="I31" s="3">
        <f t="shared" si="19"/>
        <v>8.3169548447255579</v>
      </c>
      <c r="J31" s="3">
        <f t="shared" si="20"/>
        <v>9.4723226915978176E-2</v>
      </c>
      <c r="K31" s="3">
        <f t="shared" si="5"/>
        <v>1.7479638990081339E-2</v>
      </c>
      <c r="L31" s="3"/>
      <c r="M31" s="3"/>
      <c r="N31" s="3"/>
      <c r="O31" s="3"/>
      <c r="P31" s="3"/>
      <c r="Q31" s="3"/>
      <c r="R31" s="3"/>
      <c r="S31" s="3"/>
      <c r="T31" s="1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3"/>
      <c r="D32" s="3"/>
      <c r="E32" s="1">
        <v>16932</v>
      </c>
      <c r="F32" s="7">
        <f t="shared" si="1"/>
        <v>886.55744684303966</v>
      </c>
      <c r="G32" s="1">
        <v>1327</v>
      </c>
      <c r="H32" s="1">
        <f t="shared" si="18"/>
        <v>1.8565805520660623E-2</v>
      </c>
      <c r="I32" s="3">
        <f t="shared" si="19"/>
        <v>10.848070617713052</v>
      </c>
      <c r="J32" s="3">
        <f t="shared" si="20"/>
        <v>9.6347821772629155E-2</v>
      </c>
      <c r="K32" s="3">
        <f t="shared" si="5"/>
        <v>1.7024235391177648E-2</v>
      </c>
      <c r="L32" s="3"/>
      <c r="M32" s="3"/>
      <c r="N32" s="3"/>
      <c r="O32" s="3"/>
      <c r="P32" s="3"/>
      <c r="Q32" s="3"/>
      <c r="R32" s="3"/>
      <c r="S32" s="3"/>
      <c r="T32" s="1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x14ac:dyDescent="0.25">
      <c r="A33" s="3"/>
      <c r="B33" s="3"/>
      <c r="C33" s="3"/>
      <c r="D33" s="3"/>
      <c r="E33" s="1">
        <v>19078</v>
      </c>
      <c r="F33" s="7">
        <f t="shared" si="1"/>
        <v>998.9217440864345</v>
      </c>
      <c r="G33" s="1">
        <v>1760</v>
      </c>
      <c r="H33" s="1">
        <f t="shared" si="18"/>
        <v>1.9395740836738208E-2</v>
      </c>
      <c r="I33" s="3">
        <f t="shared" si="19"/>
        <v>12.49319089852235</v>
      </c>
      <c r="J33" s="3">
        <f t="shared" si="20"/>
        <v>9.8477766111793499E-2</v>
      </c>
      <c r="K33" s="3">
        <f t="shared" si="5"/>
        <v>1.642717310604918E-2</v>
      </c>
      <c r="L33" s="3"/>
      <c r="M33" s="3"/>
      <c r="N33" s="3"/>
      <c r="O33" s="3"/>
      <c r="P33" s="3"/>
      <c r="Q33" s="3"/>
      <c r="R33" s="3"/>
      <c r="S33" s="3"/>
      <c r="T33" s="1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3"/>
      <c r="D34" s="3"/>
      <c r="E34" s="3"/>
      <c r="F34" s="7"/>
      <c r="G34" s="3"/>
      <c r="H34" s="3">
        <f>GEOMEAN(H4:H33)</f>
        <v>1.7650844856401966E-2</v>
      </c>
      <c r="I34" s="3"/>
      <c r="J34" s="3"/>
      <c r="K34" s="3">
        <f>GEOMEAN(K4:K33)</f>
        <v>1.7650844856401962E-2</v>
      </c>
      <c r="L34" s="3"/>
      <c r="M34" s="3"/>
      <c r="N34" s="3"/>
      <c r="O34" s="3"/>
      <c r="P34" s="3"/>
      <c r="Q34" s="3"/>
      <c r="R34" s="3"/>
      <c r="S34" s="3"/>
      <c r="T34" s="1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3"/>
      <c r="D35" s="3"/>
      <c r="E35" s="3"/>
      <c r="F35" s="3"/>
      <c r="G35" s="3"/>
      <c r="H35" s="1"/>
      <c r="I35" s="3"/>
      <c r="J35" s="3">
        <f>K34-H34</f>
        <v>0</v>
      </c>
      <c r="K35" s="3"/>
      <c r="L35" s="3"/>
      <c r="M35" s="3"/>
      <c r="N35" s="3"/>
      <c r="O35" s="3"/>
      <c r="P35" s="3"/>
      <c r="Q35" s="3"/>
      <c r="R35" s="3"/>
      <c r="S35" s="3"/>
      <c r="T35" s="1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</sheetData>
  <mergeCells count="14">
    <mergeCell ref="Y3:Y14"/>
    <mergeCell ref="AA8:AB8"/>
    <mergeCell ref="AA11:AB11"/>
    <mergeCell ref="AD8:AE8"/>
    <mergeCell ref="Z19:AC23"/>
    <mergeCell ref="N17:O17"/>
    <mergeCell ref="P2:T2"/>
    <mergeCell ref="U2:W2"/>
    <mergeCell ref="A1:C1"/>
    <mergeCell ref="A14:B14"/>
    <mergeCell ref="E2:H2"/>
    <mergeCell ref="I2:L2"/>
    <mergeCell ref="N11:O11"/>
    <mergeCell ref="N8:O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2015-01-28T23:17:09Z</dcterms:modified>
</cp:coreProperties>
</file>