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J4" i="1" l="1"/>
  <c r="B5" i="1" l="1"/>
  <c r="B4" i="1"/>
  <c r="D2" i="1"/>
  <c r="D3" i="1"/>
  <c r="H26" i="1"/>
  <c r="T13" i="1" l="1"/>
  <c r="Z8" i="1" l="1"/>
  <c r="Z9" i="1"/>
  <c r="O11" i="1"/>
  <c r="O10" i="1"/>
  <c r="O18" i="1"/>
  <c r="O19" i="1" l="1"/>
  <c r="V6" i="1" s="1"/>
  <c r="X6" i="1" s="1"/>
  <c r="V10" i="1" l="1"/>
  <c r="X10" i="1" s="1"/>
  <c r="V4" i="1"/>
  <c r="X4" i="1" s="1"/>
  <c r="V5" i="1"/>
  <c r="X5" i="1" s="1"/>
  <c r="V12" i="1"/>
  <c r="X12" i="1" s="1"/>
  <c r="V11" i="1"/>
  <c r="X11" i="1" s="1"/>
  <c r="V9" i="1"/>
  <c r="X9" i="1" s="1"/>
  <c r="V8" i="1"/>
  <c r="X8" i="1" s="1"/>
  <c r="V7" i="1"/>
  <c r="X7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W13" i="1" l="1"/>
  <c r="V14" i="1" s="1"/>
  <c r="K26" i="1"/>
  <c r="J27" i="1" s="1"/>
  <c r="B1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B2" i="1"/>
  <c r="Q5" i="1"/>
  <c r="Q6" i="1"/>
  <c r="Q7" i="1"/>
  <c r="Q8" i="1"/>
  <c r="Q9" i="1"/>
  <c r="Q10" i="1"/>
  <c r="Q11" i="1"/>
  <c r="Q12" i="1"/>
  <c r="Q4" i="1"/>
  <c r="B3" i="1"/>
  <c r="Z12" i="1" l="1"/>
  <c r="Z14" i="1" s="1"/>
  <c r="Z11" i="1"/>
  <c r="Z13" i="1" s="1"/>
  <c r="X13" i="1"/>
  <c r="O14" i="1"/>
  <c r="O16" i="1" s="1"/>
  <c r="O13" i="1"/>
  <c r="O1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S11" i="1"/>
  <c r="S9" i="1"/>
  <c r="S10" i="1"/>
  <c r="S12" i="1"/>
  <c r="S5" i="1"/>
  <c r="S6" i="1"/>
  <c r="S7" i="1"/>
  <c r="S8" i="1"/>
  <c r="S4" i="1"/>
  <c r="B16" i="1" l="1"/>
  <c r="T5" i="1" l="1"/>
  <c r="T4" i="1"/>
  <c r="H11" i="1"/>
  <c r="H19" i="1"/>
  <c r="T8" i="1"/>
  <c r="H22" i="1"/>
  <c r="H15" i="1"/>
  <c r="H8" i="1"/>
  <c r="H16" i="1"/>
  <c r="H17" i="1"/>
  <c r="T6" i="1"/>
  <c r="H12" i="1"/>
  <c r="H20" i="1"/>
  <c r="H21" i="1"/>
  <c r="H14" i="1"/>
  <c r="H7" i="1"/>
  <c r="T10" i="1"/>
  <c r="H24" i="1"/>
  <c r="H25" i="1"/>
  <c r="T12" i="1"/>
  <c r="H18" i="1"/>
  <c r="T7" i="1"/>
  <c r="H5" i="1"/>
  <c r="H13" i="1"/>
  <c r="H6" i="1"/>
  <c r="T9" i="1"/>
  <c r="H23" i="1"/>
  <c r="T11" i="1"/>
  <c r="H9" i="1"/>
  <c r="H10" i="1"/>
  <c r="H4" i="1"/>
</calcChain>
</file>

<file path=xl/sharedStrings.xml><?xml version="1.0" encoding="utf-8"?>
<sst xmlns="http://schemas.openxmlformats.org/spreadsheetml/2006/main" count="60" uniqueCount="44">
  <si>
    <t>Thrust Test</t>
  </si>
  <si>
    <t>Moment Test</t>
  </si>
  <si>
    <t xml:space="preserve">2xRPM </t>
  </si>
  <si>
    <t>Thrust (g)</t>
  </si>
  <si>
    <t>Load (g)</t>
  </si>
  <si>
    <t>Mom (N.cm)</t>
  </si>
  <si>
    <t>Aerodynamic model (Blade Element theory) of 14x4.7 prop</t>
  </si>
  <si>
    <t>rad/s</t>
  </si>
  <si>
    <t>Prop params</t>
  </si>
  <si>
    <t>a</t>
  </si>
  <si>
    <t>c</t>
  </si>
  <si>
    <t>c_d_0</t>
  </si>
  <si>
    <t>C_T test</t>
  </si>
  <si>
    <t>rho</t>
  </si>
  <si>
    <t>Atmos params</t>
  </si>
  <si>
    <t>S</t>
  </si>
  <si>
    <t>inches to m</t>
  </si>
  <si>
    <t>theta_0 (rad)</t>
  </si>
  <si>
    <t xml:space="preserve">theta_1 (rad) </t>
  </si>
  <si>
    <t>TBT</t>
  </si>
  <si>
    <t>Arm (cm)=</t>
  </si>
  <si>
    <t>C_q test</t>
  </si>
  <si>
    <t>Thrust estimation</t>
  </si>
  <si>
    <t>v_i_0</t>
  </si>
  <si>
    <t>lambda_i</t>
  </si>
  <si>
    <t>R (m)</t>
  </si>
  <si>
    <t>pitch (m)</t>
  </si>
  <si>
    <t>C_T theo</t>
  </si>
  <si>
    <t>b</t>
  </si>
  <si>
    <t>sigma</t>
  </si>
  <si>
    <t>C_Q theo</t>
  </si>
  <si>
    <t>Fit Lambda-Omega</t>
  </si>
  <si>
    <t>Slope</t>
  </si>
  <si>
    <t>Intercept</t>
  </si>
  <si>
    <t>Theoretic estimation</t>
  </si>
  <si>
    <t>Fit TEST C_T-Omega</t>
  </si>
  <si>
    <t>Fit THEOR C_T-Omega</t>
  </si>
  <si>
    <t>Slope Diff</t>
  </si>
  <si>
    <t>Inter Diff</t>
  </si>
  <si>
    <t>Fit THEOR C_Q-Omega</t>
  </si>
  <si>
    <t>Fit TEST C_Q-Omega</t>
  </si>
  <si>
    <t>% Parasita</t>
  </si>
  <si>
    <t>thtea_root</t>
  </si>
  <si>
    <t>thtea_tip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</si>
</sst>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2" fillId="2" borderId="0" xfId="0" applyFont="1" applyFill="1"/>
    <xf numFmtId="0" fontId="1" fillId="0" borderId="7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5" xfId="0" applyNumberFormat="1" applyFont="1" applyBorder="1"/>
    <xf numFmtId="166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C_T vs. omega (rad/s)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Hoja1!$F$4:$F$25</c:f>
              <c:numCache>
                <c:formatCode>General</c:formatCode>
                <c:ptCount val="22"/>
                <c:pt idx="0">
                  <c:v>330.8097064230052</c:v>
                </c:pt>
                <c:pt idx="1">
                  <c:v>459.52075744057908</c:v>
                </c:pt>
                <c:pt idx="2">
                  <c:v>669.8922735004636</c:v>
                </c:pt>
                <c:pt idx="3">
                  <c:v>780.05745588634568</c:v>
                </c:pt>
                <c:pt idx="4">
                  <c:v>788.64447580615774</c:v>
                </c:pt>
                <c:pt idx="5">
                  <c:v>780.73813429462336</c:v>
                </c:pt>
                <c:pt idx="6">
                  <c:v>270.09842839238246</c:v>
                </c:pt>
                <c:pt idx="7">
                  <c:v>348.82150430358672</c:v>
                </c:pt>
                <c:pt idx="8">
                  <c:v>456.99701134219521</c:v>
                </c:pt>
                <c:pt idx="9">
                  <c:v>521.45202061834584</c:v>
                </c:pt>
                <c:pt idx="10">
                  <c:v>615.64744034847979</c:v>
                </c:pt>
                <c:pt idx="11">
                  <c:v>662.87604990744637</c:v>
                </c:pt>
                <c:pt idx="12">
                  <c:v>709.84286007861374</c:v>
                </c:pt>
                <c:pt idx="13">
                  <c:v>707.95790448645994</c:v>
                </c:pt>
                <c:pt idx="14">
                  <c:v>352.18300844292776</c:v>
                </c:pt>
                <c:pt idx="15">
                  <c:v>386.93949516714287</c:v>
                </c:pt>
                <c:pt idx="16">
                  <c:v>498.308954736901</c:v>
                </c:pt>
                <c:pt idx="17">
                  <c:v>568.62827029975256</c:v>
                </c:pt>
                <c:pt idx="18">
                  <c:v>675.91365941984407</c:v>
                </c:pt>
                <c:pt idx="19">
                  <c:v>770.31851866021725</c:v>
                </c:pt>
                <c:pt idx="20">
                  <c:v>729.163654898191</c:v>
                </c:pt>
                <c:pt idx="21">
                  <c:v>765.60612967983263</c:v>
                </c:pt>
              </c:numCache>
            </c:numRef>
          </c:xVal>
          <c:yVal>
            <c:numRef>
              <c:f>Hoja1!$H$4:$H$25</c:f>
              <c:numCache>
                <c:formatCode>General</c:formatCode>
                <c:ptCount val="22"/>
                <c:pt idx="0">
                  <c:v>9.9396617245846048E-3</c:v>
                </c:pt>
                <c:pt idx="1">
                  <c:v>1.0139950272855511E-2</c:v>
                </c:pt>
                <c:pt idx="2">
                  <c:v>1.084384945106916E-2</c:v>
                </c:pt>
                <c:pt idx="3">
                  <c:v>1.1384309048509674E-2</c:v>
                </c:pt>
                <c:pt idx="4">
                  <c:v>1.1551960249796423E-2</c:v>
                </c:pt>
                <c:pt idx="5">
                  <c:v>1.1345682876125619E-2</c:v>
                </c:pt>
                <c:pt idx="6">
                  <c:v>9.4562168674039368E-3</c:v>
                </c:pt>
                <c:pt idx="7">
                  <c:v>9.4807575442044066E-3</c:v>
                </c:pt>
                <c:pt idx="8">
                  <c:v>9.9644237128525305E-3</c:v>
                </c:pt>
                <c:pt idx="9">
                  <c:v>1.0211452473953185E-2</c:v>
                </c:pt>
                <c:pt idx="10">
                  <c:v>1.0195630966081146E-2</c:v>
                </c:pt>
                <c:pt idx="11">
                  <c:v>1.0423170025901372E-2</c:v>
                </c:pt>
                <c:pt idx="12">
                  <c:v>1.0634716161887377E-2</c:v>
                </c:pt>
                <c:pt idx="13">
                  <c:v>1.0622887190212902E-2</c:v>
                </c:pt>
                <c:pt idx="14">
                  <c:v>6.738923851336536E-3</c:v>
                </c:pt>
                <c:pt idx="15">
                  <c:v>9.5019942399700418E-3</c:v>
                </c:pt>
                <c:pt idx="16">
                  <c:v>9.9830904106956667E-3</c:v>
                </c:pt>
                <c:pt idx="17">
                  <c:v>1.0136618156268359E-2</c:v>
                </c:pt>
                <c:pt idx="18">
                  <c:v>1.0476068328328441E-2</c:v>
                </c:pt>
                <c:pt idx="19">
                  <c:v>1.0419756488964284E-2</c:v>
                </c:pt>
                <c:pt idx="20">
                  <c:v>1.060622156561245E-2</c:v>
                </c:pt>
                <c:pt idx="21">
                  <c:v>1.0255409027208947E-2</c:v>
                </c:pt>
              </c:numCache>
            </c:numRef>
          </c:yVal>
          <c:smooth val="0"/>
        </c:ser>
        <c:ser>
          <c:idx val="1"/>
          <c:order val="1"/>
          <c:tx>
            <c:v>C_T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Hoja1!$F$4:$F$25</c:f>
              <c:numCache>
                <c:formatCode>General</c:formatCode>
                <c:ptCount val="22"/>
                <c:pt idx="0">
                  <c:v>330.8097064230052</c:v>
                </c:pt>
                <c:pt idx="1">
                  <c:v>459.52075744057908</c:v>
                </c:pt>
                <c:pt idx="2">
                  <c:v>669.8922735004636</c:v>
                </c:pt>
                <c:pt idx="3">
                  <c:v>780.05745588634568</c:v>
                </c:pt>
                <c:pt idx="4">
                  <c:v>788.64447580615774</c:v>
                </c:pt>
                <c:pt idx="5">
                  <c:v>780.73813429462336</c:v>
                </c:pt>
                <c:pt idx="6">
                  <c:v>270.09842839238246</c:v>
                </c:pt>
                <c:pt idx="7">
                  <c:v>348.82150430358672</c:v>
                </c:pt>
                <c:pt idx="8">
                  <c:v>456.99701134219521</c:v>
                </c:pt>
                <c:pt idx="9">
                  <c:v>521.45202061834584</c:v>
                </c:pt>
                <c:pt idx="10">
                  <c:v>615.64744034847979</c:v>
                </c:pt>
                <c:pt idx="11">
                  <c:v>662.87604990744637</c:v>
                </c:pt>
                <c:pt idx="12">
                  <c:v>709.84286007861374</c:v>
                </c:pt>
                <c:pt idx="13">
                  <c:v>707.95790448645994</c:v>
                </c:pt>
                <c:pt idx="14">
                  <c:v>352.18300844292776</c:v>
                </c:pt>
                <c:pt idx="15">
                  <c:v>386.93949516714287</c:v>
                </c:pt>
                <c:pt idx="16">
                  <c:v>498.308954736901</c:v>
                </c:pt>
                <c:pt idx="17">
                  <c:v>568.62827029975256</c:v>
                </c:pt>
                <c:pt idx="18">
                  <c:v>675.91365941984407</c:v>
                </c:pt>
                <c:pt idx="19">
                  <c:v>770.31851866021725</c:v>
                </c:pt>
                <c:pt idx="20">
                  <c:v>729.163654898191</c:v>
                </c:pt>
                <c:pt idx="21">
                  <c:v>765.60612967983263</c:v>
                </c:pt>
              </c:numCache>
            </c:numRef>
          </c:xVal>
          <c:yVal>
            <c:numRef>
              <c:f>Hoja1!$K$4:$K$25</c:f>
              <c:numCache>
                <c:formatCode>General</c:formatCode>
                <c:ptCount val="22"/>
                <c:pt idx="0">
                  <c:v>1.023059209933312E-2</c:v>
                </c:pt>
                <c:pt idx="1">
                  <c:v>1.0035871966688327E-2</c:v>
                </c:pt>
                <c:pt idx="2">
                  <c:v>9.3663628436686727E-3</c:v>
                </c:pt>
                <c:pt idx="3">
                  <c:v>8.8669374895942073E-3</c:v>
                </c:pt>
                <c:pt idx="4">
                  <c:v>8.7144356173640362E-3</c:v>
                </c:pt>
                <c:pt idx="5">
                  <c:v>8.9022321644376887E-3</c:v>
                </c:pt>
                <c:pt idx="6">
                  <c:v>1.0708839859999089E-2</c:v>
                </c:pt>
                <c:pt idx="7">
                  <c:v>1.0684272509286023E-2</c:v>
                </c:pt>
                <c:pt idx="8">
                  <c:v>1.0206412924320918E-2</c:v>
                </c:pt>
                <c:pt idx="9">
                  <c:v>9.9668241577821996E-3</c:v>
                </c:pt>
                <c:pt idx="10">
                  <c:v>9.9820816946842566E-3</c:v>
                </c:pt>
                <c:pt idx="11">
                  <c:v>9.7637796205105633E-3</c:v>
                </c:pt>
                <c:pt idx="12">
                  <c:v>9.5629488827073863E-3</c:v>
                </c:pt>
                <c:pt idx="13">
                  <c:v>9.5741256666025971E-3</c:v>
                </c:pt>
                <c:pt idx="14">
                  <c:v>1.3660835809141682E-2</c:v>
                </c:pt>
                <c:pt idx="15">
                  <c:v>1.0663038381640252E-2</c:v>
                </c:pt>
                <c:pt idx="16">
                  <c:v>1.0188205431416101E-2</c:v>
                </c:pt>
                <c:pt idx="17">
                  <c:v>1.0039095632073877E-2</c:v>
                </c:pt>
                <c:pt idx="18">
                  <c:v>9.7133711119323247E-3</c:v>
                </c:pt>
                <c:pt idx="19">
                  <c:v>9.7670368792217646E-3</c:v>
                </c:pt>
                <c:pt idx="20">
                  <c:v>9.5898830006627966E-3</c:v>
                </c:pt>
                <c:pt idx="21">
                  <c:v>9.9244964012146566E-3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6112"/>
        <c:axId val="179806672"/>
      </c:scatterChart>
      <c:valAx>
        <c:axId val="1798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672"/>
        <c:crosses val="autoZero"/>
        <c:crossBetween val="midCat"/>
      </c:valAx>
      <c:valAx>
        <c:axId val="179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C_Q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1150820918604E-2"/>
          <c:y val="0.15604833593808573"/>
          <c:w val="0.85565524330816933"/>
          <c:h val="0.72402804770445384"/>
        </c:manualLayout>
      </c:layout>
      <c:scatterChart>
        <c:scatterStyle val="lineMarker"/>
        <c:varyColors val="0"/>
        <c:ser>
          <c:idx val="0"/>
          <c:order val="0"/>
          <c:tx>
            <c:v>C_Q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Hoja1!$Q$4:$Q$12</c:f>
              <c:numCache>
                <c:formatCode>General</c:formatCode>
                <c:ptCount val="9"/>
                <c:pt idx="0">
                  <c:v>326.07113750384065</c:v>
                </c:pt>
                <c:pt idx="1">
                  <c:v>448.67179081018224</c:v>
                </c:pt>
                <c:pt idx="2">
                  <c:v>659.00141896801892</c:v>
                </c:pt>
                <c:pt idx="3">
                  <c:v>771.52279584409337</c:v>
                </c:pt>
                <c:pt idx="4">
                  <c:v>785.03164425452951</c:v>
                </c:pt>
                <c:pt idx="5">
                  <c:v>288.99510820372507</c:v>
                </c:pt>
                <c:pt idx="6">
                  <c:v>362.23086894665914</c:v>
                </c:pt>
                <c:pt idx="7">
                  <c:v>464.4897098210069</c:v>
                </c:pt>
                <c:pt idx="8">
                  <c:v>527.83992568064502</c:v>
                </c:pt>
              </c:numCache>
            </c:numRef>
          </c:xVal>
          <c:yVal>
            <c:numRef>
              <c:f>Hoja1!$T$4:$T$12</c:f>
              <c:numCache>
                <c:formatCode>General</c:formatCode>
                <c:ptCount val="9"/>
                <c:pt idx="0">
                  <c:v>7.0698776127496815E-4</c:v>
                </c:pt>
                <c:pt idx="1">
                  <c:v>6.9810331785670878E-4</c:v>
                </c:pt>
                <c:pt idx="2">
                  <c:v>7.7512778013888168E-4</c:v>
                </c:pt>
                <c:pt idx="3">
                  <c:v>7.576878762768144E-4</c:v>
                </c:pt>
                <c:pt idx="4">
                  <c:v>1.0871470988057482E-3</c:v>
                </c:pt>
                <c:pt idx="5">
                  <c:v>6.652374881497416E-4</c:v>
                </c:pt>
                <c:pt idx="6">
                  <c:v>7.7214622979104473E-4</c:v>
                </c:pt>
                <c:pt idx="7">
                  <c:v>6.3621788382500245E-4</c:v>
                </c:pt>
                <c:pt idx="8">
                  <c:v>6.2169900495387886E-4</c:v>
                </c:pt>
              </c:numCache>
            </c:numRef>
          </c:yVal>
          <c:smooth val="0"/>
        </c:ser>
        <c:ser>
          <c:idx val="1"/>
          <c:order val="1"/>
          <c:tx>
            <c:v>C_Q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Hoja1!$Q$4:$Q$12</c:f>
              <c:numCache>
                <c:formatCode>General</c:formatCode>
                <c:ptCount val="9"/>
                <c:pt idx="0">
                  <c:v>326.07113750384065</c:v>
                </c:pt>
                <c:pt idx="1">
                  <c:v>448.67179081018224</c:v>
                </c:pt>
                <c:pt idx="2">
                  <c:v>659.00141896801892</c:v>
                </c:pt>
                <c:pt idx="3">
                  <c:v>771.52279584409337</c:v>
                </c:pt>
                <c:pt idx="4">
                  <c:v>785.03164425452951</c:v>
                </c:pt>
                <c:pt idx="5">
                  <c:v>288.99510820372507</c:v>
                </c:pt>
                <c:pt idx="6">
                  <c:v>362.23086894665914</c:v>
                </c:pt>
                <c:pt idx="7">
                  <c:v>464.4897098210069</c:v>
                </c:pt>
                <c:pt idx="8">
                  <c:v>527.83992568064502</c:v>
                </c:pt>
              </c:numCache>
            </c:numRef>
          </c:xVal>
          <c:yVal>
            <c:numRef>
              <c:f>Hoja1!$W$4:$W$12</c:f>
              <c:numCache>
                <c:formatCode>General</c:formatCode>
                <c:ptCount val="9"/>
                <c:pt idx="0">
                  <c:v>7.621386805840315E-4</c:v>
                </c:pt>
                <c:pt idx="1">
                  <c:v>7.4763734415503064E-4</c:v>
                </c:pt>
                <c:pt idx="2">
                  <c:v>7.1859532503967523E-4</c:v>
                </c:pt>
                <c:pt idx="3">
                  <c:v>7.0089832775674528E-4</c:v>
                </c:pt>
                <c:pt idx="4">
                  <c:v>6.9867246024121722E-4</c:v>
                </c:pt>
                <c:pt idx="5">
                  <c:v>7.6617203277568925E-4</c:v>
                </c:pt>
                <c:pt idx="6">
                  <c:v>7.5804753580572257E-4</c:v>
                </c:pt>
                <c:pt idx="7">
                  <c:v>7.4563618668334916E-4</c:v>
                </c:pt>
                <c:pt idx="8">
                  <c:v>7.3732338730358603E-4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7232"/>
        <c:axId val="179807792"/>
      </c:scatterChart>
      <c:valAx>
        <c:axId val="1798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7792"/>
        <c:crosses val="autoZero"/>
        <c:crossBetween val="midCat"/>
      </c:valAx>
      <c:valAx>
        <c:axId val="179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</a:t>
            </a:r>
            <a:r>
              <a:rPr lang="en-GB" baseline="0"/>
              <a:t>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943161157173275"/>
                  <c:y val="0.28461755137264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Hoja1!$F$4:$F$25</c:f>
              <c:numCache>
                <c:formatCode>General</c:formatCode>
                <c:ptCount val="22"/>
                <c:pt idx="0">
                  <c:v>330.8097064230052</c:v>
                </c:pt>
                <c:pt idx="1">
                  <c:v>459.52075744057908</c:v>
                </c:pt>
                <c:pt idx="2">
                  <c:v>669.8922735004636</c:v>
                </c:pt>
                <c:pt idx="3">
                  <c:v>780.05745588634568</c:v>
                </c:pt>
                <c:pt idx="4">
                  <c:v>788.64447580615774</c:v>
                </c:pt>
                <c:pt idx="5">
                  <c:v>780.73813429462336</c:v>
                </c:pt>
                <c:pt idx="6">
                  <c:v>270.09842839238246</c:v>
                </c:pt>
                <c:pt idx="7">
                  <c:v>348.82150430358672</c:v>
                </c:pt>
                <c:pt idx="8">
                  <c:v>456.99701134219521</c:v>
                </c:pt>
                <c:pt idx="9">
                  <c:v>521.45202061834584</c:v>
                </c:pt>
                <c:pt idx="10">
                  <c:v>615.64744034847979</c:v>
                </c:pt>
                <c:pt idx="11">
                  <c:v>662.87604990744637</c:v>
                </c:pt>
                <c:pt idx="12">
                  <c:v>709.84286007861374</c:v>
                </c:pt>
                <c:pt idx="13">
                  <c:v>707.95790448645994</c:v>
                </c:pt>
                <c:pt idx="14">
                  <c:v>352.18300844292776</c:v>
                </c:pt>
                <c:pt idx="15">
                  <c:v>386.93949516714287</c:v>
                </c:pt>
                <c:pt idx="16">
                  <c:v>498.308954736901</c:v>
                </c:pt>
                <c:pt idx="17">
                  <c:v>568.62827029975256</c:v>
                </c:pt>
                <c:pt idx="18">
                  <c:v>675.91365941984407</c:v>
                </c:pt>
                <c:pt idx="19">
                  <c:v>770.31851866021725</c:v>
                </c:pt>
                <c:pt idx="20">
                  <c:v>729.163654898191</c:v>
                </c:pt>
                <c:pt idx="21">
                  <c:v>765.60612967983263</c:v>
                </c:pt>
              </c:numCache>
            </c:numRef>
          </c:xVal>
          <c:yVal>
            <c:numRef>
              <c:f>Hoja1!$J$4:$J$25</c:f>
              <c:numCache>
                <c:formatCode>General</c:formatCode>
                <c:ptCount val="22"/>
                <c:pt idx="0">
                  <c:v>7.049702732947187E-2</c:v>
                </c:pt>
                <c:pt idx="1">
                  <c:v>7.1203757881362933E-2</c:v>
                </c:pt>
                <c:pt idx="2">
                  <c:v>7.3633720030530717E-2</c:v>
                </c:pt>
                <c:pt idx="3">
                  <c:v>7.544636852927275E-2</c:v>
                </c:pt>
                <c:pt idx="4">
                  <c:v>7.5999869242638921E-2</c:v>
                </c:pt>
                <c:pt idx="5">
                  <c:v>7.531826762521035E-2</c:v>
                </c:pt>
                <c:pt idx="6">
                  <c:v>6.8761242235011788E-2</c:v>
                </c:pt>
                <c:pt idx="7">
                  <c:v>6.8850408656029066E-2</c:v>
                </c:pt>
                <c:pt idx="8">
                  <c:v>7.0584784879081888E-2</c:v>
                </c:pt>
                <c:pt idx="9">
                  <c:v>7.1454364716066116E-2</c:v>
                </c:pt>
                <c:pt idx="10">
                  <c:v>7.1398987969302288E-2</c:v>
                </c:pt>
                <c:pt idx="11">
                  <c:v>7.2191308430798559E-2</c:v>
                </c:pt>
                <c:pt idx="12">
                  <c:v>7.2920217230502599E-2</c:v>
                </c:pt>
                <c:pt idx="13">
                  <c:v>7.2879651447481902E-2</c:v>
                </c:pt>
                <c:pt idx="14">
                  <c:v>5.8047066469101329E-2</c:v>
                </c:pt>
                <c:pt idx="15">
                  <c:v>6.8927477249533964E-2</c:v>
                </c:pt>
                <c:pt idx="16">
                  <c:v>7.0650868397690858E-2</c:v>
                </c:pt>
                <c:pt idx="17">
                  <c:v>7.1192057689985197E-2</c:v>
                </c:pt>
                <c:pt idx="18">
                  <c:v>7.237426451553218E-2</c:v>
                </c:pt>
                <c:pt idx="19">
                  <c:v>7.2179486313509747E-2</c:v>
                </c:pt>
                <c:pt idx="20">
                  <c:v>7.2822460702768252E-2</c:v>
                </c:pt>
                <c:pt idx="21">
                  <c:v>7.1607991967408732E-2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11200"/>
        <c:axId val="235311760"/>
      </c:scatterChart>
      <c:valAx>
        <c:axId val="2353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1760"/>
        <c:crosses val="autoZero"/>
        <c:crossBetween val="midCat"/>
      </c:valAx>
      <c:valAx>
        <c:axId val="23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261665</xdr:colOff>
      <xdr:row>25</xdr:row>
      <xdr:rowOff>173613</xdr:rowOff>
    </xdr:from>
    <xdr:to>
      <xdr:col>17</xdr:col>
      <xdr:colOff>563930</xdr:colOff>
      <xdr:row>39</xdr:row>
      <xdr:rowOff>106537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360335</xdr:colOff>
      <xdr:row>16</xdr:row>
      <xdr:rowOff>6213</xdr:rowOff>
    </xdr:from>
    <xdr:to>
      <xdr:col>29</xdr:col>
      <xdr:colOff>67382</xdr:colOff>
      <xdr:row>29</xdr:row>
      <xdr:rowOff>127236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548942</xdr:colOff>
      <xdr:row>29</xdr:row>
      <xdr:rowOff>107140</xdr:rowOff>
    </xdr:from>
    <xdr:to>
      <xdr:col>8</xdr:col>
      <xdr:colOff>589182</xdr:colOff>
      <xdr:row>43</xdr:row>
      <xdr:rowOff>75720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zoomScale="70" zoomScaleNormal="70" workbookViewId="0">
      <selection activeCell="B6" sqref="B6"/>
    </sheetView>
  </sheetViews>
  <sheetFormatPr baseColWidth="10" defaultColWidth="9.140625" defaultRowHeight="15" x14ac:dyDescent="0.25"/>
  <cols>
    <col min="1" max="1" width="13" customWidth="1"/>
    <col min="2" max="2" width="11.5703125" customWidth="1"/>
    <col min="3" max="3" width="11.28515625" customWidth="1"/>
    <col min="4" max="4" width="12" customWidth="1"/>
    <col min="7" max="7" width="11" customWidth="1"/>
    <col min="8" max="8" width="9.140625" style="2"/>
    <col min="10" max="10" width="10.42578125" customWidth="1"/>
    <col min="14" max="14" width="10.5703125" customWidth="1"/>
    <col min="15" max="15" width="13.5703125" bestFit="1" customWidth="1"/>
    <col min="19" max="19" width="13.5703125" customWidth="1"/>
    <col min="20" max="20" width="11" style="2" customWidth="1"/>
    <col min="21" max="21" width="4.28515625" customWidth="1"/>
    <col min="22" max="22" width="10.5703125" customWidth="1"/>
    <col min="23" max="23" width="12.85546875" customWidth="1"/>
    <col min="25" max="25" width="11.140625" customWidth="1"/>
    <col min="26" max="26" width="14.42578125" bestFit="1" customWidth="1"/>
  </cols>
  <sheetData>
    <row r="1" spans="1:29" ht="15.75" x14ac:dyDescent="0.25">
      <c r="A1" s="22" t="s">
        <v>8</v>
      </c>
      <c r="B1" s="22"/>
      <c r="C1" s="22"/>
      <c r="D1" s="3"/>
      <c r="E1" s="3" t="s">
        <v>6</v>
      </c>
      <c r="F1" s="3"/>
      <c r="G1" s="3"/>
      <c r="H1" s="1"/>
      <c r="I1" s="3"/>
      <c r="J1" s="3"/>
      <c r="K1" s="3"/>
      <c r="L1" s="3"/>
      <c r="M1" s="3"/>
      <c r="N1" s="3" t="s">
        <v>20</v>
      </c>
      <c r="O1" s="3">
        <v>20.3</v>
      </c>
      <c r="P1" s="3"/>
      <c r="Q1" s="3"/>
      <c r="R1" s="3"/>
      <c r="S1" s="3"/>
      <c r="T1" s="1"/>
      <c r="U1" s="3"/>
      <c r="V1" s="3"/>
      <c r="W1" s="3"/>
      <c r="X1" s="3"/>
      <c r="Y1" s="3"/>
      <c r="Z1" s="3"/>
      <c r="AA1" s="3"/>
      <c r="AB1" s="3"/>
      <c r="AC1" s="3"/>
    </row>
    <row r="2" spans="1:29" ht="16.5" thickBot="1" x14ac:dyDescent="0.3">
      <c r="A2" s="3" t="s">
        <v>25</v>
      </c>
      <c r="B2" s="3">
        <f>14*0.0254/2</f>
        <v>0.17779999999999999</v>
      </c>
      <c r="C2" s="3" t="s">
        <v>42</v>
      </c>
      <c r="D2" s="3">
        <f>RADIANS(22)</f>
        <v>0.38397243543875248</v>
      </c>
      <c r="E2" s="23" t="s">
        <v>0</v>
      </c>
      <c r="F2" s="22"/>
      <c r="G2" s="22"/>
      <c r="H2" s="22"/>
      <c r="I2" s="24" t="s">
        <v>22</v>
      </c>
      <c r="J2" s="24"/>
      <c r="K2" s="24"/>
      <c r="L2" s="25"/>
      <c r="M2" s="3"/>
      <c r="N2" s="3"/>
      <c r="O2" s="3"/>
      <c r="P2" s="28" t="s">
        <v>1</v>
      </c>
      <c r="Q2" s="24"/>
      <c r="R2" s="24"/>
      <c r="S2" s="24"/>
      <c r="T2" s="24"/>
      <c r="U2" s="24" t="s">
        <v>34</v>
      </c>
      <c r="V2" s="24"/>
      <c r="W2" s="25"/>
      <c r="X2" s="3"/>
      <c r="Y2" s="3"/>
      <c r="Z2" s="3"/>
      <c r="AA2" s="3"/>
      <c r="AB2" s="3"/>
      <c r="AC2" s="3"/>
    </row>
    <row r="3" spans="1:29" ht="15.75" x14ac:dyDescent="0.25">
      <c r="A3" s="3" t="s">
        <v>26</v>
      </c>
      <c r="B3" s="3">
        <f>4.7*B13</f>
        <v>0.11938</v>
      </c>
      <c r="C3" s="3" t="s">
        <v>43</v>
      </c>
      <c r="D3" s="3">
        <f>RADIANS(5)</f>
        <v>8.7266462599716474E-2</v>
      </c>
      <c r="E3" s="8" t="s">
        <v>2</v>
      </c>
      <c r="F3" s="8" t="s">
        <v>7</v>
      </c>
      <c r="G3" s="8" t="s">
        <v>3</v>
      </c>
      <c r="H3" s="9" t="s">
        <v>12</v>
      </c>
      <c r="I3" s="8" t="s">
        <v>23</v>
      </c>
      <c r="J3" s="8" t="s">
        <v>24</v>
      </c>
      <c r="K3" s="8" t="s">
        <v>27</v>
      </c>
      <c r="L3" s="8"/>
      <c r="M3" s="3"/>
      <c r="N3" s="3"/>
      <c r="O3" s="3"/>
      <c r="P3" s="5" t="s">
        <v>2</v>
      </c>
      <c r="Q3" s="6" t="s">
        <v>7</v>
      </c>
      <c r="R3" s="5" t="s">
        <v>4</v>
      </c>
      <c r="S3" s="15" t="s">
        <v>5</v>
      </c>
      <c r="T3" s="16" t="s">
        <v>21</v>
      </c>
      <c r="U3" s="8" t="s">
        <v>23</v>
      </c>
      <c r="V3" s="8" t="s">
        <v>24</v>
      </c>
      <c r="W3" s="8" t="s">
        <v>30</v>
      </c>
      <c r="X3" s="7" t="s">
        <v>41</v>
      </c>
      <c r="Y3" s="3"/>
      <c r="Z3" s="3"/>
      <c r="AA3" s="3"/>
      <c r="AB3" s="3"/>
      <c r="AC3" s="3"/>
    </row>
    <row r="4" spans="1:29" ht="15.75" x14ac:dyDescent="0.25">
      <c r="A4" s="3" t="s">
        <v>17</v>
      </c>
      <c r="B4" s="3">
        <f>D2</f>
        <v>0.38397243543875248</v>
      </c>
      <c r="C4" s="3"/>
      <c r="D4" s="3"/>
      <c r="E4" s="7">
        <v>6318</v>
      </c>
      <c r="F4" s="7">
        <f>E4/2*2*PI()/60</f>
        <v>330.8097064230052</v>
      </c>
      <c r="G4" s="7">
        <v>380</v>
      </c>
      <c r="H4" s="1">
        <f>G4/1000*9.81/($B$15*$B$16*(F4*$B$2)^2)</f>
        <v>9.9396617245846048E-3</v>
      </c>
      <c r="I4" s="3">
        <f>SQRT(G4/1000*9.81/(2*$B$15*$B$16))</f>
        <v>4.146491742608263</v>
      </c>
      <c r="J4" s="3">
        <f>I4/(F4*$B$2)</f>
        <v>7.049702732947187E-2</v>
      </c>
      <c r="K4" s="3">
        <f>$B$10*$B$6/4*($B$4*(2/3+0^2)+$B$5/2*(1+0^2)-J4)</f>
        <v>1.023059209933312E-2</v>
      </c>
      <c r="L4" s="3"/>
      <c r="M4" s="3"/>
      <c r="N4" s="3"/>
      <c r="O4" s="3"/>
      <c r="P4" s="7">
        <v>6227.5</v>
      </c>
      <c r="Q4" s="7">
        <f>P4/2*2*PI()/60</f>
        <v>326.07113750384065</v>
      </c>
      <c r="R4" s="7">
        <v>23</v>
      </c>
      <c r="S4" s="7">
        <f t="shared" ref="S4:S12" si="0">R4/1000*9.81*$O$1</f>
        <v>4.5802890000000005</v>
      </c>
      <c r="T4" s="1">
        <f>S4/100/($B$15*$B$16*$B$2*(Q4*$B$2)^2)</f>
        <v>7.0698776127496815E-4</v>
      </c>
      <c r="U4" s="3"/>
      <c r="V4" s="3">
        <f>$O$19+$O$18*Q4</f>
        <v>6.7524691485052385E-2</v>
      </c>
      <c r="W4" s="3">
        <f>$B$10*$B$6/4*(2/3*$B$4-V4+$B$5/2)*V4+$B$10*$B$8/8*(1+0^2)</f>
        <v>7.621386805840315E-4</v>
      </c>
      <c r="X4" s="3">
        <f>$B$10*$B$8/8*(1+0^2)/W4*100</f>
        <v>2.1022525549736168</v>
      </c>
      <c r="Y4" s="3"/>
      <c r="Z4" s="3"/>
      <c r="AA4" s="3"/>
      <c r="AB4" s="3"/>
      <c r="AC4" s="3"/>
    </row>
    <row r="5" spans="1:29" ht="15.75" x14ac:dyDescent="0.25">
      <c r="A5" s="10" t="s">
        <v>18</v>
      </c>
      <c r="B5" s="11">
        <f>D3-D2</f>
        <v>-0.29670597283903599</v>
      </c>
      <c r="C5" s="12"/>
      <c r="D5" s="3"/>
      <c r="E5" s="7">
        <v>8776.2000000000007</v>
      </c>
      <c r="F5" s="7">
        <f t="shared" ref="F5:F25" si="1">E5/2*2*PI()/60</f>
        <v>459.52075744057908</v>
      </c>
      <c r="G5" s="7">
        <v>748</v>
      </c>
      <c r="H5" s="1">
        <f t="shared" ref="H5:H25" si="2">G5/1000*9.81/($B$15*$B$16*(F5*$B$2)^2)</f>
        <v>1.0139950272855511E-2</v>
      </c>
      <c r="I5" s="3">
        <f t="shared" ref="I5:I25" si="3">SQRT(G5/1000*9.81/(2*$B$15*$B$16))</f>
        <v>5.8175457253073386</v>
      </c>
      <c r="J5" s="3">
        <f t="shared" ref="J5:J25" si="4">I5/(F5*$B$2)</f>
        <v>7.1203757881362933E-2</v>
      </c>
      <c r="K5" s="3">
        <f t="shared" ref="K5:K25" si="5">$B$10*$B$6/4*($B$4*(2/3+0^2)+$B$5/2*(1+0^2)-J5)</f>
        <v>1.0035871966688327E-2</v>
      </c>
      <c r="L5" s="3"/>
      <c r="M5" s="3"/>
      <c r="N5" s="3"/>
      <c r="O5" s="3"/>
      <c r="P5" s="7">
        <v>8569</v>
      </c>
      <c r="Q5" s="7">
        <f t="shared" ref="Q5:Q12" si="6">P5/2*2*PI()/60</f>
        <v>448.67179081018224</v>
      </c>
      <c r="R5" s="7">
        <v>43</v>
      </c>
      <c r="S5" s="7">
        <f t="shared" si="0"/>
        <v>8.5631489999999992</v>
      </c>
      <c r="T5" s="1">
        <f t="shared" ref="T5:T12" si="7">S5/100/($B$15*$B$16*$B$2*(Q5*$B$2)^2)</f>
        <v>6.9810331785670878E-4</v>
      </c>
      <c r="U5" s="3"/>
      <c r="V5" s="3">
        <f t="shared" ref="V5:V12" si="8">$O$19+$O$18*Q5</f>
        <v>6.9325813233496736E-2</v>
      </c>
      <c r="W5" s="3">
        <f t="shared" ref="W5:W12" si="9">$B$10*$B$6/4*(2/3*$B$4-V5+$B$5/2)*V5+$B$10*$B$8/8*(1+0^2)</f>
        <v>7.4763734415503064E-4</v>
      </c>
      <c r="X5" s="3">
        <f t="shared" ref="X5:X13" si="10">$B$10*$B$8/8*(1+0^2)/W5*100</f>
        <v>2.1430283024623313</v>
      </c>
      <c r="Y5" s="3"/>
      <c r="Z5" s="3"/>
      <c r="AA5" s="3"/>
      <c r="AB5" s="3"/>
      <c r="AC5" s="3"/>
    </row>
    <row r="6" spans="1:29" ht="16.5" thickBot="1" x14ac:dyDescent="0.3">
      <c r="A6" s="13" t="s">
        <v>9</v>
      </c>
      <c r="B6" s="30">
        <v>10.259999999999998</v>
      </c>
      <c r="C6" s="1" t="s">
        <v>19</v>
      </c>
      <c r="D6" s="3"/>
      <c r="E6" s="7">
        <v>12794</v>
      </c>
      <c r="F6" s="7">
        <f t="shared" si="1"/>
        <v>669.8922735004636</v>
      </c>
      <c r="G6" s="7">
        <v>1700</v>
      </c>
      <c r="H6" s="1">
        <f t="shared" si="2"/>
        <v>1.084384945106916E-2</v>
      </c>
      <c r="I6" s="3">
        <f t="shared" si="3"/>
        <v>8.7702801689001841</v>
      </c>
      <c r="J6" s="3">
        <f t="shared" si="4"/>
        <v>7.3633720030530717E-2</v>
      </c>
      <c r="K6" s="3">
        <f t="shared" si="5"/>
        <v>9.3663628436686727E-3</v>
      </c>
      <c r="L6" s="3"/>
      <c r="M6" s="3"/>
      <c r="N6" s="3"/>
      <c r="O6" s="3"/>
      <c r="P6" s="7">
        <v>12586</v>
      </c>
      <c r="Q6" s="7">
        <f t="shared" si="6"/>
        <v>659.00141896801892</v>
      </c>
      <c r="R6" s="7">
        <v>103</v>
      </c>
      <c r="S6" s="7">
        <f t="shared" si="0"/>
        <v>20.511728999999999</v>
      </c>
      <c r="T6" s="1">
        <f t="shared" si="7"/>
        <v>7.7512778013888168E-4</v>
      </c>
      <c r="U6" s="3"/>
      <c r="V6" s="3">
        <f t="shared" si="8"/>
        <v>7.2415758167727329E-2</v>
      </c>
      <c r="W6" s="3">
        <f t="shared" si="9"/>
        <v>7.1859532503967523E-4</v>
      </c>
      <c r="X6" s="3">
        <f t="shared" si="10"/>
        <v>2.2296387586623108</v>
      </c>
      <c r="Y6" s="3"/>
      <c r="Z6" s="3"/>
      <c r="AA6" s="3"/>
      <c r="AB6" s="3"/>
      <c r="AC6" s="3"/>
    </row>
    <row r="7" spans="1:29" ht="15.75" x14ac:dyDescent="0.25">
      <c r="A7" s="13" t="s">
        <v>10</v>
      </c>
      <c r="B7" s="7">
        <v>0.03</v>
      </c>
      <c r="C7" s="1" t="s">
        <v>19</v>
      </c>
      <c r="D7" s="3"/>
      <c r="E7" s="7">
        <v>14898</v>
      </c>
      <c r="F7" s="7">
        <f t="shared" si="1"/>
        <v>780.05745588634568</v>
      </c>
      <c r="G7" s="7">
        <v>2420</v>
      </c>
      <c r="H7" s="1">
        <f t="shared" si="2"/>
        <v>1.1384309048509674E-2</v>
      </c>
      <c r="I7" s="3">
        <f t="shared" si="3"/>
        <v>10.46397490730569</v>
      </c>
      <c r="J7" s="3">
        <f t="shared" si="4"/>
        <v>7.544636852927275E-2</v>
      </c>
      <c r="K7" s="3">
        <f t="shared" si="5"/>
        <v>8.8669374895942073E-3</v>
      </c>
      <c r="L7" s="3"/>
      <c r="M7" s="3"/>
      <c r="N7" s="3"/>
      <c r="O7" s="3"/>
      <c r="P7" s="7">
        <v>14735</v>
      </c>
      <c r="Q7" s="7">
        <f t="shared" si="6"/>
        <v>771.52279584409337</v>
      </c>
      <c r="R7" s="7">
        <v>138</v>
      </c>
      <c r="S7" s="7">
        <f t="shared" si="0"/>
        <v>27.481734000000007</v>
      </c>
      <c r="T7" s="1">
        <f t="shared" si="7"/>
        <v>7.576878762768144E-4</v>
      </c>
      <c r="U7" s="3"/>
      <c r="V7" s="3">
        <f t="shared" si="8"/>
        <v>7.4068805631919893E-2</v>
      </c>
      <c r="W7" s="3">
        <f t="shared" si="9"/>
        <v>7.0089832775674528E-4</v>
      </c>
      <c r="X7" s="3">
        <f t="shared" si="10"/>
        <v>2.2859349566861367</v>
      </c>
      <c r="Y7" s="26" t="s">
        <v>40</v>
      </c>
      <c r="Z7" s="27"/>
      <c r="AA7" s="3"/>
      <c r="AB7" s="3"/>
      <c r="AC7" s="3"/>
    </row>
    <row r="8" spans="1:29" ht="16.5" thickBot="1" x14ac:dyDescent="0.3">
      <c r="A8" s="14" t="s">
        <v>11</v>
      </c>
      <c r="B8" s="29">
        <v>1.1932714742059951E-3</v>
      </c>
      <c r="C8" s="9" t="s">
        <v>19</v>
      </c>
      <c r="D8" s="3"/>
      <c r="E8" s="7">
        <v>15062</v>
      </c>
      <c r="F8" s="7">
        <f t="shared" si="1"/>
        <v>788.64447580615774</v>
      </c>
      <c r="G8" s="7">
        <v>2510</v>
      </c>
      <c r="H8" s="1">
        <f t="shared" si="2"/>
        <v>1.1551960249796423E-2</v>
      </c>
      <c r="I8" s="3">
        <f t="shared" si="3"/>
        <v>10.656776737747116</v>
      </c>
      <c r="J8" s="3">
        <f t="shared" si="4"/>
        <v>7.5999869242638921E-2</v>
      </c>
      <c r="K8" s="3">
        <f t="shared" si="5"/>
        <v>8.7144356173640362E-3</v>
      </c>
      <c r="L8" s="3"/>
      <c r="M8" s="3"/>
      <c r="N8" s="3"/>
      <c r="O8" s="3"/>
      <c r="P8" s="7">
        <v>14993</v>
      </c>
      <c r="Q8" s="7">
        <f t="shared" si="6"/>
        <v>785.03164425452951</v>
      </c>
      <c r="R8" s="7">
        <v>205</v>
      </c>
      <c r="S8" s="7">
        <f t="shared" si="0"/>
        <v>40.824314999999999</v>
      </c>
      <c r="T8" s="1">
        <f t="shared" si="7"/>
        <v>1.0871470988057482E-3</v>
      </c>
      <c r="U8" s="3"/>
      <c r="V8" s="3">
        <f t="shared" si="8"/>
        <v>7.4267263633670325E-2</v>
      </c>
      <c r="W8" s="3">
        <f t="shared" si="9"/>
        <v>6.9867246024121722E-4</v>
      </c>
      <c r="X8" s="3">
        <f t="shared" si="10"/>
        <v>2.2932176086471729</v>
      </c>
      <c r="Y8" s="17" t="s">
        <v>32</v>
      </c>
      <c r="Z8" s="18">
        <f>SLOPE(T4:T12,Q4:Q12)</f>
        <v>4.6287130314337539E-7</v>
      </c>
      <c r="AA8" s="3"/>
      <c r="AB8" s="3"/>
      <c r="AC8" s="3"/>
    </row>
    <row r="9" spans="1:29" ht="16.5" thickBot="1" x14ac:dyDescent="0.3">
      <c r="A9" s="3" t="s">
        <v>28</v>
      </c>
      <c r="B9" s="3">
        <v>2</v>
      </c>
      <c r="C9" s="3"/>
      <c r="D9" s="3"/>
      <c r="E9" s="7">
        <v>14911</v>
      </c>
      <c r="F9" s="7">
        <f t="shared" si="1"/>
        <v>780.73813429462336</v>
      </c>
      <c r="G9" s="7">
        <v>2416</v>
      </c>
      <c r="H9" s="1">
        <f t="shared" si="2"/>
        <v>1.1345682876125619E-2</v>
      </c>
      <c r="I9" s="3">
        <f t="shared" si="3"/>
        <v>10.455323417684953</v>
      </c>
      <c r="J9" s="3">
        <f t="shared" si="4"/>
        <v>7.531826762521035E-2</v>
      </c>
      <c r="K9" s="3">
        <f t="shared" si="5"/>
        <v>8.9022321644376887E-3</v>
      </c>
      <c r="L9" s="3"/>
      <c r="M9" s="3"/>
      <c r="N9" s="26" t="s">
        <v>35</v>
      </c>
      <c r="O9" s="27"/>
      <c r="P9" s="7">
        <v>5519.4</v>
      </c>
      <c r="Q9" s="7">
        <f t="shared" si="6"/>
        <v>288.99510820372507</v>
      </c>
      <c r="R9" s="7">
        <v>17</v>
      </c>
      <c r="S9" s="7">
        <f t="shared" si="0"/>
        <v>3.3854310000000005</v>
      </c>
      <c r="T9" s="1">
        <f t="shared" si="7"/>
        <v>6.652374881497416E-4</v>
      </c>
      <c r="U9" s="3"/>
      <c r="V9" s="3">
        <f t="shared" si="8"/>
        <v>6.6980008884124156E-2</v>
      </c>
      <c r="W9" s="3">
        <f t="shared" si="9"/>
        <v>7.6617203277568925E-4</v>
      </c>
      <c r="X9" s="3">
        <f t="shared" si="10"/>
        <v>2.0911856867151881</v>
      </c>
      <c r="Y9" s="19" t="s">
        <v>33</v>
      </c>
      <c r="Z9" s="20">
        <f>INTERCEPT(T4:T12,Q4:Q12)</f>
        <v>5.083862462614432E-4</v>
      </c>
      <c r="AA9" s="3"/>
      <c r="AB9" s="3"/>
      <c r="AC9" s="3"/>
    </row>
    <row r="10" spans="1:29" ht="15.75" x14ac:dyDescent="0.25">
      <c r="A10" s="3" t="s">
        <v>29</v>
      </c>
      <c r="B10" s="3">
        <f>B9*B7/(PI()*B2)</f>
        <v>0.10741615956708347</v>
      </c>
      <c r="C10" s="3"/>
      <c r="D10" s="3"/>
      <c r="E10" s="7">
        <v>5158.5</v>
      </c>
      <c r="F10" s="7">
        <f t="shared" si="1"/>
        <v>270.09842839238246</v>
      </c>
      <c r="G10" s="7">
        <v>241</v>
      </c>
      <c r="H10" s="1">
        <f t="shared" si="2"/>
        <v>9.4562168674039368E-3</v>
      </c>
      <c r="I10" s="3">
        <f t="shared" si="3"/>
        <v>3.3021555555408604</v>
      </c>
      <c r="J10" s="3">
        <f t="shared" si="4"/>
        <v>6.8761242235011788E-2</v>
      </c>
      <c r="K10" s="3">
        <f t="shared" si="5"/>
        <v>1.0708839859999089E-2</v>
      </c>
      <c r="L10" s="3"/>
      <c r="M10" s="3"/>
      <c r="N10" s="17" t="s">
        <v>32</v>
      </c>
      <c r="O10" s="18">
        <f>SLOPE(H4:H28,F4:F28)</f>
        <v>4.0835916864156508E-6</v>
      </c>
      <c r="P10" s="7">
        <v>6918.1</v>
      </c>
      <c r="Q10" s="7">
        <f t="shared" si="6"/>
        <v>362.23086894665914</v>
      </c>
      <c r="R10" s="7">
        <v>31</v>
      </c>
      <c r="S10" s="7">
        <f t="shared" si="0"/>
        <v>6.1734330000000002</v>
      </c>
      <c r="T10" s="1">
        <f t="shared" si="7"/>
        <v>7.7214622979104473E-4</v>
      </c>
      <c r="U10" s="3"/>
      <c r="V10" s="3">
        <f t="shared" si="8"/>
        <v>6.805591278741227E-2</v>
      </c>
      <c r="W10" s="3">
        <f t="shared" si="9"/>
        <v>7.5804753580572257E-4</v>
      </c>
      <c r="X10" s="3">
        <f t="shared" si="10"/>
        <v>2.1135983072605433</v>
      </c>
      <c r="Y10" s="26" t="s">
        <v>39</v>
      </c>
      <c r="Z10" s="27"/>
      <c r="AA10" s="3"/>
      <c r="AB10" s="3"/>
      <c r="AC10" s="3"/>
    </row>
    <row r="11" spans="1:29" ht="16.5" thickBot="1" x14ac:dyDescent="0.3">
      <c r="C11" s="3"/>
      <c r="D11" s="3"/>
      <c r="E11" s="7">
        <v>6662</v>
      </c>
      <c r="F11" s="7">
        <f t="shared" si="1"/>
        <v>348.82150430358672</v>
      </c>
      <c r="G11" s="7">
        <v>403</v>
      </c>
      <c r="H11" s="1">
        <f t="shared" si="2"/>
        <v>9.4807575442044066E-3</v>
      </c>
      <c r="I11" s="3">
        <f t="shared" si="3"/>
        <v>4.2701342546138061</v>
      </c>
      <c r="J11" s="3">
        <f t="shared" si="4"/>
        <v>6.8850408656029066E-2</v>
      </c>
      <c r="K11" s="3">
        <f t="shared" si="5"/>
        <v>1.0684272509286023E-2</v>
      </c>
      <c r="L11" s="3"/>
      <c r="M11" s="3"/>
      <c r="N11" s="19" t="s">
        <v>33</v>
      </c>
      <c r="O11" s="20">
        <f>INTERCEPT(H4:H28,F4:F28)</f>
        <v>7.8107678040644831E-3</v>
      </c>
      <c r="P11" s="7">
        <v>8871.1</v>
      </c>
      <c r="Q11" s="7">
        <f t="shared" si="6"/>
        <v>464.4897098210069</v>
      </c>
      <c r="R11" s="7">
        <v>42</v>
      </c>
      <c r="S11" s="7">
        <f t="shared" si="0"/>
        <v>8.3640060000000016</v>
      </c>
      <c r="T11" s="1">
        <f t="shared" si="7"/>
        <v>6.3621788382500245E-4</v>
      </c>
      <c r="U11" s="3"/>
      <c r="V11" s="3">
        <f t="shared" si="8"/>
        <v>6.9558193707639382E-2</v>
      </c>
      <c r="W11" s="3">
        <f t="shared" si="9"/>
        <v>7.4563618668334916E-4</v>
      </c>
      <c r="X11" s="3">
        <f t="shared" si="10"/>
        <v>2.1487798166405438</v>
      </c>
      <c r="Y11" s="17" t="s">
        <v>32</v>
      </c>
      <c r="Z11" s="18">
        <f>SLOPE(W4:W28,Q4:Q28)</f>
        <v>-1.371821675890469E-7</v>
      </c>
      <c r="AA11" s="3"/>
      <c r="AB11" s="3"/>
      <c r="AC11" s="3"/>
    </row>
    <row r="12" spans="1:29" ht="16.5" thickBot="1" x14ac:dyDescent="0.3">
      <c r="A12" s="3"/>
      <c r="B12" s="3"/>
      <c r="C12" s="3"/>
      <c r="D12" s="3"/>
      <c r="E12" s="7">
        <v>8728</v>
      </c>
      <c r="F12" s="7">
        <f t="shared" si="1"/>
        <v>456.99701134219521</v>
      </c>
      <c r="G12" s="7">
        <v>727</v>
      </c>
      <c r="H12" s="1">
        <f t="shared" si="2"/>
        <v>9.9644237128525305E-3</v>
      </c>
      <c r="I12" s="3">
        <f t="shared" si="3"/>
        <v>5.7353009538558553</v>
      </c>
      <c r="J12" s="3">
        <f t="shared" si="4"/>
        <v>7.0584784879081888E-2</v>
      </c>
      <c r="K12" s="3">
        <f t="shared" si="5"/>
        <v>1.0206412924320918E-2</v>
      </c>
      <c r="L12" s="3"/>
      <c r="M12" s="3"/>
      <c r="N12" s="26" t="s">
        <v>36</v>
      </c>
      <c r="O12" s="27"/>
      <c r="P12" s="7">
        <v>10081</v>
      </c>
      <c r="Q12" s="7">
        <f t="shared" si="6"/>
        <v>527.83992568064502</v>
      </c>
      <c r="R12" s="7">
        <v>53</v>
      </c>
      <c r="S12" s="7">
        <f t="shared" si="0"/>
        <v>10.554579</v>
      </c>
      <c r="T12" s="1">
        <f t="shared" si="7"/>
        <v>6.2169900495387886E-4</v>
      </c>
      <c r="U12" s="3"/>
      <c r="V12" s="3">
        <f t="shared" si="8"/>
        <v>7.0488869429801593E-2</v>
      </c>
      <c r="W12" s="3">
        <f t="shared" si="9"/>
        <v>7.3732338730358603E-4</v>
      </c>
      <c r="X12" s="3">
        <f t="shared" si="10"/>
        <v>2.1730057883574321</v>
      </c>
      <c r="Y12" s="19" t="s">
        <v>33</v>
      </c>
      <c r="Z12" s="20">
        <f>INTERCEPT(W4:W28,Q4:Q28)</f>
        <v>8.0786705235928605E-4</v>
      </c>
      <c r="AA12" s="3"/>
      <c r="AB12" s="3"/>
      <c r="AC12" s="3"/>
    </row>
    <row r="13" spans="1:29" ht="15.75" x14ac:dyDescent="0.25">
      <c r="A13" s="4" t="s">
        <v>16</v>
      </c>
      <c r="B13" s="4">
        <v>2.5399999999999999E-2</v>
      </c>
      <c r="C13" s="3"/>
      <c r="D13" s="3"/>
      <c r="E13" s="7">
        <v>9959</v>
      </c>
      <c r="F13" s="7">
        <f t="shared" si="1"/>
        <v>521.45202061834584</v>
      </c>
      <c r="G13" s="7">
        <v>970</v>
      </c>
      <c r="H13" s="1">
        <f t="shared" si="2"/>
        <v>1.0211452473953185E-2</v>
      </c>
      <c r="I13" s="3">
        <f t="shared" si="3"/>
        <v>6.6248320650756982</v>
      </c>
      <c r="J13" s="3">
        <f t="shared" si="4"/>
        <v>7.1454364716066116E-2</v>
      </c>
      <c r="K13" s="3">
        <f t="shared" si="5"/>
        <v>9.9668241577821996E-3</v>
      </c>
      <c r="L13" s="3"/>
      <c r="M13" s="3"/>
      <c r="N13" s="17" t="s">
        <v>32</v>
      </c>
      <c r="O13" s="18">
        <f>SLOPE(K4:K28,F4:F28)</f>
        <v>-4.0476903035754711E-6</v>
      </c>
      <c r="P13" s="3"/>
      <c r="Q13" s="3"/>
      <c r="R13" s="3"/>
      <c r="S13" s="3"/>
      <c r="T13" s="3">
        <f>GEOMEAN(T4:T12)</f>
        <v>7.368375718628668E-4</v>
      </c>
      <c r="U13" s="3"/>
      <c r="V13" s="3"/>
      <c r="W13" s="3">
        <f>GEOMEAN(W4:W12)</f>
        <v>7.3683754984298641E-4</v>
      </c>
      <c r="X13" s="3">
        <f t="shared" si="10"/>
        <v>2.1744385704059432</v>
      </c>
      <c r="Y13" s="3" t="s">
        <v>37</v>
      </c>
      <c r="Z13" s="3">
        <f>(Z8-Z11)*10000</f>
        <v>6.0005347073242227E-3</v>
      </c>
      <c r="AA13" s="3"/>
      <c r="AB13" s="3"/>
      <c r="AC13" s="3"/>
    </row>
    <row r="14" spans="1:29" ht="16.5" thickBot="1" x14ac:dyDescent="0.3">
      <c r="A14" s="22" t="s">
        <v>14</v>
      </c>
      <c r="B14" s="22"/>
      <c r="C14" s="3"/>
      <c r="D14" s="3"/>
      <c r="E14" s="7">
        <v>11758</v>
      </c>
      <c r="F14" s="7">
        <f t="shared" si="1"/>
        <v>615.64744034847979</v>
      </c>
      <c r="G14" s="7">
        <v>1350</v>
      </c>
      <c r="H14" s="1">
        <f t="shared" si="2"/>
        <v>1.0195630966081146E-2</v>
      </c>
      <c r="I14" s="3">
        <f t="shared" si="3"/>
        <v>7.8154842244082134</v>
      </c>
      <c r="J14" s="3">
        <f t="shared" si="4"/>
        <v>7.1398987969302288E-2</v>
      </c>
      <c r="K14" s="3">
        <f t="shared" si="5"/>
        <v>9.9820816946842566E-3</v>
      </c>
      <c r="L14" s="3"/>
      <c r="M14" s="3"/>
      <c r="N14" s="19" t="s">
        <v>33</v>
      </c>
      <c r="O14" s="20">
        <f>INTERCEPT(K4:K28,F4:F28)</f>
        <v>1.236937233284887E-2</v>
      </c>
      <c r="P14" s="3"/>
      <c r="Q14" s="3"/>
      <c r="R14" s="3"/>
      <c r="S14" s="3"/>
      <c r="T14" s="1"/>
      <c r="U14" s="3"/>
      <c r="V14" s="3">
        <f>(W13-T13)*100000</f>
        <v>-2.2019880385228119E-6</v>
      </c>
      <c r="W14" s="3"/>
      <c r="X14" s="3"/>
      <c r="Y14" s="3" t="s">
        <v>38</v>
      </c>
      <c r="Z14" s="3">
        <f>(Z9-Z12)*1000</f>
        <v>-0.29948080609784283</v>
      </c>
      <c r="AA14" s="3"/>
      <c r="AB14" s="3"/>
      <c r="AC14" s="3"/>
    </row>
    <row r="15" spans="1:29" ht="15.75" x14ac:dyDescent="0.25">
      <c r="A15" s="3" t="s">
        <v>13</v>
      </c>
      <c r="B15" s="3">
        <v>1.0915600000000001</v>
      </c>
      <c r="C15" s="3"/>
      <c r="D15" s="3"/>
      <c r="E15" s="7">
        <v>12660</v>
      </c>
      <c r="F15" s="7">
        <f t="shared" si="1"/>
        <v>662.87604990744637</v>
      </c>
      <c r="G15" s="7">
        <v>1600</v>
      </c>
      <c r="H15" s="1">
        <f t="shared" si="2"/>
        <v>1.0423170025901372E-2</v>
      </c>
      <c r="I15" s="3">
        <f t="shared" si="3"/>
        <v>8.5084215300318498</v>
      </c>
      <c r="J15" s="3">
        <f t="shared" si="4"/>
        <v>7.2191308430798559E-2</v>
      </c>
      <c r="K15" s="3">
        <f t="shared" si="5"/>
        <v>9.7637796205105633E-3</v>
      </c>
      <c r="L15" s="3"/>
      <c r="M15" s="3"/>
      <c r="N15" s="3" t="s">
        <v>37</v>
      </c>
      <c r="O15" s="3">
        <f>(O10-O13)*10000</f>
        <v>8.1312819899911223E-2</v>
      </c>
      <c r="P15" s="3"/>
      <c r="Q15" s="3"/>
      <c r="R15" s="3"/>
      <c r="S15" s="3"/>
      <c r="T15" s="1"/>
      <c r="U15" s="3"/>
      <c r="V15" s="3"/>
      <c r="W15" s="3"/>
      <c r="X15" s="3"/>
      <c r="Y15" s="3"/>
      <c r="Z15" s="3"/>
      <c r="AA15" s="3"/>
      <c r="AB15" s="3"/>
      <c r="AC15" s="3"/>
    </row>
    <row r="16" spans="1:29" ht="16.5" thickBot="1" x14ac:dyDescent="0.3">
      <c r="A16" s="3" t="s">
        <v>15</v>
      </c>
      <c r="B16" s="3">
        <f>PI()*B2^2</f>
        <v>9.9314665903109542E-2</v>
      </c>
      <c r="C16" s="3"/>
      <c r="D16" s="3"/>
      <c r="E16" s="7">
        <v>13557</v>
      </c>
      <c r="F16" s="7">
        <f t="shared" si="1"/>
        <v>709.84286007861374</v>
      </c>
      <c r="G16" s="7">
        <v>1872</v>
      </c>
      <c r="H16" s="1">
        <f t="shared" si="2"/>
        <v>1.0634716161887377E-2</v>
      </c>
      <c r="I16" s="3">
        <f t="shared" si="3"/>
        <v>9.2032650299374801</v>
      </c>
      <c r="J16" s="3">
        <f t="shared" si="4"/>
        <v>7.2920217230502599E-2</v>
      </c>
      <c r="K16" s="3">
        <f t="shared" si="5"/>
        <v>9.5629488827073863E-3</v>
      </c>
      <c r="L16" s="3"/>
      <c r="M16" s="3"/>
      <c r="N16" s="3" t="s">
        <v>38</v>
      </c>
      <c r="O16" s="3">
        <f>O11-O14</f>
        <v>-4.5586045287843869E-3</v>
      </c>
      <c r="P16" s="3"/>
      <c r="Q16" s="3"/>
      <c r="R16" s="3"/>
      <c r="S16" s="3"/>
      <c r="T16" s="1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x14ac:dyDescent="0.25">
      <c r="A17" s="3"/>
      <c r="B17" s="3"/>
      <c r="C17" s="3"/>
      <c r="D17" s="3"/>
      <c r="E17" s="7">
        <v>13521</v>
      </c>
      <c r="F17" s="7">
        <f t="shared" si="1"/>
        <v>707.95790448645994</v>
      </c>
      <c r="G17" s="7">
        <v>1860</v>
      </c>
      <c r="H17" s="1">
        <f t="shared" si="2"/>
        <v>1.0622887190212902E-2</v>
      </c>
      <c r="I17" s="3">
        <f t="shared" si="3"/>
        <v>9.1737199616226999</v>
      </c>
      <c r="J17" s="3">
        <f t="shared" si="4"/>
        <v>7.2879651447481902E-2</v>
      </c>
      <c r="K17" s="3">
        <f t="shared" si="5"/>
        <v>9.5741256666025971E-3</v>
      </c>
      <c r="L17" s="3"/>
      <c r="M17" s="3"/>
      <c r="N17" s="26" t="s">
        <v>31</v>
      </c>
      <c r="O17" s="27"/>
      <c r="P17" s="3"/>
      <c r="Q17" s="3"/>
      <c r="R17" s="3"/>
      <c r="S17" s="3"/>
      <c r="T17" s="1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x14ac:dyDescent="0.25">
      <c r="A18" s="3"/>
      <c r="B18" s="3"/>
      <c r="C18" s="3"/>
      <c r="D18" s="3"/>
      <c r="E18" s="7">
        <v>6726.2</v>
      </c>
      <c r="F18" s="7">
        <f t="shared" si="1"/>
        <v>352.18300844292776</v>
      </c>
      <c r="G18" s="7">
        <v>292</v>
      </c>
      <c r="H18" s="1">
        <f t="shared" si="2"/>
        <v>6.738923851336536E-3</v>
      </c>
      <c r="I18" s="3">
        <f t="shared" si="3"/>
        <v>3.6347992709666217</v>
      </c>
      <c r="J18" s="3">
        <f t="shared" si="4"/>
        <v>5.8047066469101329E-2</v>
      </c>
      <c r="K18" s="3">
        <f t="shared" si="5"/>
        <v>1.3660835809141682E-2</v>
      </c>
      <c r="L18" s="3"/>
      <c r="M18" s="3"/>
      <c r="N18" s="17" t="s">
        <v>32</v>
      </c>
      <c r="O18" s="18">
        <f>SLOPE(J4:J25,F4:F25)</f>
        <v>1.4690963709172829E-5</v>
      </c>
      <c r="P18" s="3"/>
      <c r="Q18" s="3"/>
      <c r="R18" s="3"/>
      <c r="S18" s="3"/>
      <c r="T18" s="1"/>
      <c r="U18" s="3"/>
      <c r="V18" s="3"/>
      <c r="W18" s="3"/>
      <c r="X18" s="3"/>
      <c r="Y18" s="3"/>
      <c r="Z18" s="3"/>
      <c r="AA18" s="3"/>
      <c r="AB18" s="3"/>
      <c r="AC18" s="3"/>
    </row>
    <row r="19" spans="1:29" ht="16.5" thickBot="1" x14ac:dyDescent="0.3">
      <c r="A19" s="3"/>
      <c r="B19" s="3"/>
      <c r="C19" s="3"/>
      <c r="D19" s="3"/>
      <c r="E19" s="7">
        <v>7390</v>
      </c>
      <c r="F19" s="7">
        <f t="shared" si="1"/>
        <v>386.93949516714287</v>
      </c>
      <c r="G19" s="7">
        <v>497</v>
      </c>
      <c r="H19" s="1">
        <f t="shared" si="2"/>
        <v>9.5019942399700418E-3</v>
      </c>
      <c r="I19" s="3">
        <f t="shared" si="3"/>
        <v>4.7420617058641161</v>
      </c>
      <c r="J19" s="3">
        <f t="shared" si="4"/>
        <v>6.8927477249533964E-2</v>
      </c>
      <c r="K19" s="3">
        <f t="shared" si="5"/>
        <v>1.0663038381640252E-2</v>
      </c>
      <c r="L19" s="3"/>
      <c r="M19" s="3"/>
      <c r="N19" s="19" t="s">
        <v>33</v>
      </c>
      <c r="O19" s="20">
        <f>INTERCEPT(J4:J25,F4:F25)</f>
        <v>6.2734392237374759E-2</v>
      </c>
      <c r="P19" s="3"/>
      <c r="Q19" s="3"/>
      <c r="R19" s="3"/>
      <c r="S19" s="3"/>
      <c r="T19" s="1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x14ac:dyDescent="0.25">
      <c r="A20" s="3"/>
      <c r="B20" s="3"/>
      <c r="C20" s="3"/>
      <c r="D20" s="3"/>
      <c r="E20" s="7">
        <v>9517</v>
      </c>
      <c r="F20" s="7">
        <f t="shared" si="1"/>
        <v>498.308954736901</v>
      </c>
      <c r="G20" s="7">
        <v>866</v>
      </c>
      <c r="H20" s="1">
        <f t="shared" si="2"/>
        <v>9.9830904106956667E-3</v>
      </c>
      <c r="I20" s="3">
        <f t="shared" si="3"/>
        <v>6.2596197560098661</v>
      </c>
      <c r="J20" s="3">
        <f t="shared" si="4"/>
        <v>7.0650868397690858E-2</v>
      </c>
      <c r="K20" s="3">
        <f t="shared" si="5"/>
        <v>1.0188205431416101E-2</v>
      </c>
      <c r="L20" s="3"/>
      <c r="M20" s="3"/>
      <c r="N20" s="3"/>
      <c r="O20" s="3"/>
      <c r="P20" s="3"/>
      <c r="Q20" s="3"/>
      <c r="R20" s="3"/>
      <c r="S20" s="3"/>
      <c r="T20" s="1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x14ac:dyDescent="0.25">
      <c r="A21" s="3"/>
      <c r="B21" s="3"/>
      <c r="C21" s="3"/>
      <c r="D21" s="3"/>
      <c r="E21" s="7">
        <v>10860</v>
      </c>
      <c r="F21" s="7">
        <f t="shared" si="1"/>
        <v>568.62827029975256</v>
      </c>
      <c r="G21" s="7">
        <v>1145</v>
      </c>
      <c r="H21" s="1">
        <f t="shared" si="2"/>
        <v>1.0136618156268359E-2</v>
      </c>
      <c r="I21" s="3">
        <f t="shared" si="3"/>
        <v>7.1976669956292252</v>
      </c>
      <c r="J21" s="3">
        <f t="shared" si="4"/>
        <v>7.1192057689985197E-2</v>
      </c>
      <c r="K21" s="3">
        <f t="shared" si="5"/>
        <v>1.0039095632073877E-2</v>
      </c>
      <c r="L21" s="3"/>
      <c r="M21" s="3"/>
      <c r="N21" s="3"/>
      <c r="O21" s="3"/>
      <c r="P21" s="3"/>
      <c r="Q21" s="3"/>
      <c r="R21" s="3"/>
      <c r="S21" s="3"/>
      <c r="T21" s="1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x14ac:dyDescent="0.25">
      <c r="A22" s="3"/>
      <c r="B22" s="3"/>
      <c r="C22" s="3"/>
      <c r="D22" s="3"/>
      <c r="E22" s="7">
        <v>12909</v>
      </c>
      <c r="F22" s="7">
        <f t="shared" si="1"/>
        <v>675.91365941984407</v>
      </c>
      <c r="G22" s="7">
        <v>1672</v>
      </c>
      <c r="H22" s="1">
        <f t="shared" si="2"/>
        <v>1.0476068328328441E-2</v>
      </c>
      <c r="I22" s="3">
        <f t="shared" si="3"/>
        <v>8.6977544570240326</v>
      </c>
      <c r="J22" s="3">
        <f t="shared" si="4"/>
        <v>7.237426451553218E-2</v>
      </c>
      <c r="K22" s="3">
        <f t="shared" si="5"/>
        <v>9.7133711119323247E-3</v>
      </c>
      <c r="L22" s="3"/>
      <c r="M22" s="3"/>
      <c r="N22" s="3"/>
      <c r="O22" s="3"/>
      <c r="P22" s="3"/>
      <c r="Q22" s="3"/>
      <c r="R22" s="3"/>
      <c r="S22" s="3"/>
      <c r="T22" s="1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x14ac:dyDescent="0.25">
      <c r="A23" s="3"/>
      <c r="B23" s="3"/>
      <c r="C23" s="3"/>
      <c r="D23" s="3"/>
      <c r="E23" s="7">
        <v>14712</v>
      </c>
      <c r="F23" s="7">
        <f t="shared" si="1"/>
        <v>770.31851866021725</v>
      </c>
      <c r="G23" s="7">
        <v>2160</v>
      </c>
      <c r="H23" s="1">
        <f t="shared" si="2"/>
        <v>1.0419756488964284E-2</v>
      </c>
      <c r="I23" s="3">
        <f t="shared" si="3"/>
        <v>9.8858924664977934</v>
      </c>
      <c r="J23" s="3">
        <f t="shared" si="4"/>
        <v>7.2179486313509747E-2</v>
      </c>
      <c r="K23" s="3">
        <f t="shared" si="5"/>
        <v>9.7670368792217646E-3</v>
      </c>
      <c r="L23" s="3"/>
      <c r="M23" s="3"/>
      <c r="N23" s="3"/>
      <c r="O23" s="3"/>
      <c r="P23" s="3"/>
      <c r="Q23" s="3"/>
      <c r="R23" s="3"/>
      <c r="S23" s="3"/>
      <c r="T23" s="1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x14ac:dyDescent="0.25">
      <c r="A24" s="3"/>
      <c r="B24" s="3"/>
      <c r="C24" s="3"/>
      <c r="D24" s="3"/>
      <c r="E24" s="7">
        <v>13926</v>
      </c>
      <c r="F24" s="7">
        <f t="shared" si="1"/>
        <v>729.163654898191</v>
      </c>
      <c r="G24" s="7">
        <v>1970</v>
      </c>
      <c r="H24" s="1">
        <f t="shared" si="2"/>
        <v>1.060622156561245E-2</v>
      </c>
      <c r="I24" s="3">
        <f t="shared" si="3"/>
        <v>9.4410896073175046</v>
      </c>
      <c r="J24" s="3">
        <f t="shared" si="4"/>
        <v>7.2822460702768252E-2</v>
      </c>
      <c r="K24" s="3">
        <f t="shared" si="5"/>
        <v>9.5898830006627966E-3</v>
      </c>
      <c r="L24" s="3"/>
      <c r="M24" s="3"/>
      <c r="N24" s="3"/>
      <c r="O24" s="3"/>
      <c r="P24" s="3"/>
      <c r="Q24" s="3"/>
      <c r="R24" s="3"/>
      <c r="S24" s="3"/>
      <c r="T24" s="1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x14ac:dyDescent="0.25">
      <c r="A25" s="3"/>
      <c r="B25" s="3"/>
      <c r="C25" s="3"/>
      <c r="D25" s="3"/>
      <c r="E25" s="7">
        <v>14622</v>
      </c>
      <c r="F25" s="7">
        <f t="shared" si="1"/>
        <v>765.60612967983263</v>
      </c>
      <c r="G25" s="7">
        <v>2100</v>
      </c>
      <c r="H25" s="1">
        <f t="shared" si="2"/>
        <v>1.0255409027208947E-2</v>
      </c>
      <c r="I25" s="3">
        <f t="shared" si="3"/>
        <v>9.747621426490733</v>
      </c>
      <c r="J25" s="3">
        <f t="shared" si="4"/>
        <v>7.1607991967408732E-2</v>
      </c>
      <c r="K25" s="3">
        <f t="shared" si="5"/>
        <v>9.9244964012146566E-3</v>
      </c>
      <c r="L25" s="3"/>
      <c r="M25" s="3"/>
      <c r="N25" s="3"/>
      <c r="O25" s="3"/>
      <c r="P25" s="3"/>
      <c r="Q25" s="3"/>
      <c r="R25" s="3"/>
      <c r="S25" s="3"/>
      <c r="T25" s="1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x14ac:dyDescent="0.25">
      <c r="A26" s="3"/>
      <c r="B26" s="3"/>
      <c r="C26" s="3"/>
      <c r="D26" s="3"/>
      <c r="H26" s="3">
        <f>GEOMEAN(H4:H25)</f>
        <v>1.0145482424248611E-2</v>
      </c>
      <c r="K26" s="3">
        <f>GEOMEAN(K4:K25)</f>
        <v>9.9642600473117873E-3</v>
      </c>
      <c r="T26" s="1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x14ac:dyDescent="0.25">
      <c r="A27" s="3"/>
      <c r="B27" s="3"/>
      <c r="C27" s="3"/>
      <c r="D27" s="3"/>
      <c r="E27" s="3"/>
      <c r="F27" s="3"/>
      <c r="G27" s="3"/>
      <c r="H27" s="1"/>
      <c r="I27" s="3"/>
      <c r="J27" s="3">
        <f>H26-K26</f>
        <v>1.8122237693682375E-4</v>
      </c>
      <c r="K27" s="3"/>
      <c r="L27" s="3"/>
      <c r="M27" s="3"/>
      <c r="N27" s="3"/>
      <c r="O27" s="3"/>
      <c r="P27" s="3"/>
      <c r="Q27" s="3"/>
      <c r="R27" s="3"/>
      <c r="S27" s="3"/>
      <c r="T27" s="1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x14ac:dyDescent="0.25">
      <c r="A28" s="3"/>
      <c r="B28" s="3"/>
      <c r="C28" s="3"/>
      <c r="D28" s="3"/>
      <c r="E28" s="3"/>
      <c r="F28" s="3"/>
      <c r="G28" s="21"/>
      <c r="H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x14ac:dyDescent="0.25">
      <c r="A29" s="3"/>
      <c r="B29" s="3"/>
      <c r="C29" s="3"/>
      <c r="D29" s="3"/>
      <c r="E29" s="3"/>
      <c r="F29" s="3"/>
      <c r="G29" s="3"/>
      <c r="H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x14ac:dyDescent="0.25">
      <c r="A30" s="3"/>
      <c r="B30" s="3"/>
      <c r="C30" s="3"/>
      <c r="D30" s="3"/>
      <c r="E30" s="3"/>
      <c r="F30" s="3"/>
      <c r="G30" s="3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x14ac:dyDescent="0.25">
      <c r="A31" s="3"/>
      <c r="B31" s="3"/>
      <c r="C31" s="3"/>
      <c r="D31" s="3"/>
      <c r="E31" s="3"/>
      <c r="F31" s="3"/>
      <c r="G31" s="3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1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x14ac:dyDescent="0.25">
      <c r="A32" s="3"/>
      <c r="B32" s="3"/>
      <c r="C32" s="3"/>
      <c r="D32" s="3"/>
      <c r="E32" s="3"/>
      <c r="F32" s="3"/>
      <c r="G32" s="3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1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x14ac:dyDescent="0.25">
      <c r="A33" s="3"/>
      <c r="B33" s="3"/>
      <c r="C33" s="3"/>
      <c r="D33" s="3"/>
      <c r="E33" s="3"/>
      <c r="F33" s="3"/>
      <c r="G33" s="3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x14ac:dyDescent="0.25">
      <c r="A34" s="3"/>
      <c r="B34" s="3"/>
      <c r="C34" s="3"/>
      <c r="D34" s="3"/>
      <c r="E34" s="3"/>
      <c r="F34" s="3"/>
      <c r="G34" s="3"/>
      <c r="H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x14ac:dyDescent="0.25">
      <c r="A35" s="3"/>
      <c r="B35" s="3"/>
      <c r="C35" s="3"/>
      <c r="D35" s="3"/>
      <c r="E35" s="3"/>
      <c r="F35" s="3"/>
      <c r="G35" s="3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/>
      <c r="U35" s="3"/>
      <c r="V35" s="3"/>
      <c r="W35" s="3"/>
      <c r="X35" s="3"/>
      <c r="Y35" s="3"/>
      <c r="Z35" s="3"/>
      <c r="AA35" s="3"/>
      <c r="AB35" s="3"/>
      <c r="AC35" s="3"/>
    </row>
  </sheetData>
  <mergeCells count="11">
    <mergeCell ref="Y7:Z7"/>
    <mergeCell ref="Y10:Z10"/>
    <mergeCell ref="N17:O17"/>
    <mergeCell ref="P2:T2"/>
    <mergeCell ref="U2:W2"/>
    <mergeCell ref="A1:C1"/>
    <mergeCell ref="A14:B14"/>
    <mergeCell ref="E2:H2"/>
    <mergeCell ref="I2:L2"/>
    <mergeCell ref="N9:O9"/>
    <mergeCell ref="N12:O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2015-01-28T23:28:18Z</dcterms:modified>
</cp:coreProperties>
</file>