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" i="1"/>
  <c r="T22" i="1" l="1"/>
  <c r="H25" i="1"/>
  <c r="D3" i="1"/>
  <c r="D2" i="1"/>
  <c r="B4" i="1" s="1"/>
  <c r="B5" i="1" l="1"/>
  <c r="S4" i="1"/>
  <c r="T4" i="1"/>
  <c r="AB10" i="1" l="1"/>
  <c r="AB9" i="1"/>
  <c r="O9" i="1" l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B2" i="1"/>
  <c r="Q13" i="1" l="1"/>
  <c r="Q14" i="1"/>
  <c r="Q15" i="1"/>
  <c r="Q16" i="1"/>
  <c r="Q17" i="1"/>
  <c r="Q18" i="1"/>
  <c r="Q19" i="1"/>
  <c r="Q20" i="1"/>
  <c r="Q2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B3" i="1" l="1"/>
  <c r="B10" i="1" l="1"/>
  <c r="Q5" i="1"/>
  <c r="Q6" i="1"/>
  <c r="Q7" i="1"/>
  <c r="Q8" i="1"/>
  <c r="Q9" i="1"/>
  <c r="Q10" i="1"/>
  <c r="Q11" i="1"/>
  <c r="Q12" i="1"/>
  <c r="Q4" i="1"/>
  <c r="B16" i="1" l="1"/>
  <c r="T14" i="1" l="1"/>
  <c r="T20" i="1"/>
  <c r="T16" i="1"/>
  <c r="T18" i="1"/>
  <c r="T13" i="1"/>
  <c r="T21" i="1"/>
  <c r="T15" i="1"/>
  <c r="T19" i="1"/>
  <c r="T17" i="1"/>
  <c r="I22" i="1"/>
  <c r="J22" i="1" s="1"/>
  <c r="I6" i="1"/>
  <c r="J6" i="1" s="1"/>
  <c r="I9" i="1"/>
  <c r="J9" i="1" s="1"/>
  <c r="I13" i="1"/>
  <c r="J13" i="1" s="1"/>
  <c r="I17" i="1"/>
  <c r="J17" i="1" s="1"/>
  <c r="I10" i="1"/>
  <c r="J10" i="1" s="1"/>
  <c r="I14" i="1"/>
  <c r="J14" i="1" s="1"/>
  <c r="I23" i="1"/>
  <c r="J23" i="1" s="1"/>
  <c r="I7" i="1"/>
  <c r="J7" i="1" s="1"/>
  <c r="I20" i="1"/>
  <c r="J20" i="1" s="1"/>
  <c r="I4" i="1"/>
  <c r="J4" i="1" s="1"/>
  <c r="I11" i="1"/>
  <c r="J11" i="1" s="1"/>
  <c r="I15" i="1"/>
  <c r="J15" i="1" s="1"/>
  <c r="I18" i="1"/>
  <c r="J18" i="1" s="1"/>
  <c r="I24" i="1"/>
  <c r="J24" i="1" s="1"/>
  <c r="H8" i="1"/>
  <c r="I21" i="1"/>
  <c r="J21" i="1" s="1"/>
  <c r="I5" i="1"/>
  <c r="J5" i="1" s="1"/>
  <c r="I8" i="1"/>
  <c r="J8" i="1" s="1"/>
  <c r="I12" i="1"/>
  <c r="J12" i="1" s="1"/>
  <c r="I16" i="1"/>
  <c r="J16" i="1" s="1"/>
  <c r="H19" i="1"/>
  <c r="I19" i="1"/>
  <c r="J19" i="1" s="1"/>
  <c r="H11" i="1"/>
  <c r="H16" i="1"/>
  <c r="H4" i="1"/>
  <c r="H12" i="1"/>
  <c r="H20" i="1"/>
  <c r="H17" i="1"/>
  <c r="H5" i="1"/>
  <c r="H7" i="1"/>
  <c r="H13" i="1"/>
  <c r="H21" i="1"/>
  <c r="H23" i="1"/>
  <c r="H9" i="1"/>
  <c r="H24" i="1"/>
  <c r="H14" i="1"/>
  <c r="H6" i="1"/>
  <c r="H18" i="1"/>
  <c r="H10" i="1"/>
  <c r="H22" i="1"/>
  <c r="H15" i="1"/>
  <c r="T5" i="1"/>
  <c r="T8" i="1"/>
  <c r="T6" i="1"/>
  <c r="T10" i="1"/>
  <c r="T12" i="1"/>
  <c r="T7" i="1"/>
  <c r="T9" i="1"/>
  <c r="T11" i="1"/>
  <c r="K25" i="1" l="1"/>
  <c r="J26" i="1" s="1"/>
  <c r="O18" i="1" s="1"/>
  <c r="O10" i="1"/>
  <c r="O19" i="1" l="1"/>
  <c r="V4" i="1" s="1"/>
  <c r="O12" i="1"/>
  <c r="O14" i="1" s="1"/>
  <c r="O13" i="1"/>
  <c r="O15" i="1" s="1"/>
  <c r="V5" i="1" l="1"/>
  <c r="X5" i="1" s="1"/>
  <c r="V16" i="1"/>
  <c r="X16" i="1" s="1"/>
  <c r="V18" i="1"/>
  <c r="X18" i="1" s="1"/>
  <c r="V20" i="1"/>
  <c r="X20" i="1" s="1"/>
  <c r="V10" i="1"/>
  <c r="X10" i="1" s="1"/>
  <c r="V9" i="1"/>
  <c r="X9" i="1" s="1"/>
  <c r="V12" i="1"/>
  <c r="X12" i="1" s="1"/>
  <c r="V19" i="1"/>
  <c r="X19" i="1" s="1"/>
  <c r="V21" i="1"/>
  <c r="X21" i="1" s="1"/>
  <c r="V7" i="1"/>
  <c r="X7" i="1" s="1"/>
  <c r="V15" i="1"/>
  <c r="V11" i="1"/>
  <c r="X11" i="1" s="1"/>
  <c r="V6" i="1"/>
  <c r="X6" i="1" s="1"/>
  <c r="V14" i="1"/>
  <c r="X14" i="1" s="1"/>
  <c r="V13" i="1"/>
  <c r="X13" i="1" s="1"/>
  <c r="V8" i="1"/>
  <c r="X8" i="1" s="1"/>
  <c r="V17" i="1"/>
  <c r="X17" i="1" s="1"/>
  <c r="X4" i="1"/>
  <c r="W22" i="1" l="1"/>
  <c r="V23" i="1" s="1"/>
  <c r="X15" i="1"/>
  <c r="AB12" i="1"/>
  <c r="AB13" i="1"/>
  <c r="AB15" i="1" s="1"/>
  <c r="AB14" i="1" l="1"/>
</calcChain>
</file>

<file path=xl/sharedStrings.xml><?xml version="1.0" encoding="utf-8"?>
<sst xmlns="http://schemas.openxmlformats.org/spreadsheetml/2006/main" count="64" uniqueCount="47">
  <si>
    <t>Thrust Test</t>
  </si>
  <si>
    <t>Moment Test</t>
  </si>
  <si>
    <t xml:space="preserve">2xRPM </t>
  </si>
  <si>
    <t>Thrust (g)</t>
  </si>
  <si>
    <t>Load (g)</t>
  </si>
  <si>
    <t>Mom (N.cm)</t>
  </si>
  <si>
    <t>rad/s</t>
  </si>
  <si>
    <t>Prop params</t>
  </si>
  <si>
    <t>a</t>
  </si>
  <si>
    <t>c</t>
  </si>
  <si>
    <t>c_d_0</t>
  </si>
  <si>
    <t>C_T test</t>
  </si>
  <si>
    <t>rho</t>
  </si>
  <si>
    <t>Atmos params</t>
  </si>
  <si>
    <t>S</t>
  </si>
  <si>
    <t>inches to m</t>
  </si>
  <si>
    <t>theta_0 (rad)</t>
  </si>
  <si>
    <t xml:space="preserve">theta_1 (rad) </t>
  </si>
  <si>
    <t>TBT</t>
  </si>
  <si>
    <t>Arm (cm)=</t>
  </si>
  <si>
    <t>C_q test</t>
  </si>
  <si>
    <t>Thrust estimation</t>
  </si>
  <si>
    <t>v_i_0</t>
  </si>
  <si>
    <t>lambda_i</t>
  </si>
  <si>
    <t>R (m)</t>
  </si>
  <si>
    <t>pitch (m)</t>
  </si>
  <si>
    <t>C_T theo</t>
  </si>
  <si>
    <t>b</t>
  </si>
  <si>
    <t>sigma</t>
  </si>
  <si>
    <t>C_Q theo</t>
  </si>
  <si>
    <t>Fit Lambda-Omega</t>
  </si>
  <si>
    <t>Slope</t>
  </si>
  <si>
    <t>Intercept</t>
  </si>
  <si>
    <t>Theoretic estimation</t>
  </si>
  <si>
    <t>Aerodynamic model (Blade Element theory) of 10x4.5 prop</t>
  </si>
  <si>
    <t>Fit THEOR C_T-Omega</t>
  </si>
  <si>
    <t>Fit TEST C_T-Omega</t>
  </si>
  <si>
    <t>Slope Diff</t>
  </si>
  <si>
    <t>Inter Diff</t>
  </si>
  <si>
    <t>Unbalanced measure</t>
  </si>
  <si>
    <t>Fit TEST C_Q-Omega</t>
  </si>
  <si>
    <t>Fit THEOR C_Q-Omega</t>
  </si>
  <si>
    <t>Estos datos de Momentos estan mal: se hizo los ensayos mal. Puede verse en que las pendientes de los datos no se ajustan a las pendientes teoricas, por lo que no puede determinarse el corte en el origen</t>
  </si>
  <si>
    <t>Los datos menos malos serian los que cuya epndiente mas se ajuste a la teorica</t>
  </si>
  <si>
    <t>% Parasita</t>
  </si>
  <si>
    <t>thtea_root</t>
  </si>
  <si>
    <t>thtea_tip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</si>
</sst>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4" xfId="0" applyFont="1" applyBorder="1"/>
    <xf numFmtId="0" fontId="0" fillId="0" borderId="4" xfId="0" applyBorder="1"/>
    <xf numFmtId="0" fontId="1" fillId="0" borderId="0" xfId="0" applyFont="1"/>
    <xf numFmtId="0" fontId="2" fillId="2" borderId="0" xfId="0" applyFont="1" applyFill="1"/>
    <xf numFmtId="0" fontId="1" fillId="0" borderId="7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  <xf numFmtId="0" fontId="1" fillId="0" borderId="1" xfId="0" applyFont="1" applyBorder="1"/>
    <xf numFmtId="0" fontId="1" fillId="0" borderId="3" xfId="0" applyFont="1" applyBorder="1"/>
    <xf numFmtId="164" fontId="1" fillId="0" borderId="0" xfId="0" applyNumberFormat="1" applyFont="1"/>
    <xf numFmtId="165" fontId="1" fillId="0" borderId="0" xfId="0" applyNumberFormat="1" applyFont="1"/>
    <xf numFmtId="165" fontId="1" fillId="0" borderId="0" xfId="0" applyNumberFormat="1" applyFont="1" applyBorder="1"/>
    <xf numFmtId="165" fontId="1" fillId="0" borderId="5" xfId="0" applyNumberFormat="1" applyFont="1" applyBorder="1"/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11" xfId="0" applyFont="1" applyBorder="1"/>
    <xf numFmtId="0" fontId="4" fillId="0" borderId="0" xfId="0" applyFont="1"/>
    <xf numFmtId="0" fontId="3" fillId="0" borderId="0" xfId="0" applyFont="1" applyBorder="1" applyAlignment="1">
      <alignment horizontal="center" vertical="center" textRotation="255" wrapText="1"/>
    </xf>
    <xf numFmtId="0" fontId="3" fillId="0" borderId="5" xfId="0" applyFont="1" applyBorder="1" applyAlignment="1">
      <alignment horizontal="center" vertical="center" textRotation="255" wrapText="1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C_T vs. omega (rad/s)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C_T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Hoja1!$F$4:$F$33</c:f>
              <c:numCache>
                <c:formatCode>General</c:formatCode>
                <c:ptCount val="30"/>
                <c:pt idx="0">
                  <c:v>398.15498094045842</c:v>
                </c:pt>
                <c:pt idx="1">
                  <c:v>545.43284454074785</c:v>
                </c:pt>
                <c:pt idx="2">
                  <c:v>841.58031201914571</c:v>
                </c:pt>
                <c:pt idx="3">
                  <c:v>1074.2152480174698</c:v>
                </c:pt>
                <c:pt idx="4">
                  <c:v>1098.7196707154703</c:v>
                </c:pt>
                <c:pt idx="5">
                  <c:v>1089.6090520200601</c:v>
                </c:pt>
                <c:pt idx="6">
                  <c:v>1096.7299953681968</c:v>
                </c:pt>
                <c:pt idx="7">
                  <c:v>547.05600074510266</c:v>
                </c:pt>
                <c:pt idx="8">
                  <c:v>727.06925979579785</c:v>
                </c:pt>
                <c:pt idx="9">
                  <c:v>955.72484509957496</c:v>
                </c:pt>
                <c:pt idx="10">
                  <c:v>1198.5699572220658</c:v>
                </c:pt>
                <c:pt idx="11">
                  <c:v>1229.8288041252845</c:v>
                </c:pt>
                <c:pt idx="12">
                  <c:v>1228.9910460843271</c:v>
                </c:pt>
                <c:pt idx="13">
                  <c:v>1225.1687750224594</c:v>
                </c:pt>
                <c:pt idx="14">
                  <c:v>416.96788494770527</c:v>
                </c:pt>
                <c:pt idx="15">
                  <c:v>529.7772411503588</c:v>
                </c:pt>
                <c:pt idx="16">
                  <c:v>664.34212647912159</c:v>
                </c:pt>
                <c:pt idx="17">
                  <c:v>731.57220926594323</c:v>
                </c:pt>
                <c:pt idx="18">
                  <c:v>774.66438849768315</c:v>
                </c:pt>
                <c:pt idx="19">
                  <c:v>860.0633487977658</c:v>
                </c:pt>
                <c:pt idx="20">
                  <c:v>856.76467651149642</c:v>
                </c:pt>
              </c:numCache>
            </c:numRef>
          </c:xVal>
          <c:yVal>
            <c:numRef>
              <c:f>Hoja1!$H$4:$H$33</c:f>
              <c:numCache>
                <c:formatCode>General</c:formatCode>
                <c:ptCount val="30"/>
                <c:pt idx="0">
                  <c:v>1.9475572111683489E-2</c:v>
                </c:pt>
                <c:pt idx="1">
                  <c:v>2.0575432090342807E-2</c:v>
                </c:pt>
                <c:pt idx="2">
                  <c:v>2.1795829447860821E-2</c:v>
                </c:pt>
                <c:pt idx="3">
                  <c:v>2.3172527341276887E-2</c:v>
                </c:pt>
                <c:pt idx="4">
                  <c:v>2.2973290904781903E-2</c:v>
                </c:pt>
                <c:pt idx="5">
                  <c:v>2.3178170358641621E-2</c:v>
                </c:pt>
                <c:pt idx="6">
                  <c:v>2.2610319151342498E-2</c:v>
                </c:pt>
                <c:pt idx="7">
                  <c:v>2.0812349130651112E-2</c:v>
                </c:pt>
                <c:pt idx="8">
                  <c:v>2.1127030262748599E-2</c:v>
                </c:pt>
                <c:pt idx="9">
                  <c:v>2.2191051925944345E-2</c:v>
                </c:pt>
                <c:pt idx="10">
                  <c:v>2.3266939807707186E-2</c:v>
                </c:pt>
                <c:pt idx="11">
                  <c:v>2.3465986922037985E-2</c:v>
                </c:pt>
                <c:pt idx="12">
                  <c:v>2.31958218340605E-2</c:v>
                </c:pt>
                <c:pt idx="13">
                  <c:v>2.3287122889093109E-2</c:v>
                </c:pt>
                <c:pt idx="14">
                  <c:v>1.7912222119652974E-2</c:v>
                </c:pt>
                <c:pt idx="15">
                  <c:v>1.9131106578061132E-2</c:v>
                </c:pt>
                <c:pt idx="16">
                  <c:v>1.9465388857841177E-2</c:v>
                </c:pt>
                <c:pt idx="17">
                  <c:v>1.956351549759033E-2</c:v>
                </c:pt>
                <c:pt idx="18">
                  <c:v>1.9908086432841879E-2</c:v>
                </c:pt>
                <c:pt idx="19">
                  <c:v>2.0324685570572928E-2</c:v>
                </c:pt>
                <c:pt idx="20">
                  <c:v>2.0481493021901987E-2</c:v>
                </c:pt>
                <c:pt idx="21">
                  <c:v>2.1262383036735843E-2</c:v>
                </c:pt>
              </c:numCache>
            </c:numRef>
          </c:yVal>
          <c:smooth val="0"/>
        </c:ser>
        <c:ser>
          <c:idx val="1"/>
          <c:order val="1"/>
          <c:tx>
            <c:v>C_T hteor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Hoja1!$F$4:$F$33</c:f>
              <c:numCache>
                <c:formatCode>General</c:formatCode>
                <c:ptCount val="30"/>
                <c:pt idx="0">
                  <c:v>398.15498094045842</c:v>
                </c:pt>
                <c:pt idx="1">
                  <c:v>545.43284454074785</c:v>
                </c:pt>
                <c:pt idx="2">
                  <c:v>841.58031201914571</c:v>
                </c:pt>
                <c:pt idx="3">
                  <c:v>1074.2152480174698</c:v>
                </c:pt>
                <c:pt idx="4">
                  <c:v>1098.7196707154703</c:v>
                </c:pt>
                <c:pt idx="5">
                  <c:v>1089.6090520200601</c:v>
                </c:pt>
                <c:pt idx="6">
                  <c:v>1096.7299953681968</c:v>
                </c:pt>
                <c:pt idx="7">
                  <c:v>547.05600074510266</c:v>
                </c:pt>
                <c:pt idx="8">
                  <c:v>727.06925979579785</c:v>
                </c:pt>
                <c:pt idx="9">
                  <c:v>955.72484509957496</c:v>
                </c:pt>
                <c:pt idx="10">
                  <c:v>1198.5699572220658</c:v>
                </c:pt>
                <c:pt idx="11">
                  <c:v>1229.8288041252845</c:v>
                </c:pt>
                <c:pt idx="12">
                  <c:v>1228.9910460843271</c:v>
                </c:pt>
                <c:pt idx="13">
                  <c:v>1225.1687750224594</c:v>
                </c:pt>
                <c:pt idx="14">
                  <c:v>416.96788494770527</c:v>
                </c:pt>
                <c:pt idx="15">
                  <c:v>529.7772411503588</c:v>
                </c:pt>
                <c:pt idx="16">
                  <c:v>664.34212647912159</c:v>
                </c:pt>
                <c:pt idx="17">
                  <c:v>731.57220926594323</c:v>
                </c:pt>
                <c:pt idx="18">
                  <c:v>774.66438849768315</c:v>
                </c:pt>
                <c:pt idx="19">
                  <c:v>860.0633487977658</c:v>
                </c:pt>
                <c:pt idx="20">
                  <c:v>856.76467651149642</c:v>
                </c:pt>
              </c:numCache>
            </c:numRef>
          </c:xVal>
          <c:yVal>
            <c:numRef>
              <c:f>Hoja1!$K$4:$K$33</c:f>
              <c:numCache>
                <c:formatCode>General</c:formatCode>
                <c:ptCount val="30"/>
                <c:pt idx="0">
                  <c:v>2.2587295839787917E-2</c:v>
                </c:pt>
                <c:pt idx="1">
                  <c:v>2.1799177494644335E-2</c:v>
                </c:pt>
                <c:pt idx="2">
                  <c:v>2.09489592858117E-2</c:v>
                </c:pt>
                <c:pt idx="3">
                  <c:v>2.001794610595287E-2</c:v>
                </c:pt>
                <c:pt idx="4">
                  <c:v>2.0150937455455618E-2</c:v>
                </c:pt>
                <c:pt idx="5">
                  <c:v>2.001418770559537E-2</c:v>
                </c:pt>
                <c:pt idx="6">
                  <c:v>2.0394713880790352E-2</c:v>
                </c:pt>
                <c:pt idx="7">
                  <c:v>2.1632190827707461E-2</c:v>
                </c:pt>
                <c:pt idx="8">
                  <c:v>2.1411856303736404E-2</c:v>
                </c:pt>
                <c:pt idx="9">
                  <c:v>2.0678747539149247E-2</c:v>
                </c:pt>
                <c:pt idx="10">
                  <c:v>1.9955124975837034E-2</c:v>
                </c:pt>
                <c:pt idx="11">
                  <c:v>1.982309724119078E-2</c:v>
                </c:pt>
                <c:pt idx="12">
                  <c:v>2.0002434304178276E-2</c:v>
                </c:pt>
                <c:pt idx="13">
                  <c:v>1.9941711896937414E-2</c:v>
                </c:pt>
                <c:pt idx="14">
                  <c:v>2.3746890121257993E-2</c:v>
                </c:pt>
                <c:pt idx="15">
                  <c:v>2.2838680438331649E-2</c:v>
                </c:pt>
                <c:pt idx="16">
                  <c:v>2.2594695350994912E-2</c:v>
                </c:pt>
                <c:pt idx="17">
                  <c:v>2.2523473397475725E-2</c:v>
                </c:pt>
                <c:pt idx="18">
                  <c:v>2.2274782325841128E-2</c:v>
                </c:pt>
                <c:pt idx="19">
                  <c:v>2.1976962228874498E-2</c:v>
                </c:pt>
                <c:pt idx="20">
                  <c:v>2.1865654755170414E-2</c:v>
                </c:pt>
                <c:pt idx="21">
                  <c:v>2.1262383036735843E-2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01872"/>
        <c:axId val="177102432"/>
      </c:scatterChart>
      <c:valAx>
        <c:axId val="1771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02432"/>
        <c:crosses val="autoZero"/>
        <c:crossBetween val="midCat"/>
      </c:valAx>
      <c:valAx>
        <c:axId val="1771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0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C_Q vs. omega (rad/s)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761150820918604E-2"/>
          <c:y val="0.15604833593808573"/>
          <c:w val="0.66767783058468577"/>
          <c:h val="0.72402804770445384"/>
        </c:manualLayout>
      </c:layout>
      <c:scatterChart>
        <c:scatterStyle val="lineMarker"/>
        <c:varyColors val="0"/>
        <c:ser>
          <c:idx val="0"/>
          <c:order val="0"/>
          <c:tx>
            <c:v>Test_good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Hoja1!$Q$15:$Q$22</c:f>
              <c:numCache>
                <c:formatCode>General</c:formatCode>
                <c:ptCount val="8"/>
                <c:pt idx="0">
                  <c:v>413.41264926139286</c:v>
                </c:pt>
                <c:pt idx="1">
                  <c:v>518.31042796475606</c:v>
                </c:pt>
                <c:pt idx="2">
                  <c:v>650.30967929308713</c:v>
                </c:pt>
                <c:pt idx="3">
                  <c:v>718.1680806106267</c:v>
                </c:pt>
                <c:pt idx="4">
                  <c:v>757.75214804585812</c:v>
                </c:pt>
                <c:pt idx="5">
                  <c:v>785.34580351988848</c:v>
                </c:pt>
                <c:pt idx="6">
                  <c:v>845.97854173417147</c:v>
                </c:pt>
              </c:numCache>
            </c:numRef>
          </c:xVal>
          <c:yVal>
            <c:numRef>
              <c:f>Hoja1!$T$15:$T$22</c:f>
              <c:numCache>
                <c:formatCode>General</c:formatCode>
                <c:ptCount val="8"/>
                <c:pt idx="0">
                  <c:v>1.5692838423100072E-3</c:v>
                </c:pt>
                <c:pt idx="1">
                  <c:v>3.194766411133222E-3</c:v>
                </c:pt>
                <c:pt idx="2">
                  <c:v>4.1857426545895225E-3</c:v>
                </c:pt>
                <c:pt idx="3">
                  <c:v>4.0561259272699291E-3</c:v>
                </c:pt>
                <c:pt idx="4">
                  <c:v>4.9513147798459535E-3</c:v>
                </c:pt>
                <c:pt idx="5">
                  <c:v>5.6531501672234486E-3</c:v>
                </c:pt>
                <c:pt idx="6">
                  <c:v>5.0217504635325016E-3</c:v>
                </c:pt>
                <c:pt idx="7">
                  <c:v>3.8243340656687998E-3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Hoja1!$Q$4:$Q$21</c:f>
              <c:numCache>
                <c:formatCode>General</c:formatCode>
                <c:ptCount val="18"/>
                <c:pt idx="0">
                  <c:v>523.86057498609796</c:v>
                </c:pt>
                <c:pt idx="1">
                  <c:v>809.69314658520932</c:v>
                </c:pt>
                <c:pt idx="2">
                  <c:v>1040.1289677260206</c:v>
                </c:pt>
                <c:pt idx="3">
                  <c:v>1065.1569891996194</c:v>
                </c:pt>
                <c:pt idx="4">
                  <c:v>1069.4504991595254</c:v>
                </c:pt>
                <c:pt idx="5">
                  <c:v>537.42178327409397</c:v>
                </c:pt>
                <c:pt idx="6">
                  <c:v>714.18872991607964</c:v>
                </c:pt>
                <c:pt idx="7">
                  <c:v>937.92248672923267</c:v>
                </c:pt>
                <c:pt idx="8">
                  <c:v>1181.2388377497623</c:v>
                </c:pt>
                <c:pt idx="9">
                  <c:v>1219.0950292255191</c:v>
                </c:pt>
                <c:pt idx="10">
                  <c:v>1209.7226111423095</c:v>
                </c:pt>
                <c:pt idx="11">
                  <c:v>413.41264926139286</c:v>
                </c:pt>
                <c:pt idx="12">
                  <c:v>518.31042796475606</c:v>
                </c:pt>
                <c:pt idx="13">
                  <c:v>650.30967929308713</c:v>
                </c:pt>
                <c:pt idx="14">
                  <c:v>718.1680806106267</c:v>
                </c:pt>
                <c:pt idx="15">
                  <c:v>757.75214804585812</c:v>
                </c:pt>
                <c:pt idx="16">
                  <c:v>785.34580351988848</c:v>
                </c:pt>
                <c:pt idx="17">
                  <c:v>845.97854173417147</c:v>
                </c:pt>
              </c:numCache>
            </c:numRef>
          </c:xVal>
          <c:yVal>
            <c:numRef>
              <c:f>Hoja1!$W$4:$W$21</c:f>
              <c:numCache>
                <c:formatCode>General</c:formatCode>
                <c:ptCount val="18"/>
                <c:pt idx="0">
                  <c:v>3.8379117029820591E-3</c:v>
                </c:pt>
                <c:pt idx="1">
                  <c:v>3.8113870972312008E-3</c:v>
                </c:pt>
                <c:pt idx="2">
                  <c:v>3.7835871755695673E-3</c:v>
                </c:pt>
                <c:pt idx="3">
                  <c:v>3.780222957161716E-3</c:v>
                </c:pt>
                <c:pt idx="4">
                  <c:v>3.7796390423182214E-3</c:v>
                </c:pt>
                <c:pt idx="5">
                  <c:v>3.8368523853772821E-3</c:v>
                </c:pt>
                <c:pt idx="6">
                  <c:v>3.8212300029500518E-3</c:v>
                </c:pt>
                <c:pt idx="7">
                  <c:v>3.7966242434006956E-3</c:v>
                </c:pt>
                <c:pt idx="8">
                  <c:v>3.7637360514583664E-3</c:v>
                </c:pt>
                <c:pt idx="9">
                  <c:v>3.7580451176298406E-3</c:v>
                </c:pt>
                <c:pt idx="10">
                  <c:v>3.7594684738970164E-3</c:v>
                </c:pt>
                <c:pt idx="11">
                  <c:v>3.8458005407800283E-3</c:v>
                </c:pt>
                <c:pt idx="12">
                  <c:v>3.8383395255774709E-3</c:v>
                </c:pt>
                <c:pt idx="13">
                  <c:v>3.8272644385854582E-3</c:v>
                </c:pt>
                <c:pt idx="14">
                  <c:v>3.82083952414357E-3</c:v>
                </c:pt>
                <c:pt idx="15">
                  <c:v>3.8168622878686394E-3</c:v>
                </c:pt>
                <c:pt idx="16">
                  <c:v>3.8139898254939773E-3</c:v>
                </c:pt>
                <c:pt idx="17">
                  <c:v>3.8073895396339629E-3</c:v>
                </c:pt>
              </c:numCache>
            </c:numRef>
          </c:yVal>
          <c:smooth val="0"/>
        </c:ser>
        <c:ser>
          <c:idx val="2"/>
          <c:order val="2"/>
          <c:tx>
            <c:v>Test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Hoja1!$Q$4:$Q$8</c:f>
              <c:numCache>
                <c:formatCode>General</c:formatCode>
                <c:ptCount val="5"/>
                <c:pt idx="0">
                  <c:v>523.86057498609796</c:v>
                </c:pt>
                <c:pt idx="1">
                  <c:v>809.69314658520932</c:v>
                </c:pt>
                <c:pt idx="2">
                  <c:v>1040.1289677260206</c:v>
                </c:pt>
                <c:pt idx="3">
                  <c:v>1065.1569891996194</c:v>
                </c:pt>
                <c:pt idx="4">
                  <c:v>1069.4504991595254</c:v>
                </c:pt>
              </c:numCache>
            </c:numRef>
          </c:xVal>
          <c:yVal>
            <c:numRef>
              <c:f>Hoja1!$T$4:$T$8</c:f>
              <c:numCache>
                <c:formatCode>General</c:formatCode>
                <c:ptCount val="5"/>
                <c:pt idx="0">
                  <c:v>4.30021599710505E-3</c:v>
                </c:pt>
                <c:pt idx="1">
                  <c:v>3.5182488073939263E-3</c:v>
                </c:pt>
                <c:pt idx="2">
                  <c:v>2.479103400943667E-3</c:v>
                </c:pt>
                <c:pt idx="3">
                  <c:v>2.6003659276515917E-3</c:v>
                </c:pt>
                <c:pt idx="4">
                  <c:v>3.0954342293505271E-3</c:v>
                </c:pt>
              </c:numCache>
            </c:numRef>
          </c:yVal>
          <c:smooth val="0"/>
        </c:ser>
        <c:ser>
          <c:idx val="3"/>
          <c:order val="3"/>
          <c:tx>
            <c:v>Test_2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Hoja1!$Q$9:$Q$14</c:f>
              <c:numCache>
                <c:formatCode>General</c:formatCode>
                <c:ptCount val="6"/>
                <c:pt idx="0">
                  <c:v>537.42178327409397</c:v>
                </c:pt>
                <c:pt idx="1">
                  <c:v>714.18872991607964</c:v>
                </c:pt>
                <c:pt idx="2">
                  <c:v>937.92248672923267</c:v>
                </c:pt>
                <c:pt idx="3">
                  <c:v>1181.2388377497623</c:v>
                </c:pt>
                <c:pt idx="4">
                  <c:v>1219.0950292255191</c:v>
                </c:pt>
                <c:pt idx="5">
                  <c:v>1209.7226111423095</c:v>
                </c:pt>
              </c:numCache>
            </c:numRef>
          </c:xVal>
          <c:yVal>
            <c:numRef>
              <c:f>Hoja1!$T$9:$T$14</c:f>
              <c:numCache>
                <c:formatCode>General</c:formatCode>
                <c:ptCount val="6"/>
                <c:pt idx="0">
                  <c:v>4.4573807233624059E-3</c:v>
                </c:pt>
                <c:pt idx="1">
                  <c:v>4.5221138339334973E-3</c:v>
                </c:pt>
                <c:pt idx="2">
                  <c:v>4.3293577293634098E-3</c:v>
                </c:pt>
                <c:pt idx="3">
                  <c:v>3.9981301203831834E-3</c:v>
                </c:pt>
                <c:pt idx="4">
                  <c:v>4.4755414577862434E-3</c:v>
                </c:pt>
                <c:pt idx="5">
                  <c:v>4.6184683195819405E-3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06352"/>
        <c:axId val="177106912"/>
      </c:scatterChart>
      <c:valAx>
        <c:axId val="17710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06912"/>
        <c:crosses val="autoZero"/>
        <c:crossBetween val="midCat"/>
      </c:valAx>
      <c:valAx>
        <c:axId val="1771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0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41972229469421"/>
          <c:y val="0.36990571992024301"/>
          <c:w val="0.2625802777053059"/>
          <c:h val="0.39003824054196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Lambda</a:t>
            </a:r>
            <a:r>
              <a:rPr lang="en-GB" baseline="0"/>
              <a:t> vs. Omega (rad/s)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943161157173275"/>
                  <c:y val="0.28461755137264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Hoja1!$F$4:$F$33</c:f>
              <c:numCache>
                <c:formatCode>General</c:formatCode>
                <c:ptCount val="30"/>
                <c:pt idx="0">
                  <c:v>398.15498094045842</c:v>
                </c:pt>
                <c:pt idx="1">
                  <c:v>545.43284454074785</c:v>
                </c:pt>
                <c:pt idx="2">
                  <c:v>841.58031201914571</c:v>
                </c:pt>
                <c:pt idx="3">
                  <c:v>1074.2152480174698</c:v>
                </c:pt>
                <c:pt idx="4">
                  <c:v>1098.7196707154703</c:v>
                </c:pt>
                <c:pt idx="5">
                  <c:v>1089.6090520200601</c:v>
                </c:pt>
                <c:pt idx="6">
                  <c:v>1096.7299953681968</c:v>
                </c:pt>
                <c:pt idx="7">
                  <c:v>547.05600074510266</c:v>
                </c:pt>
                <c:pt idx="8">
                  <c:v>727.06925979579785</c:v>
                </c:pt>
                <c:pt idx="9">
                  <c:v>955.72484509957496</c:v>
                </c:pt>
                <c:pt idx="10">
                  <c:v>1198.5699572220658</c:v>
                </c:pt>
                <c:pt idx="11">
                  <c:v>1229.8288041252845</c:v>
                </c:pt>
                <c:pt idx="12">
                  <c:v>1228.9910460843271</c:v>
                </c:pt>
                <c:pt idx="13">
                  <c:v>1225.1687750224594</c:v>
                </c:pt>
                <c:pt idx="14">
                  <c:v>416.96788494770527</c:v>
                </c:pt>
                <c:pt idx="15">
                  <c:v>529.7772411503588</c:v>
                </c:pt>
                <c:pt idx="16">
                  <c:v>664.34212647912159</c:v>
                </c:pt>
                <c:pt idx="17">
                  <c:v>731.57220926594323</c:v>
                </c:pt>
                <c:pt idx="18">
                  <c:v>774.66438849768315</c:v>
                </c:pt>
                <c:pt idx="19">
                  <c:v>860.0633487977658</c:v>
                </c:pt>
                <c:pt idx="20">
                  <c:v>856.76467651149642</c:v>
                </c:pt>
              </c:numCache>
            </c:numRef>
          </c:xVal>
          <c:yVal>
            <c:numRef>
              <c:f>Hoja1!$J$4:$J$33</c:f>
              <c:numCache>
                <c:formatCode>General</c:formatCode>
                <c:ptCount val="30"/>
                <c:pt idx="0">
                  <c:v>9.8680221198788096E-2</c:v>
                </c:pt>
                <c:pt idx="1">
                  <c:v>0.1014283788945254</c:v>
                </c:pt>
                <c:pt idx="2">
                  <c:v>0.10439307795026646</c:v>
                </c:pt>
                <c:pt idx="3">
                  <c:v>0.10763950794498479</c:v>
                </c:pt>
                <c:pt idx="4">
                  <c:v>0.10717576896104339</c:v>
                </c:pt>
                <c:pt idx="5">
                  <c:v>0.10765261343469934</c:v>
                </c:pt>
                <c:pt idx="6">
                  <c:v>0.10632572396024985</c:v>
                </c:pt>
                <c:pt idx="7">
                  <c:v>0.102010659077008</c:v>
                </c:pt>
                <c:pt idx="8">
                  <c:v>0.10277896249415198</c:v>
                </c:pt>
                <c:pt idx="9">
                  <c:v>0.10533530254844373</c:v>
                </c:pt>
                <c:pt idx="10">
                  <c:v>0.10785856435097582</c:v>
                </c:pt>
                <c:pt idx="11">
                  <c:v>0.10831894322333002</c:v>
                </c:pt>
                <c:pt idx="12">
                  <c:v>0.10769359738178612</c:v>
                </c:pt>
                <c:pt idx="13">
                  <c:v>0.10790533557033477</c:v>
                </c:pt>
                <c:pt idx="14">
                  <c:v>9.4636732085519981E-2</c:v>
                </c:pt>
                <c:pt idx="15">
                  <c:v>9.7803646603951161E-2</c:v>
                </c:pt>
                <c:pt idx="16">
                  <c:v>9.8654419206240282E-2</c:v>
                </c:pt>
                <c:pt idx="17">
                  <c:v>9.8902769166465523E-2</c:v>
                </c:pt>
                <c:pt idx="18">
                  <c:v>9.976995147047503E-2</c:v>
                </c:pt>
                <c:pt idx="19">
                  <c:v>0.10080844600174364</c:v>
                </c:pt>
                <c:pt idx="20">
                  <c:v>0.1011965736127019</c:v>
                </c:pt>
                <c:pt idx="2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51456"/>
        <c:axId val="230752016"/>
      </c:scatterChart>
      <c:valAx>
        <c:axId val="23075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52016"/>
        <c:crosses val="autoZero"/>
        <c:crossBetween val="midCat"/>
      </c:valAx>
      <c:valAx>
        <c:axId val="2307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5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353859</xdr:colOff>
      <xdr:row>28</xdr:row>
      <xdr:rowOff>8367</xdr:rowOff>
    </xdr:from>
    <xdr:to>
      <xdr:col>12</xdr:col>
      <xdr:colOff>277526</xdr:colOff>
      <xdr:row>42</xdr:row>
      <xdr:rowOff>28966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319660</xdr:colOff>
      <xdr:row>26</xdr:row>
      <xdr:rowOff>73928</xdr:rowOff>
    </xdr:from>
    <xdr:to>
      <xdr:col>25</xdr:col>
      <xdr:colOff>68984</xdr:colOff>
      <xdr:row>40</xdr:row>
      <xdr:rowOff>74087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235404</xdr:colOff>
      <xdr:row>43</xdr:row>
      <xdr:rowOff>88076</xdr:rowOff>
    </xdr:from>
    <xdr:to>
      <xdr:col>15</xdr:col>
      <xdr:colOff>344261</xdr:colOff>
      <xdr:row>46</xdr:row>
      <xdr:rowOff>97916</xdr:rowOff>
    </xdr:to>
    <xdr:pic>
      <xdr:nvPicPr>
        <xdr:cNvPr id="4" name="1 Imagen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387" t="40126" r="9864" b="40718"/>
        <a:stretch/>
      </xdr:blipFill>
      <xdr:spPr>
        <a:xfrm>
          <a:off x="6608495" y="8885712"/>
          <a:ext cx="3607130" cy="581340"/>
        </a:xfrm>
        <a:prstGeom prst="rect">
          <a:avLst/>
        </a:prstGeom>
      </xdr:spPr>
    </xdr:pic>
    <xdr:clientData/>
  </xdr:twoCellAnchor>
  <xdr:twoCellAnchor>
    <xdr:from>
      <xdr:col>2</xdr:col>
      <xdr:colOff>154335</xdr:colOff>
      <xdr:row>36</xdr:row>
      <xdr:rowOff>25498</xdr:rowOff>
    </xdr:from>
    <xdr:to>
      <xdr:col>9</xdr:col>
      <xdr:colOff>140147</xdr:colOff>
      <xdr:row>50</xdr:row>
      <xdr:rowOff>75721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topLeftCell="B1" zoomScale="70" zoomScaleNormal="70" workbookViewId="0">
      <selection activeCell="V23" sqref="V23"/>
    </sheetView>
  </sheetViews>
  <sheetFormatPr baseColWidth="10" defaultColWidth="9.140625" defaultRowHeight="15" x14ac:dyDescent="0.25"/>
  <cols>
    <col min="1" max="1" width="13" customWidth="1"/>
    <col min="2" max="2" width="11" customWidth="1"/>
    <col min="3" max="3" width="12.42578125" customWidth="1"/>
    <col min="4" max="4" width="8.28515625" customWidth="1"/>
    <col min="7" max="7" width="11" customWidth="1"/>
    <col min="8" max="8" width="9.140625" style="2"/>
    <col min="10" max="10" width="10.42578125" customWidth="1"/>
    <col min="14" max="14" width="10.5703125" customWidth="1"/>
    <col min="15" max="15" width="14.42578125" bestFit="1" customWidth="1"/>
    <col min="19" max="19" width="13.5703125" customWidth="1"/>
    <col min="20" max="20" width="11" style="2" customWidth="1"/>
    <col min="21" max="21" width="4.28515625" customWidth="1"/>
    <col min="22" max="22" width="10.5703125" customWidth="1"/>
    <col min="23" max="23" width="12.85546875" customWidth="1"/>
    <col min="24" max="24" width="12.85546875" style="24" customWidth="1"/>
    <col min="26" max="26" width="14.140625" bestFit="1" customWidth="1"/>
    <col min="27" max="29" width="14.140625" customWidth="1"/>
    <col min="31" max="31" width="14.42578125" bestFit="1" customWidth="1"/>
  </cols>
  <sheetData>
    <row r="1" spans="1:33" ht="15.75" x14ac:dyDescent="0.25">
      <c r="A1" s="37" t="s">
        <v>7</v>
      </c>
      <c r="B1" s="37"/>
      <c r="C1" s="37"/>
      <c r="D1" s="3"/>
      <c r="E1" s="3" t="s">
        <v>34</v>
      </c>
      <c r="F1" s="3"/>
      <c r="G1" s="3"/>
      <c r="H1" s="1"/>
      <c r="I1" s="3"/>
      <c r="J1" s="3"/>
      <c r="K1" s="3"/>
      <c r="L1" s="3"/>
      <c r="M1" s="3"/>
      <c r="N1" s="3" t="s">
        <v>19</v>
      </c>
      <c r="O1" s="3">
        <v>20.3</v>
      </c>
      <c r="P1" s="3"/>
      <c r="Q1" s="3"/>
      <c r="R1" s="3"/>
      <c r="S1" s="3"/>
      <c r="T1" s="1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6.5" thickBot="1" x14ac:dyDescent="0.3">
      <c r="A2" s="3" t="s">
        <v>24</v>
      </c>
      <c r="B2" s="21">
        <f>8*$B$13/2</f>
        <v>0.1016</v>
      </c>
      <c r="C2" s="3" t="s">
        <v>45</v>
      </c>
      <c r="D2" s="3">
        <f>RADIANS(22)</f>
        <v>0.38397243543875248</v>
      </c>
      <c r="E2" s="38" t="s">
        <v>0</v>
      </c>
      <c r="F2" s="37"/>
      <c r="G2" s="37"/>
      <c r="H2" s="37"/>
      <c r="I2" s="35" t="s">
        <v>21</v>
      </c>
      <c r="J2" s="35"/>
      <c r="K2" s="35"/>
      <c r="L2" s="36"/>
      <c r="M2" s="3"/>
      <c r="N2" s="3"/>
      <c r="O2" s="3"/>
      <c r="P2" s="34" t="s">
        <v>1</v>
      </c>
      <c r="Q2" s="35"/>
      <c r="R2" s="35"/>
      <c r="S2" s="35"/>
      <c r="T2" s="35"/>
      <c r="U2" s="35" t="s">
        <v>33</v>
      </c>
      <c r="V2" s="35"/>
      <c r="W2" s="36"/>
      <c r="X2" s="25"/>
      <c r="Y2" s="3"/>
      <c r="Z2" s="3"/>
      <c r="AA2" s="3"/>
      <c r="AB2" s="3"/>
      <c r="AC2" s="3"/>
      <c r="AD2" s="3"/>
      <c r="AE2" s="3"/>
      <c r="AF2" s="3"/>
      <c r="AG2" s="3"/>
    </row>
    <row r="3" spans="1:33" ht="15.75" x14ac:dyDescent="0.25">
      <c r="A3" s="3" t="s">
        <v>25</v>
      </c>
      <c r="B3" s="21">
        <f>4.5*B13</f>
        <v>0.1143</v>
      </c>
      <c r="C3" s="3" t="s">
        <v>46</v>
      </c>
      <c r="D3" s="3">
        <f>RADIANS(13)</f>
        <v>0.22689280275926285</v>
      </c>
      <c r="E3" s="8" t="s">
        <v>2</v>
      </c>
      <c r="F3" s="8" t="s">
        <v>6</v>
      </c>
      <c r="G3" s="8" t="s">
        <v>3</v>
      </c>
      <c r="H3" s="9" t="s">
        <v>11</v>
      </c>
      <c r="I3" s="8" t="s">
        <v>22</v>
      </c>
      <c r="J3" s="8" t="s">
        <v>23</v>
      </c>
      <c r="K3" s="8" t="s">
        <v>26</v>
      </c>
      <c r="L3" s="8"/>
      <c r="M3" s="3"/>
      <c r="N3" s="3"/>
      <c r="O3" s="3"/>
      <c r="P3" s="5" t="s">
        <v>2</v>
      </c>
      <c r="Q3" s="6" t="s">
        <v>6</v>
      </c>
      <c r="R3" s="5" t="s">
        <v>4</v>
      </c>
      <c r="S3" s="14" t="s">
        <v>5</v>
      </c>
      <c r="T3" s="15" t="s">
        <v>20</v>
      </c>
      <c r="U3" s="8" t="s">
        <v>22</v>
      </c>
      <c r="V3" s="8" t="s">
        <v>23</v>
      </c>
      <c r="W3" s="8" t="s">
        <v>29</v>
      </c>
      <c r="X3" s="7" t="s">
        <v>44</v>
      </c>
      <c r="Y3" s="28" t="s">
        <v>39</v>
      </c>
      <c r="Z3" s="3"/>
      <c r="AA3" s="3"/>
      <c r="AB3" s="15"/>
      <c r="AC3" s="3"/>
      <c r="AD3" s="3"/>
      <c r="AE3" s="3"/>
      <c r="AF3" s="3"/>
      <c r="AG3" s="3"/>
    </row>
    <row r="4" spans="1:33" ht="15.75" x14ac:dyDescent="0.25">
      <c r="A4" s="3" t="s">
        <v>16</v>
      </c>
      <c r="B4" s="3">
        <f>D2</f>
        <v>0.38397243543875248</v>
      </c>
      <c r="C4" s="3"/>
      <c r="D4" s="27"/>
      <c r="E4" s="1">
        <v>7604.2</v>
      </c>
      <c r="F4" s="7">
        <f>E4/2*2*PI()/60</f>
        <v>398.15498094045842</v>
      </c>
      <c r="G4" s="1">
        <v>115</v>
      </c>
      <c r="H4" s="1">
        <f>G4/1000*9.81/($B$15*$B$16*(F4*$B$2)^2)</f>
        <v>1.9475572111683489E-2</v>
      </c>
      <c r="I4" s="3">
        <f>SQRT(G4/1000*9.81/(2*$B$15*$B$16))</f>
        <v>3.9918661936053348</v>
      </c>
      <c r="J4" s="3">
        <f>I4/(F4*$B$2)</f>
        <v>9.8680221198788096E-2</v>
      </c>
      <c r="K4" s="3">
        <f>$B$10*$B$6/4*($B$4*(2/3+0^2)+$B$5/2*(1+0^2)-J4)</f>
        <v>2.2587295839787917E-2</v>
      </c>
      <c r="L4" s="3"/>
      <c r="M4" s="3"/>
      <c r="N4" s="3"/>
      <c r="O4" s="3"/>
      <c r="P4" s="1">
        <v>10005</v>
      </c>
      <c r="Q4" s="7">
        <f>P4/2*2*PI()/60</f>
        <v>523.86057498609796</v>
      </c>
      <c r="R4" s="1">
        <v>22</v>
      </c>
      <c r="S4" s="7">
        <f>R4/1000*9.81*$O$1</f>
        <v>4.3811460000000002</v>
      </c>
      <c r="T4" s="1">
        <f>S4/100/($B$15*$B$16*$B$2*(Q4*$B$2)^2)</f>
        <v>4.30021599710505E-3</v>
      </c>
      <c r="U4" s="7"/>
      <c r="V4" s="7">
        <f>$O$19+$O$18*Q4</f>
        <v>9.8559153678009478E-2</v>
      </c>
      <c r="W4" s="7">
        <f>$B$10*$B$6/4*(2/3*$B$4-V4+$B$5/2)*V4+$B$10*$B$8/8*(1+0^2)</f>
        <v>3.8379117029820591E-3</v>
      </c>
      <c r="X4" s="3">
        <f t="shared" ref="X4:X14" si="0">$B$10*$B$8/8*(1+0^2)/W4*100</f>
        <v>41.905731808331922</v>
      </c>
      <c r="Y4" s="28"/>
      <c r="Z4" s="3"/>
      <c r="AA4" s="20"/>
      <c r="AB4" s="20"/>
      <c r="AC4" s="20"/>
      <c r="AG4" s="3"/>
    </row>
    <row r="5" spans="1:33" ht="15.75" x14ac:dyDescent="0.25">
      <c r="A5" s="10" t="s">
        <v>17</v>
      </c>
      <c r="B5" s="26">
        <f>D3-D2</f>
        <v>-0.15707963267948963</v>
      </c>
      <c r="C5" s="11" t="s">
        <v>18</v>
      </c>
      <c r="D5" s="3"/>
      <c r="E5" s="1">
        <v>10417</v>
      </c>
      <c r="F5" s="7">
        <f t="shared" ref="F5:F24" si="1">E5/2*2*PI()/60</f>
        <v>545.43284454074785</v>
      </c>
      <c r="G5" s="1">
        <v>228</v>
      </c>
      <c r="H5" s="1">
        <f t="shared" ref="H5:H24" si="2">G5/1000*9.81/($B$15*$B$16*(F5*$B$2)^2)</f>
        <v>2.0575432090342807E-2</v>
      </c>
      <c r="I5" s="3">
        <f t="shared" ref="I5:I24" si="3">SQRT(G5/1000*9.81/(2*$B$15*$B$16))</f>
        <v>5.6207527125079304</v>
      </c>
      <c r="J5" s="3">
        <f t="shared" ref="J5:J24" si="4">I5/(F5*$B$2)</f>
        <v>0.1014283788945254</v>
      </c>
      <c r="K5" s="3">
        <f t="shared" ref="K5:K24" si="5">$B$10*$B$6/4*($B$4*(2/3+0^2)+$B$5/2*(1+0^2)-J5)</f>
        <v>2.1799177494644335E-2</v>
      </c>
      <c r="L5" s="3"/>
      <c r="M5" s="3"/>
      <c r="N5" s="3"/>
      <c r="O5" s="3"/>
      <c r="P5" s="1">
        <v>15464</v>
      </c>
      <c r="Q5" s="7">
        <f t="shared" ref="Q5:Q21" si="6">P5/2*2*PI()/60</f>
        <v>809.69314658520932</v>
      </c>
      <c r="R5" s="1">
        <v>43</v>
      </c>
      <c r="S5" s="7">
        <f t="shared" ref="S5:S12" si="7">R5/1000*9.81*$O$1</f>
        <v>8.5631489999999992</v>
      </c>
      <c r="T5" s="1">
        <f t="shared" ref="T5:T12" si="8">S5/100/($B$15*$B$16*$B$2*(Q5*$B$2)^2)</f>
        <v>3.5182488073939263E-3</v>
      </c>
      <c r="U5" s="7"/>
      <c r="V5" s="7">
        <f t="shared" ref="V5:V11" si="9">$O$19+$O$18*Q5</f>
        <v>0.10247888658657593</v>
      </c>
      <c r="W5" s="7">
        <f t="shared" ref="W5:W21" si="10">$B$10*$B$6/4*(2/3*$B$4-V5+$B$5/2)*V5+$B$10*$B$8/8*(1+0^2)</f>
        <v>3.8113870972312008E-3</v>
      </c>
      <c r="X5" s="3">
        <f t="shared" si="0"/>
        <v>42.197366582381683</v>
      </c>
      <c r="Y5" s="28"/>
      <c r="Z5" s="3"/>
      <c r="AA5" s="20"/>
      <c r="AB5" s="20"/>
      <c r="AC5" s="20"/>
      <c r="AG5" s="3"/>
    </row>
    <row r="6" spans="1:33" ht="15.75" x14ac:dyDescent="0.25">
      <c r="A6" s="12" t="s">
        <v>8</v>
      </c>
      <c r="B6" s="22">
        <v>9.1536302884530194</v>
      </c>
      <c r="C6" s="1" t="s">
        <v>18</v>
      </c>
      <c r="D6" s="3"/>
      <c r="E6" s="1">
        <v>16073</v>
      </c>
      <c r="F6" s="7">
        <f t="shared" si="1"/>
        <v>841.58031201914571</v>
      </c>
      <c r="G6" s="1">
        <v>575</v>
      </c>
      <c r="H6" s="1">
        <f t="shared" si="2"/>
        <v>2.1795829447860821E-2</v>
      </c>
      <c r="I6" s="3">
        <f t="shared" si="3"/>
        <v>8.9260841659848627</v>
      </c>
      <c r="J6" s="3">
        <f t="shared" si="4"/>
        <v>0.10439307795026646</v>
      </c>
      <c r="K6" s="3">
        <f t="shared" si="5"/>
        <v>2.09489592858117E-2</v>
      </c>
      <c r="L6" s="3"/>
      <c r="M6" s="3"/>
      <c r="N6" s="3"/>
      <c r="O6" s="3"/>
      <c r="P6" s="1">
        <v>19865</v>
      </c>
      <c r="Q6" s="7">
        <f t="shared" si="6"/>
        <v>1040.1289677260206</v>
      </c>
      <c r="R6" s="1">
        <v>50</v>
      </c>
      <c r="S6" s="7">
        <f t="shared" si="7"/>
        <v>9.9571500000000022</v>
      </c>
      <c r="T6" s="1">
        <f t="shared" si="8"/>
        <v>2.479103400943667E-3</v>
      </c>
      <c r="U6" s="7"/>
      <c r="V6" s="7">
        <f t="shared" si="9"/>
        <v>0.10563894237162831</v>
      </c>
      <c r="W6" s="7">
        <f t="shared" si="10"/>
        <v>3.7835871755695673E-3</v>
      </c>
      <c r="X6" s="3">
        <f t="shared" si="0"/>
        <v>42.50741189940041</v>
      </c>
      <c r="Y6" s="28"/>
      <c r="Z6" s="3"/>
      <c r="AA6" s="20"/>
      <c r="AB6" s="20"/>
      <c r="AC6" s="20"/>
      <c r="AG6" s="3"/>
    </row>
    <row r="7" spans="1:33" ht="16.5" thickBot="1" x14ac:dyDescent="0.3">
      <c r="A7" s="12" t="s">
        <v>9</v>
      </c>
      <c r="B7" s="22">
        <v>0.02</v>
      </c>
      <c r="C7" s="1" t="s">
        <v>18</v>
      </c>
      <c r="D7" s="3"/>
      <c r="E7" s="1">
        <v>20516</v>
      </c>
      <c r="F7" s="7">
        <f t="shared" si="1"/>
        <v>1074.2152480174698</v>
      </c>
      <c r="G7" s="1">
        <v>996</v>
      </c>
      <c r="H7" s="1">
        <f t="shared" si="2"/>
        <v>2.3172527341276887E-2</v>
      </c>
      <c r="I7" s="3">
        <f t="shared" si="3"/>
        <v>11.747804873517785</v>
      </c>
      <c r="J7" s="3">
        <f t="shared" si="4"/>
        <v>0.10763950794498479</v>
      </c>
      <c r="K7" s="3">
        <f t="shared" si="5"/>
        <v>2.001794610595287E-2</v>
      </c>
      <c r="L7" s="3"/>
      <c r="M7" s="3"/>
      <c r="N7" s="3"/>
      <c r="O7" s="3"/>
      <c r="P7" s="1">
        <v>20343</v>
      </c>
      <c r="Q7" s="7">
        <f t="shared" si="6"/>
        <v>1065.1569891996194</v>
      </c>
      <c r="R7" s="1">
        <v>55</v>
      </c>
      <c r="S7" s="7">
        <f t="shared" si="7"/>
        <v>10.952865000000003</v>
      </c>
      <c r="T7" s="1">
        <f t="shared" si="8"/>
        <v>2.6003659276515917E-3</v>
      </c>
      <c r="U7" s="7"/>
      <c r="V7" s="7">
        <f t="shared" si="9"/>
        <v>0.10598216133669422</v>
      </c>
      <c r="W7" s="7">
        <f t="shared" si="10"/>
        <v>3.780222957161716E-3</v>
      </c>
      <c r="X7" s="3">
        <f t="shared" si="0"/>
        <v>42.545241471677663</v>
      </c>
      <c r="Y7" s="28"/>
      <c r="Z7" s="3"/>
      <c r="AA7" s="20"/>
      <c r="AB7" s="20"/>
      <c r="AC7" s="20"/>
      <c r="AG7" s="3"/>
    </row>
    <row r="8" spans="1:33" ht="15.75" x14ac:dyDescent="0.25">
      <c r="A8" s="13" t="s">
        <v>10</v>
      </c>
      <c r="B8" s="23">
        <v>0.10266962705100752</v>
      </c>
      <c r="C8" s="9" t="s">
        <v>18</v>
      </c>
      <c r="D8" s="3"/>
      <c r="E8" s="1">
        <v>20984</v>
      </c>
      <c r="F8" s="7">
        <f t="shared" si="1"/>
        <v>1098.7196707154703</v>
      </c>
      <c r="G8" s="1">
        <v>1033</v>
      </c>
      <c r="H8" s="1">
        <f t="shared" si="2"/>
        <v>2.2973290904781903E-2</v>
      </c>
      <c r="I8" s="3">
        <f t="shared" si="3"/>
        <v>11.964022359085979</v>
      </c>
      <c r="J8" s="3">
        <f t="shared" si="4"/>
        <v>0.10717576896104339</v>
      </c>
      <c r="K8" s="3">
        <f t="shared" si="5"/>
        <v>2.0150937455455618E-2</v>
      </c>
      <c r="L8" s="3"/>
      <c r="M8" s="3"/>
      <c r="N8" s="30" t="s">
        <v>36</v>
      </c>
      <c r="O8" s="31"/>
      <c r="P8" s="1">
        <v>20425</v>
      </c>
      <c r="Q8" s="7">
        <f t="shared" si="6"/>
        <v>1069.4504991595254</v>
      </c>
      <c r="R8" s="1">
        <v>66</v>
      </c>
      <c r="S8" s="7">
        <f t="shared" si="7"/>
        <v>13.143438000000002</v>
      </c>
      <c r="T8" s="1">
        <f t="shared" si="8"/>
        <v>3.0954342293505271E-3</v>
      </c>
      <c r="U8" s="7"/>
      <c r="V8" s="7">
        <f t="shared" si="9"/>
        <v>0.10604103990392309</v>
      </c>
      <c r="W8" s="7">
        <f t="shared" si="10"/>
        <v>3.7796390423182214E-3</v>
      </c>
      <c r="X8" s="3">
        <f t="shared" si="0"/>
        <v>42.551814268110661</v>
      </c>
      <c r="Y8" s="28"/>
      <c r="Z8" s="8"/>
      <c r="AA8" s="30" t="s">
        <v>40</v>
      </c>
      <c r="AB8" s="31"/>
      <c r="AC8" s="20"/>
      <c r="AD8" s="32"/>
      <c r="AE8" s="32"/>
      <c r="AG8" s="3"/>
    </row>
    <row r="9" spans="1:33" ht="15.75" x14ac:dyDescent="0.25">
      <c r="A9" s="3" t="s">
        <v>27</v>
      </c>
      <c r="B9" s="21">
        <v>2</v>
      </c>
      <c r="C9" s="3"/>
      <c r="D9" s="3"/>
      <c r="E9" s="1">
        <v>20810</v>
      </c>
      <c r="F9" s="7">
        <f t="shared" si="1"/>
        <v>1089.6090520200601</v>
      </c>
      <c r="G9" s="1">
        <v>1025</v>
      </c>
      <c r="H9" s="1">
        <f t="shared" si="2"/>
        <v>2.3178170358641621E-2</v>
      </c>
      <c r="I9" s="3">
        <f t="shared" si="3"/>
        <v>11.917605026521775</v>
      </c>
      <c r="J9" s="3">
        <f t="shared" si="4"/>
        <v>0.10765261343469934</v>
      </c>
      <c r="K9" s="3">
        <f t="shared" si="5"/>
        <v>2.001418770559537E-2</v>
      </c>
      <c r="L9" s="3"/>
      <c r="M9" s="3"/>
      <c r="N9" s="16" t="s">
        <v>31</v>
      </c>
      <c r="O9" s="17">
        <f>SLOPE(H4:H28,F4:F28)</f>
        <v>5.6438509168820702E-6</v>
      </c>
      <c r="P9" s="1">
        <v>10264</v>
      </c>
      <c r="Q9" s="7">
        <f t="shared" si="6"/>
        <v>537.42178327409397</v>
      </c>
      <c r="R9" s="1">
        <v>24</v>
      </c>
      <c r="S9" s="7">
        <f t="shared" si="7"/>
        <v>4.7794320000000008</v>
      </c>
      <c r="T9" s="1">
        <f t="shared" si="8"/>
        <v>4.4573807233624059E-3</v>
      </c>
      <c r="U9" s="7"/>
      <c r="V9" s="7">
        <f t="shared" si="9"/>
        <v>9.874512378669581E-2</v>
      </c>
      <c r="W9" s="7">
        <f t="shared" si="10"/>
        <v>3.8368523853772821E-3</v>
      </c>
      <c r="X9" s="3">
        <f t="shared" si="0"/>
        <v>41.917301573073146</v>
      </c>
      <c r="Y9" s="28"/>
      <c r="Z9" s="3"/>
      <c r="AA9" s="16" t="s">
        <v>31</v>
      </c>
      <c r="AB9" s="17">
        <f>SLOPE(T15:T21,Q15:Q21)</f>
        <v>8.353191373693193E-6</v>
      </c>
      <c r="AC9" s="20"/>
      <c r="AG9" s="3"/>
    </row>
    <row r="10" spans="1:33" ht="16.5" thickBot="1" x14ac:dyDescent="0.3">
      <c r="A10" s="3" t="s">
        <v>28</v>
      </c>
      <c r="B10" s="21">
        <f>B9*B7/(PI()*B2)</f>
        <v>0.12531885282826405</v>
      </c>
      <c r="C10" s="3"/>
      <c r="D10" s="3"/>
      <c r="E10" s="1">
        <v>20946</v>
      </c>
      <c r="F10" s="7">
        <f t="shared" si="1"/>
        <v>1096.7299953681968</v>
      </c>
      <c r="G10" s="1">
        <v>1013</v>
      </c>
      <c r="H10" s="1">
        <f t="shared" si="2"/>
        <v>2.2610319151342498E-2</v>
      </c>
      <c r="I10" s="3">
        <f t="shared" si="3"/>
        <v>11.84763805183881</v>
      </c>
      <c r="J10" s="3">
        <f t="shared" si="4"/>
        <v>0.10632572396024985</v>
      </c>
      <c r="K10" s="3">
        <f t="shared" si="5"/>
        <v>2.0394713880790352E-2</v>
      </c>
      <c r="L10" s="3"/>
      <c r="M10" s="3"/>
      <c r="N10" s="18" t="s">
        <v>32</v>
      </c>
      <c r="O10" s="19">
        <f>INTERCEPT(H4:H28,F4:F28)</f>
        <v>1.6467191441195444E-2</v>
      </c>
      <c r="P10" s="1">
        <v>13640</v>
      </c>
      <c r="Q10" s="7">
        <f t="shared" si="6"/>
        <v>714.18872991607964</v>
      </c>
      <c r="R10" s="1">
        <v>43</v>
      </c>
      <c r="S10" s="7">
        <f t="shared" si="7"/>
        <v>8.5631489999999992</v>
      </c>
      <c r="T10" s="1">
        <f t="shared" si="8"/>
        <v>4.5221138339334973E-3</v>
      </c>
      <c r="U10" s="7"/>
      <c r="V10" s="7">
        <f t="shared" si="9"/>
        <v>0.10116919748138721</v>
      </c>
      <c r="W10" s="7">
        <f t="shared" si="10"/>
        <v>3.8212300029500518E-3</v>
      </c>
      <c r="X10" s="3">
        <f t="shared" si="0"/>
        <v>42.088672601508115</v>
      </c>
      <c r="Y10" s="28"/>
      <c r="Z10" s="3"/>
      <c r="AA10" s="18" t="s">
        <v>32</v>
      </c>
      <c r="AB10" s="19">
        <f>INTERCEPT(T15:T21,Q15:Q21)</f>
        <v>-1.5054709570709287E-3</v>
      </c>
      <c r="AC10" s="20"/>
      <c r="AG10" s="3"/>
    </row>
    <row r="11" spans="1:33" ht="15.75" x14ac:dyDescent="0.25">
      <c r="C11" s="3"/>
      <c r="D11" s="3"/>
      <c r="E11" s="1">
        <v>10448</v>
      </c>
      <c r="F11" s="7">
        <f t="shared" si="1"/>
        <v>547.05600074510266</v>
      </c>
      <c r="G11" s="1">
        <v>232</v>
      </c>
      <c r="H11" s="1">
        <f t="shared" si="2"/>
        <v>2.0812349130651112E-2</v>
      </c>
      <c r="I11" s="3">
        <f t="shared" si="3"/>
        <v>5.6698431879048741</v>
      </c>
      <c r="J11" s="3">
        <f t="shared" si="4"/>
        <v>0.102010659077008</v>
      </c>
      <c r="K11" s="3">
        <f t="shared" si="5"/>
        <v>2.1632190827707461E-2</v>
      </c>
      <c r="L11" s="3"/>
      <c r="M11" s="3"/>
      <c r="N11" s="30" t="s">
        <v>35</v>
      </c>
      <c r="O11" s="31"/>
      <c r="P11" s="1">
        <v>17913</v>
      </c>
      <c r="Q11" s="7">
        <f t="shared" si="6"/>
        <v>937.92248672923267</v>
      </c>
      <c r="R11" s="1">
        <v>71</v>
      </c>
      <c r="S11" s="7">
        <f t="shared" si="7"/>
        <v>14.139153</v>
      </c>
      <c r="T11" s="1">
        <f t="shared" si="8"/>
        <v>4.3293577293634098E-3</v>
      </c>
      <c r="U11" s="7"/>
      <c r="V11" s="7">
        <f t="shared" si="9"/>
        <v>0.10423734525905794</v>
      </c>
      <c r="W11" s="7">
        <f t="shared" si="10"/>
        <v>3.7966242434006956E-3</v>
      </c>
      <c r="X11" s="3">
        <f t="shared" si="0"/>
        <v>42.361447490828382</v>
      </c>
      <c r="Y11" s="28"/>
      <c r="Z11" s="3"/>
      <c r="AA11" s="30" t="s">
        <v>41</v>
      </c>
      <c r="AB11" s="31"/>
      <c r="AC11" s="20"/>
      <c r="AG11" s="3"/>
    </row>
    <row r="12" spans="1:33" ht="15.75" x14ac:dyDescent="0.25">
      <c r="A12" s="3"/>
      <c r="B12" s="3"/>
      <c r="C12" s="3"/>
      <c r="D12" s="3"/>
      <c r="E12" s="1">
        <v>13886</v>
      </c>
      <c r="F12" s="7">
        <f t="shared" si="1"/>
        <v>727.06925979579785</v>
      </c>
      <c r="G12" s="1">
        <v>416</v>
      </c>
      <c r="H12" s="1">
        <f t="shared" si="2"/>
        <v>2.1127030262748599E-2</v>
      </c>
      <c r="I12" s="3">
        <f t="shared" si="3"/>
        <v>7.5923062970134403</v>
      </c>
      <c r="J12" s="3">
        <f t="shared" si="4"/>
        <v>0.10277896249415198</v>
      </c>
      <c r="K12" s="3">
        <f t="shared" si="5"/>
        <v>2.1411856303736404E-2</v>
      </c>
      <c r="L12" s="3"/>
      <c r="M12" s="3"/>
      <c r="N12" s="16" t="s">
        <v>31</v>
      </c>
      <c r="O12" s="17">
        <f>SLOPE(K4:K28,F4:F28)</f>
        <v>-3.9327337507063758E-6</v>
      </c>
      <c r="P12" s="1">
        <v>22560</v>
      </c>
      <c r="Q12" s="7">
        <f t="shared" si="6"/>
        <v>1181.2388377497623</v>
      </c>
      <c r="R12" s="1">
        <v>104</v>
      </c>
      <c r="S12" s="7">
        <f t="shared" si="7"/>
        <v>20.710872000000002</v>
      </c>
      <c r="T12" s="1">
        <f t="shared" si="8"/>
        <v>3.9981301203831834E-3</v>
      </c>
      <c r="U12" s="7"/>
      <c r="V12" s="7">
        <f>$O$19+$O$18*Q12</f>
        <v>0.10757403674579696</v>
      </c>
      <c r="W12" s="7">
        <f t="shared" si="10"/>
        <v>3.7637360514583664E-3</v>
      </c>
      <c r="X12" s="3">
        <f t="shared" si="0"/>
        <v>42.731609318593492</v>
      </c>
      <c r="Y12" s="28"/>
      <c r="Z12" s="3"/>
      <c r="AA12" s="16" t="s">
        <v>31</v>
      </c>
      <c r="AB12" s="17">
        <f>SLOPE(W15:W21,Q15:Q21)</f>
        <v>-8.8409291040708805E-8</v>
      </c>
      <c r="AC12" s="20"/>
      <c r="AG12" s="3"/>
    </row>
    <row r="13" spans="1:33" ht="16.5" thickBot="1" x14ac:dyDescent="0.3">
      <c r="A13" s="4" t="s">
        <v>15</v>
      </c>
      <c r="B13" s="4">
        <v>2.5399999999999999E-2</v>
      </c>
      <c r="C13" s="3"/>
      <c r="D13" s="3"/>
      <c r="E13" s="1">
        <v>18253</v>
      </c>
      <c r="F13" s="7">
        <f t="shared" si="1"/>
        <v>955.72484509957496</v>
      </c>
      <c r="G13" s="1">
        <v>755</v>
      </c>
      <c r="H13" s="1">
        <f t="shared" si="2"/>
        <v>2.2191051925944345E-2</v>
      </c>
      <c r="I13" s="3">
        <f t="shared" si="3"/>
        <v>10.228231076301428</v>
      </c>
      <c r="J13" s="3">
        <f t="shared" si="4"/>
        <v>0.10533530254844373</v>
      </c>
      <c r="K13" s="3">
        <f t="shared" si="5"/>
        <v>2.0678747539149247E-2</v>
      </c>
      <c r="L13" s="3"/>
      <c r="M13" s="3"/>
      <c r="N13" s="18" t="s">
        <v>32</v>
      </c>
      <c r="O13" s="19">
        <f>INTERCEPT(K4:K28,F4:F28)</f>
        <v>2.4682219821371018E-2</v>
      </c>
      <c r="P13" s="1">
        <v>23283</v>
      </c>
      <c r="Q13" s="7">
        <f t="shared" si="6"/>
        <v>1219.0950292255191</v>
      </c>
      <c r="R13" s="1">
        <v>124</v>
      </c>
      <c r="S13" s="7">
        <f t="shared" ref="S13:S21" si="11">R13/1000*9.81*$O$1</f>
        <v>24.693732000000001</v>
      </c>
      <c r="T13" s="1">
        <f t="shared" ref="T13:T21" si="12">S13/100/($B$15*$B$16*$B$2*(Q13*$B$2)^2)</f>
        <v>4.4755414577862434E-3</v>
      </c>
      <c r="U13" s="7"/>
      <c r="V13" s="7">
        <f t="shared" ref="V13:V21" si="13">$O$19+$O$18*Q13</f>
        <v>0.10809317338124183</v>
      </c>
      <c r="W13" s="7">
        <f t="shared" si="10"/>
        <v>3.7580451176298406E-3</v>
      </c>
      <c r="X13" s="3">
        <f t="shared" si="0"/>
        <v>42.796319228508544</v>
      </c>
      <c r="Y13" s="28"/>
      <c r="Z13" s="3"/>
      <c r="AA13" s="18" t="s">
        <v>32</v>
      </c>
      <c r="AB13" s="19">
        <f>INTERCEPT(W15:W21,Q15:Q21)</f>
        <v>3.883580195194239E-3</v>
      </c>
      <c r="AC13" s="20"/>
      <c r="AF13" s="3"/>
      <c r="AG13" s="3"/>
    </row>
    <row r="14" spans="1:33" ht="15.75" x14ac:dyDescent="0.25">
      <c r="A14" s="37" t="s">
        <v>13</v>
      </c>
      <c r="B14" s="37"/>
      <c r="C14" s="3"/>
      <c r="D14" s="3"/>
      <c r="E14" s="1">
        <v>22891</v>
      </c>
      <c r="F14" s="7">
        <f t="shared" si="1"/>
        <v>1198.5699572220658</v>
      </c>
      <c r="G14" s="1">
        <v>1245</v>
      </c>
      <c r="H14" s="1">
        <f t="shared" si="2"/>
        <v>2.3266939807707186E-2</v>
      </c>
      <c r="I14" s="3">
        <f t="shared" si="3"/>
        <v>13.134445141794544</v>
      </c>
      <c r="J14" s="3">
        <f t="shared" si="4"/>
        <v>0.10785856435097582</v>
      </c>
      <c r="K14" s="3">
        <f t="shared" si="5"/>
        <v>1.9955124975837034E-2</v>
      </c>
      <c r="L14" s="3"/>
      <c r="M14" s="3"/>
      <c r="N14" s="3" t="s">
        <v>37</v>
      </c>
      <c r="O14" s="3">
        <f>(O9-O12)*10000</f>
        <v>9.5765846675884461E-2</v>
      </c>
      <c r="P14" s="1">
        <v>23104</v>
      </c>
      <c r="Q14" s="8">
        <f t="shared" si="6"/>
        <v>1209.7226111423095</v>
      </c>
      <c r="R14" s="1">
        <v>126</v>
      </c>
      <c r="S14" s="8">
        <f t="shared" si="11"/>
        <v>25.092018000000003</v>
      </c>
      <c r="T14" s="9">
        <f t="shared" si="12"/>
        <v>4.6184683195819405E-3</v>
      </c>
      <c r="U14" s="8"/>
      <c r="V14" s="8">
        <f>$O$19+$O$18*Q14</f>
        <v>0.10796464577716902</v>
      </c>
      <c r="W14" s="7">
        <f t="shared" si="10"/>
        <v>3.7594684738970164E-3</v>
      </c>
      <c r="X14" s="3">
        <f t="shared" si="0"/>
        <v>42.780116297267362</v>
      </c>
      <c r="Y14" s="29"/>
      <c r="Z14" s="3"/>
      <c r="AA14" s="3" t="s">
        <v>37</v>
      </c>
      <c r="AB14" s="3">
        <f>(AB9-AB12)*10000</f>
        <v>8.4416006647339017E-2</v>
      </c>
      <c r="AC14" s="20"/>
      <c r="AF14" s="3"/>
      <c r="AG14" s="3"/>
    </row>
    <row r="15" spans="1:33" ht="15.75" x14ac:dyDescent="0.25">
      <c r="A15" s="3" t="s">
        <v>12</v>
      </c>
      <c r="B15" s="3">
        <v>1.0915600000000001</v>
      </c>
      <c r="C15" s="3"/>
      <c r="D15" s="3"/>
      <c r="E15" s="1">
        <v>23488</v>
      </c>
      <c r="F15" s="7">
        <f t="shared" si="1"/>
        <v>1229.8288041252845</v>
      </c>
      <c r="G15" s="1">
        <v>1322</v>
      </c>
      <c r="H15" s="1">
        <f t="shared" si="2"/>
        <v>2.3465986922037985E-2</v>
      </c>
      <c r="I15" s="3">
        <f t="shared" si="3"/>
        <v>13.534517651099794</v>
      </c>
      <c r="J15" s="3">
        <f t="shared" si="4"/>
        <v>0.10831894322333002</v>
      </c>
      <c r="K15" s="3">
        <f t="shared" si="5"/>
        <v>1.982309724119078E-2</v>
      </c>
      <c r="L15" s="3"/>
      <c r="M15" s="3"/>
      <c r="N15" s="3" t="s">
        <v>38</v>
      </c>
      <c r="O15" s="3">
        <f>O10-O13</f>
        <v>-8.2150283801755743E-3</v>
      </c>
      <c r="P15" s="1">
        <v>7895.6</v>
      </c>
      <c r="Q15" s="7">
        <f t="shared" si="6"/>
        <v>413.41264926139286</v>
      </c>
      <c r="R15" s="1">
        <v>5</v>
      </c>
      <c r="S15" s="7">
        <f t="shared" si="11"/>
        <v>0.99571500000000013</v>
      </c>
      <c r="T15" s="1">
        <f t="shared" si="12"/>
        <v>1.5692838423100072E-3</v>
      </c>
      <c r="U15" s="3"/>
      <c r="V15" s="3">
        <f t="shared" si="13"/>
        <v>9.704453843761196E-2</v>
      </c>
      <c r="W15" s="7">
        <f t="shared" si="10"/>
        <v>3.8458005407800283E-3</v>
      </c>
      <c r="X15" s="3">
        <f t="shared" ref="X15:X21" si="14">$B$10*$B$8/8*(1+0^2)/W15*100</f>
        <v>41.819771156567576</v>
      </c>
      <c r="Z15" s="3"/>
      <c r="AA15" s="3" t="s">
        <v>38</v>
      </c>
      <c r="AB15" s="3">
        <f>(AB10-AB13)*1000</f>
        <v>-5.3890511522651678</v>
      </c>
      <c r="AC15" s="20"/>
      <c r="AF15" s="3"/>
      <c r="AG15" s="3"/>
    </row>
    <row r="16" spans="1:33" ht="16.5" thickBot="1" x14ac:dyDescent="0.3">
      <c r="A16" s="3" t="s">
        <v>14</v>
      </c>
      <c r="B16" s="3">
        <f>PI()*B2^2</f>
        <v>3.2429278662239852E-2</v>
      </c>
      <c r="C16" s="3"/>
      <c r="D16" s="3"/>
      <c r="E16" s="1">
        <v>23472</v>
      </c>
      <c r="F16" s="7">
        <f t="shared" si="1"/>
        <v>1228.9910460843271</v>
      </c>
      <c r="G16" s="1">
        <v>1305</v>
      </c>
      <c r="H16" s="1">
        <f t="shared" si="2"/>
        <v>2.31958218340605E-2</v>
      </c>
      <c r="I16" s="3">
        <f t="shared" si="3"/>
        <v>13.447213837327087</v>
      </c>
      <c r="J16" s="3">
        <f t="shared" si="4"/>
        <v>0.10769359738178612</v>
      </c>
      <c r="K16" s="3">
        <f t="shared" si="5"/>
        <v>2.0002434304178276E-2</v>
      </c>
      <c r="L16" s="3"/>
      <c r="M16" s="3"/>
      <c r="N16" s="3"/>
      <c r="O16" s="3"/>
      <c r="P16" s="1">
        <v>9899</v>
      </c>
      <c r="Q16" s="7">
        <f t="shared" si="6"/>
        <v>518.31042796475606</v>
      </c>
      <c r="R16" s="1">
        <v>16</v>
      </c>
      <c r="S16" s="7">
        <f t="shared" si="11"/>
        <v>3.1862880000000002</v>
      </c>
      <c r="T16" s="1">
        <f t="shared" si="12"/>
        <v>3.194766411133222E-3</v>
      </c>
      <c r="U16" s="3"/>
      <c r="V16" s="3">
        <f t="shared" si="13"/>
        <v>9.8483042359396533E-2</v>
      </c>
      <c r="W16" s="7">
        <f t="shared" si="10"/>
        <v>3.8383395255774709E-3</v>
      </c>
      <c r="X16" s="3">
        <f t="shared" si="14"/>
        <v>41.901060981578475</v>
      </c>
      <c r="Z16" s="3"/>
      <c r="AA16" s="20"/>
      <c r="AB16" s="20"/>
      <c r="AC16" s="20"/>
      <c r="AF16" s="3"/>
      <c r="AG16" s="3"/>
    </row>
    <row r="17" spans="1:33" ht="15.75" x14ac:dyDescent="0.25">
      <c r="A17" s="3"/>
      <c r="B17" s="3"/>
      <c r="C17" s="3"/>
      <c r="D17" s="3"/>
      <c r="E17" s="1">
        <v>23399</v>
      </c>
      <c r="F17" s="7">
        <f t="shared" si="1"/>
        <v>1225.1687750224594</v>
      </c>
      <c r="G17" s="1">
        <v>1302</v>
      </c>
      <c r="H17" s="1">
        <f t="shared" si="2"/>
        <v>2.3287122889093109E-2</v>
      </c>
      <c r="I17" s="3">
        <f t="shared" si="3"/>
        <v>13.431748376387997</v>
      </c>
      <c r="J17" s="3">
        <f t="shared" si="4"/>
        <v>0.10790533557033477</v>
      </c>
      <c r="K17" s="3">
        <f t="shared" si="5"/>
        <v>1.9941711896937414E-2</v>
      </c>
      <c r="L17" s="3"/>
      <c r="M17" s="3"/>
      <c r="N17" s="30" t="s">
        <v>30</v>
      </c>
      <c r="O17" s="31"/>
      <c r="P17" s="1">
        <v>12420</v>
      </c>
      <c r="Q17" s="7">
        <f t="shared" si="6"/>
        <v>650.30967929308713</v>
      </c>
      <c r="R17" s="1">
        <v>33</v>
      </c>
      <c r="S17" s="7">
        <f t="shared" si="11"/>
        <v>6.5717190000000008</v>
      </c>
      <c r="T17" s="1">
        <f t="shared" si="12"/>
        <v>4.1857426545895225E-3</v>
      </c>
      <c r="U17" s="3"/>
      <c r="V17" s="3">
        <f t="shared" si="13"/>
        <v>0.10029319928603073</v>
      </c>
      <c r="W17" s="7">
        <f t="shared" si="10"/>
        <v>3.8272644385854582E-3</v>
      </c>
      <c r="X17" s="3">
        <f t="shared" si="14"/>
        <v>42.022311525635509</v>
      </c>
      <c r="Z17" s="3"/>
      <c r="AA17" s="20"/>
      <c r="AB17" s="20"/>
      <c r="AC17" s="20"/>
      <c r="AF17" s="3"/>
      <c r="AG17" s="3"/>
    </row>
    <row r="18" spans="1:33" ht="15.75" x14ac:dyDescent="0.25">
      <c r="A18" s="3"/>
      <c r="B18" s="3"/>
      <c r="C18" s="3"/>
      <c r="D18" s="3"/>
      <c r="E18" s="1">
        <v>7963.5</v>
      </c>
      <c r="F18" s="7">
        <f t="shared" si="1"/>
        <v>416.96788494770527</v>
      </c>
      <c r="G18" s="1">
        <v>116</v>
      </c>
      <c r="H18" s="1">
        <f t="shared" si="2"/>
        <v>1.7912222119652974E-2</v>
      </c>
      <c r="I18" s="3">
        <f t="shared" si="3"/>
        <v>4.0091845664318893</v>
      </c>
      <c r="J18" s="3">
        <f t="shared" si="4"/>
        <v>9.4636732085519981E-2</v>
      </c>
      <c r="K18" s="3">
        <f t="shared" si="5"/>
        <v>2.3746890121257993E-2</v>
      </c>
      <c r="L18" s="3"/>
      <c r="M18" s="3"/>
      <c r="N18" s="16" t="s">
        <v>31</v>
      </c>
      <c r="O18" s="17">
        <f>SLOPE(J4:J28,F4:F28)</f>
        <v>1.371338782923591E-5</v>
      </c>
      <c r="P18" s="1">
        <v>13716</v>
      </c>
      <c r="Q18" s="7">
        <f t="shared" si="6"/>
        <v>718.1680806106267</v>
      </c>
      <c r="R18" s="1">
        <v>39</v>
      </c>
      <c r="S18" s="7">
        <f t="shared" si="11"/>
        <v>7.7665770000000007</v>
      </c>
      <c r="T18" s="1">
        <f t="shared" si="12"/>
        <v>4.0561259272699291E-3</v>
      </c>
      <c r="U18" s="3"/>
      <c r="V18" s="3">
        <f t="shared" si="13"/>
        <v>0.10122376786077007</v>
      </c>
      <c r="W18" s="7">
        <f t="shared" si="10"/>
        <v>3.82083952414357E-3</v>
      </c>
      <c r="X18" s="3">
        <f t="shared" si="14"/>
        <v>42.092973942755236</v>
      </c>
      <c r="Z18" s="3"/>
      <c r="AA18" s="20"/>
      <c r="AB18" s="20"/>
      <c r="AC18" s="20"/>
      <c r="AF18" s="3"/>
      <c r="AG18" s="3"/>
    </row>
    <row r="19" spans="1:33" ht="16.5" thickBot="1" x14ac:dyDescent="0.3">
      <c r="A19" s="3"/>
      <c r="B19" s="3"/>
      <c r="C19" s="3"/>
      <c r="D19" s="3"/>
      <c r="E19" s="1">
        <v>10118</v>
      </c>
      <c r="F19" s="7">
        <f t="shared" si="1"/>
        <v>529.7772411503588</v>
      </c>
      <c r="G19" s="1">
        <v>200</v>
      </c>
      <c r="H19" s="1">
        <f t="shared" si="2"/>
        <v>1.9131106578061132E-2</v>
      </c>
      <c r="I19" s="3">
        <f t="shared" si="3"/>
        <v>5.2643172409442478</v>
      </c>
      <c r="J19" s="3">
        <f t="shared" si="4"/>
        <v>9.7803646603951161E-2</v>
      </c>
      <c r="K19" s="3">
        <f t="shared" si="5"/>
        <v>2.2838680438331649E-2</v>
      </c>
      <c r="L19" s="3"/>
      <c r="M19" s="3"/>
      <c r="N19" s="18" t="s">
        <v>32</v>
      </c>
      <c r="O19" s="19">
        <f>INTERCEPT(J4:J28,F4:F28)</f>
        <v>9.1375250444778594E-2</v>
      </c>
      <c r="P19" s="1">
        <v>14472</v>
      </c>
      <c r="Q19" s="7">
        <f t="shared" si="6"/>
        <v>757.75214804585812</v>
      </c>
      <c r="R19" s="1">
        <v>53</v>
      </c>
      <c r="S19" s="7">
        <f t="shared" si="11"/>
        <v>10.554579</v>
      </c>
      <c r="T19" s="1">
        <f t="shared" si="12"/>
        <v>4.9513147798459535E-3</v>
      </c>
      <c r="U19" s="3"/>
      <c r="V19" s="3">
        <f t="shared" si="13"/>
        <v>0.10176659952936803</v>
      </c>
      <c r="W19" s="7">
        <f t="shared" si="10"/>
        <v>3.8168622878686394E-3</v>
      </c>
      <c r="X19" s="3">
        <f t="shared" si="14"/>
        <v>42.136835546936489</v>
      </c>
      <c r="Z19" s="33" t="s">
        <v>42</v>
      </c>
      <c r="AA19" s="33"/>
      <c r="AB19" s="33"/>
      <c r="AC19" s="33"/>
      <c r="AD19" s="3"/>
      <c r="AE19" s="3"/>
      <c r="AF19" s="3"/>
      <c r="AG19" s="3"/>
    </row>
    <row r="20" spans="1:33" ht="15.75" x14ac:dyDescent="0.25">
      <c r="A20" s="3"/>
      <c r="B20" s="3"/>
      <c r="C20" s="3"/>
      <c r="D20" s="3"/>
      <c r="E20" s="1">
        <v>12688</v>
      </c>
      <c r="F20" s="7">
        <f t="shared" si="1"/>
        <v>664.34212647912159</v>
      </c>
      <c r="G20" s="1">
        <v>320</v>
      </c>
      <c r="H20" s="1">
        <f t="shared" si="2"/>
        <v>1.9465388857841177E-2</v>
      </c>
      <c r="I20" s="3">
        <f t="shared" si="3"/>
        <v>6.6588931228308939</v>
      </c>
      <c r="J20" s="3">
        <f t="shared" si="4"/>
        <v>9.8654419206240282E-2</v>
      </c>
      <c r="K20" s="3">
        <f t="shared" si="5"/>
        <v>2.2594695350994912E-2</v>
      </c>
      <c r="L20" s="3"/>
      <c r="M20" s="3"/>
      <c r="N20" s="3"/>
      <c r="O20" s="3"/>
      <c r="P20" s="1">
        <v>14999</v>
      </c>
      <c r="Q20" s="7">
        <f t="shared" si="6"/>
        <v>785.34580351988848</v>
      </c>
      <c r="R20" s="1">
        <v>65</v>
      </c>
      <c r="S20" s="7">
        <f t="shared" si="11"/>
        <v>12.944295000000002</v>
      </c>
      <c r="T20" s="1">
        <f t="shared" si="12"/>
        <v>5.6531501672234486E-3</v>
      </c>
      <c r="U20" s="3"/>
      <c r="V20" s="3">
        <f t="shared" si="13"/>
        <v>0.10214500202850973</v>
      </c>
      <c r="W20" s="7">
        <f t="shared" si="10"/>
        <v>3.8139898254939773E-3</v>
      </c>
      <c r="X20" s="3">
        <f t="shared" si="14"/>
        <v>42.168570417828604</v>
      </c>
      <c r="Z20" s="33"/>
      <c r="AA20" s="33"/>
      <c r="AB20" s="33"/>
      <c r="AC20" s="33"/>
      <c r="AD20" s="3"/>
      <c r="AE20" s="3"/>
      <c r="AF20" s="3"/>
      <c r="AG20" s="3"/>
    </row>
    <row r="21" spans="1:33" ht="15.75" x14ac:dyDescent="0.25">
      <c r="A21" s="3"/>
      <c r="B21" s="3"/>
      <c r="C21" s="3"/>
      <c r="D21" s="3"/>
      <c r="E21" s="2">
        <v>13972</v>
      </c>
      <c r="F21" s="7">
        <f t="shared" si="1"/>
        <v>731.57220926594323</v>
      </c>
      <c r="G21" s="1">
        <v>390</v>
      </c>
      <c r="H21" s="1">
        <f t="shared" si="2"/>
        <v>1.956351549759033E-2</v>
      </c>
      <c r="I21" s="3">
        <f t="shared" si="3"/>
        <v>7.351218961909689</v>
      </c>
      <c r="J21" s="3">
        <f t="shared" si="4"/>
        <v>9.8902769166465523E-2</v>
      </c>
      <c r="K21" s="3">
        <f t="shared" si="5"/>
        <v>2.2523473397475725E-2</v>
      </c>
      <c r="L21" s="3"/>
      <c r="M21" s="3"/>
      <c r="N21" s="3"/>
      <c r="O21" s="3"/>
      <c r="P21" s="1">
        <v>16157</v>
      </c>
      <c r="Q21" s="7">
        <f t="shared" si="6"/>
        <v>845.97854173417147</v>
      </c>
      <c r="R21" s="1">
        <v>67</v>
      </c>
      <c r="S21" s="7">
        <f t="shared" si="11"/>
        <v>13.342581000000001</v>
      </c>
      <c r="T21" s="1">
        <f t="shared" si="12"/>
        <v>5.0217504635325016E-3</v>
      </c>
      <c r="U21" s="3"/>
      <c r="V21" s="3">
        <f t="shared" si="13"/>
        <v>0.10297648228279073</v>
      </c>
      <c r="W21" s="7">
        <f t="shared" si="10"/>
        <v>3.8073895396339629E-3</v>
      </c>
      <c r="X21" s="3">
        <f t="shared" si="14"/>
        <v>42.24167158495861</v>
      </c>
      <c r="Z21" s="33"/>
      <c r="AA21" s="33"/>
      <c r="AB21" s="33"/>
      <c r="AC21" s="33"/>
      <c r="AD21" s="3"/>
      <c r="AE21" s="3"/>
      <c r="AF21" s="3"/>
      <c r="AG21" s="3"/>
    </row>
    <row r="22" spans="1:33" ht="15.75" x14ac:dyDescent="0.25">
      <c r="A22" s="3"/>
      <c r="B22" s="3"/>
      <c r="C22" s="3"/>
      <c r="D22" s="3"/>
      <c r="E22" s="1">
        <v>14795</v>
      </c>
      <c r="F22" s="7">
        <f t="shared" si="1"/>
        <v>774.66438849768315</v>
      </c>
      <c r="G22" s="1">
        <v>445</v>
      </c>
      <c r="H22" s="1">
        <f t="shared" si="2"/>
        <v>1.9908086432841879E-2</v>
      </c>
      <c r="I22" s="3">
        <f t="shared" si="3"/>
        <v>7.852484010146016</v>
      </c>
      <c r="J22" s="3">
        <f t="shared" si="4"/>
        <v>9.976995147047503E-2</v>
      </c>
      <c r="K22" s="3">
        <f t="shared" si="5"/>
        <v>2.2274782325841128E-2</v>
      </c>
      <c r="L22" s="3"/>
      <c r="M22" s="3"/>
      <c r="N22" s="3"/>
      <c r="O22" s="3"/>
      <c r="P22" s="1"/>
      <c r="Q22" s="7"/>
      <c r="R22" s="1"/>
      <c r="S22" s="7"/>
      <c r="T22" s="3">
        <f>GEOMEAN(T15:T21)</f>
        <v>3.8243340656687998E-3</v>
      </c>
      <c r="U22" s="3"/>
      <c r="V22" s="3"/>
      <c r="W22" s="3">
        <f>GEOMEAN(W15:W21)</f>
        <v>3.824334054850863E-3</v>
      </c>
      <c r="X22" s="3"/>
      <c r="Y22" s="3"/>
      <c r="Z22" s="33"/>
      <c r="AA22" s="33"/>
      <c r="AB22" s="33"/>
      <c r="AC22" s="33"/>
      <c r="AD22" s="3"/>
      <c r="AE22" s="3"/>
      <c r="AF22" s="3"/>
      <c r="AG22" s="3"/>
    </row>
    <row r="23" spans="1:33" ht="15.75" x14ac:dyDescent="0.25">
      <c r="A23" s="3"/>
      <c r="B23" s="3"/>
      <c r="C23" s="3"/>
      <c r="D23" s="3"/>
      <c r="E23" s="1">
        <v>16426</v>
      </c>
      <c r="F23" s="7">
        <f t="shared" si="1"/>
        <v>860.0633487977658</v>
      </c>
      <c r="G23" s="1">
        <v>560</v>
      </c>
      <c r="H23" s="1">
        <f t="shared" si="2"/>
        <v>2.0324685570572928E-2</v>
      </c>
      <c r="I23" s="3">
        <f t="shared" si="3"/>
        <v>8.8088876049844114</v>
      </c>
      <c r="J23" s="3">
        <f t="shared" si="4"/>
        <v>0.10080844600174364</v>
      </c>
      <c r="K23" s="3">
        <f t="shared" si="5"/>
        <v>2.1976962228874498E-2</v>
      </c>
      <c r="L23" s="3"/>
      <c r="M23" s="3"/>
      <c r="N23" s="3"/>
      <c r="O23" s="3"/>
      <c r="P23" s="3"/>
      <c r="Q23" s="3"/>
      <c r="R23" s="3"/>
      <c r="S23" s="3"/>
      <c r="T23" s="1"/>
      <c r="U23" s="3"/>
      <c r="V23" s="3">
        <f>(W22-T22)*100000</f>
        <v>-1.0817936824114582E-6</v>
      </c>
      <c r="W23" s="3"/>
      <c r="X23" s="3"/>
      <c r="Y23" s="3"/>
      <c r="Z23" s="33"/>
      <c r="AA23" s="33"/>
      <c r="AB23" s="33"/>
      <c r="AC23" s="33"/>
      <c r="AD23" s="3"/>
      <c r="AE23" s="3"/>
      <c r="AF23" s="3"/>
      <c r="AG23" s="3"/>
    </row>
    <row r="24" spans="1:33" ht="15.75" x14ac:dyDescent="0.25">
      <c r="A24" s="3"/>
      <c r="B24" s="3"/>
      <c r="C24" s="3"/>
      <c r="D24" s="3"/>
      <c r="E24" s="1">
        <v>16363</v>
      </c>
      <c r="F24" s="7">
        <f t="shared" si="1"/>
        <v>856.76467651149642</v>
      </c>
      <c r="G24" s="1">
        <v>560</v>
      </c>
      <c r="H24" s="1">
        <f t="shared" si="2"/>
        <v>2.0481493021901987E-2</v>
      </c>
      <c r="I24" s="3">
        <f t="shared" si="3"/>
        <v>8.8088876049844114</v>
      </c>
      <c r="J24" s="3">
        <f t="shared" si="4"/>
        <v>0.1011965736127019</v>
      </c>
      <c r="K24" s="3">
        <f t="shared" si="5"/>
        <v>2.1865654755170414E-2</v>
      </c>
      <c r="L24" s="3"/>
      <c r="M24" s="3"/>
      <c r="N24" s="3"/>
      <c r="O24" s="3"/>
      <c r="P24" s="3"/>
      <c r="Q24" s="3"/>
      <c r="R24" s="3"/>
      <c r="S24" s="3"/>
      <c r="T24" s="1"/>
      <c r="U24" s="3"/>
      <c r="V24" s="3"/>
      <c r="W24" s="3"/>
      <c r="X24" s="3"/>
      <c r="Y24" s="3"/>
      <c r="Z24" s="3" t="s">
        <v>43</v>
      </c>
      <c r="AA24" s="3"/>
      <c r="AB24" s="3"/>
      <c r="AC24" s="3"/>
      <c r="AD24" s="3"/>
      <c r="AE24" s="3"/>
      <c r="AF24" s="3"/>
      <c r="AG24" s="3"/>
    </row>
    <row r="25" spans="1:33" ht="15.75" x14ac:dyDescent="0.25">
      <c r="A25" s="3"/>
      <c r="B25" s="3"/>
      <c r="C25" s="3"/>
      <c r="D25" s="3"/>
      <c r="E25" s="1"/>
      <c r="F25" s="7"/>
      <c r="G25" s="1"/>
      <c r="H25" s="3">
        <f>GEOMEAN(H4:H24)</f>
        <v>2.1262383036735843E-2</v>
      </c>
      <c r="I25" s="3"/>
      <c r="J25" s="3"/>
      <c r="K25" s="3">
        <f>GEOMEAN(K4:K24)</f>
        <v>2.1262383036735843E-2</v>
      </c>
      <c r="L25" s="3"/>
      <c r="M25" s="3"/>
      <c r="N25" s="3"/>
      <c r="O25" s="3"/>
      <c r="P25" s="3"/>
      <c r="Q25" s="3"/>
      <c r="R25" s="3"/>
      <c r="S25" s="3"/>
      <c r="T25" s="1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5.75" x14ac:dyDescent="0.25">
      <c r="A26" s="3"/>
      <c r="B26" s="3"/>
      <c r="C26" s="3"/>
      <c r="D26" s="3"/>
      <c r="E26" s="1"/>
      <c r="F26" s="7"/>
      <c r="G26" s="1"/>
      <c r="H26" s="1"/>
      <c r="I26" s="3"/>
      <c r="J26" s="3">
        <f>K25-H25</f>
        <v>0</v>
      </c>
      <c r="K26" s="3"/>
      <c r="T26" s="1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5.75" x14ac:dyDescent="0.25">
      <c r="A27" s="3"/>
      <c r="B27" s="3"/>
      <c r="C27" s="3"/>
      <c r="D27" s="3"/>
      <c r="E27" s="1"/>
      <c r="F27" s="7"/>
      <c r="G27" s="1"/>
      <c r="H27" s="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1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5.75" x14ac:dyDescent="0.25">
      <c r="A28" s="3"/>
      <c r="B28" s="3"/>
      <c r="C28" s="3"/>
      <c r="D28" s="3"/>
      <c r="E28" s="1"/>
      <c r="F28" s="7"/>
      <c r="G28" s="1"/>
      <c r="H28" s="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1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5.75" x14ac:dyDescent="0.25">
      <c r="A29" s="3"/>
      <c r="B29" s="3"/>
      <c r="C29" s="3"/>
      <c r="D29" s="3"/>
      <c r="E29" s="1"/>
      <c r="F29" s="7"/>
      <c r="G29" s="1"/>
      <c r="H29" s="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1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5.75" x14ac:dyDescent="0.25">
      <c r="A30" s="3"/>
      <c r="B30" s="3"/>
      <c r="C30" s="3"/>
      <c r="D30" s="3"/>
      <c r="E30" s="1"/>
      <c r="F30" s="7"/>
      <c r="G30" s="1"/>
      <c r="H30" s="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1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5.75" x14ac:dyDescent="0.25">
      <c r="A31" s="3"/>
      <c r="B31" s="3"/>
      <c r="C31" s="3"/>
      <c r="D31" s="3"/>
      <c r="E31" s="1"/>
      <c r="F31" s="7"/>
      <c r="G31" s="1"/>
      <c r="H31" s="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1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5.75" x14ac:dyDescent="0.25">
      <c r="A32" s="3"/>
      <c r="B32" s="3"/>
      <c r="C32" s="3"/>
      <c r="D32" s="3"/>
      <c r="E32" s="1"/>
      <c r="F32" s="7"/>
      <c r="G32" s="1"/>
      <c r="H32" s="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1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15.75" x14ac:dyDescent="0.25">
      <c r="A33" s="3"/>
      <c r="B33" s="3"/>
      <c r="C33" s="3"/>
      <c r="D33" s="3"/>
      <c r="E33" s="1"/>
      <c r="F33" s="7"/>
      <c r="G33" s="1"/>
      <c r="H33" s="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1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5.75" x14ac:dyDescent="0.25">
      <c r="A34" s="3"/>
      <c r="B34" s="3"/>
      <c r="C34" s="3"/>
      <c r="D34" s="3"/>
      <c r="E34" s="3"/>
      <c r="F34" s="7"/>
      <c r="G34" s="3"/>
      <c r="H34" s="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1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.75" x14ac:dyDescent="0.25">
      <c r="A35" s="3"/>
      <c r="B35" s="3"/>
      <c r="C35" s="3"/>
      <c r="D35" s="3"/>
      <c r="E35" s="3"/>
      <c r="F35" s="3"/>
      <c r="G35" s="3"/>
      <c r="H35" s="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1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</sheetData>
  <mergeCells count="14">
    <mergeCell ref="N17:O17"/>
    <mergeCell ref="P2:T2"/>
    <mergeCell ref="U2:W2"/>
    <mergeCell ref="A1:C1"/>
    <mergeCell ref="A14:B14"/>
    <mergeCell ref="E2:H2"/>
    <mergeCell ref="I2:L2"/>
    <mergeCell ref="N11:O11"/>
    <mergeCell ref="N8:O8"/>
    <mergeCell ref="Y3:Y14"/>
    <mergeCell ref="AA8:AB8"/>
    <mergeCell ref="AA11:AB11"/>
    <mergeCell ref="AD8:AE8"/>
    <mergeCell ref="Z19:AC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2015-01-28T23:18:07Z</dcterms:modified>
</cp:coreProperties>
</file>