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Masters\Lea\"/>
    </mc:Choice>
  </mc:AlternateContent>
  <bookViews>
    <workbookView xWindow="-110" yWindow="-110" windowWidth="19420" windowHeight="10300" activeTab="3"/>
  </bookViews>
  <sheets>
    <sheet name="Summary" sheetId="10" r:id="rId1"/>
    <sheet name="Count 1 " sheetId="4" r:id="rId2"/>
    <sheet name="Count 2" sheetId="9" r:id="rId3"/>
    <sheet name="Samples" sheetId="1" r:id="rId4"/>
    <sheet name="Blanks" sheetId="8" r:id="rId5"/>
    <sheet name="STDs" sheetId="7" r:id="rId6"/>
    <sheet name="Reference" sheetId="5" r:id="rId7"/>
  </sheets>
  <definedNames>
    <definedName name="_xlnm._FilterDatabase" localSheetId="0" hidden="1">Summary!$A$2:$O$42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3" i="7" l="1"/>
  <c r="AA4" i="7"/>
  <c r="AA5" i="7"/>
  <c r="AA7" i="7"/>
  <c r="AA8" i="7"/>
  <c r="AA9" i="7"/>
  <c r="AA6" i="7"/>
  <c r="E4" i="7"/>
  <c r="E5" i="7"/>
  <c r="E6" i="7"/>
  <c r="E7" i="7"/>
  <c r="E8" i="7"/>
  <c r="E9" i="7"/>
  <c r="E3" i="7"/>
  <c r="BD4" i="4" l="1"/>
  <c r="BD5" i="4"/>
  <c r="BD7" i="4"/>
  <c r="BD8" i="4"/>
  <c r="BD10" i="4"/>
  <c r="BD11" i="4"/>
  <c r="BD12" i="4"/>
  <c r="BD13" i="4"/>
  <c r="BD14" i="4"/>
  <c r="BD16" i="4"/>
  <c r="BD17" i="4"/>
  <c r="BD18" i="4"/>
  <c r="BD19" i="4"/>
  <c r="BD20" i="4"/>
  <c r="BD21" i="4"/>
  <c r="BD22" i="4"/>
  <c r="BD23" i="4"/>
  <c r="BD24" i="4"/>
  <c r="BD25" i="4"/>
  <c r="BD26" i="4"/>
  <c r="BD27" i="4"/>
  <c r="BD28" i="4"/>
  <c r="BD29" i="4"/>
  <c r="BD30" i="4"/>
  <c r="BD31" i="4"/>
  <c r="BD32" i="4"/>
  <c r="BD33" i="4"/>
  <c r="BD34" i="4"/>
  <c r="BD35" i="4"/>
  <c r="BD36" i="4"/>
  <c r="BD37" i="4"/>
  <c r="BD38" i="4"/>
  <c r="BD39" i="4"/>
  <c r="BD40" i="4"/>
  <c r="BD41" i="4"/>
  <c r="BD42" i="4"/>
  <c r="BD43" i="4"/>
  <c r="BD44" i="4"/>
  <c r="BD45" i="4"/>
  <c r="BD46" i="4"/>
  <c r="BD47" i="4"/>
  <c r="BD48" i="4"/>
  <c r="BD49" i="4"/>
  <c r="BD50" i="4"/>
  <c r="BD3" i="4"/>
  <c r="BE4" i="4"/>
  <c r="BE5" i="4"/>
  <c r="BE7" i="4"/>
  <c r="BE8" i="4"/>
  <c r="BE10" i="4"/>
  <c r="BE11" i="4"/>
  <c r="BE12" i="4"/>
  <c r="BE13" i="4"/>
  <c r="BE14" i="4"/>
  <c r="BE16" i="4"/>
  <c r="BE17" i="4"/>
  <c r="BE18" i="4"/>
  <c r="BE19" i="4"/>
  <c r="BE20" i="4"/>
  <c r="BE21" i="4"/>
  <c r="BE22" i="4"/>
  <c r="BE23" i="4"/>
  <c r="BE24" i="4"/>
  <c r="BE25" i="4"/>
  <c r="BE26" i="4"/>
  <c r="BE27" i="4"/>
  <c r="BE28" i="4"/>
  <c r="BE29" i="4"/>
  <c r="BE30" i="4"/>
  <c r="BE31" i="4"/>
  <c r="BE32" i="4"/>
  <c r="BE33" i="4"/>
  <c r="BE34" i="4"/>
  <c r="BE35" i="4"/>
  <c r="BE36" i="4"/>
  <c r="BE37" i="4"/>
  <c r="BE38" i="4"/>
  <c r="BE39" i="4"/>
  <c r="BE40" i="4"/>
  <c r="BE41" i="4"/>
  <c r="BE42" i="4"/>
  <c r="BE43" i="4"/>
  <c r="BE44" i="4"/>
  <c r="BE45" i="4"/>
  <c r="BE46" i="4"/>
  <c r="BE47" i="4"/>
  <c r="BE48" i="4"/>
  <c r="BE49" i="4"/>
  <c r="BE50" i="4"/>
  <c r="BE3" i="4"/>
  <c r="BC4" i="4"/>
  <c r="BC5" i="4"/>
  <c r="BC7" i="4"/>
  <c r="BC8" i="4"/>
  <c r="BC10" i="4"/>
  <c r="BC11" i="4"/>
  <c r="BC12" i="4"/>
  <c r="BC13" i="4"/>
  <c r="BC14" i="4"/>
  <c r="BC16" i="4"/>
  <c r="BC17" i="4"/>
  <c r="BC18" i="4"/>
  <c r="BC19" i="4"/>
  <c r="BC20" i="4"/>
  <c r="BC21" i="4"/>
  <c r="BC22" i="4"/>
  <c r="BC23" i="4"/>
  <c r="BC24" i="4"/>
  <c r="BC25" i="4"/>
  <c r="BC26" i="4"/>
  <c r="BC27" i="4"/>
  <c r="BC28" i="4"/>
  <c r="BC29" i="4"/>
  <c r="BC30" i="4"/>
  <c r="BC31" i="4"/>
  <c r="BC32" i="4"/>
  <c r="BC33" i="4"/>
  <c r="BC34" i="4"/>
  <c r="BC35" i="4"/>
  <c r="BC36" i="4"/>
  <c r="BC37" i="4"/>
  <c r="BC38" i="4"/>
  <c r="BC39" i="4"/>
  <c r="BC40" i="4"/>
  <c r="BC41" i="4"/>
  <c r="BC42" i="4"/>
  <c r="BC43" i="4"/>
  <c r="BC44" i="4"/>
  <c r="BC45" i="4"/>
  <c r="BC46" i="4"/>
  <c r="BC47" i="4"/>
  <c r="BC48" i="4"/>
  <c r="BC49" i="4"/>
  <c r="BC50" i="4"/>
  <c r="BB4" i="4"/>
  <c r="BB5" i="4"/>
  <c r="BB6" i="4"/>
  <c r="BB7" i="4"/>
  <c r="BB8" i="4"/>
  <c r="BB10" i="4"/>
  <c r="BB11" i="4"/>
  <c r="BB12" i="4"/>
  <c r="BB13" i="4"/>
  <c r="BB14" i="4"/>
  <c r="BB16" i="4"/>
  <c r="BB17" i="4"/>
  <c r="BB18" i="4"/>
  <c r="BB19" i="4"/>
  <c r="BB20" i="4"/>
  <c r="BB21" i="4"/>
  <c r="BB22" i="4"/>
  <c r="BB23" i="4"/>
  <c r="BB24" i="4"/>
  <c r="BB25" i="4"/>
  <c r="BB26" i="4"/>
  <c r="BB27" i="4"/>
  <c r="BB28" i="4"/>
  <c r="BB29" i="4"/>
  <c r="BB30" i="4"/>
  <c r="BB31" i="4"/>
  <c r="BB32" i="4"/>
  <c r="BB33" i="4"/>
  <c r="BB34" i="4"/>
  <c r="BB35" i="4"/>
  <c r="BB36" i="4"/>
  <c r="BB37" i="4"/>
  <c r="BB38" i="4"/>
  <c r="BB39" i="4"/>
  <c r="BB40" i="4"/>
  <c r="BB41" i="4"/>
  <c r="BB42" i="4"/>
  <c r="BB43" i="4"/>
  <c r="BB44" i="4"/>
  <c r="BB45" i="4"/>
  <c r="BB46" i="4"/>
  <c r="BB47" i="4"/>
  <c r="BB48" i="4"/>
  <c r="BB49" i="4"/>
  <c r="BB50" i="4"/>
  <c r="AX4" i="4"/>
  <c r="AX5" i="4"/>
  <c r="AX7" i="4"/>
  <c r="AX8" i="4"/>
  <c r="AX10" i="4"/>
  <c r="AX11" i="4"/>
  <c r="AX12" i="4"/>
  <c r="AX13" i="4"/>
  <c r="AX14" i="4"/>
  <c r="AX16" i="4"/>
  <c r="AX17" i="4"/>
  <c r="AX18" i="4"/>
  <c r="AX19" i="4"/>
  <c r="AX20" i="4"/>
  <c r="AX21" i="4"/>
  <c r="AX22" i="4"/>
  <c r="AX23" i="4"/>
  <c r="AX24" i="4"/>
  <c r="AX25" i="4"/>
  <c r="AX26" i="4"/>
  <c r="AX27" i="4"/>
  <c r="AX28" i="4"/>
  <c r="AX29" i="4"/>
  <c r="AX30" i="4"/>
  <c r="AX31" i="4"/>
  <c r="AX32" i="4"/>
  <c r="AX33" i="4"/>
  <c r="AX34" i="4"/>
  <c r="AX35" i="4"/>
  <c r="AX36" i="4"/>
  <c r="AX37" i="4"/>
  <c r="AX38" i="4"/>
  <c r="AX39" i="4"/>
  <c r="AX40" i="4"/>
  <c r="AX41" i="4"/>
  <c r="AX42" i="4"/>
  <c r="AX43" i="4"/>
  <c r="AX44" i="4"/>
  <c r="AX45" i="4"/>
  <c r="AX46" i="4"/>
  <c r="AX47" i="4"/>
  <c r="AX48" i="4"/>
  <c r="AX49" i="4"/>
  <c r="AX50" i="4"/>
  <c r="AX3" i="4"/>
  <c r="M4" i="9" l="1"/>
  <c r="N4" i="9"/>
  <c r="O4" i="9"/>
  <c r="M5" i="9"/>
  <c r="N5" i="9"/>
  <c r="O5" i="9"/>
  <c r="M6" i="9"/>
  <c r="N6" i="9"/>
  <c r="O6" i="9"/>
  <c r="M7" i="9"/>
  <c r="N7" i="9"/>
  <c r="O7" i="9"/>
  <c r="M8" i="9"/>
  <c r="N8" i="9"/>
  <c r="O8" i="9"/>
  <c r="M9" i="9"/>
  <c r="N9" i="9"/>
  <c r="O9" i="9"/>
  <c r="M10" i="9"/>
  <c r="N10" i="9"/>
  <c r="O10" i="9"/>
  <c r="M11" i="9"/>
  <c r="N11" i="9"/>
  <c r="O11" i="9"/>
  <c r="M12" i="9"/>
  <c r="N12" i="9"/>
  <c r="O12" i="9"/>
  <c r="M13" i="9"/>
  <c r="N13" i="9"/>
  <c r="O13" i="9"/>
  <c r="M14" i="9"/>
  <c r="N14" i="9"/>
  <c r="O14" i="9"/>
  <c r="M15" i="9"/>
  <c r="N15" i="9"/>
  <c r="O15" i="9"/>
  <c r="M16" i="9"/>
  <c r="N16" i="9"/>
  <c r="O16" i="9"/>
  <c r="M17" i="9"/>
  <c r="N17" i="9"/>
  <c r="O17" i="9"/>
  <c r="M18" i="9"/>
  <c r="N18" i="9"/>
  <c r="O18" i="9"/>
  <c r="M19" i="9"/>
  <c r="N19" i="9"/>
  <c r="O19" i="9"/>
  <c r="M20" i="9"/>
  <c r="N20" i="9"/>
  <c r="O20" i="9"/>
  <c r="M21" i="9"/>
  <c r="N21" i="9"/>
  <c r="O21" i="9"/>
  <c r="M22" i="9"/>
  <c r="N22" i="9"/>
  <c r="O22" i="9"/>
  <c r="M23" i="9"/>
  <c r="N23" i="9"/>
  <c r="O23" i="9"/>
  <c r="M24" i="9"/>
  <c r="N24" i="9"/>
  <c r="O24" i="9"/>
  <c r="M25" i="9"/>
  <c r="N25" i="9"/>
  <c r="O25" i="9"/>
  <c r="M26" i="9"/>
  <c r="N26" i="9"/>
  <c r="O26" i="9"/>
  <c r="M27" i="9"/>
  <c r="N27" i="9"/>
  <c r="O27" i="9"/>
  <c r="M28" i="9"/>
  <c r="N28" i="9"/>
  <c r="O28" i="9"/>
  <c r="M29" i="9"/>
  <c r="N29" i="9"/>
  <c r="O29" i="9"/>
  <c r="M30" i="9"/>
  <c r="N30" i="9"/>
  <c r="O30" i="9"/>
  <c r="M31" i="9"/>
  <c r="N31" i="9"/>
  <c r="O31" i="9"/>
  <c r="M32" i="9"/>
  <c r="N32" i="9"/>
  <c r="O32" i="9"/>
  <c r="M33" i="9"/>
  <c r="N33" i="9"/>
  <c r="O33" i="9"/>
  <c r="M34" i="9"/>
  <c r="N34" i="9"/>
  <c r="O34" i="9"/>
  <c r="M35" i="9"/>
  <c r="N35" i="9"/>
  <c r="O35" i="9"/>
  <c r="M36" i="9"/>
  <c r="N36" i="9"/>
  <c r="O36" i="9"/>
  <c r="M37" i="9"/>
  <c r="N37" i="9"/>
  <c r="O37" i="9"/>
  <c r="M38" i="9"/>
  <c r="N38" i="9"/>
  <c r="O38" i="9"/>
  <c r="M39" i="9"/>
  <c r="N39" i="9"/>
  <c r="O39" i="9"/>
  <c r="M40" i="9"/>
  <c r="N40" i="9"/>
  <c r="O40" i="9"/>
  <c r="M41" i="9"/>
  <c r="N41" i="9"/>
  <c r="O41" i="9"/>
  <c r="M42" i="9"/>
  <c r="N42" i="9"/>
  <c r="O42" i="9"/>
  <c r="M43" i="9"/>
  <c r="N43" i="9"/>
  <c r="O43" i="9"/>
  <c r="M44" i="9"/>
  <c r="N44" i="9"/>
  <c r="O44" i="9"/>
  <c r="M45" i="9"/>
  <c r="N45" i="9"/>
  <c r="O45" i="9"/>
  <c r="M46" i="9"/>
  <c r="N46" i="9"/>
  <c r="O46" i="9"/>
  <c r="M47" i="9"/>
  <c r="N47" i="9"/>
  <c r="O47" i="9"/>
  <c r="M48" i="9"/>
  <c r="N48" i="9"/>
  <c r="O48" i="9"/>
  <c r="M49" i="9"/>
  <c r="N49" i="9"/>
  <c r="O49" i="9"/>
  <c r="M50" i="9"/>
  <c r="N50" i="9"/>
  <c r="O50" i="9"/>
  <c r="K23" i="9"/>
  <c r="G4" i="9"/>
  <c r="H4" i="9"/>
  <c r="K4" i="9" s="1"/>
  <c r="I4" i="9"/>
  <c r="J4" i="9"/>
  <c r="G5" i="9"/>
  <c r="H5" i="9"/>
  <c r="K5" i="9" s="1"/>
  <c r="I5" i="9"/>
  <c r="J5" i="9"/>
  <c r="G6" i="9"/>
  <c r="H6" i="9"/>
  <c r="K6" i="9" s="1"/>
  <c r="I6" i="9"/>
  <c r="J6" i="9"/>
  <c r="G7" i="9"/>
  <c r="H7" i="9"/>
  <c r="K7" i="9" s="1"/>
  <c r="I7" i="9"/>
  <c r="J7" i="9"/>
  <c r="G8" i="9"/>
  <c r="H8" i="9"/>
  <c r="K8" i="9" s="1"/>
  <c r="I8" i="9"/>
  <c r="J8" i="9"/>
  <c r="G9" i="9"/>
  <c r="H9" i="9"/>
  <c r="K9" i="9" s="1"/>
  <c r="I9" i="9"/>
  <c r="J9" i="9"/>
  <c r="G10" i="9"/>
  <c r="H10" i="9"/>
  <c r="K10" i="9" s="1"/>
  <c r="I10" i="9"/>
  <c r="J10" i="9"/>
  <c r="G11" i="9"/>
  <c r="H11" i="9"/>
  <c r="K11" i="9" s="1"/>
  <c r="I11" i="9"/>
  <c r="J11" i="9"/>
  <c r="G12" i="9"/>
  <c r="H12" i="9"/>
  <c r="K12" i="9" s="1"/>
  <c r="I12" i="9"/>
  <c r="J12" i="9"/>
  <c r="G13" i="9"/>
  <c r="H13" i="9"/>
  <c r="K13" i="9" s="1"/>
  <c r="I13" i="9"/>
  <c r="J13" i="9"/>
  <c r="G14" i="9"/>
  <c r="H14" i="9"/>
  <c r="K14" i="9" s="1"/>
  <c r="I14" i="9"/>
  <c r="J14" i="9"/>
  <c r="G15" i="9"/>
  <c r="H15" i="9"/>
  <c r="K15" i="9" s="1"/>
  <c r="I15" i="9"/>
  <c r="J15" i="9"/>
  <c r="G16" i="9"/>
  <c r="H16" i="9"/>
  <c r="K16" i="9" s="1"/>
  <c r="I16" i="9"/>
  <c r="J16" i="9"/>
  <c r="G17" i="9"/>
  <c r="H17" i="9"/>
  <c r="K17" i="9" s="1"/>
  <c r="I17" i="9"/>
  <c r="J17" i="9"/>
  <c r="G18" i="9"/>
  <c r="H18" i="9"/>
  <c r="K18" i="9" s="1"/>
  <c r="I18" i="9"/>
  <c r="J18" i="9"/>
  <c r="G19" i="9"/>
  <c r="H19" i="9"/>
  <c r="K19" i="9" s="1"/>
  <c r="I19" i="9"/>
  <c r="J19" i="9"/>
  <c r="G20" i="9"/>
  <c r="H20" i="9"/>
  <c r="K20" i="9" s="1"/>
  <c r="I20" i="9"/>
  <c r="J20" i="9"/>
  <c r="G21" i="9"/>
  <c r="H21" i="9"/>
  <c r="K21" i="9" s="1"/>
  <c r="I21" i="9"/>
  <c r="J21" i="9"/>
  <c r="G22" i="9"/>
  <c r="H22" i="9"/>
  <c r="K22" i="9" s="1"/>
  <c r="I22" i="9"/>
  <c r="J22" i="9"/>
  <c r="G23" i="9"/>
  <c r="H23" i="9"/>
  <c r="I23" i="9"/>
  <c r="J23" i="9"/>
  <c r="G24" i="9"/>
  <c r="H24" i="9"/>
  <c r="K24" i="9" s="1"/>
  <c r="I24" i="9"/>
  <c r="J24" i="9"/>
  <c r="G25" i="9"/>
  <c r="H25" i="9"/>
  <c r="K25" i="9" s="1"/>
  <c r="I25" i="9"/>
  <c r="J25" i="9"/>
  <c r="G26" i="9"/>
  <c r="H26" i="9"/>
  <c r="K26" i="9" s="1"/>
  <c r="I26" i="9"/>
  <c r="J26" i="9"/>
  <c r="G27" i="9"/>
  <c r="H27" i="9"/>
  <c r="K27" i="9" s="1"/>
  <c r="I27" i="9"/>
  <c r="J27" i="9"/>
  <c r="G28" i="9"/>
  <c r="H28" i="9"/>
  <c r="K28" i="9" s="1"/>
  <c r="I28" i="9"/>
  <c r="J28" i="9"/>
  <c r="G29" i="9"/>
  <c r="H29" i="9"/>
  <c r="K29" i="9" s="1"/>
  <c r="I29" i="9"/>
  <c r="J29" i="9"/>
  <c r="G30" i="9"/>
  <c r="H30" i="9"/>
  <c r="K30" i="9" s="1"/>
  <c r="I30" i="9"/>
  <c r="J30" i="9"/>
  <c r="G31" i="9"/>
  <c r="H31" i="9"/>
  <c r="K31" i="9" s="1"/>
  <c r="I31" i="9"/>
  <c r="J31" i="9"/>
  <c r="G32" i="9"/>
  <c r="H32" i="9"/>
  <c r="K32" i="9" s="1"/>
  <c r="I32" i="9"/>
  <c r="J32" i="9"/>
  <c r="G33" i="9"/>
  <c r="H33" i="9"/>
  <c r="K33" i="9" s="1"/>
  <c r="I33" i="9"/>
  <c r="J33" i="9"/>
  <c r="G34" i="9"/>
  <c r="H34" i="9"/>
  <c r="K34" i="9" s="1"/>
  <c r="I34" i="9"/>
  <c r="J34" i="9"/>
  <c r="G35" i="9"/>
  <c r="H35" i="9"/>
  <c r="K35" i="9" s="1"/>
  <c r="I35" i="9"/>
  <c r="J35" i="9"/>
  <c r="G36" i="9"/>
  <c r="H36" i="9"/>
  <c r="K36" i="9" s="1"/>
  <c r="I36" i="9"/>
  <c r="J36" i="9"/>
  <c r="G37" i="9"/>
  <c r="H37" i="9"/>
  <c r="K37" i="9" s="1"/>
  <c r="I37" i="9"/>
  <c r="J37" i="9"/>
  <c r="G38" i="9"/>
  <c r="H38" i="9"/>
  <c r="K38" i="9" s="1"/>
  <c r="I38" i="9"/>
  <c r="J38" i="9"/>
  <c r="G39" i="9"/>
  <c r="H39" i="9"/>
  <c r="K39" i="9" s="1"/>
  <c r="I39" i="9"/>
  <c r="J39" i="9"/>
  <c r="G40" i="9"/>
  <c r="H40" i="9"/>
  <c r="K40" i="9" s="1"/>
  <c r="I40" i="9"/>
  <c r="J40" i="9"/>
  <c r="G41" i="9"/>
  <c r="H41" i="9"/>
  <c r="K41" i="9" s="1"/>
  <c r="I41" i="9"/>
  <c r="J41" i="9"/>
  <c r="G42" i="9"/>
  <c r="H42" i="9"/>
  <c r="K42" i="9" s="1"/>
  <c r="I42" i="9"/>
  <c r="J42" i="9"/>
  <c r="G43" i="9"/>
  <c r="H43" i="9"/>
  <c r="K43" i="9" s="1"/>
  <c r="I43" i="9"/>
  <c r="J43" i="9"/>
  <c r="G44" i="9"/>
  <c r="H44" i="9"/>
  <c r="K44" i="9" s="1"/>
  <c r="I44" i="9"/>
  <c r="J44" i="9"/>
  <c r="G45" i="9"/>
  <c r="H45" i="9"/>
  <c r="K45" i="9" s="1"/>
  <c r="I45" i="9"/>
  <c r="J45" i="9"/>
  <c r="G46" i="9"/>
  <c r="H46" i="9"/>
  <c r="K46" i="9" s="1"/>
  <c r="I46" i="9"/>
  <c r="J46" i="9"/>
  <c r="G47" i="9"/>
  <c r="H47" i="9"/>
  <c r="K47" i="9" s="1"/>
  <c r="I47" i="9"/>
  <c r="J47" i="9"/>
  <c r="G48" i="9"/>
  <c r="H48" i="9"/>
  <c r="K48" i="9" s="1"/>
  <c r="I48" i="9"/>
  <c r="J48" i="9"/>
  <c r="G49" i="9"/>
  <c r="H49" i="9"/>
  <c r="K49" i="9" s="1"/>
  <c r="I49" i="9"/>
  <c r="J49" i="9"/>
  <c r="G50" i="9"/>
  <c r="H50" i="9"/>
  <c r="K50" i="9" s="1"/>
  <c r="I50" i="9"/>
  <c r="J50" i="9"/>
  <c r="D4" i="9"/>
  <c r="E4" i="9"/>
  <c r="F4" i="9"/>
  <c r="D5" i="9"/>
  <c r="E5" i="9"/>
  <c r="F5" i="9"/>
  <c r="D6" i="9"/>
  <c r="E6" i="9"/>
  <c r="F6" i="9"/>
  <c r="D7" i="9"/>
  <c r="E7" i="9"/>
  <c r="F7" i="9"/>
  <c r="D8" i="9"/>
  <c r="E8" i="9"/>
  <c r="F8" i="9"/>
  <c r="D9" i="9"/>
  <c r="E9" i="9"/>
  <c r="F9" i="9"/>
  <c r="D10" i="9"/>
  <c r="E10" i="9"/>
  <c r="F10" i="9"/>
  <c r="D11" i="9"/>
  <c r="E11" i="9"/>
  <c r="F11" i="9"/>
  <c r="D12" i="9"/>
  <c r="E12" i="9"/>
  <c r="F12" i="9"/>
  <c r="D13" i="9"/>
  <c r="E13" i="9"/>
  <c r="F13" i="9"/>
  <c r="D14" i="9"/>
  <c r="E14" i="9"/>
  <c r="F14" i="9"/>
  <c r="D15" i="9"/>
  <c r="E15" i="9"/>
  <c r="F15" i="9"/>
  <c r="D16" i="9"/>
  <c r="E16" i="9"/>
  <c r="F16" i="9"/>
  <c r="D17" i="9"/>
  <c r="E17" i="9"/>
  <c r="F17" i="9"/>
  <c r="D18" i="9"/>
  <c r="E18" i="9"/>
  <c r="F18" i="9"/>
  <c r="D19" i="9"/>
  <c r="E19" i="9"/>
  <c r="F19" i="9"/>
  <c r="D20" i="9"/>
  <c r="E20" i="9"/>
  <c r="F20" i="9"/>
  <c r="D21" i="9"/>
  <c r="E21" i="9"/>
  <c r="F21" i="9"/>
  <c r="D22" i="9"/>
  <c r="E22" i="9"/>
  <c r="F22" i="9"/>
  <c r="D23" i="9"/>
  <c r="E23" i="9"/>
  <c r="F23" i="9"/>
  <c r="D24" i="9"/>
  <c r="E24" i="9"/>
  <c r="F24" i="9"/>
  <c r="D25" i="9"/>
  <c r="E25" i="9"/>
  <c r="F25" i="9"/>
  <c r="D26" i="9"/>
  <c r="E26" i="9"/>
  <c r="F26" i="9"/>
  <c r="D27" i="9"/>
  <c r="E27" i="9"/>
  <c r="F27" i="9"/>
  <c r="D28" i="9"/>
  <c r="E28" i="9"/>
  <c r="F28" i="9"/>
  <c r="D29" i="9"/>
  <c r="E29" i="9"/>
  <c r="F29" i="9"/>
  <c r="D30" i="9"/>
  <c r="E30" i="9"/>
  <c r="F30" i="9"/>
  <c r="D31" i="9"/>
  <c r="E31" i="9"/>
  <c r="F31" i="9"/>
  <c r="D32" i="9"/>
  <c r="E32" i="9"/>
  <c r="F32" i="9"/>
  <c r="D33" i="9"/>
  <c r="E33" i="9"/>
  <c r="F33" i="9"/>
  <c r="D34" i="9"/>
  <c r="E34" i="9"/>
  <c r="F34" i="9"/>
  <c r="D35" i="9"/>
  <c r="E35" i="9"/>
  <c r="F35" i="9"/>
  <c r="D36" i="9"/>
  <c r="E36" i="9"/>
  <c r="F36" i="9"/>
  <c r="D37" i="9"/>
  <c r="E37" i="9"/>
  <c r="F37" i="9"/>
  <c r="D38" i="9"/>
  <c r="E38" i="9"/>
  <c r="F38" i="9"/>
  <c r="D39" i="9"/>
  <c r="E39" i="9"/>
  <c r="F39" i="9"/>
  <c r="D40" i="9"/>
  <c r="E40" i="9"/>
  <c r="F40" i="9"/>
  <c r="D41" i="9"/>
  <c r="E41" i="9"/>
  <c r="F41" i="9"/>
  <c r="D42" i="9"/>
  <c r="E42" i="9"/>
  <c r="F42" i="9"/>
  <c r="D43" i="9"/>
  <c r="E43" i="9"/>
  <c r="F43" i="9"/>
  <c r="D44" i="9"/>
  <c r="E44" i="9"/>
  <c r="F44" i="9"/>
  <c r="D45" i="9"/>
  <c r="E45" i="9"/>
  <c r="F45" i="9"/>
  <c r="D46" i="9"/>
  <c r="E46" i="9"/>
  <c r="F46" i="9"/>
  <c r="D47" i="9"/>
  <c r="E47" i="9"/>
  <c r="F47" i="9"/>
  <c r="D48" i="9"/>
  <c r="E48" i="9"/>
  <c r="F48" i="9"/>
  <c r="D49" i="9"/>
  <c r="E49" i="9"/>
  <c r="F49" i="9"/>
  <c r="D50" i="9"/>
  <c r="E50" i="9"/>
  <c r="F50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A4" i="9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F3" i="9"/>
  <c r="G3" i="9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3" i="4"/>
  <c r="L4" i="4"/>
  <c r="M4" i="4"/>
  <c r="N4" i="4"/>
  <c r="L5" i="4"/>
  <c r="M5" i="4"/>
  <c r="N5" i="4"/>
  <c r="L6" i="4"/>
  <c r="M6" i="4"/>
  <c r="N6" i="4"/>
  <c r="L7" i="4"/>
  <c r="R7" i="4" s="1"/>
  <c r="Q7" i="4" s="1"/>
  <c r="M7" i="4"/>
  <c r="N7" i="4"/>
  <c r="L8" i="4"/>
  <c r="M8" i="4"/>
  <c r="N8" i="4"/>
  <c r="L9" i="4"/>
  <c r="AA9" i="4" s="1"/>
  <c r="M9" i="4"/>
  <c r="N9" i="4"/>
  <c r="BB9" i="4" s="1"/>
  <c r="L10" i="4"/>
  <c r="M10" i="4"/>
  <c r="N10" i="4"/>
  <c r="L11" i="4"/>
  <c r="M11" i="4"/>
  <c r="Z11" i="4" s="1"/>
  <c r="N11" i="4"/>
  <c r="L12" i="4"/>
  <c r="M12" i="4"/>
  <c r="N12" i="4"/>
  <c r="L13" i="4"/>
  <c r="M13" i="4"/>
  <c r="N13" i="4"/>
  <c r="L14" i="4"/>
  <c r="M14" i="4"/>
  <c r="N14" i="4"/>
  <c r="L15" i="4"/>
  <c r="M15" i="4"/>
  <c r="N15" i="4"/>
  <c r="L16" i="4"/>
  <c r="M16" i="4"/>
  <c r="N16" i="4"/>
  <c r="L17" i="4"/>
  <c r="M17" i="4"/>
  <c r="N17" i="4"/>
  <c r="L18" i="4"/>
  <c r="M18" i="4"/>
  <c r="N18" i="4"/>
  <c r="L19" i="4"/>
  <c r="M19" i="4"/>
  <c r="Z19" i="4" s="1"/>
  <c r="N19" i="4"/>
  <c r="L20" i="4"/>
  <c r="M20" i="4"/>
  <c r="N20" i="4"/>
  <c r="L21" i="4"/>
  <c r="M21" i="4"/>
  <c r="N21" i="4"/>
  <c r="L22" i="4"/>
  <c r="M22" i="4"/>
  <c r="N22" i="4"/>
  <c r="L23" i="4"/>
  <c r="M23" i="4"/>
  <c r="N23" i="4"/>
  <c r="L24" i="4"/>
  <c r="M24" i="4"/>
  <c r="N24" i="4"/>
  <c r="L25" i="4"/>
  <c r="M25" i="4"/>
  <c r="N25" i="4"/>
  <c r="L26" i="4"/>
  <c r="M26" i="4"/>
  <c r="N26" i="4"/>
  <c r="L27" i="4"/>
  <c r="M27" i="4"/>
  <c r="Z27" i="4" s="1"/>
  <c r="N27" i="4"/>
  <c r="L28" i="4"/>
  <c r="M28" i="4"/>
  <c r="N28" i="4"/>
  <c r="L29" i="4"/>
  <c r="M29" i="4"/>
  <c r="N29" i="4"/>
  <c r="L30" i="4"/>
  <c r="M30" i="4"/>
  <c r="N30" i="4"/>
  <c r="L31" i="4"/>
  <c r="M31" i="4"/>
  <c r="N31" i="4"/>
  <c r="L32" i="4"/>
  <c r="M32" i="4"/>
  <c r="N32" i="4"/>
  <c r="L33" i="4"/>
  <c r="M33" i="4"/>
  <c r="N33" i="4"/>
  <c r="L34" i="4"/>
  <c r="M34" i="4"/>
  <c r="N34" i="4"/>
  <c r="L35" i="4"/>
  <c r="M35" i="4"/>
  <c r="N35" i="4"/>
  <c r="L36" i="4"/>
  <c r="M36" i="4"/>
  <c r="N36" i="4"/>
  <c r="L37" i="4"/>
  <c r="M37" i="4"/>
  <c r="N37" i="4"/>
  <c r="L38" i="4"/>
  <c r="M38" i="4"/>
  <c r="N38" i="4"/>
  <c r="L39" i="4"/>
  <c r="M39" i="4"/>
  <c r="N39" i="4"/>
  <c r="L40" i="4"/>
  <c r="M40" i="4"/>
  <c r="N40" i="4"/>
  <c r="L41" i="4"/>
  <c r="M41" i="4"/>
  <c r="N41" i="4"/>
  <c r="L42" i="4"/>
  <c r="M42" i="4"/>
  <c r="N42" i="4"/>
  <c r="L43" i="4"/>
  <c r="R43" i="4" s="1"/>
  <c r="Q43" i="4" s="1"/>
  <c r="M43" i="4"/>
  <c r="N43" i="4"/>
  <c r="L44" i="4"/>
  <c r="M44" i="4"/>
  <c r="N44" i="4"/>
  <c r="L45" i="4"/>
  <c r="M45" i="4"/>
  <c r="N45" i="4"/>
  <c r="L46" i="4"/>
  <c r="M46" i="4"/>
  <c r="N46" i="4"/>
  <c r="L47" i="4"/>
  <c r="M47" i="4"/>
  <c r="N47" i="4"/>
  <c r="L48" i="4"/>
  <c r="M48" i="4"/>
  <c r="N48" i="4"/>
  <c r="L49" i="4"/>
  <c r="M49" i="4"/>
  <c r="N49" i="4"/>
  <c r="L50" i="4"/>
  <c r="M50" i="4"/>
  <c r="N50" i="4"/>
  <c r="J4" i="4"/>
  <c r="J5" i="4"/>
  <c r="Z5" i="4" s="1"/>
  <c r="X5" i="4" s="1"/>
  <c r="J6" i="4"/>
  <c r="Z6" i="4" s="1"/>
  <c r="W6" i="4" s="1"/>
  <c r="J7" i="4"/>
  <c r="J8" i="4"/>
  <c r="J9" i="4"/>
  <c r="Z9" i="4" s="1"/>
  <c r="X9" i="4" s="1"/>
  <c r="J10" i="4"/>
  <c r="Z10" i="4" s="1"/>
  <c r="J11" i="4"/>
  <c r="J12" i="4"/>
  <c r="J13" i="4"/>
  <c r="Z13" i="4" s="1"/>
  <c r="J14" i="4"/>
  <c r="Z14" i="4" s="1"/>
  <c r="J15" i="4"/>
  <c r="J16" i="4"/>
  <c r="J17" i="4"/>
  <c r="Z17" i="4" s="1"/>
  <c r="X17" i="4" s="1"/>
  <c r="J18" i="4"/>
  <c r="Z18" i="4" s="1"/>
  <c r="J19" i="4"/>
  <c r="J20" i="4"/>
  <c r="J21" i="4"/>
  <c r="Z21" i="4" s="1"/>
  <c r="J22" i="4"/>
  <c r="Z22" i="4" s="1"/>
  <c r="J23" i="4"/>
  <c r="J24" i="4"/>
  <c r="R24" i="4" s="1"/>
  <c r="Q24" i="4" s="1"/>
  <c r="J25" i="4"/>
  <c r="Z25" i="4" s="1"/>
  <c r="J26" i="4"/>
  <c r="Z26" i="4" s="1"/>
  <c r="W26" i="4" s="1"/>
  <c r="J27" i="4"/>
  <c r="J28" i="4"/>
  <c r="J29" i="4"/>
  <c r="Z29" i="4" s="1"/>
  <c r="J30" i="4"/>
  <c r="Z30" i="4" s="1"/>
  <c r="X30" i="4" s="1"/>
  <c r="J31" i="4"/>
  <c r="J32" i="4"/>
  <c r="J33" i="4"/>
  <c r="Z33" i="4" s="1"/>
  <c r="J34" i="4"/>
  <c r="Z34" i="4" s="1"/>
  <c r="J35" i="4"/>
  <c r="J36" i="4"/>
  <c r="J37" i="4"/>
  <c r="Z37" i="4" s="1"/>
  <c r="J38" i="4"/>
  <c r="Z38" i="4" s="1"/>
  <c r="J39" i="4"/>
  <c r="J40" i="4"/>
  <c r="J41" i="4"/>
  <c r="J42" i="4"/>
  <c r="Z42" i="4" s="1"/>
  <c r="J43" i="4"/>
  <c r="J44" i="4"/>
  <c r="J45" i="4"/>
  <c r="Z45" i="4" s="1"/>
  <c r="X45" i="4" s="1"/>
  <c r="J46" i="4"/>
  <c r="Z46" i="4" s="1"/>
  <c r="J47" i="4"/>
  <c r="J48" i="4"/>
  <c r="J49" i="4"/>
  <c r="Z49" i="4" s="1"/>
  <c r="J50" i="4"/>
  <c r="Z50" i="4" s="1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H4" i="4"/>
  <c r="H5" i="4"/>
  <c r="H6" i="4"/>
  <c r="H7" i="4"/>
  <c r="H8" i="4"/>
  <c r="H9" i="4"/>
  <c r="H10" i="4"/>
  <c r="H11" i="4"/>
  <c r="K11" i="4" s="1"/>
  <c r="H12" i="4"/>
  <c r="H13" i="4"/>
  <c r="H14" i="4"/>
  <c r="H15" i="4"/>
  <c r="H16" i="4"/>
  <c r="H17" i="4"/>
  <c r="H18" i="4"/>
  <c r="H19" i="4"/>
  <c r="K19" i="4" s="1"/>
  <c r="H20" i="4"/>
  <c r="H21" i="4"/>
  <c r="H22" i="4"/>
  <c r="H23" i="4"/>
  <c r="H24" i="4"/>
  <c r="H25" i="4"/>
  <c r="H26" i="4"/>
  <c r="H27" i="4"/>
  <c r="K27" i="4" s="1"/>
  <c r="H28" i="4"/>
  <c r="H29" i="4"/>
  <c r="H30" i="4"/>
  <c r="H31" i="4"/>
  <c r="H32" i="4"/>
  <c r="H33" i="4"/>
  <c r="H34" i="4"/>
  <c r="H35" i="4"/>
  <c r="K35" i="4" s="1"/>
  <c r="H36" i="4"/>
  <c r="H37" i="4"/>
  <c r="H38" i="4"/>
  <c r="H39" i="4"/>
  <c r="H40" i="4"/>
  <c r="H41" i="4"/>
  <c r="H42" i="4"/>
  <c r="H43" i="4"/>
  <c r="K43" i="4" s="1"/>
  <c r="H44" i="4"/>
  <c r="H45" i="4"/>
  <c r="H46" i="4"/>
  <c r="H47" i="4"/>
  <c r="H48" i="4"/>
  <c r="H49" i="4"/>
  <c r="H50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A44" i="4"/>
  <c r="A45" i="4"/>
  <c r="A46" i="4"/>
  <c r="A47" i="4"/>
  <c r="A48" i="4"/>
  <c r="A49" i="4"/>
  <c r="A50" i="4"/>
  <c r="V50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H8" i="7"/>
  <c r="AH10" i="7"/>
  <c r="AH9" i="7"/>
  <c r="N19" i="7"/>
  <c r="P19" i="7" s="1"/>
  <c r="O19" i="7"/>
  <c r="Q19" i="7" s="1"/>
  <c r="S19" i="7"/>
  <c r="D19" i="7"/>
  <c r="D39" i="7"/>
  <c r="D38" i="7"/>
  <c r="D18" i="7"/>
  <c r="D17" i="7"/>
  <c r="D37" i="7"/>
  <c r="D16" i="7"/>
  <c r="D15" i="7"/>
  <c r="D14" i="7"/>
  <c r="D13" i="7"/>
  <c r="D12" i="7"/>
  <c r="D11" i="7"/>
  <c r="D36" i="7"/>
  <c r="D33" i="7"/>
  <c r="D34" i="7"/>
  <c r="D35" i="7"/>
  <c r="D32" i="7"/>
  <c r="D10" i="7"/>
  <c r="D31" i="7"/>
  <c r="D30" i="7"/>
  <c r="D9" i="7"/>
  <c r="N8" i="7"/>
  <c r="P8" i="7" s="1"/>
  <c r="O8" i="7"/>
  <c r="Q8" i="7" s="1"/>
  <c r="S8" i="7"/>
  <c r="D8" i="7"/>
  <c r="N29" i="7"/>
  <c r="O29" i="7"/>
  <c r="S29" i="7"/>
  <c r="D29" i="7"/>
  <c r="D4" i="7"/>
  <c r="D5" i="7"/>
  <c r="D6" i="7"/>
  <c r="D7" i="7"/>
  <c r="D24" i="7"/>
  <c r="D25" i="7"/>
  <c r="D26" i="7"/>
  <c r="D27" i="7"/>
  <c r="D28" i="7"/>
  <c r="D3" i="7"/>
  <c r="AE9" i="4" l="1"/>
  <c r="Y9" i="4" s="1"/>
  <c r="AX9" i="4"/>
  <c r="R15" i="4"/>
  <c r="Q15" i="4" s="1"/>
  <c r="BB15" i="4"/>
  <c r="P49" i="9"/>
  <c r="Q49" i="9"/>
  <c r="L49" i="9"/>
  <c r="P13" i="9"/>
  <c r="Q13" i="9"/>
  <c r="L13" i="9"/>
  <c r="P45" i="9"/>
  <c r="Q45" i="9"/>
  <c r="L45" i="9"/>
  <c r="Q50" i="9"/>
  <c r="P50" i="9"/>
  <c r="L50" i="9"/>
  <c r="Q46" i="9"/>
  <c r="P46" i="9"/>
  <c r="L46" i="9"/>
  <c r="P40" i="9"/>
  <c r="Q40" i="9"/>
  <c r="L40" i="9"/>
  <c r="Q36" i="9"/>
  <c r="P36" i="9"/>
  <c r="L36" i="9"/>
  <c r="Q32" i="9"/>
  <c r="P32" i="9"/>
  <c r="L32" i="9"/>
  <c r="Q26" i="9"/>
  <c r="P26" i="9"/>
  <c r="L26" i="9"/>
  <c r="Q22" i="9"/>
  <c r="P22" i="9"/>
  <c r="L22" i="9"/>
  <c r="Q12" i="9"/>
  <c r="P12" i="9"/>
  <c r="L12" i="9"/>
  <c r="Q10" i="9"/>
  <c r="P10" i="9"/>
  <c r="L10" i="9"/>
  <c r="Q6" i="9"/>
  <c r="P6" i="9"/>
  <c r="L6" i="9"/>
  <c r="Q48" i="9"/>
  <c r="P48" i="9"/>
  <c r="L48" i="9"/>
  <c r="P44" i="9"/>
  <c r="Q44" i="9"/>
  <c r="L44" i="9"/>
  <c r="Q42" i="9"/>
  <c r="P42" i="9"/>
  <c r="L42" i="9"/>
  <c r="Q38" i="9"/>
  <c r="P38" i="9"/>
  <c r="L38" i="9"/>
  <c r="Q34" i="9"/>
  <c r="P34" i="9"/>
  <c r="L34" i="9"/>
  <c r="Q30" i="9"/>
  <c r="P30" i="9"/>
  <c r="L30" i="9"/>
  <c r="Q28" i="9"/>
  <c r="P28" i="9"/>
  <c r="L28" i="9"/>
  <c r="P24" i="9"/>
  <c r="Q24" i="9"/>
  <c r="L24" i="9"/>
  <c r="Q20" i="9"/>
  <c r="P20" i="9"/>
  <c r="L20" i="9"/>
  <c r="Q18" i="9"/>
  <c r="P18" i="9"/>
  <c r="L18" i="9"/>
  <c r="P16" i="9"/>
  <c r="Q16" i="9"/>
  <c r="L16" i="9"/>
  <c r="Q14" i="9"/>
  <c r="P14" i="9"/>
  <c r="L14" i="9"/>
  <c r="Q8" i="9"/>
  <c r="P8" i="9"/>
  <c r="L8" i="9"/>
  <c r="Q4" i="9"/>
  <c r="P4" i="9"/>
  <c r="L4" i="9"/>
  <c r="P43" i="9"/>
  <c r="Q43" i="9"/>
  <c r="L43" i="9"/>
  <c r="P41" i="9"/>
  <c r="Q41" i="9"/>
  <c r="L41" i="9"/>
  <c r="P37" i="9"/>
  <c r="Q37" i="9"/>
  <c r="L37" i="9"/>
  <c r="P35" i="9"/>
  <c r="Q35" i="9"/>
  <c r="L35" i="9"/>
  <c r="P33" i="9"/>
  <c r="Q33" i="9"/>
  <c r="L33" i="9"/>
  <c r="P29" i="9"/>
  <c r="Q29" i="9"/>
  <c r="L29" i="9"/>
  <c r="P27" i="9"/>
  <c r="Q27" i="9"/>
  <c r="L27" i="9"/>
  <c r="P25" i="9"/>
  <c r="Q25" i="9"/>
  <c r="L25" i="9"/>
  <c r="P21" i="9"/>
  <c r="Q21" i="9"/>
  <c r="L21" i="9"/>
  <c r="P19" i="9"/>
  <c r="Q19" i="9"/>
  <c r="L19" i="9"/>
  <c r="P17" i="9"/>
  <c r="Q17" i="9"/>
  <c r="L17" i="9"/>
  <c r="P11" i="9"/>
  <c r="Q11" i="9"/>
  <c r="L11" i="9"/>
  <c r="P9" i="9"/>
  <c r="Q9" i="9"/>
  <c r="P5" i="9"/>
  <c r="Q5" i="9"/>
  <c r="L5" i="9"/>
  <c r="P47" i="9"/>
  <c r="Q47" i="9"/>
  <c r="P31" i="9"/>
  <c r="Q31" i="9"/>
  <c r="P15" i="9"/>
  <c r="Q15" i="9"/>
  <c r="AB49" i="9"/>
  <c r="AF49" i="9" s="1"/>
  <c r="AD49" i="9"/>
  <c r="S43" i="9"/>
  <c r="R43" i="9" s="1"/>
  <c r="S27" i="9"/>
  <c r="R27" i="9" s="1"/>
  <c r="AD25" i="9"/>
  <c r="AB25" i="9"/>
  <c r="AF25" i="9" s="1"/>
  <c r="S19" i="9"/>
  <c r="R19" i="9" s="1"/>
  <c r="S11" i="9"/>
  <c r="R11" i="9" s="1"/>
  <c r="AA50" i="9"/>
  <c r="W50" i="9"/>
  <c r="W48" i="9"/>
  <c r="AA48" i="9"/>
  <c r="W46" i="9"/>
  <c r="AA46" i="9"/>
  <c r="AA44" i="9"/>
  <c r="W44" i="9"/>
  <c r="W42" i="9"/>
  <c r="AA42" i="9"/>
  <c r="W40" i="9"/>
  <c r="AA40" i="9"/>
  <c r="W38" i="9"/>
  <c r="AA38" i="9"/>
  <c r="AA36" i="9"/>
  <c r="W36" i="9"/>
  <c r="AA34" i="9"/>
  <c r="W34" i="9"/>
  <c r="W32" i="9"/>
  <c r="AA32" i="9"/>
  <c r="W30" i="9"/>
  <c r="AA30" i="9"/>
  <c r="AA28" i="9"/>
  <c r="W28" i="9"/>
  <c r="W26" i="9"/>
  <c r="AA26" i="9"/>
  <c r="W24" i="9"/>
  <c r="AA24" i="9"/>
  <c r="W22" i="9"/>
  <c r="AA22" i="9"/>
  <c r="AA20" i="9"/>
  <c r="W20" i="9"/>
  <c r="AA18" i="9"/>
  <c r="W18" i="9"/>
  <c r="W16" i="9"/>
  <c r="AA16" i="9"/>
  <c r="W14" i="9"/>
  <c r="AA14" i="9"/>
  <c r="AA12" i="9"/>
  <c r="W12" i="9"/>
  <c r="W10" i="9"/>
  <c r="AA10" i="9"/>
  <c r="W8" i="9"/>
  <c r="AA8" i="9"/>
  <c r="W6" i="9"/>
  <c r="AA6" i="9"/>
  <c r="AA4" i="9"/>
  <c r="W4" i="9"/>
  <c r="V48" i="9"/>
  <c r="S48" i="9"/>
  <c r="R48" i="9" s="1"/>
  <c r="AD46" i="9"/>
  <c r="AB46" i="9"/>
  <c r="AF46" i="9" s="1"/>
  <c r="S40" i="9"/>
  <c r="R40" i="9" s="1"/>
  <c r="AD38" i="9"/>
  <c r="AB38" i="9"/>
  <c r="AJ38" i="9" s="1"/>
  <c r="AJ32" i="9"/>
  <c r="S32" i="9"/>
  <c r="R32" i="9" s="1"/>
  <c r="AD30" i="9"/>
  <c r="AB30" i="9"/>
  <c r="AF30" i="9" s="1"/>
  <c r="S24" i="9"/>
  <c r="R24" i="9" s="1"/>
  <c r="AD22" i="9"/>
  <c r="AB22" i="9"/>
  <c r="V22" i="9" s="1"/>
  <c r="S16" i="9"/>
  <c r="R16" i="9" s="1"/>
  <c r="AD14" i="9"/>
  <c r="AB14" i="9"/>
  <c r="AF14" i="9" s="1"/>
  <c r="S8" i="9"/>
  <c r="R8" i="9" s="1"/>
  <c r="AD6" i="9"/>
  <c r="AB6" i="9"/>
  <c r="AJ6" i="9" s="1"/>
  <c r="P39" i="9"/>
  <c r="Q39" i="9"/>
  <c r="P23" i="9"/>
  <c r="Q23" i="9"/>
  <c r="P7" i="9"/>
  <c r="Q7" i="9"/>
  <c r="AD41" i="9"/>
  <c r="AB41" i="9"/>
  <c r="AF41" i="9" s="1"/>
  <c r="S35" i="9"/>
  <c r="R35" i="9" s="1"/>
  <c r="AD33" i="9"/>
  <c r="AB33" i="9"/>
  <c r="AF33" i="9" s="1"/>
  <c r="AD17" i="9"/>
  <c r="AB17" i="9"/>
  <c r="V17" i="9" s="1"/>
  <c r="AD9" i="9"/>
  <c r="AB9" i="9"/>
  <c r="AF9" i="9" s="1"/>
  <c r="S45" i="9"/>
  <c r="R45" i="9" s="1"/>
  <c r="AD43" i="9"/>
  <c r="AB43" i="9"/>
  <c r="V43" i="9" s="1"/>
  <c r="S37" i="9"/>
  <c r="R37" i="9" s="1"/>
  <c r="AD35" i="9"/>
  <c r="AB35" i="9"/>
  <c r="AF35" i="9" s="1"/>
  <c r="S29" i="9"/>
  <c r="R29" i="9" s="1"/>
  <c r="AD27" i="9"/>
  <c r="AB27" i="9"/>
  <c r="AJ27" i="9" s="1"/>
  <c r="AF27" i="9"/>
  <c r="S21" i="9"/>
  <c r="R21" i="9" s="1"/>
  <c r="AF19" i="9"/>
  <c r="AL19" i="9" s="1"/>
  <c r="AD19" i="9"/>
  <c r="AB19" i="9"/>
  <c r="AJ19" i="9" s="1"/>
  <c r="AH19" i="9" s="1"/>
  <c r="S13" i="9"/>
  <c r="R13" i="9" s="1"/>
  <c r="AF11" i="9"/>
  <c r="AD11" i="9"/>
  <c r="AB11" i="9"/>
  <c r="AJ11" i="9" s="1"/>
  <c r="S5" i="9"/>
  <c r="R5" i="9" s="1"/>
  <c r="S47" i="9"/>
  <c r="R47" i="9" s="1"/>
  <c r="AF45" i="9"/>
  <c r="AB45" i="9"/>
  <c r="V45" i="9" s="1"/>
  <c r="AD45" i="9"/>
  <c r="S39" i="9"/>
  <c r="R39" i="9" s="1"/>
  <c r="AD37" i="9"/>
  <c r="AB37" i="9"/>
  <c r="V37" i="9" s="1"/>
  <c r="S31" i="9"/>
  <c r="R31" i="9" s="1"/>
  <c r="AB29" i="9"/>
  <c r="V29" i="9" s="1"/>
  <c r="AD29" i="9"/>
  <c r="S23" i="9"/>
  <c r="R23" i="9" s="1"/>
  <c r="AD21" i="9"/>
  <c r="AB21" i="9"/>
  <c r="V21" i="9" s="1"/>
  <c r="S15" i="9"/>
  <c r="R15" i="9" s="1"/>
  <c r="AF13" i="9"/>
  <c r="AL13" i="9" s="1"/>
  <c r="AB13" i="9"/>
  <c r="V13" i="9" s="1"/>
  <c r="AD13" i="9"/>
  <c r="S7" i="9"/>
  <c r="R7" i="9" s="1"/>
  <c r="AD5" i="9"/>
  <c r="AB5" i="9"/>
  <c r="V5" i="9" s="1"/>
  <c r="S50" i="9"/>
  <c r="R50" i="9" s="1"/>
  <c r="S42" i="9"/>
  <c r="R42" i="9" s="1"/>
  <c r="AD40" i="9"/>
  <c r="AB40" i="9"/>
  <c r="V40" i="9" s="1"/>
  <c r="AJ34" i="9"/>
  <c r="S34" i="9"/>
  <c r="R34" i="9" s="1"/>
  <c r="AD32" i="9"/>
  <c r="AB32" i="9"/>
  <c r="V32" i="9" s="1"/>
  <c r="S26" i="9"/>
  <c r="R26" i="9" s="1"/>
  <c r="S10" i="9"/>
  <c r="R10" i="9" s="1"/>
  <c r="AA49" i="9"/>
  <c r="W49" i="9"/>
  <c r="W47" i="9"/>
  <c r="AA47" i="9"/>
  <c r="AA45" i="9"/>
  <c r="W45" i="9"/>
  <c r="AA43" i="9"/>
  <c r="W43" i="9"/>
  <c r="W41" i="9"/>
  <c r="AA41" i="9"/>
  <c r="W39" i="9"/>
  <c r="AA39" i="9"/>
  <c r="AA37" i="9"/>
  <c r="W37" i="9"/>
  <c r="AA35" i="9"/>
  <c r="W35" i="9"/>
  <c r="W33" i="9"/>
  <c r="AA33" i="9"/>
  <c r="W31" i="9"/>
  <c r="AA31" i="9"/>
  <c r="AA29" i="9"/>
  <c r="W29" i="9"/>
  <c r="AA27" i="9"/>
  <c r="W27" i="9"/>
  <c r="W25" i="9"/>
  <c r="AA25" i="9"/>
  <c r="W23" i="9"/>
  <c r="AA23" i="9"/>
  <c r="AA21" i="9"/>
  <c r="W21" i="9"/>
  <c r="AA19" i="9"/>
  <c r="W19" i="9"/>
  <c r="W17" i="9"/>
  <c r="AA17" i="9"/>
  <c r="W15" i="9"/>
  <c r="AA15" i="9"/>
  <c r="AA13" i="9"/>
  <c r="W13" i="9"/>
  <c r="AA11" i="9"/>
  <c r="W11" i="9"/>
  <c r="W9" i="9"/>
  <c r="AA9" i="9"/>
  <c r="W7" i="9"/>
  <c r="AA7" i="9"/>
  <c r="AA5" i="9"/>
  <c r="W5" i="9"/>
  <c r="AB50" i="9"/>
  <c r="AF50" i="9" s="1"/>
  <c r="AD50" i="9"/>
  <c r="S44" i="9"/>
  <c r="R44" i="9" s="1"/>
  <c r="AD42" i="9"/>
  <c r="AB42" i="9"/>
  <c r="V42" i="9" s="1"/>
  <c r="AJ36" i="9"/>
  <c r="S36" i="9"/>
  <c r="R36" i="9" s="1"/>
  <c r="AD34" i="9"/>
  <c r="AB34" i="9"/>
  <c r="AF34" i="9" s="1"/>
  <c r="S28" i="9"/>
  <c r="R28" i="9" s="1"/>
  <c r="AD26" i="9"/>
  <c r="AB26" i="9"/>
  <c r="AF26" i="9" s="1"/>
  <c r="S20" i="9"/>
  <c r="R20" i="9" s="1"/>
  <c r="AD18" i="9"/>
  <c r="AB18" i="9"/>
  <c r="AJ18" i="9" s="1"/>
  <c r="S12" i="9"/>
  <c r="R12" i="9" s="1"/>
  <c r="AD10" i="9"/>
  <c r="AB10" i="9"/>
  <c r="V10" i="9" s="1"/>
  <c r="S4" i="9"/>
  <c r="R4" i="9" s="1"/>
  <c r="AJ49" i="9"/>
  <c r="S49" i="9"/>
  <c r="R49" i="9" s="1"/>
  <c r="AB47" i="9"/>
  <c r="V47" i="9" s="1"/>
  <c r="AD47" i="9"/>
  <c r="AJ41" i="9"/>
  <c r="V41" i="9"/>
  <c r="S41" i="9"/>
  <c r="R41" i="9" s="1"/>
  <c r="AD39" i="9"/>
  <c r="AB39" i="9"/>
  <c r="V39" i="9" s="1"/>
  <c r="AJ33" i="9"/>
  <c r="V33" i="9"/>
  <c r="S33" i="9"/>
  <c r="R33" i="9" s="1"/>
  <c r="AD31" i="9"/>
  <c r="AB31" i="9"/>
  <c r="V31" i="9" s="1"/>
  <c r="V25" i="9"/>
  <c r="AJ25" i="9"/>
  <c r="AH25" i="9" s="1"/>
  <c r="S25" i="9"/>
  <c r="R25" i="9" s="1"/>
  <c r="AD23" i="9"/>
  <c r="AF23" i="9"/>
  <c r="AB23" i="9"/>
  <c r="V23" i="9" s="1"/>
  <c r="AJ17" i="9"/>
  <c r="S17" i="9"/>
  <c r="R17" i="9" s="1"/>
  <c r="AD15" i="9"/>
  <c r="AF15" i="9"/>
  <c r="AB15" i="9"/>
  <c r="V15" i="9" s="1"/>
  <c r="AJ9" i="9"/>
  <c r="S9" i="9"/>
  <c r="R9" i="9" s="1"/>
  <c r="V9" i="9"/>
  <c r="AD7" i="9"/>
  <c r="AB7" i="9"/>
  <c r="V7" i="9" s="1"/>
  <c r="AD48" i="9"/>
  <c r="AB48" i="9"/>
  <c r="AF48" i="9" s="1"/>
  <c r="AD24" i="9"/>
  <c r="AB24" i="9"/>
  <c r="AJ24" i="9" s="1"/>
  <c r="V18" i="9"/>
  <c r="S18" i="9"/>
  <c r="R18" i="9" s="1"/>
  <c r="AD16" i="9"/>
  <c r="AB16" i="9"/>
  <c r="AJ16" i="9" s="1"/>
  <c r="AD8" i="9"/>
  <c r="AB8" i="9"/>
  <c r="AJ8" i="9" s="1"/>
  <c r="L47" i="9"/>
  <c r="L39" i="9"/>
  <c r="L31" i="9"/>
  <c r="L23" i="9"/>
  <c r="L15" i="9"/>
  <c r="L7" i="9"/>
  <c r="AJ46" i="9"/>
  <c r="V46" i="9"/>
  <c r="S46" i="9"/>
  <c r="R46" i="9" s="1"/>
  <c r="AB44" i="9"/>
  <c r="V44" i="9" s="1"/>
  <c r="AD44" i="9"/>
  <c r="S38" i="9"/>
  <c r="R38" i="9" s="1"/>
  <c r="AF36" i="9"/>
  <c r="AB36" i="9"/>
  <c r="V36" i="9" s="1"/>
  <c r="AD36" i="9"/>
  <c r="AJ30" i="9"/>
  <c r="V30" i="9"/>
  <c r="S30" i="9"/>
  <c r="R30" i="9" s="1"/>
  <c r="AB28" i="9"/>
  <c r="V28" i="9" s="1"/>
  <c r="AD28" i="9"/>
  <c r="S22" i="9"/>
  <c r="R22" i="9" s="1"/>
  <c r="AB20" i="9"/>
  <c r="V20" i="9" s="1"/>
  <c r="AD20" i="9"/>
  <c r="AJ14" i="9"/>
  <c r="V14" i="9"/>
  <c r="S14" i="9"/>
  <c r="R14" i="9" s="1"/>
  <c r="AF12" i="9"/>
  <c r="AB12" i="9"/>
  <c r="V12" i="9" s="1"/>
  <c r="AD12" i="9"/>
  <c r="S6" i="9"/>
  <c r="R6" i="9" s="1"/>
  <c r="AB4" i="9"/>
  <c r="V4" i="9" s="1"/>
  <c r="AD4" i="9"/>
  <c r="R16" i="4"/>
  <c r="Q16" i="4" s="1"/>
  <c r="Z7" i="4"/>
  <c r="X7" i="4" s="1"/>
  <c r="R46" i="4"/>
  <c r="Q46" i="4" s="1"/>
  <c r="R38" i="4"/>
  <c r="Q38" i="4" s="1"/>
  <c r="AA8" i="4"/>
  <c r="R23" i="4"/>
  <c r="Q23" i="4" s="1"/>
  <c r="R25" i="4"/>
  <c r="Q25" i="4" s="1"/>
  <c r="Z44" i="4"/>
  <c r="W44" i="4" s="1"/>
  <c r="Z36" i="4"/>
  <c r="X36" i="4" s="1"/>
  <c r="Z28" i="4"/>
  <c r="Z20" i="4"/>
  <c r="X20" i="4" s="1"/>
  <c r="Z12" i="4"/>
  <c r="Z4" i="4"/>
  <c r="W4" i="4" s="1"/>
  <c r="AA47" i="4"/>
  <c r="AI47" i="4" s="1"/>
  <c r="AA39" i="4"/>
  <c r="AE39" i="4" s="1"/>
  <c r="AA23" i="4"/>
  <c r="O43" i="4"/>
  <c r="O35" i="4"/>
  <c r="O27" i="4"/>
  <c r="O19" i="4"/>
  <c r="O11" i="4"/>
  <c r="R34" i="4"/>
  <c r="Q34" i="4" s="1"/>
  <c r="Z23" i="4"/>
  <c r="X23" i="4" s="1"/>
  <c r="Z40" i="4"/>
  <c r="W40" i="4" s="1"/>
  <c r="Z32" i="4"/>
  <c r="Z24" i="4"/>
  <c r="X24" i="4" s="1"/>
  <c r="Z16" i="4"/>
  <c r="W16" i="4" s="1"/>
  <c r="Z8" i="4"/>
  <c r="X8" i="4" s="1"/>
  <c r="R39" i="4"/>
  <c r="Q39" i="4" s="1"/>
  <c r="R31" i="4"/>
  <c r="Q31" i="4" s="1"/>
  <c r="AC7" i="4"/>
  <c r="Z41" i="4"/>
  <c r="X41" i="4" s="1"/>
  <c r="Z47" i="4"/>
  <c r="Z39" i="4"/>
  <c r="X39" i="4" s="1"/>
  <c r="Z31" i="4"/>
  <c r="X31" i="4" s="1"/>
  <c r="Z15" i="4"/>
  <c r="X15" i="4" s="1"/>
  <c r="R44" i="4"/>
  <c r="Q44" i="4" s="1"/>
  <c r="AC36" i="4"/>
  <c r="R28" i="4"/>
  <c r="Q28" i="4" s="1"/>
  <c r="R20" i="4"/>
  <c r="Q20" i="4" s="1"/>
  <c r="R12" i="4"/>
  <c r="Q12" i="4" s="1"/>
  <c r="R33" i="4"/>
  <c r="Q33" i="4" s="1"/>
  <c r="K48" i="4"/>
  <c r="O48" i="4" s="1"/>
  <c r="K40" i="4"/>
  <c r="O40" i="4" s="1"/>
  <c r="K32" i="4"/>
  <c r="O32" i="4" s="1"/>
  <c r="K24" i="4"/>
  <c r="O24" i="4" s="1"/>
  <c r="K16" i="4"/>
  <c r="O16" i="4" s="1"/>
  <c r="K8" i="4"/>
  <c r="P8" i="4" s="1"/>
  <c r="AA49" i="4"/>
  <c r="AC33" i="4"/>
  <c r="R17" i="4"/>
  <c r="Q17" i="4" s="1"/>
  <c r="R9" i="4"/>
  <c r="Q9" i="4" s="1"/>
  <c r="AA36" i="4"/>
  <c r="AE36" i="4" s="1"/>
  <c r="Y36" i="4" s="1"/>
  <c r="AC23" i="4"/>
  <c r="AC19" i="4"/>
  <c r="W20" i="4"/>
  <c r="K36" i="4"/>
  <c r="O36" i="4" s="1"/>
  <c r="K28" i="4"/>
  <c r="O28" i="4" s="1"/>
  <c r="K4" i="4"/>
  <c r="P4" i="4" s="1"/>
  <c r="Z43" i="4"/>
  <c r="X43" i="4" s="1"/>
  <c r="Z35" i="4"/>
  <c r="W35" i="4" s="1"/>
  <c r="AA40" i="4"/>
  <c r="AI40" i="4" s="1"/>
  <c r="AC17" i="4"/>
  <c r="AC42" i="4"/>
  <c r="AC34" i="4"/>
  <c r="R42" i="4"/>
  <c r="Q42" i="4" s="1"/>
  <c r="AA44" i="4"/>
  <c r="AE44" i="4" s="1"/>
  <c r="Y44" i="4" s="1"/>
  <c r="X40" i="4"/>
  <c r="X16" i="4"/>
  <c r="X47" i="4"/>
  <c r="W47" i="4"/>
  <c r="W24" i="4"/>
  <c r="X38" i="4"/>
  <c r="W38" i="4"/>
  <c r="W22" i="4"/>
  <c r="X22" i="4"/>
  <c r="X37" i="4"/>
  <c r="W37" i="4"/>
  <c r="X29" i="4"/>
  <c r="W29" i="4"/>
  <c r="X21" i="4"/>
  <c r="W21" i="4"/>
  <c r="X13" i="4"/>
  <c r="W13" i="4"/>
  <c r="X27" i="4"/>
  <c r="W27" i="4"/>
  <c r="X19" i="4"/>
  <c r="W19" i="4"/>
  <c r="X11" i="4"/>
  <c r="W11" i="4"/>
  <c r="AE49" i="4"/>
  <c r="Y49" i="4" s="1"/>
  <c r="AI49" i="4"/>
  <c r="W28" i="4"/>
  <c r="X28" i="4"/>
  <c r="X12" i="4"/>
  <c r="W12" i="4"/>
  <c r="X4" i="4"/>
  <c r="W32" i="4"/>
  <c r="X32" i="4"/>
  <c r="W46" i="4"/>
  <c r="X46" i="4"/>
  <c r="X14" i="4"/>
  <c r="W14" i="4"/>
  <c r="X35" i="4"/>
  <c r="W50" i="4"/>
  <c r="X50" i="4"/>
  <c r="W42" i="4"/>
  <c r="X42" i="4"/>
  <c r="W34" i="4"/>
  <c r="X34" i="4"/>
  <c r="W18" i="4"/>
  <c r="X18" i="4"/>
  <c r="W10" i="4"/>
  <c r="X10" i="4"/>
  <c r="X49" i="4"/>
  <c r="W49" i="4"/>
  <c r="X33" i="4"/>
  <c r="W33" i="4"/>
  <c r="X25" i="4"/>
  <c r="W25" i="4"/>
  <c r="AC6" i="4"/>
  <c r="AA6" i="4"/>
  <c r="R6" i="4"/>
  <c r="Q6" i="4" s="1"/>
  <c r="AA19" i="4"/>
  <c r="AE19" i="4" s="1"/>
  <c r="Y19" i="4" s="1"/>
  <c r="AC43" i="4"/>
  <c r="AC35" i="4"/>
  <c r="AC27" i="4"/>
  <c r="AA27" i="4"/>
  <c r="AE27" i="4" s="1"/>
  <c r="Y27" i="4" s="1"/>
  <c r="AC11" i="4"/>
  <c r="R5" i="4"/>
  <c r="Q5" i="4" s="1"/>
  <c r="W23" i="4"/>
  <c r="AA43" i="4"/>
  <c r="AE43" i="4" s="1"/>
  <c r="Y43" i="4" s="1"/>
  <c r="AA35" i="4"/>
  <c r="AE35" i="4" s="1"/>
  <c r="Y35" i="4" s="1"/>
  <c r="AC13" i="4"/>
  <c r="AA30" i="4"/>
  <c r="AE30" i="4" s="1"/>
  <c r="R30" i="4"/>
  <c r="Q30" i="4" s="1"/>
  <c r="AA22" i="4"/>
  <c r="AE22" i="4" s="1"/>
  <c r="Y22" i="4" s="1"/>
  <c r="AC22" i="4"/>
  <c r="R22" i="4"/>
  <c r="Q22" i="4" s="1"/>
  <c r="AI9" i="4"/>
  <c r="BC9" i="4" s="1"/>
  <c r="K45" i="4"/>
  <c r="K37" i="4"/>
  <c r="K29" i="4"/>
  <c r="K21" i="4"/>
  <c r="K13" i="4"/>
  <c r="K5" i="4"/>
  <c r="AE48" i="4"/>
  <c r="Y48" i="4" s="1"/>
  <c r="AA24" i="4"/>
  <c r="AI24" i="4" s="1"/>
  <c r="AA16" i="4"/>
  <c r="AE16" i="4" s="1"/>
  <c r="AC16" i="4"/>
  <c r="AC8" i="4"/>
  <c r="AE8" i="4"/>
  <c r="Y8" i="4" s="1"/>
  <c r="P16" i="4"/>
  <c r="R50" i="4"/>
  <c r="Q50" i="4" s="1"/>
  <c r="R41" i="4"/>
  <c r="Q41" i="4" s="1"/>
  <c r="R32" i="4"/>
  <c r="Q32" i="4" s="1"/>
  <c r="R13" i="4"/>
  <c r="Q13" i="4" s="1"/>
  <c r="R4" i="4"/>
  <c r="Q4" i="4" s="1"/>
  <c r="W30" i="4"/>
  <c r="X26" i="4"/>
  <c r="AC46" i="4"/>
  <c r="AC38" i="4"/>
  <c r="AA13" i="4"/>
  <c r="AE13" i="4" s="1"/>
  <c r="K44" i="4"/>
  <c r="K20" i="4"/>
  <c r="K12" i="4"/>
  <c r="AC45" i="4"/>
  <c r="AI39" i="4"/>
  <c r="AC37" i="4"/>
  <c r="AA29" i="4"/>
  <c r="AE29" i="4" s="1"/>
  <c r="AI23" i="4"/>
  <c r="AC21" i="4"/>
  <c r="AA5" i="4"/>
  <c r="AI5" i="4" s="1"/>
  <c r="AC5" i="4"/>
  <c r="P24" i="4"/>
  <c r="P11" i="4"/>
  <c r="R49" i="4"/>
  <c r="Q49" i="4" s="1"/>
  <c r="R40" i="4"/>
  <c r="Q40" i="4" s="1"/>
  <c r="R21" i="4"/>
  <c r="Q21" i="4" s="1"/>
  <c r="AC30" i="4"/>
  <c r="AA17" i="4"/>
  <c r="AE17" i="4" s="1"/>
  <c r="Y17" i="4" s="1"/>
  <c r="AA14" i="4"/>
  <c r="AE14" i="4" s="1"/>
  <c r="Y14" i="4" s="1"/>
  <c r="AC14" i="4"/>
  <c r="R14" i="4"/>
  <c r="Q14" i="4" s="1"/>
  <c r="AA50" i="4"/>
  <c r="AI50" i="4" s="1"/>
  <c r="AA26" i="4"/>
  <c r="AI26" i="4" s="1"/>
  <c r="AA18" i="4"/>
  <c r="AE18" i="4" s="1"/>
  <c r="Y18" i="4" s="1"/>
  <c r="AC18" i="4"/>
  <c r="AA10" i="4"/>
  <c r="AI10" i="4" s="1"/>
  <c r="AC10" i="4"/>
  <c r="R48" i="4"/>
  <c r="Q48" i="4" s="1"/>
  <c r="R29" i="4"/>
  <c r="Q29" i="4" s="1"/>
  <c r="R11" i="4"/>
  <c r="Q11" i="4" s="1"/>
  <c r="X6" i="4"/>
  <c r="AC50" i="4"/>
  <c r="AA46" i="4"/>
  <c r="AE46" i="4" s="1"/>
  <c r="Y46" i="4" s="1"/>
  <c r="AA42" i="4"/>
  <c r="AI42" i="4" s="1"/>
  <c r="AA38" i="4"/>
  <c r="AE38" i="4" s="1"/>
  <c r="Y38" i="4" s="1"/>
  <c r="AA34" i="4"/>
  <c r="AI34" i="4" s="1"/>
  <c r="AC26" i="4"/>
  <c r="AI8" i="4"/>
  <c r="AA48" i="4"/>
  <c r="AI48" i="4" s="1"/>
  <c r="Z48" i="4"/>
  <c r="AC47" i="4"/>
  <c r="AC39" i="4"/>
  <c r="AC31" i="4"/>
  <c r="AA31" i="4"/>
  <c r="AE31" i="4" s="1"/>
  <c r="AE23" i="4"/>
  <c r="Y23" i="4" s="1"/>
  <c r="AC15" i="4"/>
  <c r="AA7" i="4"/>
  <c r="AE7" i="4" s="1"/>
  <c r="P43" i="4"/>
  <c r="P35" i="4"/>
  <c r="P27" i="4"/>
  <c r="P19" i="4"/>
  <c r="R47" i="4"/>
  <c r="Q47" i="4" s="1"/>
  <c r="R37" i="4"/>
  <c r="Q37" i="4" s="1"/>
  <c r="R19" i="4"/>
  <c r="Q19" i="4" s="1"/>
  <c r="R10" i="4"/>
  <c r="Q10" i="4" s="1"/>
  <c r="AA45" i="4"/>
  <c r="AI45" i="4" s="1"/>
  <c r="AA37" i="4"/>
  <c r="AI37" i="4" s="1"/>
  <c r="AA33" i="4"/>
  <c r="AE33" i="4" s="1"/>
  <c r="AC29" i="4"/>
  <c r="AA21" i="4"/>
  <c r="AI21" i="4" s="1"/>
  <c r="AA11" i="4"/>
  <c r="AE11" i="4" s="1"/>
  <c r="Y11" i="4" s="1"/>
  <c r="AA32" i="4"/>
  <c r="AE32" i="4" s="1"/>
  <c r="AI38" i="4"/>
  <c r="AA28" i="4"/>
  <c r="AI22" i="4"/>
  <c r="AA20" i="4"/>
  <c r="AE20" i="4" s="1"/>
  <c r="Y20" i="4" s="1"/>
  <c r="AC20" i="4"/>
  <c r="AA12" i="4"/>
  <c r="AE12" i="4" s="1"/>
  <c r="Y12" i="4" s="1"/>
  <c r="AC12" i="4"/>
  <c r="AC4" i="4"/>
  <c r="AA4" i="4"/>
  <c r="R45" i="4"/>
  <c r="Q45" i="4" s="1"/>
  <c r="R36" i="4"/>
  <c r="Q36" i="4" s="1"/>
  <c r="R27" i="4"/>
  <c r="Q27" i="4" s="1"/>
  <c r="R18" i="4"/>
  <c r="Q18" i="4" s="1"/>
  <c r="W17" i="4"/>
  <c r="W9" i="4"/>
  <c r="W5" i="4"/>
  <c r="AC44" i="4"/>
  <c r="AC40" i="4"/>
  <c r="AC24" i="4"/>
  <c r="AC49" i="4"/>
  <c r="AA41" i="4"/>
  <c r="AE41" i="4" s="1"/>
  <c r="Y41" i="4" s="1"/>
  <c r="AC41" i="4"/>
  <c r="AC25" i="4"/>
  <c r="AA25" i="4"/>
  <c r="AE25" i="4" s="1"/>
  <c r="AC9" i="4"/>
  <c r="R35" i="4"/>
  <c r="Q35" i="4" s="1"/>
  <c r="R26" i="4"/>
  <c r="Q26" i="4" s="1"/>
  <c r="R8" i="4"/>
  <c r="Q8" i="4" s="1"/>
  <c r="W45" i="4"/>
  <c r="AC48" i="4"/>
  <c r="AC32" i="4"/>
  <c r="AC28" i="4"/>
  <c r="AA15" i="4"/>
  <c r="AI15" i="4" s="1"/>
  <c r="BC15" i="4" s="1"/>
  <c r="K46" i="4"/>
  <c r="K38" i="4"/>
  <c r="K30" i="4"/>
  <c r="K22" i="4"/>
  <c r="K14" i="4"/>
  <c r="K6" i="4"/>
  <c r="K50" i="4"/>
  <c r="K42" i="4"/>
  <c r="K34" i="4"/>
  <c r="K26" i="4"/>
  <c r="K18" i="4"/>
  <c r="K10" i="4"/>
  <c r="K49" i="4"/>
  <c r="K41" i="4"/>
  <c r="K33" i="4"/>
  <c r="K25" i="4"/>
  <c r="K17" i="4"/>
  <c r="K9" i="4"/>
  <c r="L9" i="9" s="1"/>
  <c r="K47" i="4"/>
  <c r="K39" i="4"/>
  <c r="K31" i="4"/>
  <c r="K23" i="4"/>
  <c r="K15" i="4"/>
  <c r="K7" i="4"/>
  <c r="V46" i="4"/>
  <c r="T46" i="4" s="1"/>
  <c r="V38" i="4"/>
  <c r="S38" i="4" s="1"/>
  <c r="AD38" i="4" s="1"/>
  <c r="AB38" i="4" s="1"/>
  <c r="V47" i="4"/>
  <c r="S47" i="4" s="1"/>
  <c r="V42" i="4"/>
  <c r="S42" i="4" s="1"/>
  <c r="V41" i="4"/>
  <c r="S41" i="4" s="1"/>
  <c r="V44" i="4"/>
  <c r="S44" i="4" s="1"/>
  <c r="V40" i="4"/>
  <c r="S40" i="4" s="1"/>
  <c r="S50" i="4"/>
  <c r="T50" i="4"/>
  <c r="V45" i="4"/>
  <c r="V49" i="4"/>
  <c r="V48" i="4"/>
  <c r="V39" i="4"/>
  <c r="V43" i="4"/>
  <c r="V29" i="7"/>
  <c r="R19" i="7"/>
  <c r="W19" i="7" s="1"/>
  <c r="Y19" i="7" s="1"/>
  <c r="T19" i="7"/>
  <c r="X19" i="7" s="1"/>
  <c r="Z19" i="7" s="1"/>
  <c r="V19" i="7"/>
  <c r="U19" i="7"/>
  <c r="R8" i="7"/>
  <c r="W8" i="7" s="1"/>
  <c r="Y8" i="7" s="1"/>
  <c r="T8" i="7"/>
  <c r="X8" i="7" s="1"/>
  <c r="Z8" i="7" s="1"/>
  <c r="V8" i="7"/>
  <c r="U8" i="7"/>
  <c r="Q29" i="7"/>
  <c r="U29" i="7" s="1"/>
  <c r="P29" i="7"/>
  <c r="T29" i="7"/>
  <c r="AX15" i="4" l="1"/>
  <c r="AE6" i="4"/>
  <c r="Y6" i="4" s="1"/>
  <c r="AX6" i="4"/>
  <c r="AI6" i="4"/>
  <c r="BC6" i="4" s="1"/>
  <c r="Z48" i="9"/>
  <c r="AL48" i="9"/>
  <c r="AL33" i="9"/>
  <c r="AF24" i="9"/>
  <c r="AL24" i="9" s="1"/>
  <c r="AJ26" i="9"/>
  <c r="AF4" i="9"/>
  <c r="AL36" i="9"/>
  <c r="AF10" i="9"/>
  <c r="V26" i="9"/>
  <c r="AJ15" i="9"/>
  <c r="AJ31" i="9"/>
  <c r="AH31" i="9" s="1"/>
  <c r="AJ13" i="9"/>
  <c r="AH13" i="9" s="1"/>
  <c r="AF38" i="9"/>
  <c r="AJ48" i="9"/>
  <c r="AH48" i="9" s="1"/>
  <c r="V27" i="9"/>
  <c r="AJ22" i="9"/>
  <c r="AH22" i="9" s="1"/>
  <c r="V6" i="9"/>
  <c r="AF5" i="9"/>
  <c r="AJ45" i="9"/>
  <c r="AF7" i="9"/>
  <c r="AL7" i="9" s="1"/>
  <c r="AF28" i="9"/>
  <c r="AF39" i="9"/>
  <c r="AL15" i="9"/>
  <c r="AJ28" i="9"/>
  <c r="AJ42" i="9"/>
  <c r="AH42" i="9" s="1"/>
  <c r="V8" i="9"/>
  <c r="AF6" i="9"/>
  <c r="V38" i="9"/>
  <c r="AJ44" i="9"/>
  <c r="AF32" i="9"/>
  <c r="Z45" i="9"/>
  <c r="AJ5" i="9"/>
  <c r="AH5" i="9" s="1"/>
  <c r="V35" i="9"/>
  <c r="AJ40" i="9"/>
  <c r="V19" i="9"/>
  <c r="AF22" i="9"/>
  <c r="AL22" i="9" s="1"/>
  <c r="AF20" i="9"/>
  <c r="AL12" i="9"/>
  <c r="AJ4" i="9"/>
  <c r="AL45" i="9"/>
  <c r="AJ23" i="9"/>
  <c r="AH23" i="9" s="1"/>
  <c r="AF18" i="9"/>
  <c r="AJ10" i="9"/>
  <c r="AH10" i="9" s="1"/>
  <c r="V34" i="9"/>
  <c r="AJ37" i="9"/>
  <c r="AH24" i="9"/>
  <c r="AL26" i="9"/>
  <c r="AH27" i="9"/>
  <c r="AH8" i="9"/>
  <c r="AH16" i="9"/>
  <c r="AL35" i="9"/>
  <c r="AL30" i="9"/>
  <c r="AH18" i="9"/>
  <c r="AL34" i="9"/>
  <c r="AL9" i="9"/>
  <c r="AL14" i="9"/>
  <c r="AL49" i="9"/>
  <c r="Z49" i="9"/>
  <c r="AH11" i="9"/>
  <c r="Z41" i="9"/>
  <c r="AL41" i="9"/>
  <c r="Z46" i="9"/>
  <c r="AL46" i="9"/>
  <c r="Z50" i="9"/>
  <c r="AL50" i="9"/>
  <c r="AL25" i="9"/>
  <c r="X29" i="9"/>
  <c r="Y29" i="9"/>
  <c r="X45" i="9"/>
  <c r="Y45" i="9"/>
  <c r="X26" i="9"/>
  <c r="Y26" i="9"/>
  <c r="T50" i="9"/>
  <c r="AE50" i="9" s="1"/>
  <c r="AC50" i="9" s="1"/>
  <c r="U50" i="9"/>
  <c r="AF16" i="9"/>
  <c r="V49" i="9"/>
  <c r="X23" i="9"/>
  <c r="Y23" i="9"/>
  <c r="AJ29" i="9"/>
  <c r="AH17" i="9"/>
  <c r="AL11" i="9"/>
  <c r="AL27" i="9"/>
  <c r="T10" i="9"/>
  <c r="U10" i="9"/>
  <c r="X18" i="9"/>
  <c r="Y18" i="9"/>
  <c r="X34" i="9"/>
  <c r="Y34" i="9"/>
  <c r="T42" i="9"/>
  <c r="U42" i="9"/>
  <c r="X50" i="9"/>
  <c r="Y50" i="9"/>
  <c r="AJ20" i="9"/>
  <c r="AL39" i="9"/>
  <c r="T7" i="9"/>
  <c r="U7" i="9"/>
  <c r="T15" i="9"/>
  <c r="U15" i="9"/>
  <c r="T23" i="9"/>
  <c r="U23" i="9"/>
  <c r="T31" i="9"/>
  <c r="U31" i="9"/>
  <c r="T39" i="9"/>
  <c r="U39" i="9"/>
  <c r="T47" i="9"/>
  <c r="U47" i="9"/>
  <c r="AJ50" i="9"/>
  <c r="AJ7" i="9"/>
  <c r="AL18" i="9"/>
  <c r="AJ21" i="9"/>
  <c r="AL32" i="9"/>
  <c r="AF17" i="9"/>
  <c r="AJ35" i="9"/>
  <c r="U4" i="9"/>
  <c r="T4" i="9"/>
  <c r="AE4" i="9" s="1"/>
  <c r="AC4" i="9" s="1"/>
  <c r="U12" i="9"/>
  <c r="T12" i="9"/>
  <c r="U20" i="9"/>
  <c r="T20" i="9"/>
  <c r="AE20" i="9" s="1"/>
  <c r="AC20" i="9" s="1"/>
  <c r="U28" i="9"/>
  <c r="T28" i="9"/>
  <c r="U36" i="9"/>
  <c r="T36" i="9"/>
  <c r="AE36" i="9" s="1"/>
  <c r="AC36" i="9" s="1"/>
  <c r="U44" i="9"/>
  <c r="T44" i="9"/>
  <c r="Z38" i="9"/>
  <c r="X5" i="9"/>
  <c r="Y5" i="9"/>
  <c r="X37" i="9"/>
  <c r="Y37" i="9"/>
  <c r="V16" i="9"/>
  <c r="V24" i="9"/>
  <c r="T18" i="9"/>
  <c r="AE18" i="9" s="1"/>
  <c r="AC18" i="9" s="1"/>
  <c r="U18" i="9"/>
  <c r="X42" i="9"/>
  <c r="Y42" i="9"/>
  <c r="X7" i="9"/>
  <c r="Y7" i="9"/>
  <c r="X15" i="9"/>
  <c r="Y15" i="9"/>
  <c r="X31" i="9"/>
  <c r="Y31" i="9"/>
  <c r="X39" i="9"/>
  <c r="Y39" i="9"/>
  <c r="X47" i="9"/>
  <c r="Y47" i="9"/>
  <c r="AL5" i="9"/>
  <c r="AE7" i="9"/>
  <c r="AC7" i="9" s="1"/>
  <c r="T26" i="9"/>
  <c r="U26" i="9"/>
  <c r="AH49" i="9"/>
  <c r="AJ12" i="9"/>
  <c r="AL23" i="9"/>
  <c r="Y9" i="9"/>
  <c r="X9" i="9"/>
  <c r="AE9" i="9" s="1"/>
  <c r="AC9" i="9" s="1"/>
  <c r="Y17" i="9"/>
  <c r="X17" i="9"/>
  <c r="Y25" i="9"/>
  <c r="X25" i="9"/>
  <c r="Y33" i="9"/>
  <c r="X33" i="9"/>
  <c r="Y41" i="9"/>
  <c r="X41" i="9"/>
  <c r="U49" i="9"/>
  <c r="T49" i="9"/>
  <c r="AF40" i="9"/>
  <c r="AH37" i="9"/>
  <c r="AH45" i="9"/>
  <c r="AH30" i="9"/>
  <c r="X4" i="9"/>
  <c r="Y4" i="9"/>
  <c r="X12" i="9"/>
  <c r="Y12" i="9"/>
  <c r="X20" i="9"/>
  <c r="Y20" i="9"/>
  <c r="X28" i="9"/>
  <c r="Y28" i="9"/>
  <c r="X36" i="9"/>
  <c r="Y36" i="9"/>
  <c r="X44" i="9"/>
  <c r="Y44" i="9"/>
  <c r="V11" i="9"/>
  <c r="AE28" i="9"/>
  <c r="AC28" i="9" s="1"/>
  <c r="X10" i="9"/>
  <c r="Y10" i="9"/>
  <c r="U9" i="9"/>
  <c r="T9" i="9"/>
  <c r="AF37" i="9"/>
  <c r="AH41" i="9"/>
  <c r="Y38" i="9"/>
  <c r="X38" i="9"/>
  <c r="X13" i="9"/>
  <c r="Y13" i="9"/>
  <c r="T34" i="9"/>
  <c r="U34" i="9"/>
  <c r="U25" i="9"/>
  <c r="T25" i="9"/>
  <c r="AE25" i="9" s="1"/>
  <c r="AC25" i="9" s="1"/>
  <c r="U41" i="9"/>
  <c r="T41" i="9"/>
  <c r="AH40" i="9"/>
  <c r="V50" i="9"/>
  <c r="AH33" i="9"/>
  <c r="AH6" i="9"/>
  <c r="AH14" i="9"/>
  <c r="Y14" i="9"/>
  <c r="X14" i="9"/>
  <c r="Y30" i="9"/>
  <c r="X30" i="9"/>
  <c r="Y46" i="9"/>
  <c r="X46" i="9"/>
  <c r="AH4" i="9"/>
  <c r="AH28" i="9"/>
  <c r="AH36" i="9"/>
  <c r="AF44" i="9"/>
  <c r="AF31" i="9"/>
  <c r="AF47" i="9"/>
  <c r="U11" i="9"/>
  <c r="T11" i="9"/>
  <c r="U19" i="9"/>
  <c r="T19" i="9"/>
  <c r="T27" i="9"/>
  <c r="AE27" i="9" s="1"/>
  <c r="AC27" i="9" s="1"/>
  <c r="U27" i="9"/>
  <c r="U35" i="9"/>
  <c r="T35" i="9"/>
  <c r="U43" i="9"/>
  <c r="T43" i="9"/>
  <c r="AH32" i="9"/>
  <c r="AF29" i="9"/>
  <c r="AE39" i="9"/>
  <c r="AC39" i="9" s="1"/>
  <c r="AE47" i="9"/>
  <c r="AC47" i="9" s="1"/>
  <c r="AH46" i="9"/>
  <c r="T6" i="9"/>
  <c r="U6" i="9"/>
  <c r="T14" i="9"/>
  <c r="AE14" i="9" s="1"/>
  <c r="AC14" i="9" s="1"/>
  <c r="U14" i="9"/>
  <c r="T22" i="9"/>
  <c r="AE22" i="9" s="1"/>
  <c r="AC22" i="9" s="1"/>
  <c r="U22" i="9"/>
  <c r="T30" i="9"/>
  <c r="U30" i="9"/>
  <c r="T38" i="9"/>
  <c r="U38" i="9"/>
  <c r="T46" i="9"/>
  <c r="AE46" i="9" s="1"/>
  <c r="AC46" i="9" s="1"/>
  <c r="U46" i="9"/>
  <c r="AJ43" i="9"/>
  <c r="X21" i="9"/>
  <c r="Y21" i="9"/>
  <c r="U17" i="9"/>
  <c r="T17" i="9"/>
  <c r="U33" i="9"/>
  <c r="T33" i="9"/>
  <c r="Y49" i="9"/>
  <c r="X49" i="9"/>
  <c r="AH9" i="9"/>
  <c r="AH38" i="9"/>
  <c r="Y6" i="9"/>
  <c r="X6" i="9"/>
  <c r="Y22" i="9"/>
  <c r="X22" i="9"/>
  <c r="AH44" i="9"/>
  <c r="AF8" i="9"/>
  <c r="AH34" i="9"/>
  <c r="AF42" i="9"/>
  <c r="X11" i="9"/>
  <c r="Y11" i="9"/>
  <c r="X19" i="9"/>
  <c r="Y19" i="9"/>
  <c r="X27" i="9"/>
  <c r="Y27" i="9"/>
  <c r="X35" i="9"/>
  <c r="Y35" i="9"/>
  <c r="X43" i="9"/>
  <c r="Y43" i="9"/>
  <c r="AF21" i="9"/>
  <c r="AJ39" i="9"/>
  <c r="AJ47" i="9"/>
  <c r="AF43" i="9"/>
  <c r="AE16" i="9"/>
  <c r="AC16" i="9" s="1"/>
  <c r="X8" i="9"/>
  <c r="Y8" i="9"/>
  <c r="X16" i="9"/>
  <c r="Y16" i="9"/>
  <c r="X24" i="9"/>
  <c r="Y24" i="9"/>
  <c r="X32" i="9"/>
  <c r="Y32" i="9"/>
  <c r="X40" i="9"/>
  <c r="Y40" i="9"/>
  <c r="X48" i="9"/>
  <c r="Y48" i="9"/>
  <c r="AE17" i="9"/>
  <c r="AC17" i="9" s="1"/>
  <c r="AH26" i="9"/>
  <c r="AE44" i="9"/>
  <c r="AC44" i="9" s="1"/>
  <c r="T5" i="9"/>
  <c r="U5" i="9"/>
  <c r="T13" i="9"/>
  <c r="U13" i="9"/>
  <c r="T21" i="9"/>
  <c r="U21" i="9"/>
  <c r="T29" i="9"/>
  <c r="U29" i="9"/>
  <c r="T37" i="9"/>
  <c r="U37" i="9"/>
  <c r="T45" i="9"/>
  <c r="U45" i="9"/>
  <c r="AE23" i="9"/>
  <c r="AC23" i="9" s="1"/>
  <c r="AE48" i="9"/>
  <c r="AC48" i="9" s="1"/>
  <c r="T8" i="9"/>
  <c r="AE8" i="9" s="1"/>
  <c r="AC8" i="9" s="1"/>
  <c r="U8" i="9"/>
  <c r="T16" i="9"/>
  <c r="U16" i="9"/>
  <c r="T24" i="9"/>
  <c r="U24" i="9"/>
  <c r="T32" i="9"/>
  <c r="U32" i="9"/>
  <c r="T40" i="9"/>
  <c r="U40" i="9"/>
  <c r="T48" i="9"/>
  <c r="U48" i="9"/>
  <c r="W43" i="4"/>
  <c r="U41" i="4"/>
  <c r="AI43" i="4"/>
  <c r="AE34" i="4"/>
  <c r="W7" i="4"/>
  <c r="AI36" i="4"/>
  <c r="AE24" i="4"/>
  <c r="Y24" i="4" s="1"/>
  <c r="X44" i="4"/>
  <c r="AI17" i="4"/>
  <c r="AI44" i="4"/>
  <c r="AE40" i="4"/>
  <c r="O8" i="4"/>
  <c r="P32" i="4"/>
  <c r="Y39" i="4"/>
  <c r="AG47" i="4"/>
  <c r="AE47" i="4"/>
  <c r="AG42" i="4"/>
  <c r="P36" i="4"/>
  <c r="AE45" i="4"/>
  <c r="AI41" i="4"/>
  <c r="W8" i="4"/>
  <c r="Y30" i="4"/>
  <c r="AI12" i="4"/>
  <c r="W36" i="4"/>
  <c r="Y33" i="4"/>
  <c r="W31" i="4"/>
  <c r="O4" i="4"/>
  <c r="Y25" i="4"/>
  <c r="AI31" i="4"/>
  <c r="AE10" i="4"/>
  <c r="AD40" i="4"/>
  <c r="AB40" i="4" s="1"/>
  <c r="P48" i="4"/>
  <c r="AD41" i="4"/>
  <c r="AB41" i="4" s="1"/>
  <c r="AJ41" i="4" s="1"/>
  <c r="AO41" i="4" s="1"/>
  <c r="AI13" i="4"/>
  <c r="W15" i="4"/>
  <c r="AI46" i="4"/>
  <c r="AI19" i="4"/>
  <c r="P28" i="4"/>
  <c r="W41" i="4"/>
  <c r="AE26" i="4"/>
  <c r="AI11" i="4"/>
  <c r="U50" i="4"/>
  <c r="AI16" i="4"/>
  <c r="AI14" i="4"/>
  <c r="AE5" i="4"/>
  <c r="W39" i="4"/>
  <c r="Y13" i="4"/>
  <c r="T42" i="4"/>
  <c r="P40" i="4"/>
  <c r="Y32" i="4"/>
  <c r="Y29" i="4"/>
  <c r="Y16" i="4"/>
  <c r="Y31" i="4"/>
  <c r="Y7" i="4"/>
  <c r="O39" i="4"/>
  <c r="P39" i="4"/>
  <c r="O47" i="4"/>
  <c r="P47" i="4"/>
  <c r="O18" i="4"/>
  <c r="P18" i="4"/>
  <c r="P30" i="4"/>
  <c r="O30" i="4"/>
  <c r="AI27" i="4"/>
  <c r="AE42" i="4"/>
  <c r="AI7" i="4"/>
  <c r="Y34" i="4"/>
  <c r="O12" i="4"/>
  <c r="P12" i="4"/>
  <c r="O21" i="4"/>
  <c r="P21" i="4"/>
  <c r="AE50" i="4"/>
  <c r="AI25" i="4"/>
  <c r="P22" i="4"/>
  <c r="O22" i="4"/>
  <c r="P13" i="4"/>
  <c r="O13" i="4"/>
  <c r="O9" i="4"/>
  <c r="P9" i="4"/>
  <c r="P26" i="4"/>
  <c r="O26" i="4"/>
  <c r="P38" i="4"/>
  <c r="O38" i="4"/>
  <c r="AI35" i="4"/>
  <c r="AD47" i="4"/>
  <c r="AB47" i="4" s="1"/>
  <c r="AJ47" i="4" s="1"/>
  <c r="AE15" i="4"/>
  <c r="X48" i="4"/>
  <c r="W48" i="4"/>
  <c r="AE37" i="4"/>
  <c r="O20" i="4"/>
  <c r="P20" i="4"/>
  <c r="O29" i="4"/>
  <c r="P29" i="4"/>
  <c r="AI29" i="4"/>
  <c r="AI18" i="4"/>
  <c r="AI33" i="4"/>
  <c r="P17" i="4"/>
  <c r="O17" i="4"/>
  <c r="O44" i="4"/>
  <c r="P44" i="4"/>
  <c r="O37" i="4"/>
  <c r="P37" i="4"/>
  <c r="P34" i="4"/>
  <c r="O34" i="4"/>
  <c r="Y26" i="4"/>
  <c r="AJ40" i="4"/>
  <c r="AO40" i="4" s="1"/>
  <c r="O7" i="4"/>
  <c r="P7" i="4"/>
  <c r="O25" i="4"/>
  <c r="P25" i="4"/>
  <c r="P42" i="4"/>
  <c r="O42" i="4"/>
  <c r="AI32" i="4"/>
  <c r="AE21" i="4"/>
  <c r="AD50" i="4"/>
  <c r="AB50" i="4" s="1"/>
  <c r="AJ50" i="4" s="1"/>
  <c r="O45" i="4"/>
  <c r="P45" i="4"/>
  <c r="AD44" i="4"/>
  <c r="AB44" i="4" s="1"/>
  <c r="AJ44" i="4" s="1"/>
  <c r="O10" i="4"/>
  <c r="P10" i="4"/>
  <c r="P46" i="4"/>
  <c r="O46" i="4"/>
  <c r="AJ38" i="4"/>
  <c r="O15" i="4"/>
  <c r="P15" i="4"/>
  <c r="O33" i="4"/>
  <c r="P33" i="4"/>
  <c r="P50" i="4"/>
  <c r="O50" i="4"/>
  <c r="AE4" i="4"/>
  <c r="AI4" i="4"/>
  <c r="AD42" i="4"/>
  <c r="AB42" i="4" s="1"/>
  <c r="AJ42" i="4" s="1"/>
  <c r="O6" i="4"/>
  <c r="P6" i="4"/>
  <c r="O23" i="4"/>
  <c r="P23" i="4"/>
  <c r="O41" i="4"/>
  <c r="P41" i="4"/>
  <c r="AE28" i="4"/>
  <c r="AI28" i="4"/>
  <c r="O31" i="4"/>
  <c r="P31" i="4"/>
  <c r="O49" i="4"/>
  <c r="P49" i="4"/>
  <c r="O14" i="4"/>
  <c r="P14" i="4"/>
  <c r="AI30" i="4"/>
  <c r="O5" i="4"/>
  <c r="P5" i="4"/>
  <c r="AI20" i="4"/>
  <c r="U43" i="4"/>
  <c r="AG43" i="4"/>
  <c r="T40" i="4"/>
  <c r="S46" i="4"/>
  <c r="AG41" i="4"/>
  <c r="T47" i="4"/>
  <c r="U48" i="4"/>
  <c r="U40" i="4"/>
  <c r="AK48" i="4"/>
  <c r="AK41" i="4"/>
  <c r="AG40" i="4"/>
  <c r="U42" i="4"/>
  <c r="AG49" i="4"/>
  <c r="AK44" i="4"/>
  <c r="U49" i="4"/>
  <c r="U47" i="4"/>
  <c r="T44" i="4"/>
  <c r="T41" i="4"/>
  <c r="U44" i="4"/>
  <c r="T38" i="4"/>
  <c r="AG45" i="4"/>
  <c r="U38" i="4"/>
  <c r="AK43" i="4"/>
  <c r="U45" i="4"/>
  <c r="U46" i="4"/>
  <c r="S48" i="4"/>
  <c r="T48" i="4"/>
  <c r="S45" i="4"/>
  <c r="AD45" i="4" s="1"/>
  <c r="AB45" i="4" s="1"/>
  <c r="T45" i="4"/>
  <c r="S49" i="4"/>
  <c r="T49" i="4"/>
  <c r="AK38" i="4"/>
  <c r="AG39" i="4"/>
  <c r="U39" i="4"/>
  <c r="S39" i="4"/>
  <c r="T39" i="4"/>
  <c r="S43" i="4"/>
  <c r="T43" i="4"/>
  <c r="R29" i="7"/>
  <c r="W29" i="7" s="1"/>
  <c r="Y29" i="7" s="1"/>
  <c r="X29" i="7"/>
  <c r="Z29" i="7" s="1"/>
  <c r="AL6" i="9" l="1"/>
  <c r="AE11" i="9"/>
  <c r="AC11" i="9" s="1"/>
  <c r="AH15" i="9"/>
  <c r="AE13" i="9"/>
  <c r="AC13" i="9" s="1"/>
  <c r="AE38" i="9"/>
  <c r="AC38" i="9" s="1"/>
  <c r="AE30" i="9"/>
  <c r="AC30" i="9" s="1"/>
  <c r="AK30" i="9" s="1"/>
  <c r="AE15" i="9"/>
  <c r="AC15" i="9" s="1"/>
  <c r="AL10" i="9"/>
  <c r="Z39" i="9"/>
  <c r="AL4" i="9"/>
  <c r="AE5" i="9"/>
  <c r="AC5" i="9" s="1"/>
  <c r="AK5" i="9" s="1"/>
  <c r="AE42" i="9"/>
  <c r="AC42" i="9" s="1"/>
  <c r="AK42" i="9" s="1"/>
  <c r="AL20" i="9"/>
  <c r="AL28" i="9"/>
  <c r="AL38" i="9"/>
  <c r="AI20" i="9"/>
  <c r="AG20" i="9" s="1"/>
  <c r="AM20" i="9" s="1"/>
  <c r="AH7" i="9"/>
  <c r="AK46" i="9"/>
  <c r="AK14" i="9"/>
  <c r="AP14" i="9" s="1"/>
  <c r="AK28" i="9"/>
  <c r="AE40" i="9"/>
  <c r="AC40" i="9" s="1"/>
  <c r="AK40" i="9" s="1"/>
  <c r="AL43" i="9"/>
  <c r="Z43" i="9"/>
  <c r="AK27" i="9"/>
  <c r="AH12" i="9"/>
  <c r="AK18" i="9"/>
  <c r="AH35" i="9"/>
  <c r="AK39" i="9"/>
  <c r="AK7" i="9"/>
  <c r="AP7" i="9" s="1"/>
  <c r="AK10" i="9"/>
  <c r="AK50" i="9"/>
  <c r="AH50" i="9"/>
  <c r="AK31" i="9"/>
  <c r="AH20" i="9"/>
  <c r="AI8" i="9"/>
  <c r="AG8" i="9" s="1"/>
  <c r="AM8" i="9" s="1"/>
  <c r="AE6" i="9"/>
  <c r="AC6" i="9" s="1"/>
  <c r="AK6" i="9" s="1"/>
  <c r="AE31" i="9"/>
  <c r="AC31" i="9" s="1"/>
  <c r="AI11" i="9"/>
  <c r="AG11" i="9" s="1"/>
  <c r="AM11" i="9" s="1"/>
  <c r="AK11" i="9"/>
  <c r="AP11" i="9" s="1"/>
  <c r="AE43" i="9"/>
  <c r="AC43" i="9" s="1"/>
  <c r="AK43" i="9" s="1"/>
  <c r="AP43" i="9" s="1"/>
  <c r="AE29" i="9"/>
  <c r="AC29" i="9" s="1"/>
  <c r="AK29" i="9" s="1"/>
  <c r="AL37" i="9"/>
  <c r="AK44" i="9"/>
  <c r="AH21" i="9"/>
  <c r="AE10" i="9"/>
  <c r="AC10" i="9" s="1"/>
  <c r="AE12" i="9"/>
  <c r="AC12" i="9" s="1"/>
  <c r="AK12" i="9" s="1"/>
  <c r="AH47" i="9"/>
  <c r="Z42" i="9"/>
  <c r="AL42" i="9"/>
  <c r="AE41" i="9"/>
  <c r="AC41" i="9" s="1"/>
  <c r="AK41" i="9" s="1"/>
  <c r="AK25" i="9"/>
  <c r="AK23" i="9"/>
  <c r="AH29" i="9"/>
  <c r="AE35" i="9"/>
  <c r="AC35" i="9" s="1"/>
  <c r="AK35" i="9" s="1"/>
  <c r="AP35" i="9" s="1"/>
  <c r="AK20" i="9"/>
  <c r="AP20" i="9" s="1"/>
  <c r="AE32" i="9"/>
  <c r="AC32" i="9" s="1"/>
  <c r="AK32" i="9" s="1"/>
  <c r="Z40" i="9"/>
  <c r="AL40" i="9"/>
  <c r="AK33" i="9"/>
  <c r="AK48" i="9"/>
  <c r="AK16" i="9"/>
  <c r="AE24" i="9"/>
  <c r="AC24" i="9" s="1"/>
  <c r="AK24" i="9" s="1"/>
  <c r="AL21" i="9"/>
  <c r="AH43" i="9"/>
  <c r="AK22" i="9"/>
  <c r="AP22" i="9" s="1"/>
  <c r="AL47" i="9"/>
  <c r="Z47" i="9"/>
  <c r="AK36" i="9"/>
  <c r="AK4" i="9"/>
  <c r="AE21" i="9"/>
  <c r="AC21" i="9" s="1"/>
  <c r="AK21" i="9" s="1"/>
  <c r="AL16" i="9"/>
  <c r="AK19" i="9"/>
  <c r="AP19" i="9" s="1"/>
  <c r="AL17" i="9"/>
  <c r="AE19" i="9"/>
  <c r="AC19" i="9" s="1"/>
  <c r="AL8" i="9"/>
  <c r="AE45" i="9"/>
  <c r="AC45" i="9" s="1"/>
  <c r="AK45" i="9" s="1"/>
  <c r="AE26" i="9"/>
  <c r="AC26" i="9" s="1"/>
  <c r="AK26" i="9" s="1"/>
  <c r="AK9" i="9"/>
  <c r="AE37" i="9"/>
  <c r="AC37" i="9" s="1"/>
  <c r="AK37" i="9" s="1"/>
  <c r="AE34" i="9"/>
  <c r="AC34" i="9" s="1"/>
  <c r="AK34" i="9" s="1"/>
  <c r="AE33" i="9"/>
  <c r="AC33" i="9" s="1"/>
  <c r="AK17" i="9"/>
  <c r="AL31" i="9"/>
  <c r="AK47" i="9"/>
  <c r="AP47" i="9" s="1"/>
  <c r="AK15" i="9"/>
  <c r="AP15" i="9" s="1"/>
  <c r="AK38" i="9"/>
  <c r="AH39" i="9"/>
  <c r="AK8" i="9"/>
  <c r="AP8" i="9" s="1"/>
  <c r="AK13" i="9"/>
  <c r="AP13" i="9" s="1"/>
  <c r="AE49" i="9"/>
  <c r="AC49" i="9" s="1"/>
  <c r="AK49" i="9" s="1"/>
  <c r="AP49" i="9" s="1"/>
  <c r="AL29" i="9"/>
  <c r="Z44" i="9"/>
  <c r="AL44" i="9"/>
  <c r="Y40" i="4"/>
  <c r="AK40" i="4"/>
  <c r="AG46" i="4"/>
  <c r="AK42" i="4"/>
  <c r="Y5" i="4"/>
  <c r="AH42" i="4"/>
  <c r="AF42" i="4" s="1"/>
  <c r="AL42" i="4" s="1"/>
  <c r="AO42" i="4"/>
  <c r="AH47" i="4"/>
  <c r="AF47" i="4" s="1"/>
  <c r="AL47" i="4" s="1"/>
  <c r="AO47" i="4"/>
  <c r="Y45" i="4"/>
  <c r="AH38" i="4"/>
  <c r="AF38" i="4" s="1"/>
  <c r="AL38" i="4" s="1"/>
  <c r="AO38" i="4"/>
  <c r="AH50" i="4"/>
  <c r="AF50" i="4" s="1"/>
  <c r="AO50" i="4"/>
  <c r="Y47" i="4"/>
  <c r="AH44" i="4"/>
  <c r="AF44" i="4" s="1"/>
  <c r="AO44" i="4"/>
  <c r="AH40" i="4"/>
  <c r="AF40" i="4" s="1"/>
  <c r="AL40" i="4" s="1"/>
  <c r="AH41" i="4"/>
  <c r="AF41" i="4" s="1"/>
  <c r="AL41" i="4" s="1"/>
  <c r="AD48" i="4"/>
  <c r="AB48" i="4" s="1"/>
  <c r="AJ48" i="4" s="1"/>
  <c r="Y10" i="4"/>
  <c r="Y21" i="4"/>
  <c r="Y15" i="4"/>
  <c r="Y50" i="4"/>
  <c r="AD39" i="4"/>
  <c r="AB39" i="4" s="1"/>
  <c r="AJ39" i="4" s="1"/>
  <c r="AD49" i="4"/>
  <c r="AB49" i="4" s="1"/>
  <c r="AJ49" i="4" s="1"/>
  <c r="Y28" i="4"/>
  <c r="Y4" i="4"/>
  <c r="Y37" i="4"/>
  <c r="AD43" i="4"/>
  <c r="AB43" i="4" s="1"/>
  <c r="AJ43" i="4" s="1"/>
  <c r="AJ45" i="4"/>
  <c r="AD46" i="4"/>
  <c r="AB46" i="4" s="1"/>
  <c r="AJ46" i="4" s="1"/>
  <c r="Y42" i="4"/>
  <c r="AG48" i="4"/>
  <c r="AK39" i="4"/>
  <c r="AK46" i="4"/>
  <c r="AK47" i="4"/>
  <c r="AK49" i="4"/>
  <c r="AG44" i="4"/>
  <c r="AK45" i="4"/>
  <c r="AL50" i="4"/>
  <c r="AG50" i="4"/>
  <c r="AK50" i="4"/>
  <c r="AG38" i="4"/>
  <c r="AI14" i="9" l="1"/>
  <c r="AG14" i="9" s="1"/>
  <c r="AM14" i="9" s="1"/>
  <c r="AP37" i="9"/>
  <c r="AI37" i="9"/>
  <c r="AG37" i="9" s="1"/>
  <c r="AM37" i="9" s="1"/>
  <c r="AP40" i="9"/>
  <c r="AI40" i="9"/>
  <c r="AG40" i="9" s="1"/>
  <c r="AM40" i="9" s="1"/>
  <c r="AP6" i="9"/>
  <c r="AI6" i="9"/>
  <c r="AG6" i="9" s="1"/>
  <c r="AM6" i="9" s="1"/>
  <c r="AP26" i="9"/>
  <c r="AI26" i="9"/>
  <c r="AG26" i="9" s="1"/>
  <c r="AM26" i="9" s="1"/>
  <c r="AP41" i="9"/>
  <c r="AI41" i="9"/>
  <c r="AG41" i="9" s="1"/>
  <c r="AM41" i="9" s="1"/>
  <c r="AP32" i="9"/>
  <c r="AI32" i="9"/>
  <c r="AG32" i="9" s="1"/>
  <c r="AM32" i="9" s="1"/>
  <c r="AP24" i="9"/>
  <c r="AI24" i="9"/>
  <c r="AG24" i="9" s="1"/>
  <c r="AM24" i="9" s="1"/>
  <c r="AP45" i="9"/>
  <c r="AI45" i="9"/>
  <c r="AG45" i="9" s="1"/>
  <c r="AM45" i="9" s="1"/>
  <c r="AP12" i="9"/>
  <c r="AI12" i="9"/>
  <c r="AG12" i="9" s="1"/>
  <c r="AM12" i="9" s="1"/>
  <c r="AP21" i="9"/>
  <c r="AI21" i="9"/>
  <c r="AG21" i="9" s="1"/>
  <c r="AM21" i="9" s="1"/>
  <c r="AP25" i="9"/>
  <c r="AI25" i="9"/>
  <c r="AG25" i="9" s="1"/>
  <c r="AM25" i="9" s="1"/>
  <c r="AP44" i="9"/>
  <c r="AI44" i="9"/>
  <c r="AG44" i="9" s="1"/>
  <c r="AM44" i="9" s="1"/>
  <c r="AP50" i="9"/>
  <c r="AI50" i="9"/>
  <c r="AG50" i="9" s="1"/>
  <c r="AM50" i="9" s="1"/>
  <c r="AP18" i="9"/>
  <c r="AI18" i="9"/>
  <c r="AG18" i="9" s="1"/>
  <c r="AM18" i="9" s="1"/>
  <c r="AP9" i="9"/>
  <c r="AI9" i="9"/>
  <c r="AG9" i="9" s="1"/>
  <c r="AM9" i="9" s="1"/>
  <c r="AP34" i="9"/>
  <c r="AI34" i="9"/>
  <c r="AG34" i="9" s="1"/>
  <c r="AM34" i="9" s="1"/>
  <c r="AP4" i="9"/>
  <c r="AI4" i="9"/>
  <c r="AG4" i="9" s="1"/>
  <c r="AM4" i="9" s="1"/>
  <c r="AI43" i="9"/>
  <c r="AG43" i="9" s="1"/>
  <c r="AM43" i="9" s="1"/>
  <c r="AP30" i="9"/>
  <c r="AI30" i="9"/>
  <c r="AG30" i="9" s="1"/>
  <c r="AM30" i="9" s="1"/>
  <c r="AP29" i="9"/>
  <c r="AI29" i="9"/>
  <c r="AG29" i="9" s="1"/>
  <c r="AM29" i="9" s="1"/>
  <c r="AP36" i="9"/>
  <c r="AI36" i="9"/>
  <c r="AG36" i="9" s="1"/>
  <c r="AM36" i="9" s="1"/>
  <c r="AP17" i="9"/>
  <c r="AI17" i="9"/>
  <c r="AG17" i="9" s="1"/>
  <c r="AM17" i="9" s="1"/>
  <c r="AI35" i="9"/>
  <c r="AG35" i="9" s="1"/>
  <c r="AM35" i="9" s="1"/>
  <c r="AP16" i="9"/>
  <c r="AI16" i="9"/>
  <c r="AG16" i="9" s="1"/>
  <c r="AM16" i="9" s="1"/>
  <c r="AP42" i="9"/>
  <c r="AI42" i="9"/>
  <c r="AG42" i="9" s="1"/>
  <c r="AM42" i="9" s="1"/>
  <c r="AP39" i="9"/>
  <c r="AI39" i="9"/>
  <c r="AG39" i="9" s="1"/>
  <c r="AM39" i="9" s="1"/>
  <c r="AI19" i="9"/>
  <c r="AG19" i="9" s="1"/>
  <c r="AM19" i="9" s="1"/>
  <c r="AP23" i="9"/>
  <c r="AI23" i="9"/>
  <c r="AG23" i="9" s="1"/>
  <c r="AM23" i="9" s="1"/>
  <c r="AP38" i="9"/>
  <c r="AI38" i="9"/>
  <c r="AG38" i="9" s="1"/>
  <c r="AM38" i="9" s="1"/>
  <c r="AI47" i="9"/>
  <c r="AG47" i="9" s="1"/>
  <c r="AM47" i="9" s="1"/>
  <c r="AP5" i="9"/>
  <c r="AI5" i="9"/>
  <c r="AG5" i="9" s="1"/>
  <c r="AM5" i="9" s="1"/>
  <c r="AP48" i="9"/>
  <c r="AI48" i="9"/>
  <c r="AG48" i="9" s="1"/>
  <c r="AM48" i="9" s="1"/>
  <c r="AI49" i="9"/>
  <c r="AG49" i="9" s="1"/>
  <c r="AM49" i="9" s="1"/>
  <c r="AI22" i="9"/>
  <c r="AG22" i="9" s="1"/>
  <c r="AM22" i="9" s="1"/>
  <c r="AP10" i="9"/>
  <c r="AI10" i="9"/>
  <c r="AG10" i="9" s="1"/>
  <c r="AM10" i="9" s="1"/>
  <c r="AP46" i="9"/>
  <c r="AI46" i="9"/>
  <c r="AG46" i="9" s="1"/>
  <c r="AM46" i="9" s="1"/>
  <c r="AI15" i="9"/>
  <c r="AG15" i="9" s="1"/>
  <c r="AM15" i="9" s="1"/>
  <c r="AP33" i="9"/>
  <c r="AI33" i="9"/>
  <c r="AG33" i="9" s="1"/>
  <c r="AM33" i="9" s="1"/>
  <c r="AP28" i="9"/>
  <c r="AI28" i="9"/>
  <c r="AG28" i="9" s="1"/>
  <c r="AM28" i="9" s="1"/>
  <c r="AI7" i="9"/>
  <c r="AG7" i="9" s="1"/>
  <c r="AM7" i="9" s="1"/>
  <c r="AP31" i="9"/>
  <c r="AI31" i="9"/>
  <c r="AG31" i="9" s="1"/>
  <c r="AM31" i="9" s="1"/>
  <c r="AP27" i="9"/>
  <c r="AI27" i="9"/>
  <c r="AG27" i="9" s="1"/>
  <c r="AM27" i="9" s="1"/>
  <c r="AI13" i="9"/>
  <c r="AG13" i="9" s="1"/>
  <c r="AM13" i="9" s="1"/>
  <c r="AH49" i="4"/>
  <c r="AF49" i="4" s="1"/>
  <c r="AO49" i="4"/>
  <c r="AO48" i="4"/>
  <c r="AH48" i="4"/>
  <c r="AF48" i="4" s="1"/>
  <c r="AH46" i="4"/>
  <c r="AF46" i="4" s="1"/>
  <c r="AL46" i="4" s="1"/>
  <c r="AO46" i="4"/>
  <c r="AH45" i="4"/>
  <c r="AF45" i="4" s="1"/>
  <c r="AL45" i="4" s="1"/>
  <c r="AO45" i="4"/>
  <c r="AH43" i="4"/>
  <c r="AF43" i="4" s="1"/>
  <c r="AO43" i="4"/>
  <c r="AH39" i="4"/>
  <c r="AF39" i="4" s="1"/>
  <c r="AO39" i="4"/>
  <c r="AL48" i="4"/>
  <c r="AL44" i="4"/>
  <c r="AL49" i="4"/>
  <c r="AL43" i="4"/>
  <c r="AL39" i="4"/>
  <c r="V4" i="1" l="1"/>
  <c r="V5" i="1"/>
  <c r="V6" i="1"/>
  <c r="V8" i="1"/>
  <c r="V9" i="1"/>
  <c r="V10" i="1"/>
  <c r="V11" i="1"/>
  <c r="V12" i="1"/>
  <c r="V13" i="1"/>
  <c r="V15" i="1"/>
  <c r="V16" i="1"/>
  <c r="V17" i="1"/>
  <c r="V18" i="1"/>
  <c r="V19" i="1"/>
  <c r="V20" i="1"/>
  <c r="V21" i="1"/>
  <c r="V22" i="1"/>
  <c r="V23" i="1"/>
  <c r="V25" i="1"/>
  <c r="V27" i="1"/>
  <c r="V28" i="1"/>
  <c r="V29" i="1"/>
  <c r="V30" i="1"/>
  <c r="V31" i="1"/>
  <c r="V32" i="1"/>
  <c r="V33" i="1"/>
  <c r="V35" i="1"/>
  <c r="V36" i="1"/>
  <c r="V37" i="1"/>
  <c r="V39" i="1"/>
  <c r="V40" i="1"/>
  <c r="V41" i="1"/>
  <c r="V42" i="1"/>
  <c r="V44" i="1"/>
  <c r="V45" i="1"/>
  <c r="V46" i="1"/>
  <c r="V47" i="1"/>
  <c r="V48" i="1"/>
  <c r="V49" i="1"/>
  <c r="V50" i="1"/>
  <c r="V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3" i="1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" i="8"/>
  <c r="R9" i="8"/>
  <c r="Q9" i="8"/>
  <c r="P9" i="8"/>
  <c r="O9" i="8"/>
  <c r="N9" i="8"/>
  <c r="R8" i="8"/>
  <c r="Q8" i="8"/>
  <c r="P8" i="8"/>
  <c r="O8" i="8"/>
  <c r="N8" i="8"/>
  <c r="M9" i="8"/>
  <c r="M8" i="8"/>
  <c r="N28" i="7" l="1"/>
  <c r="P28" i="7" s="1"/>
  <c r="O28" i="7"/>
  <c r="Q28" i="7" s="1"/>
  <c r="U28" i="7" s="1"/>
  <c r="S28" i="7"/>
  <c r="N4" i="7"/>
  <c r="N5" i="7"/>
  <c r="N6" i="7"/>
  <c r="N7" i="7"/>
  <c r="AD37" i="1"/>
  <c r="AC37" i="1"/>
  <c r="AB37" i="1"/>
  <c r="AR38" i="1"/>
  <c r="P38" i="1"/>
  <c r="AQ38" i="1" s="1"/>
  <c r="Q38" i="1"/>
  <c r="R38" i="1"/>
  <c r="R37" i="1"/>
  <c r="Q37" i="1"/>
  <c r="P37" i="1"/>
  <c r="AB40" i="1"/>
  <c r="AC40" i="1"/>
  <c r="AD40" i="1"/>
  <c r="AB41" i="1"/>
  <c r="AC41" i="1"/>
  <c r="AD41" i="1"/>
  <c r="AB42" i="1"/>
  <c r="AC42" i="1"/>
  <c r="AD42" i="1"/>
  <c r="AB44" i="1"/>
  <c r="AC44" i="1"/>
  <c r="AD44" i="1"/>
  <c r="AB45" i="1"/>
  <c r="AC45" i="1"/>
  <c r="AD45" i="1"/>
  <c r="AB46" i="1"/>
  <c r="AC46" i="1"/>
  <c r="AD46" i="1"/>
  <c r="AB47" i="1"/>
  <c r="AC47" i="1"/>
  <c r="AD47" i="1"/>
  <c r="AB48" i="1"/>
  <c r="AC48" i="1"/>
  <c r="AD48" i="1"/>
  <c r="AB49" i="1"/>
  <c r="AC49" i="1"/>
  <c r="AD49" i="1"/>
  <c r="AB50" i="1"/>
  <c r="AC50" i="1"/>
  <c r="AD50" i="1"/>
  <c r="AB36" i="1"/>
  <c r="AC36" i="1"/>
  <c r="AD36" i="1"/>
  <c r="AB31" i="1"/>
  <c r="AC31" i="1"/>
  <c r="AD31" i="1"/>
  <c r="R43" i="1"/>
  <c r="Q43" i="1"/>
  <c r="AR43" i="1" s="1"/>
  <c r="P43" i="1"/>
  <c r="AB4" i="1"/>
  <c r="AC4" i="1"/>
  <c r="AD4" i="1"/>
  <c r="AB5" i="1"/>
  <c r="AC5" i="1"/>
  <c r="AD5" i="1"/>
  <c r="R34" i="1"/>
  <c r="Q34" i="1"/>
  <c r="AR34" i="1" s="1"/>
  <c r="P34" i="1"/>
  <c r="R14" i="1"/>
  <c r="Q14" i="1"/>
  <c r="P14" i="1"/>
  <c r="Q29" i="1"/>
  <c r="Q30" i="1"/>
  <c r="Q31" i="1"/>
  <c r="Q32" i="1"/>
  <c r="Q33" i="1"/>
  <c r="Q35" i="1"/>
  <c r="Q36" i="1"/>
  <c r="Q39" i="1"/>
  <c r="Q40" i="1"/>
  <c r="Q41" i="1"/>
  <c r="Q42" i="1"/>
  <c r="Q44" i="1"/>
  <c r="Q45" i="1"/>
  <c r="Q46" i="1"/>
  <c r="Q47" i="1"/>
  <c r="Q48" i="1"/>
  <c r="Q49" i="1"/>
  <c r="Q50" i="1"/>
  <c r="T28" i="7" l="1"/>
  <c r="X28" i="7" s="1"/>
  <c r="Z28" i="7" s="1"/>
  <c r="V28" i="7"/>
  <c r="R28" i="7"/>
  <c r="W28" i="7" s="1"/>
  <c r="Y28" i="7" s="1"/>
  <c r="P40" i="1" l="1"/>
  <c r="R40" i="1"/>
  <c r="P41" i="1"/>
  <c r="R41" i="1"/>
  <c r="P42" i="1"/>
  <c r="AQ43" i="1" s="1"/>
  <c r="R42" i="1"/>
  <c r="P44" i="1"/>
  <c r="R44" i="1"/>
  <c r="P45" i="1"/>
  <c r="R45" i="1"/>
  <c r="P46" i="1"/>
  <c r="R46" i="1"/>
  <c r="P47" i="1"/>
  <c r="R47" i="1"/>
  <c r="P48" i="1"/>
  <c r="R48" i="1"/>
  <c r="P49" i="1"/>
  <c r="R49" i="1"/>
  <c r="P50" i="1"/>
  <c r="R50" i="1"/>
  <c r="J3" i="9" l="1"/>
  <c r="I3" i="9"/>
  <c r="H3" i="9"/>
  <c r="O3" i="9"/>
  <c r="N3" i="9"/>
  <c r="M3" i="9"/>
  <c r="E3" i="9"/>
  <c r="D3" i="9"/>
  <c r="C3" i="9"/>
  <c r="B3" i="9"/>
  <c r="A3" i="9"/>
  <c r="Q7" i="8"/>
  <c r="Q6" i="8"/>
  <c r="R7" i="8"/>
  <c r="R6" i="8"/>
  <c r="O7" i="8"/>
  <c r="O6" i="8"/>
  <c r="P7" i="8"/>
  <c r="P6" i="8"/>
  <c r="N7" i="8"/>
  <c r="N6" i="8"/>
  <c r="M7" i="8"/>
  <c r="M6" i="8"/>
  <c r="N3" i="4"/>
  <c r="M3" i="4"/>
  <c r="L3" i="4"/>
  <c r="V25" i="4"/>
  <c r="T25" i="4" s="1"/>
  <c r="J3" i="4"/>
  <c r="R3" i="4" l="1"/>
  <c r="Z3" i="4"/>
  <c r="W3" i="4" s="1"/>
  <c r="V11" i="4"/>
  <c r="T11" i="4" s="1"/>
  <c r="V35" i="4"/>
  <c r="S35" i="4" s="1"/>
  <c r="V33" i="4"/>
  <c r="S33" i="4" s="1"/>
  <c r="V28" i="4"/>
  <c r="S28" i="4" s="1"/>
  <c r="V9" i="4"/>
  <c r="S9" i="4" s="1"/>
  <c r="AC3" i="4"/>
  <c r="V15" i="4"/>
  <c r="T15" i="4" s="1"/>
  <c r="V31" i="4"/>
  <c r="T31" i="4" s="1"/>
  <c r="V5" i="4"/>
  <c r="S5" i="4" s="1"/>
  <c r="S3" i="9"/>
  <c r="R3" i="9" s="1"/>
  <c r="V32" i="4"/>
  <c r="S32" i="4" s="1"/>
  <c r="V27" i="4"/>
  <c r="T27" i="4" s="1"/>
  <c r="AK35" i="4"/>
  <c r="V10" i="4"/>
  <c r="S10" i="4" s="1"/>
  <c r="V14" i="4"/>
  <c r="U9" i="4"/>
  <c r="Q3" i="4"/>
  <c r="BB3" i="4"/>
  <c r="V23" i="4"/>
  <c r="V24" i="4"/>
  <c r="K3" i="9"/>
  <c r="P3" i="9" s="1"/>
  <c r="U20" i="4"/>
  <c r="Z9" i="9"/>
  <c r="Z11" i="9"/>
  <c r="Z13" i="9"/>
  <c r="Z18" i="9"/>
  <c r="Z37" i="9"/>
  <c r="Z15" i="9"/>
  <c r="Z22" i="9"/>
  <c r="V17" i="4"/>
  <c r="V7" i="4"/>
  <c r="V6" i="4"/>
  <c r="V18" i="4"/>
  <c r="V4" i="4"/>
  <c r="U5" i="4"/>
  <c r="U27" i="4"/>
  <c r="U11" i="4"/>
  <c r="V20" i="4"/>
  <c r="V16" i="4"/>
  <c r="U30" i="4"/>
  <c r="V12" i="4"/>
  <c r="AK15" i="4"/>
  <c r="BD15" i="4" s="1"/>
  <c r="V19" i="4"/>
  <c r="V8" i="4"/>
  <c r="V26" i="4"/>
  <c r="T28" i="4"/>
  <c r="V36" i="4"/>
  <c r="V13" i="4"/>
  <c r="V21" i="4"/>
  <c r="S25" i="4"/>
  <c r="V34" i="4"/>
  <c r="U28" i="4"/>
  <c r="V29" i="4"/>
  <c r="V22" i="4"/>
  <c r="V30" i="4"/>
  <c r="V37" i="4"/>
  <c r="W3" i="9"/>
  <c r="T3" i="9" s="1"/>
  <c r="AA3" i="9"/>
  <c r="Y3" i="9" s="1"/>
  <c r="AD3" i="9"/>
  <c r="AB3" i="9"/>
  <c r="AF3" i="9" s="1"/>
  <c r="Z3" i="9" s="1"/>
  <c r="AA3" i="4"/>
  <c r="U3" i="4" s="1"/>
  <c r="V3" i="4"/>
  <c r="T3" i="4" s="1"/>
  <c r="V3" i="9" l="1"/>
  <c r="AJ3" i="9"/>
  <c r="Z34" i="9"/>
  <c r="Z8" i="9"/>
  <c r="Z35" i="9"/>
  <c r="Z30" i="9"/>
  <c r="Z33" i="9"/>
  <c r="AD5" i="4"/>
  <c r="AB5" i="4" s="1"/>
  <c r="AJ5" i="4" s="1"/>
  <c r="AD9" i="4"/>
  <c r="AB9" i="4" s="1"/>
  <c r="AJ9" i="4" s="1"/>
  <c r="AO9" i="4" s="1"/>
  <c r="AD25" i="4"/>
  <c r="AB25" i="4" s="1"/>
  <c r="AJ25" i="4" s="1"/>
  <c r="AD10" i="4"/>
  <c r="AB10" i="4" s="1"/>
  <c r="AJ10" i="4" s="1"/>
  <c r="AD28" i="4"/>
  <c r="AB28" i="4" s="1"/>
  <c r="AJ28" i="4" s="1"/>
  <c r="AD33" i="4"/>
  <c r="AB33" i="4" s="1"/>
  <c r="AJ33" i="4" s="1"/>
  <c r="AD35" i="4"/>
  <c r="AB35" i="4" s="1"/>
  <c r="AJ35" i="4" s="1"/>
  <c r="AD32" i="4"/>
  <c r="AB32" i="4" s="1"/>
  <c r="AJ32" i="4" s="1"/>
  <c r="S11" i="4"/>
  <c r="AK29" i="4"/>
  <c r="T35" i="4"/>
  <c r="X3" i="4"/>
  <c r="U29" i="4"/>
  <c r="AK13" i="4"/>
  <c r="T33" i="4"/>
  <c r="S31" i="4"/>
  <c r="T32" i="4"/>
  <c r="AG23" i="4"/>
  <c r="U19" i="4"/>
  <c r="U13" i="4"/>
  <c r="T9" i="4"/>
  <c r="U37" i="4"/>
  <c r="S15" i="4"/>
  <c r="T10" i="4"/>
  <c r="T5" i="4"/>
  <c r="S27" i="4"/>
  <c r="AK30" i="4"/>
  <c r="AK20" i="4"/>
  <c r="U35" i="4"/>
  <c r="AG21" i="4"/>
  <c r="AG29" i="4"/>
  <c r="AK10" i="4"/>
  <c r="AK37" i="4"/>
  <c r="U26" i="4"/>
  <c r="U14" i="4"/>
  <c r="AK19" i="4"/>
  <c r="U24" i="4"/>
  <c r="AK27" i="4"/>
  <c r="U31" i="4"/>
  <c r="AK26" i="4"/>
  <c r="AK7" i="4"/>
  <c r="AK21" i="4"/>
  <c r="AK4" i="4"/>
  <c r="AG32" i="4"/>
  <c r="AK25" i="4"/>
  <c r="Z5" i="9"/>
  <c r="U25" i="4"/>
  <c r="U32" i="4"/>
  <c r="U21" i="4"/>
  <c r="U4" i="4"/>
  <c r="U15" i="4"/>
  <c r="U18" i="4"/>
  <c r="AG24" i="4"/>
  <c r="U17" i="4"/>
  <c r="Q3" i="9"/>
  <c r="U16" i="4"/>
  <c r="U22" i="4"/>
  <c r="S24" i="4"/>
  <c r="T24" i="4"/>
  <c r="U12" i="4"/>
  <c r="U8" i="4"/>
  <c r="U10" i="4"/>
  <c r="S14" i="4"/>
  <c r="T14" i="4"/>
  <c r="AK16" i="4"/>
  <c r="U36" i="4"/>
  <c r="U6" i="4"/>
  <c r="U33" i="4"/>
  <c r="T23" i="4"/>
  <c r="S23" i="4"/>
  <c r="U23" i="4"/>
  <c r="U7" i="4"/>
  <c r="U34" i="4"/>
  <c r="Z27" i="9"/>
  <c r="Z23" i="9"/>
  <c r="Z21" i="9"/>
  <c r="AK14" i="4"/>
  <c r="AK22" i="4"/>
  <c r="AG12" i="4"/>
  <c r="AK6" i="4"/>
  <c r="BD6" i="4" s="1"/>
  <c r="AK34" i="4"/>
  <c r="T12" i="4"/>
  <c r="S12" i="4"/>
  <c r="S4" i="4"/>
  <c r="T4" i="4"/>
  <c r="AK9" i="4"/>
  <c r="BD9" i="4" s="1"/>
  <c r="T29" i="4"/>
  <c r="S29" i="4"/>
  <c r="T37" i="4"/>
  <c r="S37" i="4"/>
  <c r="T8" i="4"/>
  <c r="S8" i="4"/>
  <c r="S30" i="4"/>
  <c r="T30" i="4"/>
  <c r="T21" i="4"/>
  <c r="S21" i="4"/>
  <c r="T36" i="4"/>
  <c r="S36" i="4"/>
  <c r="T18" i="4"/>
  <c r="S18" i="4"/>
  <c r="T20" i="4"/>
  <c r="S20" i="4"/>
  <c r="T17" i="4"/>
  <c r="S17" i="4"/>
  <c r="S22" i="4"/>
  <c r="T22" i="4"/>
  <c r="S16" i="4"/>
  <c r="T16" i="4"/>
  <c r="T6" i="4"/>
  <c r="S6" i="4"/>
  <c r="T7" i="4"/>
  <c r="S7" i="4"/>
  <c r="T26" i="4"/>
  <c r="S26" i="4"/>
  <c r="AG35" i="4"/>
  <c r="S3" i="4"/>
  <c r="AD3" i="4" s="1"/>
  <c r="AB3" i="4" s="1"/>
  <c r="AJ3" i="4" s="1"/>
  <c r="AO3" i="4" s="1"/>
  <c r="S34" i="4"/>
  <c r="T34" i="4"/>
  <c r="T13" i="4"/>
  <c r="S13" i="4"/>
  <c r="S19" i="4"/>
  <c r="T19" i="4"/>
  <c r="AG13" i="4"/>
  <c r="AG10" i="4"/>
  <c r="AE3" i="4"/>
  <c r="U3" i="9"/>
  <c r="X3" i="9"/>
  <c r="AE3" i="9" s="1"/>
  <c r="AC3" i="9" s="1"/>
  <c r="AK3" i="9" s="1"/>
  <c r="AI3" i="4"/>
  <c r="AL3" i="9"/>
  <c r="AI3" i="9" l="1"/>
  <c r="Z29" i="9"/>
  <c r="Z24" i="9"/>
  <c r="Z20" i="9"/>
  <c r="Z32" i="9"/>
  <c r="Z28" i="9"/>
  <c r="Z7" i="9"/>
  <c r="Z17" i="9"/>
  <c r="Z10" i="9"/>
  <c r="Z6" i="9"/>
  <c r="Z36" i="9"/>
  <c r="Z14" i="9"/>
  <c r="Z16" i="9"/>
  <c r="Z26" i="9"/>
  <c r="Z31" i="9"/>
  <c r="Z12" i="9"/>
  <c r="Z4" i="9"/>
  <c r="Z25" i="9"/>
  <c r="Z19" i="9"/>
  <c r="AH10" i="4"/>
  <c r="AF10" i="4" s="1"/>
  <c r="AO10" i="4"/>
  <c r="AH32" i="4"/>
  <c r="AF32" i="4" s="1"/>
  <c r="AO32" i="4"/>
  <c r="AH28" i="4"/>
  <c r="AF28" i="4" s="1"/>
  <c r="AO28" i="4"/>
  <c r="AH25" i="4"/>
  <c r="AF25" i="4" s="1"/>
  <c r="AO25" i="4"/>
  <c r="AH33" i="4"/>
  <c r="AF33" i="4" s="1"/>
  <c r="AO33" i="4"/>
  <c r="AH35" i="4"/>
  <c r="AF35" i="4" s="1"/>
  <c r="AO35" i="4"/>
  <c r="AH5" i="4"/>
  <c r="AF5" i="4" s="1"/>
  <c r="AO5" i="4"/>
  <c r="AH9" i="4"/>
  <c r="AF9" i="4" s="1"/>
  <c r="AD13" i="4"/>
  <c r="AB13" i="4" s="1"/>
  <c r="AJ13" i="4" s="1"/>
  <c r="AD6" i="4"/>
  <c r="AB6" i="4" s="1"/>
  <c r="AJ6" i="4" s="1"/>
  <c r="AD8" i="4"/>
  <c r="AB8" i="4" s="1"/>
  <c r="AJ8" i="4" s="1"/>
  <c r="AD24" i="4"/>
  <c r="AB24" i="4" s="1"/>
  <c r="AJ24" i="4" s="1"/>
  <c r="AD27" i="4"/>
  <c r="AB27" i="4" s="1"/>
  <c r="AJ27" i="4" s="1"/>
  <c r="AD37" i="4"/>
  <c r="AB37" i="4" s="1"/>
  <c r="AJ37" i="4" s="1"/>
  <c r="AD4" i="4"/>
  <c r="AB4" i="4" s="1"/>
  <c r="AJ4" i="4" s="1"/>
  <c r="AD14" i="4"/>
  <c r="AB14" i="4" s="1"/>
  <c r="AJ14" i="4" s="1"/>
  <c r="AO14" i="4" s="1"/>
  <c r="AD15" i="4"/>
  <c r="AB15" i="4" s="1"/>
  <c r="AJ15" i="4" s="1"/>
  <c r="AO15" i="4" s="1"/>
  <c r="AD36" i="4"/>
  <c r="AB36" i="4" s="1"/>
  <c r="AJ36" i="4" s="1"/>
  <c r="AD26" i="4"/>
  <c r="AB26" i="4" s="1"/>
  <c r="AJ26" i="4" s="1"/>
  <c r="AD16" i="4"/>
  <c r="AB16" i="4" s="1"/>
  <c r="AJ16" i="4" s="1"/>
  <c r="AD20" i="4"/>
  <c r="AB20" i="4" s="1"/>
  <c r="AJ20" i="4" s="1"/>
  <c r="AH3" i="4"/>
  <c r="AF3" i="4" s="1"/>
  <c r="AD21" i="4"/>
  <c r="AB21" i="4" s="1"/>
  <c r="AJ21" i="4" s="1"/>
  <c r="AD22" i="4"/>
  <c r="AB22" i="4" s="1"/>
  <c r="AJ22" i="4" s="1"/>
  <c r="AD29" i="4"/>
  <c r="AB29" i="4" s="1"/>
  <c r="AJ29" i="4" s="1"/>
  <c r="AD12" i="4"/>
  <c r="AB12" i="4" s="1"/>
  <c r="AJ12" i="4" s="1"/>
  <c r="AD23" i="4"/>
  <c r="AB23" i="4" s="1"/>
  <c r="AJ23" i="4" s="1"/>
  <c r="AD31" i="4"/>
  <c r="AB31" i="4" s="1"/>
  <c r="AJ31" i="4" s="1"/>
  <c r="AO31" i="4" s="1"/>
  <c r="AD17" i="4"/>
  <c r="AB17" i="4" s="1"/>
  <c r="AJ17" i="4" s="1"/>
  <c r="AD34" i="4"/>
  <c r="AB34" i="4" s="1"/>
  <c r="AJ34" i="4" s="1"/>
  <c r="AD7" i="4"/>
  <c r="AB7" i="4" s="1"/>
  <c r="AJ7" i="4" s="1"/>
  <c r="AD18" i="4"/>
  <c r="AB18" i="4" s="1"/>
  <c r="AJ18" i="4" s="1"/>
  <c r="AD11" i="4"/>
  <c r="AB11" i="4" s="1"/>
  <c r="AJ11" i="4" s="1"/>
  <c r="AD19" i="4"/>
  <c r="AB19" i="4" s="1"/>
  <c r="AJ19" i="4" s="1"/>
  <c r="AD30" i="4"/>
  <c r="AB30" i="4" s="1"/>
  <c r="AJ30" i="4" s="1"/>
  <c r="AG33" i="4"/>
  <c r="AG4" i="4"/>
  <c r="AK32" i="4"/>
  <c r="AG19" i="4"/>
  <c r="AG14" i="4"/>
  <c r="AG37" i="4"/>
  <c r="AK5" i="4"/>
  <c r="AG8" i="4"/>
  <c r="AG20" i="4"/>
  <c r="AG26" i="4"/>
  <c r="AG3" i="4"/>
  <c r="BC3" i="4"/>
  <c r="AK3" i="4"/>
  <c r="Y3" i="4"/>
  <c r="AG18" i="4"/>
  <c r="AK33" i="4"/>
  <c r="AG34" i="4"/>
  <c r="AG9" i="4"/>
  <c r="AG7" i="4"/>
  <c r="AK18" i="4"/>
  <c r="AG6" i="4"/>
  <c r="AK17" i="4"/>
  <c r="AG25" i="4"/>
  <c r="AG17" i="4"/>
  <c r="AK23" i="4"/>
  <c r="AG16" i="4"/>
  <c r="AK8" i="4"/>
  <c r="AK31" i="4"/>
  <c r="AG15" i="4"/>
  <c r="AG28" i="4"/>
  <c r="AK12" i="4"/>
  <c r="AG31" i="4"/>
  <c r="AG27" i="4"/>
  <c r="AK28" i="4"/>
  <c r="AG36" i="4"/>
  <c r="AG30" i="4"/>
  <c r="AK24" i="4"/>
  <c r="AK11" i="4"/>
  <c r="AK36" i="4"/>
  <c r="AG22" i="4"/>
  <c r="AG11" i="4"/>
  <c r="AG5" i="4"/>
  <c r="AP3" i="9"/>
  <c r="AG3" i="9"/>
  <c r="AM3" i="9" s="1"/>
  <c r="AH3" i="9"/>
  <c r="AH29" i="4" l="1"/>
  <c r="AF29" i="4" s="1"/>
  <c r="AO29" i="4"/>
  <c r="AH23" i="4"/>
  <c r="AF23" i="4" s="1"/>
  <c r="AO23" i="4"/>
  <c r="AH11" i="4"/>
  <c r="AF11" i="4" s="1"/>
  <c r="AO11" i="4"/>
  <c r="AH30" i="4"/>
  <c r="AF30" i="4" s="1"/>
  <c r="AO30" i="4"/>
  <c r="AH17" i="4"/>
  <c r="AF17" i="4" s="1"/>
  <c r="AO17" i="4"/>
  <c r="AH21" i="4"/>
  <c r="AF21" i="4" s="1"/>
  <c r="AO21" i="4"/>
  <c r="AH4" i="4"/>
  <c r="AF4" i="4" s="1"/>
  <c r="AO4" i="4"/>
  <c r="AH19" i="4"/>
  <c r="AF19" i="4" s="1"/>
  <c r="AO19" i="4"/>
  <c r="AH20" i="4"/>
  <c r="AF20" i="4" s="1"/>
  <c r="AO20" i="4"/>
  <c r="AH27" i="4"/>
  <c r="AF27" i="4" s="1"/>
  <c r="AO27" i="4"/>
  <c r="AH37" i="4"/>
  <c r="AF37" i="4" s="1"/>
  <c r="AO37" i="4"/>
  <c r="AH16" i="4"/>
  <c r="AF16" i="4" s="1"/>
  <c r="AO16" i="4"/>
  <c r="AH24" i="4"/>
  <c r="AF24" i="4" s="1"/>
  <c r="AO24" i="4"/>
  <c r="AH18" i="4"/>
  <c r="AF18" i="4" s="1"/>
  <c r="AO18" i="4"/>
  <c r="AH12" i="4"/>
  <c r="AF12" i="4" s="1"/>
  <c r="AO12" i="4"/>
  <c r="AH26" i="4"/>
  <c r="AF26" i="4" s="1"/>
  <c r="AO26" i="4"/>
  <c r="AH8" i="4"/>
  <c r="AF8" i="4" s="1"/>
  <c r="AO8" i="4"/>
  <c r="AH7" i="4"/>
  <c r="AF7" i="4" s="1"/>
  <c r="AO7" i="4"/>
  <c r="AH36" i="4"/>
  <c r="AF36" i="4" s="1"/>
  <c r="AO36" i="4"/>
  <c r="AH6" i="4"/>
  <c r="AF6" i="4" s="1"/>
  <c r="AO6" i="4"/>
  <c r="AH34" i="4"/>
  <c r="AF34" i="4" s="1"/>
  <c r="AO34" i="4"/>
  <c r="AH13" i="4"/>
  <c r="AF13" i="4" s="1"/>
  <c r="AO13" i="4"/>
  <c r="AH22" i="4"/>
  <c r="AF22" i="4" s="1"/>
  <c r="AO22" i="4"/>
  <c r="AH15" i="4"/>
  <c r="AF15" i="4" s="1"/>
  <c r="AH14" i="4"/>
  <c r="AF14" i="4" s="1"/>
  <c r="AH31" i="4"/>
  <c r="AF31" i="4" s="1"/>
  <c r="N9" i="7" l="1"/>
  <c r="S18" i="7"/>
  <c r="O18" i="7"/>
  <c r="Q18" i="7" s="1"/>
  <c r="N18" i="7"/>
  <c r="S17" i="7"/>
  <c r="O17" i="7"/>
  <c r="Q17" i="7" s="1"/>
  <c r="N17" i="7"/>
  <c r="S16" i="7"/>
  <c r="O16" i="7"/>
  <c r="Q16" i="7" s="1"/>
  <c r="N16" i="7"/>
  <c r="S15" i="7"/>
  <c r="O15" i="7"/>
  <c r="Q15" i="7" s="1"/>
  <c r="N15" i="7"/>
  <c r="S14" i="7"/>
  <c r="O14" i="7"/>
  <c r="Q14" i="7" s="1"/>
  <c r="N14" i="7"/>
  <c r="S13" i="7"/>
  <c r="O13" i="7"/>
  <c r="Q13" i="7" s="1"/>
  <c r="N13" i="7"/>
  <c r="S12" i="7"/>
  <c r="O12" i="7"/>
  <c r="Q12" i="7" s="1"/>
  <c r="N12" i="7"/>
  <c r="S11" i="7"/>
  <c r="O11" i="7"/>
  <c r="Q11" i="7" s="1"/>
  <c r="N11" i="7"/>
  <c r="S10" i="7"/>
  <c r="O10" i="7"/>
  <c r="Q10" i="7" s="1"/>
  <c r="N10" i="7"/>
  <c r="S9" i="7"/>
  <c r="O9" i="7"/>
  <c r="Q9" i="7" s="1"/>
  <c r="S7" i="7"/>
  <c r="O7" i="7"/>
  <c r="Q7" i="7" s="1"/>
  <c r="S6" i="7"/>
  <c r="O6" i="7"/>
  <c r="Q6" i="7" s="1"/>
  <c r="S5" i="7"/>
  <c r="O5" i="7"/>
  <c r="Q5" i="7" s="1"/>
  <c r="S4" i="7"/>
  <c r="O4" i="7"/>
  <c r="Q4" i="7" s="1"/>
  <c r="N25" i="7"/>
  <c r="P25" i="7" s="1"/>
  <c r="O25" i="7"/>
  <c r="Q25" i="7" s="1"/>
  <c r="S25" i="7"/>
  <c r="N26" i="7"/>
  <c r="P26" i="7" s="1"/>
  <c r="R26" i="7" s="1"/>
  <c r="W26" i="7" s="1"/>
  <c r="Y26" i="7" s="1"/>
  <c r="O26" i="7"/>
  <c r="Q26" i="7" s="1"/>
  <c r="S26" i="7"/>
  <c r="N27" i="7"/>
  <c r="P27" i="7" s="1"/>
  <c r="R27" i="7" s="1"/>
  <c r="W27" i="7" s="1"/>
  <c r="Y27" i="7" s="1"/>
  <c r="O27" i="7"/>
  <c r="Q27" i="7" s="1"/>
  <c r="S27" i="7"/>
  <c r="N30" i="7"/>
  <c r="P30" i="7" s="1"/>
  <c r="R30" i="7" s="1"/>
  <c r="O30" i="7"/>
  <c r="Q30" i="7" s="1"/>
  <c r="S30" i="7"/>
  <c r="N31" i="7"/>
  <c r="P31" i="7" s="1"/>
  <c r="R31" i="7" s="1"/>
  <c r="O31" i="7"/>
  <c r="Q31" i="7" s="1"/>
  <c r="S31" i="7"/>
  <c r="N32" i="7"/>
  <c r="P32" i="7" s="1"/>
  <c r="R32" i="7" s="1"/>
  <c r="O32" i="7"/>
  <c r="Q32" i="7" s="1"/>
  <c r="S32" i="7"/>
  <c r="N33" i="7"/>
  <c r="P33" i="7" s="1"/>
  <c r="R33" i="7" s="1"/>
  <c r="O33" i="7"/>
  <c r="Q33" i="7" s="1"/>
  <c r="S33" i="7"/>
  <c r="N34" i="7"/>
  <c r="P34" i="7" s="1"/>
  <c r="R34" i="7" s="1"/>
  <c r="O34" i="7"/>
  <c r="Q34" i="7" s="1"/>
  <c r="S34" i="7"/>
  <c r="N35" i="7"/>
  <c r="P35" i="7" s="1"/>
  <c r="R35" i="7" s="1"/>
  <c r="O35" i="7"/>
  <c r="Q35" i="7" s="1"/>
  <c r="S35" i="7"/>
  <c r="N36" i="7"/>
  <c r="P36" i="7" s="1"/>
  <c r="R36" i="7" s="1"/>
  <c r="O36" i="7"/>
  <c r="Q36" i="7" s="1"/>
  <c r="S36" i="7"/>
  <c r="N37" i="7"/>
  <c r="P37" i="7" s="1"/>
  <c r="R37" i="7" s="1"/>
  <c r="O37" i="7"/>
  <c r="Q37" i="7" s="1"/>
  <c r="S37" i="7"/>
  <c r="N38" i="7"/>
  <c r="P38" i="7" s="1"/>
  <c r="R38" i="7" s="1"/>
  <c r="O38" i="7"/>
  <c r="Q38" i="7" s="1"/>
  <c r="S38" i="7"/>
  <c r="N39" i="7"/>
  <c r="P39" i="7" s="1"/>
  <c r="R39" i="7" s="1"/>
  <c r="O39" i="7"/>
  <c r="Q39" i="7" s="1"/>
  <c r="S39" i="7"/>
  <c r="S24" i="7"/>
  <c r="O24" i="7"/>
  <c r="Q24" i="7" s="1"/>
  <c r="N24" i="7"/>
  <c r="S3" i="7"/>
  <c r="O3" i="7"/>
  <c r="Q3" i="7" s="1"/>
  <c r="N3" i="7"/>
  <c r="T3" i="7" s="1"/>
  <c r="AF10" i="7" l="1"/>
  <c r="T27" i="7"/>
  <c r="V27" i="7"/>
  <c r="T39" i="7"/>
  <c r="X39" i="7" s="1"/>
  <c r="Z39" i="7" s="1"/>
  <c r="U25" i="7"/>
  <c r="T38" i="7"/>
  <c r="X38" i="7" s="1"/>
  <c r="Z38" i="7" s="1"/>
  <c r="V33" i="7"/>
  <c r="T33" i="7"/>
  <c r="X33" i="7" s="1"/>
  <c r="Z33" i="7" s="1"/>
  <c r="P3" i="7"/>
  <c r="X3" i="7" s="1"/>
  <c r="Z3" i="7" s="1"/>
  <c r="U34" i="7"/>
  <c r="T32" i="7"/>
  <c r="X32" i="7" s="1"/>
  <c r="Z32" i="7" s="1"/>
  <c r="T31" i="7"/>
  <c r="X31" i="7" s="1"/>
  <c r="Z31" i="7" s="1"/>
  <c r="T26" i="7"/>
  <c r="V25" i="7"/>
  <c r="U3" i="7"/>
  <c r="V37" i="7"/>
  <c r="U35" i="7"/>
  <c r="U33" i="7"/>
  <c r="V31" i="7"/>
  <c r="U27" i="7"/>
  <c r="T35" i="7"/>
  <c r="X35" i="7" s="1"/>
  <c r="Z35" i="7" s="1"/>
  <c r="V32" i="7"/>
  <c r="V26" i="7"/>
  <c r="T37" i="7"/>
  <c r="X37" i="7" s="1"/>
  <c r="Z37" i="7" s="1"/>
  <c r="T36" i="7"/>
  <c r="X36" i="7" s="1"/>
  <c r="Z36" i="7" s="1"/>
  <c r="T30" i="7"/>
  <c r="X30" i="7" s="1"/>
  <c r="Z30" i="7" s="1"/>
  <c r="U39" i="7"/>
  <c r="U38" i="7"/>
  <c r="V35" i="7"/>
  <c r="T34" i="7"/>
  <c r="X34" i="7" s="1"/>
  <c r="Z34" i="7" s="1"/>
  <c r="U32" i="7"/>
  <c r="T25" i="7"/>
  <c r="X25" i="7" s="1"/>
  <c r="Z25" i="7" s="1"/>
  <c r="U37" i="7"/>
  <c r="U36" i="7"/>
  <c r="U31" i="7"/>
  <c r="U30" i="7"/>
  <c r="U26" i="7"/>
  <c r="U15" i="7"/>
  <c r="V38" i="7"/>
  <c r="V36" i="7"/>
  <c r="V34" i="7"/>
  <c r="U14" i="7"/>
  <c r="U18" i="7"/>
  <c r="V30" i="7"/>
  <c r="V3" i="7"/>
  <c r="V39" i="7"/>
  <c r="U24" i="7"/>
  <c r="U13" i="7"/>
  <c r="U17" i="7"/>
  <c r="W39" i="7"/>
  <c r="Y39" i="7" s="1"/>
  <c r="W37" i="7"/>
  <c r="Y37" i="7" s="1"/>
  <c r="W36" i="7"/>
  <c r="Y36" i="7" s="1"/>
  <c r="AG10" i="7" s="1"/>
  <c r="W35" i="7"/>
  <c r="Y35" i="7" s="1"/>
  <c r="AF8" i="7" s="1"/>
  <c r="W34" i="7"/>
  <c r="Y34" i="7" s="1"/>
  <c r="W33" i="7"/>
  <c r="Y33" i="7" s="1"/>
  <c r="W32" i="7"/>
  <c r="Y32" i="7" s="1"/>
  <c r="W31" i="7"/>
  <c r="Y31" i="7" s="1"/>
  <c r="W30" i="7"/>
  <c r="Y30" i="7" s="1"/>
  <c r="V4" i="7"/>
  <c r="V5" i="7"/>
  <c r="V6" i="7"/>
  <c r="V7" i="7"/>
  <c r="V9" i="7"/>
  <c r="V10" i="7"/>
  <c r="V11" i="7"/>
  <c r="W38" i="7"/>
  <c r="Y38" i="7" s="1"/>
  <c r="V24" i="7"/>
  <c r="X27" i="7"/>
  <c r="Z27" i="7" s="1"/>
  <c r="X26" i="7"/>
  <c r="Z26" i="7" s="1"/>
  <c r="U4" i="7"/>
  <c r="U5" i="7"/>
  <c r="U6" i="7"/>
  <c r="U7" i="7"/>
  <c r="U9" i="7"/>
  <c r="U10" i="7"/>
  <c r="U11" i="7"/>
  <c r="U12" i="7"/>
  <c r="U16" i="7"/>
  <c r="V12" i="7"/>
  <c r="V13" i="7"/>
  <c r="V14" i="7"/>
  <c r="V15" i="7"/>
  <c r="V16" i="7"/>
  <c r="V17" i="7"/>
  <c r="V18" i="7"/>
  <c r="P4" i="7"/>
  <c r="T4" i="7"/>
  <c r="P5" i="7"/>
  <c r="T5" i="7"/>
  <c r="P6" i="7"/>
  <c r="T6" i="7"/>
  <c r="P7" i="7"/>
  <c r="T7" i="7"/>
  <c r="P9" i="7"/>
  <c r="T9" i="7"/>
  <c r="P10" i="7"/>
  <c r="T10" i="7"/>
  <c r="P11" i="7"/>
  <c r="T11" i="7"/>
  <c r="P12" i="7"/>
  <c r="T12" i="7"/>
  <c r="P13" i="7"/>
  <c r="T13" i="7"/>
  <c r="P14" i="7"/>
  <c r="T14" i="7"/>
  <c r="P15" i="7"/>
  <c r="T15" i="7"/>
  <c r="P16" i="7"/>
  <c r="T16" i="7"/>
  <c r="P17" i="7"/>
  <c r="T17" i="7"/>
  <c r="P18" i="7"/>
  <c r="T18" i="7"/>
  <c r="R25" i="7"/>
  <c r="W25" i="7" s="1"/>
  <c r="Y25" i="7" s="1"/>
  <c r="AF11" i="7" s="1"/>
  <c r="P24" i="7"/>
  <c r="T24" i="7"/>
  <c r="AG8" i="7" l="1"/>
  <c r="AG11" i="7"/>
  <c r="R3" i="7"/>
  <c r="W3" i="7" s="1"/>
  <c r="Y3" i="7" s="1"/>
  <c r="X18" i="7"/>
  <c r="Z18" i="7" s="1"/>
  <c r="R18" i="7"/>
  <c r="W18" i="7" s="1"/>
  <c r="Y18" i="7" s="1"/>
  <c r="X16" i="7"/>
  <c r="Z16" i="7" s="1"/>
  <c r="R16" i="7"/>
  <c r="W16" i="7" s="1"/>
  <c r="Y16" i="7" s="1"/>
  <c r="X14" i="7"/>
  <c r="Z14" i="7" s="1"/>
  <c r="AC9" i="7" s="1"/>
  <c r="R14" i="7"/>
  <c r="W14" i="7" s="1"/>
  <c r="Y14" i="7" s="1"/>
  <c r="X12" i="7"/>
  <c r="Z12" i="7" s="1"/>
  <c r="R12" i="7"/>
  <c r="W12" i="7" s="1"/>
  <c r="Y12" i="7" s="1"/>
  <c r="X10" i="7"/>
  <c r="Z10" i="7" s="1"/>
  <c r="R10" i="7"/>
  <c r="W10" i="7" s="1"/>
  <c r="Y10" i="7" s="1"/>
  <c r="X6" i="7"/>
  <c r="Z6" i="7" s="1"/>
  <c r="AD9" i="7" s="1"/>
  <c r="R6" i="7"/>
  <c r="W6" i="7" s="1"/>
  <c r="Y6" i="7" s="1"/>
  <c r="X4" i="7"/>
  <c r="Z4" i="7" s="1"/>
  <c r="R4" i="7"/>
  <c r="W4" i="7" s="1"/>
  <c r="Y4" i="7" s="1"/>
  <c r="X17" i="7"/>
  <c r="Z17" i="7" s="1"/>
  <c r="R17" i="7"/>
  <c r="W17" i="7" s="1"/>
  <c r="Y17" i="7" s="1"/>
  <c r="X15" i="7"/>
  <c r="Z15" i="7" s="1"/>
  <c r="R15" i="7"/>
  <c r="W15" i="7" s="1"/>
  <c r="Y15" i="7" s="1"/>
  <c r="X13" i="7"/>
  <c r="Z13" i="7" s="1"/>
  <c r="R13" i="7"/>
  <c r="W13" i="7" s="1"/>
  <c r="Y13" i="7" s="1"/>
  <c r="X11" i="7"/>
  <c r="Z11" i="7" s="1"/>
  <c r="R11" i="7"/>
  <c r="W11" i="7" s="1"/>
  <c r="Y11" i="7" s="1"/>
  <c r="X9" i="7"/>
  <c r="Z9" i="7" s="1"/>
  <c r="AD8" i="7" s="1"/>
  <c r="R9" i="7"/>
  <c r="W9" i="7" s="1"/>
  <c r="Y9" i="7" s="1"/>
  <c r="R7" i="7"/>
  <c r="W7" i="7" s="1"/>
  <c r="Y7" i="7" s="1"/>
  <c r="X7" i="7"/>
  <c r="Z7" i="7" s="1"/>
  <c r="R5" i="7"/>
  <c r="W5" i="7" s="1"/>
  <c r="Y5" i="7" s="1"/>
  <c r="X5" i="7"/>
  <c r="Z5" i="7" s="1"/>
  <c r="X24" i="7"/>
  <c r="Z24" i="7" s="1"/>
  <c r="R24" i="7"/>
  <c r="W24" i="7" s="1"/>
  <c r="Y24" i="7" s="1"/>
  <c r="AC8" i="7" l="1"/>
  <c r="BG12" i="4"/>
  <c r="BG20" i="4"/>
  <c r="BF12" i="4"/>
  <c r="BH12" i="4" s="1"/>
  <c r="BK12" i="4" s="1"/>
  <c r="BM12" i="4" s="1"/>
  <c r="BF36" i="4"/>
  <c r="BH36" i="4" s="1"/>
  <c r="BK36" i="4" s="1"/>
  <c r="BM36" i="4" s="1"/>
  <c r="BG5" i="4"/>
  <c r="BG29" i="4"/>
  <c r="BI29" i="4" s="1"/>
  <c r="BL29" i="4" s="1"/>
  <c r="BN29" i="4" s="1"/>
  <c r="BO29" i="4" s="1"/>
  <c r="BG37" i="4"/>
  <c r="BG45" i="4"/>
  <c r="BF5" i="4"/>
  <c r="BH5" i="4" s="1"/>
  <c r="BK5" i="4" s="1"/>
  <c r="BM5" i="4" s="1"/>
  <c r="I5" i="10" s="1"/>
  <c r="BF29" i="4"/>
  <c r="BH29" i="4" s="1"/>
  <c r="BK29" i="4" s="1"/>
  <c r="BM29" i="4" s="1"/>
  <c r="BF37" i="4"/>
  <c r="BH37" i="4" s="1"/>
  <c r="BK37" i="4" s="1"/>
  <c r="BM37" i="4" s="1"/>
  <c r="BG38" i="4"/>
  <c r="BG46" i="4"/>
  <c r="BF38" i="4"/>
  <c r="BH38" i="4" s="1"/>
  <c r="BK38" i="4" s="1"/>
  <c r="BM38" i="4" s="1"/>
  <c r="I38" i="10" s="1"/>
  <c r="BG31" i="4"/>
  <c r="BG39" i="4"/>
  <c r="BF15" i="4"/>
  <c r="BH15" i="4" s="1"/>
  <c r="BK15" i="4" s="1"/>
  <c r="BM15" i="4" s="1"/>
  <c r="BF31" i="4"/>
  <c r="BH31" i="4" s="1"/>
  <c r="BK31" i="4" s="1"/>
  <c r="BM31" i="4" s="1"/>
  <c r="BF39" i="4"/>
  <c r="BH39" i="4" s="1"/>
  <c r="BK39" i="4" s="1"/>
  <c r="BM39" i="4" s="1"/>
  <c r="I39" i="10" s="1"/>
  <c r="BG8" i="4"/>
  <c r="BF8" i="4"/>
  <c r="BH8" i="4" s="1"/>
  <c r="BK8" i="4" s="1"/>
  <c r="BM8" i="4" s="1"/>
  <c r="BF45" i="4"/>
  <c r="BH45" i="4" s="1"/>
  <c r="BK45" i="4" s="1"/>
  <c r="BM45" i="4" s="1"/>
  <c r="I45" i="10" s="1"/>
  <c r="BG33" i="4"/>
  <c r="BG41" i="4"/>
  <c r="BG49" i="4"/>
  <c r="BI49" i="4" s="1"/>
  <c r="BL49" i="4" s="1"/>
  <c r="BN49" i="4" s="1"/>
  <c r="BF33" i="4"/>
  <c r="BH33" i="4" s="1"/>
  <c r="BK33" i="4" s="1"/>
  <c r="BM33" i="4" s="1"/>
  <c r="BF41" i="4"/>
  <c r="BH41" i="4" s="1"/>
  <c r="BK41" i="4" s="1"/>
  <c r="BM41" i="4" s="1"/>
  <c r="I41" i="10" s="1"/>
  <c r="BF49" i="4"/>
  <c r="BH49" i="4" s="1"/>
  <c r="BK49" i="4" s="1"/>
  <c r="BM49" i="4" s="1"/>
  <c r="I49" i="10" s="1"/>
  <c r="BG27" i="4"/>
  <c r="BF27" i="4"/>
  <c r="BH27" i="4" s="1"/>
  <c r="BK27" i="4" s="1"/>
  <c r="BM27" i="4" s="1"/>
  <c r="BF46" i="4"/>
  <c r="BH46" i="4" s="1"/>
  <c r="BK46" i="4" s="1"/>
  <c r="BM46" i="4" s="1"/>
  <c r="I46" i="10" s="1"/>
  <c r="BG18" i="4"/>
  <c r="BF18" i="4"/>
  <c r="BH18" i="4" s="1"/>
  <c r="BK18" i="4" s="1"/>
  <c r="BM18" i="4" s="1"/>
  <c r="BG36" i="4"/>
  <c r="BI36" i="4" s="1"/>
  <c r="BL36" i="4" s="1"/>
  <c r="BN36" i="4" s="1"/>
  <c r="BO36" i="4" s="1"/>
  <c r="BF20" i="4"/>
  <c r="BH20" i="4" s="1"/>
  <c r="BK20" i="4" s="1"/>
  <c r="BM20" i="4" s="1"/>
  <c r="AM31" i="4"/>
  <c r="AN31" i="4" s="1"/>
  <c r="AM29" i="4"/>
  <c r="AN29" i="4" s="1"/>
  <c r="AP29" i="4" s="1"/>
  <c r="AR29" i="4" s="1"/>
  <c r="AU29" i="9" s="1"/>
  <c r="AT29" i="4" s="1"/>
  <c r="AU29" i="4" s="1"/>
  <c r="AY29" i="4" s="1"/>
  <c r="AN27" i="9"/>
  <c r="AO27" i="9" s="1"/>
  <c r="AN36" i="9"/>
  <c r="AO36" i="9" s="1"/>
  <c r="AM12" i="4"/>
  <c r="AN12" i="4" s="1"/>
  <c r="AN46" i="9"/>
  <c r="AO46" i="9" s="1"/>
  <c r="AN15" i="9"/>
  <c r="AO15" i="9" s="1"/>
  <c r="AN12" i="9"/>
  <c r="AO12" i="9" s="1"/>
  <c r="AN50" i="9"/>
  <c r="AO50" i="9" s="1"/>
  <c r="AM41" i="4"/>
  <c r="AN41" i="4" s="1"/>
  <c r="AP41" i="4" s="1"/>
  <c r="AR41" i="4" s="1"/>
  <c r="AM49" i="4"/>
  <c r="AN49" i="4" s="1"/>
  <c r="AM27" i="4"/>
  <c r="AN27" i="4" s="1"/>
  <c r="AM33" i="4"/>
  <c r="AN33" i="4" s="1"/>
  <c r="AN41" i="9"/>
  <c r="AO41" i="9" s="1"/>
  <c r="AM18" i="4"/>
  <c r="AN18" i="4" s="1"/>
  <c r="AM20" i="4"/>
  <c r="AN20" i="4" s="1"/>
  <c r="AM38" i="4"/>
  <c r="AN38" i="4" s="1"/>
  <c r="AN33" i="9"/>
  <c r="AO33" i="9" s="1"/>
  <c r="AQ33" i="9" s="1"/>
  <c r="AS33" i="9" s="1"/>
  <c r="AV33" i="9" s="1"/>
  <c r="AN49" i="9"/>
  <c r="AO49" i="9" s="1"/>
  <c r="AM39" i="4"/>
  <c r="AN39" i="4" s="1"/>
  <c r="AN45" i="9"/>
  <c r="AO45" i="9" s="1"/>
  <c r="AM36" i="4"/>
  <c r="AN36" i="4" s="1"/>
  <c r="AM46" i="4"/>
  <c r="AN46" i="4" s="1"/>
  <c r="AM8" i="4"/>
  <c r="AN8" i="4" s="1"/>
  <c r="AM37" i="4"/>
  <c r="AN37" i="4" s="1"/>
  <c r="AN31" i="9"/>
  <c r="AO31" i="9" s="1"/>
  <c r="AQ31" i="9" s="1"/>
  <c r="AS31" i="9" s="1"/>
  <c r="AV31" i="9" s="1"/>
  <c r="AM45" i="4"/>
  <c r="AN45" i="4" s="1"/>
  <c r="AN29" i="9"/>
  <c r="AO29" i="9" s="1"/>
  <c r="AQ29" i="9" s="1"/>
  <c r="AS29" i="9" s="1"/>
  <c r="AV29" i="9" s="1"/>
  <c r="AM5" i="4"/>
  <c r="AN5" i="4" s="1"/>
  <c r="AM15" i="4"/>
  <c r="AN15" i="4" s="1"/>
  <c r="AN20" i="9"/>
  <c r="AO20" i="9" s="1"/>
  <c r="AQ20" i="9" s="1"/>
  <c r="AS20" i="9" s="1"/>
  <c r="AV20" i="9" s="1"/>
  <c r="AN39" i="9"/>
  <c r="AO39" i="9" s="1"/>
  <c r="AN18" i="9"/>
  <c r="AO18" i="9" s="1"/>
  <c r="AN42" i="9"/>
  <c r="AO42" i="9" s="1"/>
  <c r="AQ42" i="9" s="1"/>
  <c r="AS42" i="9" s="1"/>
  <c r="AV42" i="9" s="1"/>
  <c r="AN3" i="9"/>
  <c r="AO3" i="9" s="1"/>
  <c r="AQ3" i="9" s="1"/>
  <c r="AS3" i="9" s="1"/>
  <c r="AV3" i="9" s="1"/>
  <c r="AC10" i="7"/>
  <c r="AD10" i="7"/>
  <c r="AC11" i="7"/>
  <c r="AD11" i="7"/>
  <c r="AG9" i="7"/>
  <c r="AF9" i="7"/>
  <c r="P3" i="1"/>
  <c r="AD39" i="1"/>
  <c r="AC39" i="1"/>
  <c r="AB39" i="1"/>
  <c r="R39" i="1"/>
  <c r="P39" i="1"/>
  <c r="AL37" i="4"/>
  <c r="AL36" i="4"/>
  <c r="AL35" i="4"/>
  <c r="AL34" i="4"/>
  <c r="AL33" i="4"/>
  <c r="R36" i="1"/>
  <c r="P36" i="1"/>
  <c r="AD35" i="1"/>
  <c r="AC35" i="1"/>
  <c r="AB35" i="1"/>
  <c r="R35" i="1"/>
  <c r="P35" i="1"/>
  <c r="AC16" i="1"/>
  <c r="BI27" i="4" l="1"/>
  <c r="BL27" i="4" s="1"/>
  <c r="BN27" i="4" s="1"/>
  <c r="BO27" i="4" s="1"/>
  <c r="BI41" i="4"/>
  <c r="BL41" i="4" s="1"/>
  <c r="BN41" i="4" s="1"/>
  <c r="BI39" i="4"/>
  <c r="BL39" i="4" s="1"/>
  <c r="BN39" i="4" s="1"/>
  <c r="BI18" i="4"/>
  <c r="BL18" i="4" s="1"/>
  <c r="BN18" i="4" s="1"/>
  <c r="BO18" i="4" s="1"/>
  <c r="BI33" i="4"/>
  <c r="BL33" i="4" s="1"/>
  <c r="BN33" i="4" s="1"/>
  <c r="BO33" i="4" s="1"/>
  <c r="BI31" i="4"/>
  <c r="BL31" i="4" s="1"/>
  <c r="BN31" i="4" s="1"/>
  <c r="BO31" i="4" s="1"/>
  <c r="BI45" i="4"/>
  <c r="BL45" i="4" s="1"/>
  <c r="BN45" i="4" s="1"/>
  <c r="AP45" i="4"/>
  <c r="AR45" i="4" s="1"/>
  <c r="AQ49" i="9"/>
  <c r="AS49" i="9" s="1"/>
  <c r="AP49" i="4"/>
  <c r="AR49" i="4" s="1"/>
  <c r="AQ27" i="9"/>
  <c r="AS27" i="9" s="1"/>
  <c r="AV27" i="9" s="1"/>
  <c r="BI37" i="4"/>
  <c r="BL37" i="4" s="1"/>
  <c r="BN37" i="4" s="1"/>
  <c r="BO37" i="4" s="1"/>
  <c r="AQ15" i="4"/>
  <c r="AQ46" i="4"/>
  <c r="AQ37" i="4"/>
  <c r="AQ39" i="4"/>
  <c r="AQ31" i="4"/>
  <c r="AQ49" i="4"/>
  <c r="AS49" i="4" s="1"/>
  <c r="AQ29" i="4"/>
  <c r="AS29" i="4" s="1"/>
  <c r="AV29" i="4" s="1"/>
  <c r="AQ38" i="4"/>
  <c r="AQ36" i="4"/>
  <c r="AQ8" i="4"/>
  <c r="AQ33" i="4"/>
  <c r="AQ41" i="4"/>
  <c r="AS41" i="4" s="1"/>
  <c r="AQ12" i="4"/>
  <c r="AQ20" i="4"/>
  <c r="AR15" i="9"/>
  <c r="AQ5" i="4"/>
  <c r="AR20" i="9"/>
  <c r="AT20" i="9" s="1"/>
  <c r="AQ27" i="4"/>
  <c r="AR49" i="9"/>
  <c r="AQ18" i="4"/>
  <c r="AQ45" i="4"/>
  <c r="AS45" i="4" s="1"/>
  <c r="AR31" i="9"/>
  <c r="AT31" i="9" s="1"/>
  <c r="AR39" i="9"/>
  <c r="AR12" i="9"/>
  <c r="AR33" i="9"/>
  <c r="AT33" i="9" s="1"/>
  <c r="AR29" i="9"/>
  <c r="AT29" i="9" s="1"/>
  <c r="AR41" i="9"/>
  <c r="AR45" i="9"/>
  <c r="AR50" i="9"/>
  <c r="AR42" i="9"/>
  <c r="AT42" i="9" s="1"/>
  <c r="AR46" i="9"/>
  <c r="AR27" i="9"/>
  <c r="AT27" i="9" s="1"/>
  <c r="AR18" i="9"/>
  <c r="AR36" i="9"/>
  <c r="AR3" i="9"/>
  <c r="AT3" i="9" s="1"/>
  <c r="AQ18" i="9"/>
  <c r="AS18" i="9" s="1"/>
  <c r="AV18" i="9" s="1"/>
  <c r="AP37" i="4"/>
  <c r="AR37" i="4" s="1"/>
  <c r="AP38" i="4"/>
  <c r="AR38" i="4" s="1"/>
  <c r="AQ50" i="9"/>
  <c r="AS50" i="9" s="1"/>
  <c r="AP31" i="4"/>
  <c r="AR31" i="4" s="1"/>
  <c r="AU31" i="9" s="1"/>
  <c r="AT31" i="4" s="1"/>
  <c r="AU31" i="4" s="1"/>
  <c r="AY31" i="4" s="1"/>
  <c r="BI8" i="4"/>
  <c r="BL8" i="4" s="1"/>
  <c r="BN8" i="4" s="1"/>
  <c r="BO8" i="4" s="1"/>
  <c r="BI46" i="4"/>
  <c r="BL46" i="4" s="1"/>
  <c r="BN46" i="4" s="1"/>
  <c r="BI5" i="4"/>
  <c r="BL5" i="4" s="1"/>
  <c r="BN5" i="4" s="1"/>
  <c r="AQ39" i="9"/>
  <c r="AS39" i="9" s="1"/>
  <c r="AV39" i="9" s="1"/>
  <c r="AP8" i="4"/>
  <c r="AR8" i="4" s="1"/>
  <c r="AP20" i="4"/>
  <c r="AR20" i="4" s="1"/>
  <c r="AU20" i="9" s="1"/>
  <c r="AT20" i="4" s="1"/>
  <c r="AU20" i="4" s="1"/>
  <c r="AY20" i="4" s="1"/>
  <c r="AQ12" i="9"/>
  <c r="AS12" i="9" s="1"/>
  <c r="AV12" i="9" s="1"/>
  <c r="BI38" i="4"/>
  <c r="BL38" i="4" s="1"/>
  <c r="BN38" i="4" s="1"/>
  <c r="AP18" i="4"/>
  <c r="AR18" i="4" s="1"/>
  <c r="AQ15" i="9"/>
  <c r="AS15" i="9" s="1"/>
  <c r="AV15" i="9" s="1"/>
  <c r="BG4" i="4"/>
  <c r="BI4" i="4" s="1"/>
  <c r="BL4" i="4" s="1"/>
  <c r="BN4" i="4" s="1"/>
  <c r="BO4" i="4" s="1"/>
  <c r="BF4" i="4"/>
  <c r="BH4" i="4" s="1"/>
  <c r="BK4" i="4" s="1"/>
  <c r="BM4" i="4" s="1"/>
  <c r="BG14" i="4"/>
  <c r="BF14" i="4"/>
  <c r="BH14" i="4" s="1"/>
  <c r="BK14" i="4" s="1"/>
  <c r="BM14" i="4" s="1"/>
  <c r="BG7" i="4"/>
  <c r="BI7" i="4" s="1"/>
  <c r="BL7" i="4" s="1"/>
  <c r="BN7" i="4" s="1"/>
  <c r="BO7" i="4" s="1"/>
  <c r="BG23" i="4"/>
  <c r="BF7" i="4"/>
  <c r="BH7" i="4" s="1"/>
  <c r="BK7" i="4" s="1"/>
  <c r="BM7" i="4" s="1"/>
  <c r="BF23" i="4"/>
  <c r="BH23" i="4" s="1"/>
  <c r="BK23" i="4" s="1"/>
  <c r="BM23" i="4" s="1"/>
  <c r="BG24" i="4"/>
  <c r="BG40" i="4"/>
  <c r="BF24" i="4"/>
  <c r="BH24" i="4" s="1"/>
  <c r="BK24" i="4" s="1"/>
  <c r="BM24" i="4" s="1"/>
  <c r="I24" i="10" s="1"/>
  <c r="BF40" i="4"/>
  <c r="BH40" i="4" s="1"/>
  <c r="BK40" i="4" s="1"/>
  <c r="BM40" i="4" s="1"/>
  <c r="I40" i="10" s="1"/>
  <c r="BG10" i="4"/>
  <c r="BI10" i="4" s="1"/>
  <c r="BL10" i="4" s="1"/>
  <c r="BN10" i="4" s="1"/>
  <c r="BO10" i="4" s="1"/>
  <c r="BG50" i="4"/>
  <c r="BF10" i="4"/>
  <c r="BH10" i="4" s="1"/>
  <c r="BK10" i="4" s="1"/>
  <c r="BM10" i="4" s="1"/>
  <c r="BF50" i="4"/>
  <c r="BH50" i="4" s="1"/>
  <c r="BK50" i="4" s="1"/>
  <c r="BM50" i="4" s="1"/>
  <c r="I50" i="10" s="1"/>
  <c r="BG35" i="4"/>
  <c r="BI35" i="4" s="1"/>
  <c r="BF35" i="4"/>
  <c r="BH35" i="4" s="1"/>
  <c r="BK35" i="4" s="1"/>
  <c r="BM35" i="4" s="1"/>
  <c r="AN34" i="9"/>
  <c r="AO34" i="9" s="1"/>
  <c r="AM23" i="4"/>
  <c r="AN23" i="4" s="1"/>
  <c r="AM35" i="4"/>
  <c r="AN35" i="4" s="1"/>
  <c r="AN35" i="9"/>
  <c r="AO35" i="9" s="1"/>
  <c r="AN7" i="9"/>
  <c r="AO7" i="9" s="1"/>
  <c r="AN23" i="9"/>
  <c r="AO23" i="9" s="1"/>
  <c r="AN24" i="9"/>
  <c r="AO24" i="9" s="1"/>
  <c r="AM40" i="4"/>
  <c r="AN40" i="4" s="1"/>
  <c r="AM24" i="4"/>
  <c r="AN24" i="4" s="1"/>
  <c r="AM14" i="4"/>
  <c r="AN14" i="4" s="1"/>
  <c r="AN14" i="9"/>
  <c r="AO14" i="9" s="1"/>
  <c r="AM7" i="4"/>
  <c r="AN7" i="4" s="1"/>
  <c r="AM4" i="4"/>
  <c r="AN4" i="4" s="1"/>
  <c r="AN37" i="9"/>
  <c r="AO37" i="9" s="1"/>
  <c r="AN6" i="9"/>
  <c r="AO6" i="9" s="1"/>
  <c r="AN16" i="9"/>
  <c r="AO16" i="9" s="1"/>
  <c r="AM50" i="4"/>
  <c r="AN50" i="4" s="1"/>
  <c r="AN43" i="9"/>
  <c r="AO43" i="9" s="1"/>
  <c r="AN10" i="9"/>
  <c r="AO10" i="9" s="1"/>
  <c r="AM10" i="4"/>
  <c r="AN10" i="4" s="1"/>
  <c r="AN38" i="9"/>
  <c r="AO38" i="9" s="1"/>
  <c r="AP15" i="4"/>
  <c r="AR15" i="4" s="1"/>
  <c r="AU15" i="9" s="1"/>
  <c r="AT15" i="4" s="1"/>
  <c r="AU15" i="4" s="1"/>
  <c r="AY15" i="4" s="1"/>
  <c r="AP36" i="4"/>
  <c r="AR36" i="4" s="1"/>
  <c r="AQ41" i="9"/>
  <c r="AS41" i="9" s="1"/>
  <c r="AV41" i="9" s="1"/>
  <c r="AQ46" i="9"/>
  <c r="AS46" i="9" s="1"/>
  <c r="AV46" i="9" s="1"/>
  <c r="BO49" i="4"/>
  <c r="J49" i="10"/>
  <c r="BI20" i="4"/>
  <c r="BL20" i="4" s="1"/>
  <c r="BN20" i="4" s="1"/>
  <c r="BO20" i="4" s="1"/>
  <c r="AP46" i="4"/>
  <c r="AR46" i="4" s="1"/>
  <c r="AP5" i="4"/>
  <c r="AR5" i="4" s="1"/>
  <c r="AQ45" i="9"/>
  <c r="AS45" i="9" s="1"/>
  <c r="AV45" i="9" s="1"/>
  <c r="AP33" i="4"/>
  <c r="AR33" i="4" s="1"/>
  <c r="AU33" i="9" s="1"/>
  <c r="AT33" i="4" s="1"/>
  <c r="AU33" i="4" s="1"/>
  <c r="AY33" i="4" s="1"/>
  <c r="AP12" i="4"/>
  <c r="AR12" i="4" s="1"/>
  <c r="AU12" i="9" s="1"/>
  <c r="AT12" i="4" s="1"/>
  <c r="AU12" i="4" s="1"/>
  <c r="AY12" i="4" s="1"/>
  <c r="BO41" i="4"/>
  <c r="J41" i="10"/>
  <c r="BO39" i="4"/>
  <c r="J39" i="10"/>
  <c r="BI12" i="4"/>
  <c r="BL12" i="4" s="1"/>
  <c r="BN12" i="4" s="1"/>
  <c r="BO12" i="4" s="1"/>
  <c r="BG28" i="4"/>
  <c r="BG13" i="4"/>
  <c r="BF13" i="4"/>
  <c r="BH13" i="4" s="1"/>
  <c r="BK13" i="4" s="1"/>
  <c r="BM13" i="4" s="1"/>
  <c r="BG22" i="4"/>
  <c r="BG30" i="4"/>
  <c r="BF6" i="4"/>
  <c r="BH6" i="4" s="1"/>
  <c r="BK6" i="4" s="1"/>
  <c r="BM6" i="4" s="1"/>
  <c r="BF22" i="4"/>
  <c r="BH22" i="4" s="1"/>
  <c r="BK22" i="4" s="1"/>
  <c r="BM22" i="4" s="1"/>
  <c r="BF30" i="4"/>
  <c r="BH30" i="4" s="1"/>
  <c r="BK30" i="4" s="1"/>
  <c r="BM30" i="4" s="1"/>
  <c r="I30" i="10" s="1"/>
  <c r="BG17" i="4"/>
  <c r="BF9" i="4"/>
  <c r="BH9" i="4" s="1"/>
  <c r="BK9" i="4" s="1"/>
  <c r="BM9" i="4" s="1"/>
  <c r="BF17" i="4"/>
  <c r="BH17" i="4" s="1"/>
  <c r="BK17" i="4" s="1"/>
  <c r="BM17" i="4" s="1"/>
  <c r="I17" i="10" s="1"/>
  <c r="BG43" i="4"/>
  <c r="BF43" i="4"/>
  <c r="BH43" i="4" s="1"/>
  <c r="BK43" i="4" s="1"/>
  <c r="BM43" i="4" s="1"/>
  <c r="I43" i="10" s="1"/>
  <c r="BG44" i="4"/>
  <c r="BF28" i="4"/>
  <c r="BH28" i="4" s="1"/>
  <c r="BK28" i="4" s="1"/>
  <c r="BM28" i="4" s="1"/>
  <c r="I28" i="10" s="1"/>
  <c r="BG26" i="4"/>
  <c r="BI26" i="4" s="1"/>
  <c r="BL26" i="4" s="1"/>
  <c r="BN26" i="4" s="1"/>
  <c r="BO26" i="4" s="1"/>
  <c r="BG42" i="4"/>
  <c r="BF26" i="4"/>
  <c r="BH26" i="4" s="1"/>
  <c r="BK26" i="4" s="1"/>
  <c r="BM26" i="4" s="1"/>
  <c r="BF42" i="4"/>
  <c r="BH42" i="4" s="1"/>
  <c r="BK42" i="4" s="1"/>
  <c r="BM42" i="4" s="1"/>
  <c r="I42" i="10" s="1"/>
  <c r="BF44" i="4"/>
  <c r="BH44" i="4" s="1"/>
  <c r="BK44" i="4" s="1"/>
  <c r="BM44" i="4" s="1"/>
  <c r="I44" i="10" s="1"/>
  <c r="AM9" i="4"/>
  <c r="AN9" i="4" s="1"/>
  <c r="AM43" i="4"/>
  <c r="AN43" i="4" s="1"/>
  <c r="AN9" i="9"/>
  <c r="AO9" i="9" s="1"/>
  <c r="AM6" i="4"/>
  <c r="AN6" i="4" s="1"/>
  <c r="AN26" i="9"/>
  <c r="AO26" i="9" s="1"/>
  <c r="AN30" i="9"/>
  <c r="AO30" i="9" s="1"/>
  <c r="AN13" i="9"/>
  <c r="AO13" i="9" s="1"/>
  <c r="AM22" i="4"/>
  <c r="AN22" i="4" s="1"/>
  <c r="AM44" i="4"/>
  <c r="AN44" i="4" s="1"/>
  <c r="AM30" i="4"/>
  <c r="AN30" i="4" s="1"/>
  <c r="AM13" i="4"/>
  <c r="AN13" i="4" s="1"/>
  <c r="AN22" i="9"/>
  <c r="AO22" i="9" s="1"/>
  <c r="AM17" i="4"/>
  <c r="AN17" i="4" s="1"/>
  <c r="AN5" i="9"/>
  <c r="AO5" i="9" s="1"/>
  <c r="AM42" i="4"/>
  <c r="AN42" i="4" s="1"/>
  <c r="AM26" i="4"/>
  <c r="AN26" i="4" s="1"/>
  <c r="AN28" i="9"/>
  <c r="AO28" i="9" s="1"/>
  <c r="AM28" i="4"/>
  <c r="AN28" i="4" s="1"/>
  <c r="AP39" i="4"/>
  <c r="AR39" i="4" s="1"/>
  <c r="AU39" i="9" s="1"/>
  <c r="AT39" i="4" s="1"/>
  <c r="AU39" i="4" s="1"/>
  <c r="AY39" i="4" s="1"/>
  <c r="AP27" i="4"/>
  <c r="AR27" i="4" s="1"/>
  <c r="AU27" i="9" s="1"/>
  <c r="AT27" i="4" s="1"/>
  <c r="AU27" i="4" s="1"/>
  <c r="AY27" i="4" s="1"/>
  <c r="AQ36" i="9"/>
  <c r="AS36" i="9" s="1"/>
  <c r="AV36" i="9" s="1"/>
  <c r="BG21" i="4"/>
  <c r="BF21" i="4"/>
  <c r="BH21" i="4" s="1"/>
  <c r="BK21" i="4" s="1"/>
  <c r="BM21" i="4" s="1"/>
  <c r="BG47" i="4"/>
  <c r="BF47" i="4"/>
  <c r="BH47" i="4" s="1"/>
  <c r="BK47" i="4" s="1"/>
  <c r="BM47" i="4" s="1"/>
  <c r="I47" i="10" s="1"/>
  <c r="BG32" i="4"/>
  <c r="BI32" i="4" s="1"/>
  <c r="BL32" i="4" s="1"/>
  <c r="BN32" i="4" s="1"/>
  <c r="BO32" i="4" s="1"/>
  <c r="BG48" i="4"/>
  <c r="BI48" i="4" s="1"/>
  <c r="BL48" i="4" s="1"/>
  <c r="BN48" i="4" s="1"/>
  <c r="BF16" i="4"/>
  <c r="BH16" i="4" s="1"/>
  <c r="BK16" i="4" s="1"/>
  <c r="BM16" i="4" s="1"/>
  <c r="BF32" i="4"/>
  <c r="BH32" i="4" s="1"/>
  <c r="BK32" i="4" s="1"/>
  <c r="BM32" i="4" s="1"/>
  <c r="BF48" i="4"/>
  <c r="BH48" i="4" s="1"/>
  <c r="BK48" i="4" s="1"/>
  <c r="BM48" i="4" s="1"/>
  <c r="I48" i="10" s="1"/>
  <c r="BG16" i="4"/>
  <c r="BG25" i="4"/>
  <c r="BF25" i="4"/>
  <c r="BH25" i="4" s="1"/>
  <c r="BK25" i="4" s="1"/>
  <c r="BM25" i="4" s="1"/>
  <c r="BG19" i="4"/>
  <c r="BF11" i="4"/>
  <c r="BH11" i="4" s="1"/>
  <c r="BK11" i="4" s="1"/>
  <c r="BM11" i="4" s="1"/>
  <c r="BG34" i="4"/>
  <c r="BF34" i="4"/>
  <c r="BH34" i="4" s="1"/>
  <c r="BK34" i="4" s="1"/>
  <c r="BM34" i="4" s="1"/>
  <c r="I34" i="10" s="1"/>
  <c r="BG11" i="4"/>
  <c r="BG3" i="4"/>
  <c r="BF19" i="4"/>
  <c r="BH19" i="4" s="1"/>
  <c r="BK19" i="4" s="1"/>
  <c r="BM19" i="4" s="1"/>
  <c r="BF3" i="4"/>
  <c r="BH3" i="4" s="1"/>
  <c r="AM32" i="4"/>
  <c r="AN32" i="4" s="1"/>
  <c r="AM11" i="4"/>
  <c r="AN11" i="4" s="1"/>
  <c r="AN11" i="9"/>
  <c r="AO11" i="9" s="1"/>
  <c r="AN19" i="9"/>
  <c r="AO19" i="9" s="1"/>
  <c r="AM19" i="4"/>
  <c r="AN19" i="4" s="1"/>
  <c r="AM16" i="4"/>
  <c r="AN16" i="4" s="1"/>
  <c r="AN25" i="9"/>
  <c r="AO25" i="9" s="1"/>
  <c r="AN48" i="9"/>
  <c r="AO48" i="9" s="1"/>
  <c r="AM25" i="4"/>
  <c r="AN25" i="4" s="1"/>
  <c r="AM48" i="4"/>
  <c r="AN48" i="4" s="1"/>
  <c r="AN40" i="9"/>
  <c r="AO40" i="9" s="1"/>
  <c r="AN21" i="9"/>
  <c r="AO21" i="9" s="1"/>
  <c r="AN8" i="9"/>
  <c r="AO8" i="9" s="1"/>
  <c r="AM21" i="4"/>
  <c r="AN21" i="4" s="1"/>
  <c r="AN47" i="9"/>
  <c r="AO47" i="9" s="1"/>
  <c r="AM47" i="4"/>
  <c r="AN47" i="4" s="1"/>
  <c r="AN4" i="9"/>
  <c r="AO4" i="9" s="1"/>
  <c r="AN17" i="9"/>
  <c r="AO17" i="9" s="1"/>
  <c r="AN44" i="9"/>
  <c r="AO44" i="9" s="1"/>
  <c r="AM34" i="4"/>
  <c r="AN34" i="4" s="1"/>
  <c r="AN32" i="9"/>
  <c r="AO32" i="9" s="1"/>
  <c r="AL32" i="4"/>
  <c r="AL31" i="4"/>
  <c r="AL30" i="4"/>
  <c r="AL29" i="4"/>
  <c r="AD33" i="1"/>
  <c r="AC33" i="1"/>
  <c r="AB33" i="1"/>
  <c r="R33" i="1"/>
  <c r="P33" i="1"/>
  <c r="AQ34" i="1" s="1"/>
  <c r="AD32" i="1"/>
  <c r="AC32" i="1"/>
  <c r="AB32" i="1"/>
  <c r="R32" i="1"/>
  <c r="P32" i="1"/>
  <c r="R31" i="1"/>
  <c r="P31" i="1"/>
  <c r="AD30" i="1"/>
  <c r="AC30" i="1"/>
  <c r="AB30" i="1"/>
  <c r="R30" i="1"/>
  <c r="P30" i="1"/>
  <c r="Q28" i="1"/>
  <c r="AD29" i="1"/>
  <c r="AC29" i="1"/>
  <c r="AB29" i="1"/>
  <c r="R29" i="1"/>
  <c r="P29" i="1"/>
  <c r="AD28" i="1"/>
  <c r="AC28" i="1"/>
  <c r="AB28" i="1"/>
  <c r="R28" i="1"/>
  <c r="P28" i="1"/>
  <c r="AB6" i="1"/>
  <c r="AL28" i="4"/>
  <c r="AL27" i="4"/>
  <c r="AD27" i="1"/>
  <c r="AC27" i="1"/>
  <c r="AB27" i="1"/>
  <c r="R27" i="1"/>
  <c r="Q27" i="1"/>
  <c r="P27" i="1"/>
  <c r="AD26" i="1"/>
  <c r="AC26" i="1"/>
  <c r="AB26" i="1"/>
  <c r="R26" i="1"/>
  <c r="Q26" i="1"/>
  <c r="P26" i="1"/>
  <c r="AD25" i="1"/>
  <c r="AC25" i="1"/>
  <c r="AB25" i="1"/>
  <c r="R25" i="1"/>
  <c r="Q25" i="1"/>
  <c r="P25" i="1"/>
  <c r="AD24" i="1"/>
  <c r="AC24" i="1"/>
  <c r="AB24" i="1"/>
  <c r="R24" i="1"/>
  <c r="Q24" i="1"/>
  <c r="P24" i="1"/>
  <c r="AL26" i="4"/>
  <c r="AL25" i="4"/>
  <c r="AL24" i="4"/>
  <c r="AL23" i="4"/>
  <c r="BI25" i="4" l="1"/>
  <c r="BL25" i="4" s="1"/>
  <c r="BN25" i="4" s="1"/>
  <c r="BO25" i="4" s="1"/>
  <c r="BI47" i="4"/>
  <c r="BL47" i="4" s="1"/>
  <c r="BN47" i="4" s="1"/>
  <c r="BI21" i="4"/>
  <c r="BL21" i="4" s="1"/>
  <c r="BN21" i="4" s="1"/>
  <c r="BO21" i="4" s="1"/>
  <c r="BI22" i="4"/>
  <c r="BL22" i="4" s="1"/>
  <c r="BN22" i="4" s="1"/>
  <c r="BO22" i="4" s="1"/>
  <c r="BI14" i="4"/>
  <c r="BL14" i="4" s="1"/>
  <c r="BN14" i="4" s="1"/>
  <c r="BO14" i="4" s="1"/>
  <c r="BI13" i="4"/>
  <c r="BL13" i="4" s="1"/>
  <c r="BN13" i="4" s="1"/>
  <c r="BO13" i="4" s="1"/>
  <c r="BI40" i="4"/>
  <c r="BL40" i="4" s="1"/>
  <c r="BN40" i="4" s="1"/>
  <c r="BO40" i="4" s="1"/>
  <c r="AT49" i="9"/>
  <c r="BI44" i="4"/>
  <c r="BL44" i="4" s="1"/>
  <c r="BN44" i="4" s="1"/>
  <c r="AT36" i="9"/>
  <c r="AS27" i="4"/>
  <c r="AV27" i="4" s="1"/>
  <c r="AS8" i="4"/>
  <c r="AU46" i="9"/>
  <c r="AT46" i="4" s="1"/>
  <c r="AU46" i="4" s="1"/>
  <c r="AY46" i="4" s="1"/>
  <c r="AW46" i="9" s="1"/>
  <c r="AQ28" i="9"/>
  <c r="AS28" i="9" s="1"/>
  <c r="AV28" i="9" s="1"/>
  <c r="AR28" i="9"/>
  <c r="AQ17" i="9"/>
  <c r="AS17" i="9" s="1"/>
  <c r="AV17" i="9" s="1"/>
  <c r="AR17" i="9"/>
  <c r="AP11" i="4"/>
  <c r="AR11" i="4" s="1"/>
  <c r="AQ11" i="4"/>
  <c r="AS11" i="4" s="1"/>
  <c r="AP47" i="4"/>
  <c r="AR47" i="4" s="1"/>
  <c r="AQ47" i="4"/>
  <c r="AS47" i="4" s="1"/>
  <c r="AQ48" i="9"/>
  <c r="AS48" i="9" s="1"/>
  <c r="AR48" i="9"/>
  <c r="AP28" i="4"/>
  <c r="AR28" i="4" s="1"/>
  <c r="AQ28" i="4"/>
  <c r="AP30" i="4"/>
  <c r="AR30" i="4" s="1"/>
  <c r="AQ30" i="4"/>
  <c r="AS30" i="4" s="1"/>
  <c r="AP43" i="4"/>
  <c r="AR43" i="4" s="1"/>
  <c r="AQ43" i="4"/>
  <c r="AS43" i="4" s="1"/>
  <c r="BO44" i="4"/>
  <c r="J44" i="10"/>
  <c r="AU36" i="9"/>
  <c r="AT36" i="4" s="1"/>
  <c r="AU36" i="4" s="1"/>
  <c r="AY36" i="4" s="1"/>
  <c r="AQ6" i="9"/>
  <c r="AS6" i="9" s="1"/>
  <c r="AV6" i="9" s="1"/>
  <c r="AR6" i="9"/>
  <c r="AQ24" i="9"/>
  <c r="AS24" i="9" s="1"/>
  <c r="AV24" i="9" s="1"/>
  <c r="AR24" i="9"/>
  <c r="BL35" i="4"/>
  <c r="BN35" i="4" s="1"/>
  <c r="BO35" i="4" s="1"/>
  <c r="BI24" i="4"/>
  <c r="BL24" i="4" s="1"/>
  <c r="BN24" i="4" s="1"/>
  <c r="BO5" i="4"/>
  <c r="J5" i="10"/>
  <c r="AT41" i="9"/>
  <c r="AS33" i="4"/>
  <c r="AV33" i="4" s="1"/>
  <c r="AS37" i="4"/>
  <c r="AQ47" i="9"/>
  <c r="AS47" i="9" s="1"/>
  <c r="AR47" i="9"/>
  <c r="AT47" i="9" s="1"/>
  <c r="AS46" i="4"/>
  <c r="AV46" i="4" s="1"/>
  <c r="AP21" i="4"/>
  <c r="AR21" i="4" s="1"/>
  <c r="AQ21" i="4"/>
  <c r="AP16" i="4"/>
  <c r="AR16" i="4" s="1"/>
  <c r="AQ16" i="4"/>
  <c r="BI3" i="4"/>
  <c r="BI16" i="4"/>
  <c r="BL16" i="4" s="1"/>
  <c r="BN16" i="4" s="1"/>
  <c r="BO16" i="4" s="1"/>
  <c r="AP26" i="4"/>
  <c r="AR26" i="4" s="1"/>
  <c r="AQ26" i="4"/>
  <c r="AP22" i="4"/>
  <c r="AR22" i="4" s="1"/>
  <c r="AQ22" i="4"/>
  <c r="BI43" i="4"/>
  <c r="BL43" i="4" s="1"/>
  <c r="BN43" i="4" s="1"/>
  <c r="BI30" i="4"/>
  <c r="BL30" i="4" s="1"/>
  <c r="BN30" i="4" s="1"/>
  <c r="AU41" i="9"/>
  <c r="AT41" i="4" s="1"/>
  <c r="AU41" i="4" s="1"/>
  <c r="AY41" i="4" s="1"/>
  <c r="AQ38" i="9"/>
  <c r="AS38" i="9" s="1"/>
  <c r="AV38" i="9" s="1"/>
  <c r="AR38" i="9"/>
  <c r="AT38" i="9" s="1"/>
  <c r="AP4" i="4"/>
  <c r="AR4" i="4" s="1"/>
  <c r="AQ4" i="4"/>
  <c r="AQ7" i="9"/>
  <c r="AS7" i="9" s="1"/>
  <c r="AV7" i="9" s="1"/>
  <c r="AR7" i="9"/>
  <c r="AT7" i="9" s="1"/>
  <c r="AU18" i="9"/>
  <c r="AT18" i="4" s="1"/>
  <c r="AU18" i="4" s="1"/>
  <c r="AY18" i="4" s="1"/>
  <c r="AT18" i="9"/>
  <c r="AS36" i="4"/>
  <c r="AV36" i="4" s="1"/>
  <c r="AS15" i="4"/>
  <c r="AV15" i="4" s="1"/>
  <c r="AQ25" i="9"/>
  <c r="AS25" i="9" s="1"/>
  <c r="AV25" i="9" s="1"/>
  <c r="AR25" i="9"/>
  <c r="AP9" i="4"/>
  <c r="AR9" i="4" s="1"/>
  <c r="AQ9" i="4"/>
  <c r="BO46" i="4"/>
  <c r="J46" i="10"/>
  <c r="AQ32" i="9"/>
  <c r="AS32" i="9" s="1"/>
  <c r="AV32" i="9" s="1"/>
  <c r="AR32" i="9"/>
  <c r="AQ8" i="9"/>
  <c r="AS8" i="9" s="1"/>
  <c r="AV8" i="9" s="1"/>
  <c r="AR8" i="9"/>
  <c r="AT8" i="9" s="1"/>
  <c r="AP19" i="4"/>
  <c r="AR19" i="4" s="1"/>
  <c r="AQ19" i="4"/>
  <c r="AS19" i="4" s="1"/>
  <c r="BI11" i="4"/>
  <c r="BL11" i="4" s="1"/>
  <c r="BN11" i="4" s="1"/>
  <c r="BO11" i="4" s="1"/>
  <c r="AP42" i="4"/>
  <c r="AR42" i="4" s="1"/>
  <c r="AU42" i="9" s="1"/>
  <c r="AT42" i="4" s="1"/>
  <c r="AU42" i="4" s="1"/>
  <c r="AY42" i="4" s="1"/>
  <c r="AQ42" i="4"/>
  <c r="AQ13" i="9"/>
  <c r="AS13" i="9" s="1"/>
  <c r="AV13" i="9" s="1"/>
  <c r="AR13" i="9"/>
  <c r="AP10" i="4"/>
  <c r="AR10" i="4" s="1"/>
  <c r="AQ10" i="4"/>
  <c r="AP7" i="4"/>
  <c r="AR7" i="4" s="1"/>
  <c r="AU7" i="9" s="1"/>
  <c r="AT7" i="4" s="1"/>
  <c r="AU7" i="4" s="1"/>
  <c r="AY7" i="4" s="1"/>
  <c r="AQ7" i="4"/>
  <c r="AQ35" i="9"/>
  <c r="AS35" i="9" s="1"/>
  <c r="AV35" i="9" s="1"/>
  <c r="AR35" i="9"/>
  <c r="BI50" i="4"/>
  <c r="BL50" i="4" s="1"/>
  <c r="BN50" i="4" s="1"/>
  <c r="BI23" i="4"/>
  <c r="BL23" i="4" s="1"/>
  <c r="BN23" i="4" s="1"/>
  <c r="BO23" i="4" s="1"/>
  <c r="BO38" i="4"/>
  <c r="J38" i="10"/>
  <c r="AT12" i="9"/>
  <c r="AS5" i="4"/>
  <c r="AS38" i="4"/>
  <c r="AP44" i="4"/>
  <c r="AR44" i="4" s="1"/>
  <c r="AU44" i="9" s="1"/>
  <c r="AT44" i="4" s="1"/>
  <c r="AU44" i="4" s="1"/>
  <c r="AY44" i="4" s="1"/>
  <c r="AQ44" i="4"/>
  <c r="AQ37" i="9"/>
  <c r="AS37" i="9" s="1"/>
  <c r="AV37" i="9" s="1"/>
  <c r="AR37" i="9"/>
  <c r="AT37" i="9" s="1"/>
  <c r="AQ21" i="9"/>
  <c r="AS21" i="9" s="1"/>
  <c r="AV21" i="9" s="1"/>
  <c r="AR21" i="9"/>
  <c r="AQ19" i="9"/>
  <c r="AS19" i="9" s="1"/>
  <c r="AV19" i="9" s="1"/>
  <c r="AR19" i="9"/>
  <c r="BO45" i="4"/>
  <c r="J45" i="10"/>
  <c r="AQ5" i="9"/>
  <c r="AS5" i="9" s="1"/>
  <c r="AV5" i="9" s="1"/>
  <c r="AR5" i="9"/>
  <c r="AQ30" i="9"/>
  <c r="AS30" i="9" s="1"/>
  <c r="AV30" i="9" s="1"/>
  <c r="AR30" i="9"/>
  <c r="AQ10" i="9"/>
  <c r="AS10" i="9" s="1"/>
  <c r="AV10" i="9" s="1"/>
  <c r="AR10" i="9"/>
  <c r="AQ14" i="9"/>
  <c r="AS14" i="9" s="1"/>
  <c r="AV14" i="9" s="1"/>
  <c r="AR14" i="9"/>
  <c r="AP35" i="4"/>
  <c r="AR35" i="4" s="1"/>
  <c r="AQ35" i="4"/>
  <c r="AV50" i="9"/>
  <c r="AT46" i="9"/>
  <c r="AT39" i="9"/>
  <c r="AT15" i="9"/>
  <c r="AW29" i="4"/>
  <c r="AZ29" i="4"/>
  <c r="BA29" i="4" s="1"/>
  <c r="AQ23" i="9"/>
  <c r="AS23" i="9" s="1"/>
  <c r="AV23" i="9" s="1"/>
  <c r="AR23" i="9"/>
  <c r="AP34" i="4"/>
  <c r="AR34" i="4" s="1"/>
  <c r="AQ34" i="4"/>
  <c r="AQ44" i="9"/>
  <c r="AS44" i="9" s="1"/>
  <c r="AV44" i="9" s="1"/>
  <c r="AR44" i="9"/>
  <c r="AT44" i="9" s="1"/>
  <c r="AQ40" i="9"/>
  <c r="AS40" i="9" s="1"/>
  <c r="AR40" i="9"/>
  <c r="AQ11" i="9"/>
  <c r="AS11" i="9" s="1"/>
  <c r="AV11" i="9" s="1"/>
  <c r="AR11" i="9"/>
  <c r="BI34" i="4"/>
  <c r="BL34" i="4" s="1"/>
  <c r="BN34" i="4" s="1"/>
  <c r="AP17" i="4"/>
  <c r="AR17" i="4" s="1"/>
  <c r="AU17" i="9" s="1"/>
  <c r="AT17" i="4" s="1"/>
  <c r="AU17" i="4" s="1"/>
  <c r="AY17" i="4" s="1"/>
  <c r="AQ17" i="4"/>
  <c r="AQ26" i="9"/>
  <c r="AS26" i="9" s="1"/>
  <c r="AV26" i="9" s="1"/>
  <c r="AR26" i="9"/>
  <c r="BI42" i="4"/>
  <c r="BL42" i="4" s="1"/>
  <c r="BN42" i="4" s="1"/>
  <c r="BI17" i="4"/>
  <c r="BL17" i="4" s="1"/>
  <c r="BN17" i="4" s="1"/>
  <c r="AQ43" i="9"/>
  <c r="AS43" i="9" s="1"/>
  <c r="AV43" i="9" s="1"/>
  <c r="AR43" i="9"/>
  <c r="AP14" i="4"/>
  <c r="AR14" i="4" s="1"/>
  <c r="AQ14" i="4"/>
  <c r="AP23" i="4"/>
  <c r="AR23" i="4" s="1"/>
  <c r="AQ23" i="4"/>
  <c r="AU38" i="9"/>
  <c r="AT38" i="4" s="1"/>
  <c r="AU38" i="4" s="1"/>
  <c r="AY38" i="4" s="1"/>
  <c r="AS20" i="4"/>
  <c r="AV20" i="4" s="1"/>
  <c r="AU49" i="9"/>
  <c r="AT49" i="4" s="1"/>
  <c r="AU49" i="4" s="1"/>
  <c r="AY49" i="4" s="1"/>
  <c r="G49" i="10" s="1"/>
  <c r="BO48" i="4"/>
  <c r="J48" i="10"/>
  <c r="AQ22" i="9"/>
  <c r="AS22" i="9" s="1"/>
  <c r="AV22" i="9" s="1"/>
  <c r="AR22" i="9"/>
  <c r="AT22" i="9" s="1"/>
  <c r="AP6" i="4"/>
  <c r="AR6" i="4" s="1"/>
  <c r="AU6" i="9" s="1"/>
  <c r="AT6" i="4" s="1"/>
  <c r="AU6" i="4" s="1"/>
  <c r="AY6" i="4" s="1"/>
  <c r="AQ6" i="4"/>
  <c r="AP50" i="4"/>
  <c r="AR50" i="4" s="1"/>
  <c r="AU50" i="9" s="1"/>
  <c r="AT50" i="4" s="1"/>
  <c r="AU50" i="4" s="1"/>
  <c r="AY50" i="4" s="1"/>
  <c r="G50" i="10" s="1"/>
  <c r="AQ50" i="4"/>
  <c r="AP24" i="4"/>
  <c r="AR24" i="4" s="1"/>
  <c r="AQ24" i="4"/>
  <c r="AQ34" i="9"/>
  <c r="AS34" i="9" s="1"/>
  <c r="AV34" i="9" s="1"/>
  <c r="AR34" i="9"/>
  <c r="AT34" i="9" s="1"/>
  <c r="AU8" i="9"/>
  <c r="AT8" i="4" s="1"/>
  <c r="AU8" i="4" s="1"/>
  <c r="AY8" i="4" s="1"/>
  <c r="AU37" i="9"/>
  <c r="AT37" i="4" s="1"/>
  <c r="AU37" i="4" s="1"/>
  <c r="AY37" i="4" s="1"/>
  <c r="AT50" i="9"/>
  <c r="AS12" i="4"/>
  <c r="AV12" i="4" s="1"/>
  <c r="AS31" i="4"/>
  <c r="AV31" i="4" s="1"/>
  <c r="AV49" i="9"/>
  <c r="BO47" i="4"/>
  <c r="J47" i="10"/>
  <c r="AP48" i="4"/>
  <c r="AR48" i="4" s="1"/>
  <c r="AU48" i="9" s="1"/>
  <c r="AT48" i="4" s="1"/>
  <c r="AU48" i="4" s="1"/>
  <c r="AY48" i="4" s="1"/>
  <c r="G48" i="10" s="1"/>
  <c r="AQ48" i="4"/>
  <c r="AQ4" i="9"/>
  <c r="AS4" i="9" s="1"/>
  <c r="AV4" i="9" s="1"/>
  <c r="AR4" i="9"/>
  <c r="AP25" i="4"/>
  <c r="AR25" i="4" s="1"/>
  <c r="AQ25" i="4"/>
  <c r="AS25" i="4" s="1"/>
  <c r="AP32" i="4"/>
  <c r="AR32" i="4" s="1"/>
  <c r="AQ32" i="4"/>
  <c r="AS32" i="4" s="1"/>
  <c r="BI19" i="4"/>
  <c r="BL19" i="4" s="1"/>
  <c r="BN19" i="4" s="1"/>
  <c r="BO19" i="4" s="1"/>
  <c r="AW39" i="9"/>
  <c r="G39" i="10"/>
  <c r="AP13" i="4"/>
  <c r="AR13" i="4" s="1"/>
  <c r="AQ13" i="4"/>
  <c r="AQ9" i="9"/>
  <c r="AS9" i="9" s="1"/>
  <c r="AV9" i="9" s="1"/>
  <c r="AR9" i="9"/>
  <c r="BI28" i="4"/>
  <c r="BL28" i="4" s="1"/>
  <c r="BN28" i="4" s="1"/>
  <c r="AQ16" i="9"/>
  <c r="AS16" i="9" s="1"/>
  <c r="AV16" i="9" s="1"/>
  <c r="AR16" i="9"/>
  <c r="AP40" i="4"/>
  <c r="AR40" i="4" s="1"/>
  <c r="AQ40" i="4"/>
  <c r="AT45" i="9"/>
  <c r="AS18" i="4"/>
  <c r="AV18" i="4" s="1"/>
  <c r="AV41" i="4"/>
  <c r="AS39" i="4"/>
  <c r="AV39" i="4" s="1"/>
  <c r="AU45" i="9"/>
  <c r="AT45" i="4" s="1"/>
  <c r="AU45" i="4" s="1"/>
  <c r="AY45" i="4" s="1"/>
  <c r="I37" i="10"/>
  <c r="I25" i="10"/>
  <c r="I26" i="10"/>
  <c r="I29" i="10"/>
  <c r="I32" i="10"/>
  <c r="I23" i="10"/>
  <c r="I27" i="10"/>
  <c r="I31" i="10"/>
  <c r="I36" i="10"/>
  <c r="I35" i="10"/>
  <c r="I33" i="10"/>
  <c r="Q22" i="1"/>
  <c r="AL22" i="4"/>
  <c r="P23" i="1"/>
  <c r="Q23" i="1"/>
  <c r="R23" i="1"/>
  <c r="AB23" i="1"/>
  <c r="AC23" i="1"/>
  <c r="AD23" i="1"/>
  <c r="AL21" i="4"/>
  <c r="AD22" i="1"/>
  <c r="AC22" i="1"/>
  <c r="AB22" i="1"/>
  <c r="R22" i="1"/>
  <c r="P22" i="1"/>
  <c r="R15" i="1"/>
  <c r="AS9" i="4" l="1"/>
  <c r="AU32" i="9"/>
  <c r="AT32" i="4" s="1"/>
  <c r="AU32" i="4" s="1"/>
  <c r="AY32" i="4" s="1"/>
  <c r="J40" i="10"/>
  <c r="AU14" i="9"/>
  <c r="AT14" i="4" s="1"/>
  <c r="AU14" i="4" s="1"/>
  <c r="AY14" i="4" s="1"/>
  <c r="AU25" i="9"/>
  <c r="AT25" i="4" s="1"/>
  <c r="AU25" i="4" s="1"/>
  <c r="AY25" i="4" s="1"/>
  <c r="AU34" i="9"/>
  <c r="AT34" i="4" s="1"/>
  <c r="AU34" i="4" s="1"/>
  <c r="AY34" i="4" s="1"/>
  <c r="G46" i="10"/>
  <c r="AV32" i="4"/>
  <c r="AZ32" i="4" s="1"/>
  <c r="BA32" i="4" s="1"/>
  <c r="AS40" i="4"/>
  <c r="AV40" i="4" s="1"/>
  <c r="AZ40" i="4" s="1"/>
  <c r="AU13" i="9"/>
  <c r="AT13" i="4" s="1"/>
  <c r="AU13" i="4" s="1"/>
  <c r="AY13" i="4" s="1"/>
  <c r="AT4" i="9"/>
  <c r="AS35" i="4"/>
  <c r="AT6" i="9"/>
  <c r="AU40" i="9"/>
  <c r="AT40" i="4" s="1"/>
  <c r="AU40" i="4" s="1"/>
  <c r="AY40" i="4" s="1"/>
  <c r="G40" i="10" s="1"/>
  <c r="AS6" i="4"/>
  <c r="AV6" i="4" s="1"/>
  <c r="AT40" i="9"/>
  <c r="AT14" i="9"/>
  <c r="AV49" i="4"/>
  <c r="AT11" i="9"/>
  <c r="AW50" i="9"/>
  <c r="AT24" i="9"/>
  <c r="AU10" i="9"/>
  <c r="AT10" i="4" s="1"/>
  <c r="AU10" i="4" s="1"/>
  <c r="AY10" i="4" s="1"/>
  <c r="AV25" i="4"/>
  <c r="AZ25" i="4" s="1"/>
  <c r="BA25" i="4" s="1"/>
  <c r="AW49" i="9"/>
  <c r="AX49" i="9" s="1"/>
  <c r="AT13" i="9"/>
  <c r="AS22" i="4"/>
  <c r="AS21" i="4"/>
  <c r="AU28" i="9"/>
  <c r="AT28" i="4" s="1"/>
  <c r="AU28" i="4" s="1"/>
  <c r="AY28" i="4" s="1"/>
  <c r="AS24" i="4"/>
  <c r="AV24" i="4" s="1"/>
  <c r="AS14" i="4"/>
  <c r="AV14" i="4" s="1"/>
  <c r="AS17" i="4"/>
  <c r="AV17" i="4" s="1"/>
  <c r="AZ17" i="4" s="1"/>
  <c r="AT48" i="9"/>
  <c r="AX48" i="9" s="1"/>
  <c r="AT28" i="9"/>
  <c r="AU24" i="9"/>
  <c r="AT24" i="4" s="1"/>
  <c r="AU24" i="4" s="1"/>
  <c r="AY24" i="4" s="1"/>
  <c r="AX46" i="9"/>
  <c r="AW38" i="9"/>
  <c r="G38" i="10"/>
  <c r="AW41" i="9"/>
  <c r="AX41" i="9" s="1"/>
  <c r="G41" i="10"/>
  <c r="AV37" i="4"/>
  <c r="AV47" i="4"/>
  <c r="AS13" i="4"/>
  <c r="AV13" i="4" s="1"/>
  <c r="AS23" i="4"/>
  <c r="AT26" i="9"/>
  <c r="AV40" i="9"/>
  <c r="AW40" i="9"/>
  <c r="AU35" i="9"/>
  <c r="AT35" i="4" s="1"/>
  <c r="AU35" i="4" s="1"/>
  <c r="AY35" i="4" s="1"/>
  <c r="AT5" i="9"/>
  <c r="AV8" i="4"/>
  <c r="AS10" i="4"/>
  <c r="AU19" i="9"/>
  <c r="AT19" i="4" s="1"/>
  <c r="AU19" i="4" s="1"/>
  <c r="AY19" i="4" s="1"/>
  <c r="BO30" i="4"/>
  <c r="J30" i="10"/>
  <c r="AS16" i="4"/>
  <c r="AZ33" i="4"/>
  <c r="BA33" i="4" s="1"/>
  <c r="AW33" i="4"/>
  <c r="AU43" i="9"/>
  <c r="AT43" i="4" s="1"/>
  <c r="AU43" i="4" s="1"/>
  <c r="AY43" i="4" s="1"/>
  <c r="AU47" i="9"/>
  <c r="AT47" i="4" s="1"/>
  <c r="AU47" i="4" s="1"/>
  <c r="AY47" i="4" s="1"/>
  <c r="G47" i="10" s="1"/>
  <c r="AU16" i="9"/>
  <c r="AT16" i="4" s="1"/>
  <c r="AU16" i="4" s="1"/>
  <c r="AY16" i="4" s="1"/>
  <c r="AV35" i="4"/>
  <c r="AZ24" i="4"/>
  <c r="AW24" i="4"/>
  <c r="BO43" i="4"/>
  <c r="J43" i="10"/>
  <c r="AW45" i="9"/>
  <c r="AX45" i="9" s="1"/>
  <c r="G45" i="10"/>
  <c r="AW12" i="4"/>
  <c r="AZ12" i="4"/>
  <c r="BA12" i="4" s="1"/>
  <c r="AW24" i="9"/>
  <c r="AX24" i="9" s="1"/>
  <c r="G24" i="10"/>
  <c r="AW14" i="4"/>
  <c r="AZ14" i="4"/>
  <c r="BA14" i="4" s="1"/>
  <c r="AW17" i="4"/>
  <c r="AU9" i="9"/>
  <c r="AT9" i="4" s="1"/>
  <c r="AU9" i="4" s="1"/>
  <c r="AY9" i="4" s="1"/>
  <c r="AU30" i="9"/>
  <c r="AT30" i="4" s="1"/>
  <c r="AU30" i="4" s="1"/>
  <c r="AY30" i="4" s="1"/>
  <c r="AU11" i="9"/>
  <c r="AT11" i="4" s="1"/>
  <c r="AU11" i="4" s="1"/>
  <c r="AY11" i="4" s="1"/>
  <c r="AZ18" i="4"/>
  <c r="BA18" i="4" s="1"/>
  <c r="AW18" i="4"/>
  <c r="BO42" i="4"/>
  <c r="J42" i="10"/>
  <c r="AZ31" i="4"/>
  <c r="BA31" i="4" s="1"/>
  <c r="AW31" i="4"/>
  <c r="AU23" i="9"/>
  <c r="AT23" i="4" s="1"/>
  <c r="AU23" i="4" s="1"/>
  <c r="AY23" i="4" s="1"/>
  <c r="AZ39" i="4"/>
  <c r="AW39" i="4"/>
  <c r="AT16" i="9"/>
  <c r="AS48" i="4"/>
  <c r="AV48" i="4" s="1"/>
  <c r="AV45" i="4"/>
  <c r="AS50" i="4"/>
  <c r="AV50" i="4" s="1"/>
  <c r="AW17" i="9"/>
  <c r="G17" i="10"/>
  <c r="AS34" i="4"/>
  <c r="AV34" i="4" s="1"/>
  <c r="AX39" i="9"/>
  <c r="AT10" i="9"/>
  <c r="AS44" i="4"/>
  <c r="AV44" i="4" s="1"/>
  <c r="BO50" i="4"/>
  <c r="J50" i="10"/>
  <c r="AT32" i="9"/>
  <c r="AT25" i="9"/>
  <c r="AS4" i="4"/>
  <c r="AU22" i="9"/>
  <c r="AT22" i="4" s="1"/>
  <c r="AU22" i="4" s="1"/>
  <c r="AY22" i="4" s="1"/>
  <c r="AU21" i="9"/>
  <c r="AT21" i="4" s="1"/>
  <c r="AU21" i="4" s="1"/>
  <c r="AY21" i="4" s="1"/>
  <c r="AS28" i="4"/>
  <c r="AV28" i="4" s="1"/>
  <c r="AT17" i="9"/>
  <c r="AX17" i="9" s="1"/>
  <c r="AZ41" i="4"/>
  <c r="AW41" i="4"/>
  <c r="AX50" i="9"/>
  <c r="AW49" i="4"/>
  <c r="AZ49" i="4"/>
  <c r="AT43" i="9"/>
  <c r="BO34" i="4"/>
  <c r="J34" i="10"/>
  <c r="AW34" i="9"/>
  <c r="AX34" i="9" s="1"/>
  <c r="G34" i="10"/>
  <c r="AT19" i="9"/>
  <c r="AW44" i="9"/>
  <c r="AX44" i="9" s="1"/>
  <c r="G44" i="10"/>
  <c r="AT35" i="9"/>
  <c r="AS42" i="4"/>
  <c r="AV42" i="4" s="1"/>
  <c r="AU4" i="9"/>
  <c r="AT4" i="4" s="1"/>
  <c r="AU4" i="4" s="1"/>
  <c r="AY4" i="4" s="1"/>
  <c r="AS26" i="4"/>
  <c r="AW46" i="4"/>
  <c r="AZ46" i="4"/>
  <c r="AU5" i="9"/>
  <c r="AT5" i="4" s="1"/>
  <c r="AU5" i="4" s="1"/>
  <c r="AY5" i="4" s="1"/>
  <c r="AW28" i="9"/>
  <c r="AX28" i="9" s="1"/>
  <c r="G28" i="10"/>
  <c r="AZ6" i="4"/>
  <c r="BA6" i="4" s="1"/>
  <c r="AW6" i="4"/>
  <c r="AW20" i="4"/>
  <c r="AZ20" i="4"/>
  <c r="BA20" i="4" s="1"/>
  <c r="AZ27" i="4"/>
  <c r="BA27" i="4" s="1"/>
  <c r="AW27" i="4"/>
  <c r="AV38" i="4"/>
  <c r="AW42" i="9"/>
  <c r="AX42" i="9" s="1"/>
  <c r="G42" i="10"/>
  <c r="AW15" i="4"/>
  <c r="AZ15" i="4"/>
  <c r="BA15" i="4" s="1"/>
  <c r="AX38" i="9"/>
  <c r="AU26" i="9"/>
  <c r="AT26" i="4" s="1"/>
  <c r="AU26" i="4" s="1"/>
  <c r="AY26" i="4" s="1"/>
  <c r="BO24" i="4"/>
  <c r="J24" i="10"/>
  <c r="BO28" i="4"/>
  <c r="J28" i="10"/>
  <c r="AT9" i="9"/>
  <c r="BO17" i="4"/>
  <c r="J17" i="10"/>
  <c r="AT23" i="9"/>
  <c r="AT30" i="9"/>
  <c r="AT21" i="9"/>
  <c r="AS7" i="4"/>
  <c r="AV7" i="4" s="1"/>
  <c r="AZ36" i="4"/>
  <c r="BA36" i="4" s="1"/>
  <c r="AW36" i="4"/>
  <c r="AV47" i="9"/>
  <c r="AW47" i="9"/>
  <c r="AX47" i="9" s="1"/>
  <c r="AV48" i="9"/>
  <c r="AW48" i="9"/>
  <c r="J32" i="10"/>
  <c r="J37" i="10"/>
  <c r="J31" i="10"/>
  <c r="I21" i="10"/>
  <c r="J36" i="10"/>
  <c r="J27" i="10"/>
  <c r="J33" i="10"/>
  <c r="I22" i="10"/>
  <c r="AL20" i="4"/>
  <c r="AL19" i="4"/>
  <c r="AL18" i="4"/>
  <c r="AD21" i="1"/>
  <c r="AC21" i="1"/>
  <c r="AB21" i="1"/>
  <c r="R21" i="1"/>
  <c r="Q21" i="1"/>
  <c r="P21" i="1"/>
  <c r="AD20" i="1"/>
  <c r="AC20" i="1"/>
  <c r="AB20" i="1"/>
  <c r="R20" i="1"/>
  <c r="Q20" i="1"/>
  <c r="P20" i="1"/>
  <c r="AD19" i="1"/>
  <c r="AC19" i="1"/>
  <c r="AB19" i="1"/>
  <c r="R19" i="1"/>
  <c r="Q19" i="1"/>
  <c r="P19" i="1"/>
  <c r="P17" i="1"/>
  <c r="AL17" i="4"/>
  <c r="AL16" i="4"/>
  <c r="AL4" i="4"/>
  <c r="AL5" i="4"/>
  <c r="AL6" i="4"/>
  <c r="BE6" i="4" s="1"/>
  <c r="BG6" i="4" s="1"/>
  <c r="BI6" i="4" s="1"/>
  <c r="BL6" i="4" s="1"/>
  <c r="BN6" i="4" s="1"/>
  <c r="BO6" i="4" s="1"/>
  <c r="AL7" i="4"/>
  <c r="AL8" i="4"/>
  <c r="AL9" i="4"/>
  <c r="BE9" i="4" s="1"/>
  <c r="BG9" i="4" s="1"/>
  <c r="BI9" i="4" s="1"/>
  <c r="BL9" i="4" s="1"/>
  <c r="BN9" i="4" s="1"/>
  <c r="BO9" i="4" s="1"/>
  <c r="AL10" i="4"/>
  <c r="AL11" i="4"/>
  <c r="AL12" i="4"/>
  <c r="AL13" i="4"/>
  <c r="AL14" i="4"/>
  <c r="AL15" i="4"/>
  <c r="BE15" i="4" s="1"/>
  <c r="BG15" i="4" s="1"/>
  <c r="BI15" i="4" s="1"/>
  <c r="BL15" i="4" s="1"/>
  <c r="BN15" i="4" s="1"/>
  <c r="BO15" i="4" s="1"/>
  <c r="I3" i="4"/>
  <c r="H3" i="4"/>
  <c r="AL3" i="4"/>
  <c r="G3" i="4"/>
  <c r="E3" i="4"/>
  <c r="D3" i="4"/>
  <c r="C3" i="4"/>
  <c r="B3" i="4"/>
  <c r="A3" i="4"/>
  <c r="AD18" i="1"/>
  <c r="AC18" i="1"/>
  <c r="AB18" i="1"/>
  <c r="AD17" i="1"/>
  <c r="AC17" i="1"/>
  <c r="AB17" i="1"/>
  <c r="AD16" i="1"/>
  <c r="AB16" i="1"/>
  <c r="R18" i="1"/>
  <c r="Q18" i="1"/>
  <c r="P18" i="1"/>
  <c r="R17" i="1"/>
  <c r="Q17" i="1"/>
  <c r="R16" i="1"/>
  <c r="Q16" i="1"/>
  <c r="P16" i="1"/>
  <c r="AW40" i="4" l="1"/>
  <c r="AX40" i="9"/>
  <c r="AV26" i="4"/>
  <c r="AW32" i="4"/>
  <c r="AV10" i="4"/>
  <c r="AW10" i="4" s="1"/>
  <c r="AV22" i="4"/>
  <c r="AV9" i="4"/>
  <c r="AW9" i="4" s="1"/>
  <c r="AW25" i="4"/>
  <c r="AV5" i="4"/>
  <c r="AZ5" i="4" s="1"/>
  <c r="BA41" i="4"/>
  <c r="H41" i="10"/>
  <c r="AW5" i="4"/>
  <c r="AZ42" i="4"/>
  <c r="AW42" i="4"/>
  <c r="AZ50" i="4"/>
  <c r="AW50" i="4"/>
  <c r="AV21" i="4"/>
  <c r="BA24" i="4"/>
  <c r="H24" i="10"/>
  <c r="AW45" i="4"/>
  <c r="AZ45" i="4"/>
  <c r="AV23" i="4"/>
  <c r="AV19" i="4"/>
  <c r="AZ38" i="4"/>
  <c r="AW38" i="4"/>
  <c r="BA49" i="4"/>
  <c r="H49" i="10"/>
  <c r="AW28" i="4"/>
  <c r="AZ28" i="4"/>
  <c r="AZ44" i="4"/>
  <c r="AW44" i="4"/>
  <c r="AW48" i="4"/>
  <c r="AZ48" i="4"/>
  <c r="BA40" i="4"/>
  <c r="H40" i="10"/>
  <c r="AZ10" i="4"/>
  <c r="BA10" i="4" s="1"/>
  <c r="AW13" i="4"/>
  <c r="AZ13" i="4"/>
  <c r="BA13" i="4" s="1"/>
  <c r="AZ7" i="4"/>
  <c r="BA7" i="4" s="1"/>
  <c r="AW7" i="4"/>
  <c r="AZ26" i="4"/>
  <c r="BA26" i="4" s="1"/>
  <c r="AW26" i="4"/>
  <c r="AW30" i="9"/>
  <c r="AX30" i="9" s="1"/>
  <c r="G30" i="10"/>
  <c r="AV16" i="4"/>
  <c r="AZ22" i="4"/>
  <c r="BA22" i="4" s="1"/>
  <c r="AW22" i="4"/>
  <c r="AW5" i="9"/>
  <c r="AX5" i="9" s="1"/>
  <c r="G5" i="10"/>
  <c r="AZ35" i="4"/>
  <c r="BA35" i="4" s="1"/>
  <c r="AW35" i="4"/>
  <c r="AW43" i="9"/>
  <c r="AX43" i="9" s="1"/>
  <c r="G43" i="10"/>
  <c r="AZ8" i="4"/>
  <c r="BA8" i="4" s="1"/>
  <c r="AW8" i="4"/>
  <c r="AZ47" i="4"/>
  <c r="AW47" i="4"/>
  <c r="BA46" i="4"/>
  <c r="H46" i="10"/>
  <c r="BA17" i="4"/>
  <c r="H17" i="10"/>
  <c r="AV11" i="4"/>
  <c r="AV43" i="4"/>
  <c r="AZ37" i="4"/>
  <c r="BA37" i="4" s="1"/>
  <c r="AW37" i="4"/>
  <c r="AV4" i="4"/>
  <c r="AW34" i="4"/>
  <c r="AZ34" i="4"/>
  <c r="BA39" i="4"/>
  <c r="H39" i="10"/>
  <c r="AV30" i="4"/>
  <c r="AM3" i="4"/>
  <c r="J23" i="10"/>
  <c r="J29" i="10"/>
  <c r="J35" i="10"/>
  <c r="J26" i="10"/>
  <c r="J25" i="10"/>
  <c r="I14" i="10"/>
  <c r="I13" i="10"/>
  <c r="I9" i="10"/>
  <c r="I18" i="10"/>
  <c r="I8" i="10"/>
  <c r="I19" i="10"/>
  <c r="I10" i="10"/>
  <c r="I12" i="10"/>
  <c r="I15" i="10"/>
  <c r="I11" i="10"/>
  <c r="I7" i="10"/>
  <c r="I16" i="10"/>
  <c r="I20" i="10"/>
  <c r="J22" i="10"/>
  <c r="K3" i="4"/>
  <c r="C3" i="5"/>
  <c r="C2" i="5"/>
  <c r="P13" i="1"/>
  <c r="AQ14" i="1" s="1"/>
  <c r="AD15" i="1"/>
  <c r="AC15" i="1"/>
  <c r="AB15" i="1"/>
  <c r="AD13" i="1"/>
  <c r="AC13" i="1"/>
  <c r="AB13" i="1"/>
  <c r="AD12" i="1"/>
  <c r="AC12" i="1"/>
  <c r="AB12" i="1"/>
  <c r="AD11" i="1"/>
  <c r="AC11" i="1"/>
  <c r="AB11" i="1"/>
  <c r="AD10" i="1"/>
  <c r="AC10" i="1"/>
  <c r="AB10" i="1"/>
  <c r="AD9" i="1"/>
  <c r="AC9" i="1"/>
  <c r="AB9" i="1"/>
  <c r="AD8" i="1"/>
  <c r="AC8" i="1"/>
  <c r="AB8" i="1"/>
  <c r="AD7" i="1"/>
  <c r="AC7" i="1"/>
  <c r="AB7" i="1"/>
  <c r="AD6" i="1"/>
  <c r="AC6" i="1"/>
  <c r="AD3" i="1"/>
  <c r="AC3" i="1"/>
  <c r="AB3" i="1"/>
  <c r="AO3" i="1"/>
  <c r="AN3" i="1"/>
  <c r="AM3" i="1"/>
  <c r="R13" i="1"/>
  <c r="Q13" i="1"/>
  <c r="AR14" i="1" s="1"/>
  <c r="P12" i="1"/>
  <c r="Q12" i="1"/>
  <c r="R12" i="1"/>
  <c r="Q15" i="1"/>
  <c r="P15" i="1"/>
  <c r="Q10" i="1"/>
  <c r="P10" i="1"/>
  <c r="P11" i="1"/>
  <c r="R11" i="1"/>
  <c r="Q11" i="1"/>
  <c r="R10" i="1"/>
  <c r="R9" i="1"/>
  <c r="Q9" i="1"/>
  <c r="P9" i="1"/>
  <c r="R8" i="1"/>
  <c r="Q8" i="1"/>
  <c r="P8" i="1"/>
  <c r="Q7" i="1"/>
  <c r="R7" i="1"/>
  <c r="P7" i="1"/>
  <c r="R6" i="1"/>
  <c r="Q6" i="1"/>
  <c r="P6" i="1"/>
  <c r="R5" i="1"/>
  <c r="Q5" i="1"/>
  <c r="P5" i="1"/>
  <c r="R4" i="1"/>
  <c r="Q4" i="1"/>
  <c r="P4" i="1"/>
  <c r="R3" i="1"/>
  <c r="Q3" i="1"/>
  <c r="AZ9" i="4" l="1"/>
  <c r="BA9" i="4" s="1"/>
  <c r="AW30" i="4"/>
  <c r="AZ30" i="4"/>
  <c r="BA47" i="4"/>
  <c r="H47" i="10"/>
  <c r="AW21" i="4"/>
  <c r="AZ21" i="4"/>
  <c r="BA21" i="4" s="1"/>
  <c r="BA34" i="4"/>
  <c r="H34" i="10"/>
  <c r="AZ19" i="4"/>
  <c r="BA19" i="4" s="1"/>
  <c r="AW19" i="4"/>
  <c r="AW16" i="4"/>
  <c r="AZ16" i="4"/>
  <c r="BA16" i="4" s="1"/>
  <c r="BA44" i="4"/>
  <c r="H44" i="10"/>
  <c r="AW23" i="4"/>
  <c r="AZ23" i="4"/>
  <c r="BA23" i="4" s="1"/>
  <c r="BA50" i="4"/>
  <c r="H50" i="10"/>
  <c r="AW4" i="4"/>
  <c r="AZ4" i="4"/>
  <c r="BA4" i="4" s="1"/>
  <c r="BA28" i="4"/>
  <c r="H28" i="10"/>
  <c r="BA45" i="4"/>
  <c r="H45" i="10"/>
  <c r="AZ43" i="4"/>
  <c r="AW43" i="4"/>
  <c r="BA48" i="4"/>
  <c r="H48" i="10"/>
  <c r="AZ11" i="4"/>
  <c r="BA11" i="4" s="1"/>
  <c r="AW11" i="4"/>
  <c r="BA38" i="4"/>
  <c r="H38" i="10"/>
  <c r="BA5" i="4"/>
  <c r="H5" i="10"/>
  <c r="BA42" i="4"/>
  <c r="H42" i="10"/>
  <c r="AN3" i="4"/>
  <c r="AQ3" i="4" s="1"/>
  <c r="J21" i="10"/>
  <c r="I4" i="10"/>
  <c r="AW7" i="9"/>
  <c r="AX7" i="9" s="1"/>
  <c r="AW12" i="9"/>
  <c r="AX12" i="9" s="1"/>
  <c r="J16" i="10"/>
  <c r="I6" i="10"/>
  <c r="J20" i="10"/>
  <c r="AW9" i="9"/>
  <c r="AX9" i="9" s="1"/>
  <c r="O3" i="4"/>
  <c r="BK3" i="4" s="1"/>
  <c r="BM3" i="4" s="1"/>
  <c r="I3" i="10" s="1"/>
  <c r="P3" i="4"/>
  <c r="L3" i="9"/>
  <c r="AW10" i="9"/>
  <c r="AX10" i="9" s="1"/>
  <c r="BA30" i="4" l="1"/>
  <c r="H30" i="10"/>
  <c r="BA43" i="4"/>
  <c r="H43" i="10"/>
  <c r="G18" i="10"/>
  <c r="AW18" i="9"/>
  <c r="AX18" i="9" s="1"/>
  <c r="G15" i="10"/>
  <c r="AW15" i="9"/>
  <c r="AX15" i="9" s="1"/>
  <c r="G20" i="10"/>
  <c r="AW20" i="9"/>
  <c r="AX20" i="9" s="1"/>
  <c r="G8" i="10"/>
  <c r="AW8" i="9"/>
  <c r="AX8" i="9" s="1"/>
  <c r="G19" i="10"/>
  <c r="AW19" i="9"/>
  <c r="AX19" i="9" s="1"/>
  <c r="G21" i="10"/>
  <c r="AW21" i="9"/>
  <c r="AX21" i="9" s="1"/>
  <c r="G16" i="10"/>
  <c r="AW16" i="9"/>
  <c r="AX16" i="9" s="1"/>
  <c r="AP3" i="4"/>
  <c r="AS3" i="4" s="1"/>
  <c r="J15" i="10"/>
  <c r="J18" i="10"/>
  <c r="J19" i="10"/>
  <c r="J14" i="10"/>
  <c r="J12" i="10"/>
  <c r="H14" i="10"/>
  <c r="J13" i="10"/>
  <c r="J7" i="10"/>
  <c r="BL3" i="4"/>
  <c r="BN3" i="4" s="1"/>
  <c r="BO3" i="4" s="1"/>
  <c r="H18" i="10"/>
  <c r="J8" i="10"/>
  <c r="J9" i="10"/>
  <c r="J11" i="10"/>
  <c r="G10" i="10"/>
  <c r="G12" i="10"/>
  <c r="AW11" i="9"/>
  <c r="AX11" i="9" s="1"/>
  <c r="G9" i="10"/>
  <c r="G7" i="10"/>
  <c r="J10" i="10"/>
  <c r="AU3" i="1"/>
  <c r="AT3" i="1"/>
  <c r="AT4" i="1"/>
  <c r="AS4" i="1"/>
  <c r="AS3" i="1"/>
  <c r="AR3" i="4" l="1"/>
  <c r="AU3" i="9" s="1"/>
  <c r="AT3" i="4" s="1"/>
  <c r="AU3" i="4" s="1"/>
  <c r="G4" i="10"/>
  <c r="AW4" i="9"/>
  <c r="AX4" i="9" s="1"/>
  <c r="G32" i="10"/>
  <c r="AW32" i="9"/>
  <c r="AX32" i="9" s="1"/>
  <c r="G36" i="10"/>
  <c r="AW36" i="9"/>
  <c r="AX36" i="9" s="1"/>
  <c r="G14" i="10"/>
  <c r="AW14" i="9"/>
  <c r="AX14" i="9" s="1"/>
  <c r="G29" i="10"/>
  <c r="AW29" i="9"/>
  <c r="AX29" i="9" s="1"/>
  <c r="G35" i="10"/>
  <c r="AW35" i="9"/>
  <c r="AX35" i="9" s="1"/>
  <c r="G6" i="10"/>
  <c r="AW6" i="9"/>
  <c r="AX6" i="9" s="1"/>
  <c r="G26" i="10"/>
  <c r="AW26" i="9"/>
  <c r="AX26" i="9" s="1"/>
  <c r="G22" i="10"/>
  <c r="AW22" i="9"/>
  <c r="AX22" i="9" s="1"/>
  <c r="G23" i="10"/>
  <c r="AW23" i="9"/>
  <c r="AX23" i="9" s="1"/>
  <c r="G25" i="10"/>
  <c r="AW25" i="9"/>
  <c r="AX25" i="9" s="1"/>
  <c r="G33" i="10"/>
  <c r="AW33" i="9"/>
  <c r="AX33" i="9" s="1"/>
  <c r="G37" i="10"/>
  <c r="AW37" i="9"/>
  <c r="AX37" i="9" s="1"/>
  <c r="G13" i="10"/>
  <c r="AW13" i="9"/>
  <c r="AX13" i="9" s="1"/>
  <c r="G27" i="10"/>
  <c r="AW27" i="9"/>
  <c r="AX27" i="9" s="1"/>
  <c r="G31" i="10"/>
  <c r="AW31" i="9"/>
  <c r="AX31" i="9" s="1"/>
  <c r="H6" i="10"/>
  <c r="H19" i="10"/>
  <c r="J3" i="10"/>
  <c r="H16" i="10"/>
  <c r="H23" i="10"/>
  <c r="H37" i="10"/>
  <c r="H7" i="10"/>
  <c r="H36" i="10"/>
  <c r="H35" i="10"/>
  <c r="H29" i="10"/>
  <c r="H32" i="10"/>
  <c r="H8" i="10"/>
  <c r="J4" i="10"/>
  <c r="H22" i="10"/>
  <c r="H21" i="10"/>
  <c r="H25" i="10"/>
  <c r="H27" i="10"/>
  <c r="H26" i="10"/>
  <c r="G11" i="10"/>
  <c r="H33" i="10"/>
  <c r="H31" i="10"/>
  <c r="J6" i="10"/>
  <c r="AY3" i="4" l="1"/>
  <c r="AV3" i="4"/>
  <c r="AW3" i="4" s="1"/>
  <c r="H15" i="10"/>
  <c r="H20" i="10"/>
  <c r="H13" i="10"/>
  <c r="H11" i="10"/>
  <c r="H9" i="10"/>
  <c r="H12" i="10"/>
  <c r="H10" i="10"/>
  <c r="AZ3" i="4" l="1"/>
  <c r="BA3" i="4" s="1"/>
  <c r="G3" i="10"/>
  <c r="AW3" i="9"/>
  <c r="AX3" i="9" s="1"/>
  <c r="H4" i="10"/>
  <c r="H3" i="10" l="1"/>
</calcChain>
</file>

<file path=xl/comments1.xml><?xml version="1.0" encoding="utf-8"?>
<comments xmlns="http://schemas.openxmlformats.org/spreadsheetml/2006/main">
  <authors>
    <author>Mears,  Chantal</author>
  </authors>
  <commentList>
    <comment ref="O3" authorId="0" shapeId="0">
      <text>
        <r>
          <rPr>
            <b/>
            <sz val="9"/>
            <color indexed="81"/>
            <rFont val="Tahoma"/>
            <family val="2"/>
          </rPr>
          <t>Mears,  Chantal:</t>
        </r>
        <r>
          <rPr>
            <sz val="9"/>
            <color indexed="81"/>
            <rFont val="Tahoma"/>
            <family val="2"/>
          </rPr>
          <t xml:space="preserve">
Not temperature used by VINDTA!</t>
        </r>
      </text>
    </comment>
  </commentList>
</comments>
</file>

<file path=xl/comments2.xml><?xml version="1.0" encoding="utf-8"?>
<comments xmlns="http://schemas.openxmlformats.org/spreadsheetml/2006/main">
  <authors>
    <author>Mears,  Chantal</author>
  </authors>
  <commentList>
    <comment ref="O1" authorId="0" shapeId="0">
      <text>
        <r>
          <rPr>
            <b/>
            <sz val="9"/>
            <color indexed="81"/>
            <rFont val="Tahoma"/>
            <family val="2"/>
          </rPr>
          <t>Mears,  Chantal:</t>
        </r>
        <r>
          <rPr>
            <sz val="9"/>
            <color indexed="81"/>
            <rFont val="Tahoma"/>
            <family val="2"/>
          </rPr>
          <t xml:space="preserve">
This is the fraction of remaining nuclei. 
Nt/No = e^(-lambda*t)
where lambda= ln(2)/t(1/2)
</t>
        </r>
      </text>
    </comment>
    <comment ref="I2" authorId="0" shapeId="0">
      <text>
        <r>
          <rPr>
            <b/>
            <sz val="9"/>
            <color indexed="81"/>
            <rFont val="Tahoma"/>
            <family val="2"/>
          </rPr>
          <t>Mears,  Chantal:</t>
        </r>
        <r>
          <rPr>
            <sz val="9"/>
            <color indexed="81"/>
            <rFont val="Tahoma"/>
            <family val="2"/>
          </rPr>
          <t xml:space="preserve">
Careful you changed this!
</t>
        </r>
      </text>
    </comment>
    <comment ref="K2" authorId="0" shapeId="0">
      <text>
        <r>
          <rPr>
            <b/>
            <sz val="9"/>
            <color indexed="81"/>
            <rFont val="Tahoma"/>
            <family val="2"/>
          </rPr>
          <t>Mears,  Chantal:</t>
        </r>
        <r>
          <rPr>
            <sz val="9"/>
            <color indexed="81"/>
            <rFont val="Tahoma"/>
            <family val="2"/>
          </rPr>
          <t xml:space="preserve">
Exact end point calculated.</t>
        </r>
      </text>
    </comment>
    <comment ref="R2" authorId="0" shapeId="0">
      <text>
        <r>
          <rPr>
            <b/>
            <sz val="9"/>
            <color indexed="81"/>
            <rFont val="Tahoma"/>
            <family val="2"/>
          </rPr>
          <t>Mears,  Chantal:</t>
        </r>
        <r>
          <rPr>
            <sz val="9"/>
            <color indexed="81"/>
            <rFont val="Tahoma"/>
            <family val="2"/>
          </rPr>
          <t xml:space="preserve">
WHY DOES THIS DEPEND ON 220CPM?
THIS IS WRONG IN BRYCE'S
</t>
        </r>
      </text>
    </comment>
    <comment ref="T2" authorId="0" shapeId="0">
      <text>
        <r>
          <rPr>
            <b/>
            <sz val="9"/>
            <color indexed="81"/>
            <rFont val="Tahoma"/>
            <family val="2"/>
          </rPr>
          <t>Mears,  Chantal:</t>
        </r>
        <r>
          <rPr>
            <sz val="9"/>
            <color indexed="81"/>
            <rFont val="Tahoma"/>
            <family val="2"/>
          </rPr>
          <t xml:space="preserve">
sqrtcorr/corr
</t>
        </r>
      </text>
    </comment>
    <comment ref="AA2" authorId="0" shapeId="0">
      <text>
        <r>
          <rPr>
            <b/>
            <sz val="9"/>
            <color indexed="81"/>
            <rFont val="Tahoma"/>
            <family val="2"/>
          </rPr>
          <t>Mears,  Chantal:</t>
        </r>
        <r>
          <rPr>
            <sz val="9"/>
            <color indexed="81"/>
            <rFont val="Tahoma"/>
            <family val="2"/>
          </rPr>
          <t xml:space="preserve">
Coincidence counting. </t>
        </r>
      </text>
    </comment>
    <comment ref="AE2" authorId="0" shapeId="0">
      <text>
        <r>
          <rPr>
            <b/>
            <sz val="9"/>
            <color indexed="81"/>
            <rFont val="Tahoma"/>
            <family val="2"/>
          </rPr>
          <t>Mears,  Chantal:</t>
        </r>
        <r>
          <rPr>
            <sz val="9"/>
            <color indexed="81"/>
            <rFont val="Tahoma"/>
            <family val="2"/>
          </rPr>
          <t xml:space="preserve">
Coincidence counting.
Why is this dependant on the 220CCs? </t>
        </r>
      </text>
    </comment>
    <comment ref="AI2" authorId="0" shapeId="0">
      <text>
        <r>
          <rPr>
            <b/>
            <sz val="9"/>
            <color indexed="81"/>
            <rFont val="Tahoma"/>
            <family val="2"/>
          </rPr>
          <t>Mears,  Chantal:</t>
        </r>
        <r>
          <rPr>
            <sz val="9"/>
            <color indexed="81"/>
            <rFont val="Tahoma"/>
            <family val="2"/>
          </rPr>
          <t xml:space="preserve">
Corrects for 220 counts removing background "fake news' 200 counts. </t>
        </r>
      </text>
    </comment>
    <comment ref="AM2" authorId="0" shapeId="0">
      <text>
        <r>
          <rPr>
            <b/>
            <sz val="9"/>
            <color indexed="81"/>
            <rFont val="Tahoma"/>
            <family val="2"/>
          </rPr>
          <t>Mears,  Chantal:</t>
        </r>
        <r>
          <rPr>
            <sz val="9"/>
            <color indexed="81"/>
            <rFont val="Tahoma"/>
            <family val="2"/>
          </rPr>
          <t xml:space="preserve">
Will calls this: 220.00000 fr 219 WB
220 from 219 WB</t>
        </r>
      </text>
    </comment>
    <comment ref="BB2" authorId="0" shapeId="0">
      <text>
        <r>
          <rPr>
            <b/>
            <sz val="9"/>
            <color indexed="81"/>
            <rFont val="Tahoma"/>
            <family val="2"/>
          </rPr>
          <t>Mears,  Chantal:</t>
        </r>
        <r>
          <rPr>
            <sz val="9"/>
            <color indexed="81"/>
            <rFont val="Tahoma"/>
            <family val="2"/>
          </rPr>
          <t xml:space="preserve">
This is Burt's he used this to average over samples
</t>
        </r>
      </text>
    </comment>
    <comment ref="BC2" authorId="0" shapeId="0">
      <text>
        <r>
          <rPr>
            <b/>
            <sz val="9"/>
            <color indexed="81"/>
            <rFont val="Tahoma"/>
            <family val="2"/>
          </rPr>
          <t>Mears,  Chantal:</t>
        </r>
        <r>
          <rPr>
            <sz val="9"/>
            <color indexed="81"/>
            <rFont val="Tahoma"/>
            <family val="2"/>
          </rPr>
          <t xml:space="preserve">
Where does 0.0025 come from?</t>
        </r>
      </text>
    </comment>
    <comment ref="BJ2" authorId="0" shapeId="0">
      <text>
        <r>
          <rPr>
            <b/>
            <sz val="9"/>
            <color indexed="81"/>
            <rFont val="Tahoma"/>
            <family val="2"/>
          </rPr>
          <t>Mears,  Chantal:</t>
        </r>
        <r>
          <rPr>
            <sz val="9"/>
            <color indexed="81"/>
            <rFont val="Tahoma"/>
            <family val="2"/>
          </rPr>
          <t xml:space="preserve">
Constant = 0.05
</t>
        </r>
      </text>
    </comment>
  </commentList>
</comments>
</file>

<file path=xl/comments3.xml><?xml version="1.0" encoding="utf-8"?>
<comments xmlns="http://schemas.openxmlformats.org/spreadsheetml/2006/main">
  <authors>
    <author>Mears,  Chantal</author>
  </authors>
  <commentList>
    <comment ref="V2" authorId="0" shapeId="0">
      <text>
        <r>
          <rPr>
            <b/>
            <sz val="9"/>
            <color indexed="81"/>
            <rFont val="Tahoma"/>
            <family val="2"/>
          </rPr>
          <t>Mears,  Chantal:</t>
        </r>
        <r>
          <rPr>
            <sz val="9"/>
            <color indexed="81"/>
            <rFont val="Tahoma"/>
            <family val="2"/>
          </rPr>
          <t xml:space="preserve">
Careful</t>
        </r>
      </text>
    </comment>
    <comment ref="Z2" authorId="0" shapeId="0">
      <text>
        <r>
          <rPr>
            <b/>
            <sz val="9"/>
            <color indexed="81"/>
            <rFont val="Tahoma"/>
            <family val="2"/>
          </rPr>
          <t>Mears,  Chantal:</t>
        </r>
        <r>
          <rPr>
            <sz val="9"/>
            <color indexed="81"/>
            <rFont val="Tahoma"/>
            <family val="2"/>
          </rPr>
          <t xml:space="preserve">
Careful</t>
        </r>
      </text>
    </comment>
    <comment ref="AW2" authorId="0" shapeId="0">
      <text>
        <r>
          <rPr>
            <b/>
            <sz val="9"/>
            <color indexed="81"/>
            <rFont val="Tahoma"/>
            <family val="2"/>
          </rPr>
          <t>Mears,  Chantal:</t>
        </r>
        <r>
          <rPr>
            <sz val="9"/>
            <color indexed="81"/>
            <rFont val="Tahoma"/>
            <family val="2"/>
          </rPr>
          <t xml:space="preserve">
Subtracting leftover 224Ra</t>
        </r>
      </text>
    </comment>
  </commentList>
</comments>
</file>

<file path=xl/comments4.xml><?xml version="1.0" encoding="utf-8"?>
<comments xmlns="http://schemas.openxmlformats.org/spreadsheetml/2006/main">
  <authors>
    <author>Mears,  Chantal</author>
  </authors>
  <commentList>
    <comment ref="H9" authorId="0" shapeId="0">
      <text>
        <r>
          <rPr>
            <b/>
            <sz val="9"/>
            <color indexed="81"/>
            <rFont val="Tahoma"/>
            <charset val="1"/>
          </rPr>
          <t>Mears,  Chantal:</t>
        </r>
        <r>
          <rPr>
            <sz val="9"/>
            <color indexed="81"/>
            <rFont val="Tahoma"/>
            <charset val="1"/>
          </rPr>
          <t xml:space="preserve">
No txt file.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Mears,  Chantal:</t>
        </r>
        <r>
          <rPr>
            <sz val="9"/>
            <color indexed="81"/>
            <rFont val="Tahoma"/>
            <family val="2"/>
          </rPr>
          <t xml:space="preserve">
File was overwritten</t>
        </r>
      </text>
    </comment>
    <comment ref="H25" authorId="0" shapeId="0">
      <text>
        <r>
          <rPr>
            <b/>
            <sz val="9"/>
            <color indexed="81"/>
            <rFont val="Tahoma"/>
            <charset val="1"/>
          </rPr>
          <t>Mears,  Chantal:</t>
        </r>
        <r>
          <rPr>
            <sz val="9"/>
            <color indexed="81"/>
            <rFont val="Tahoma"/>
            <charset val="1"/>
          </rPr>
          <t xml:space="preserve">
File was overwritten?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Mears,  Chantal:</t>
        </r>
        <r>
          <rPr>
            <sz val="9"/>
            <color indexed="81"/>
            <rFont val="Tahoma"/>
            <family val="2"/>
          </rPr>
          <t xml:space="preserve">
Careful here, the files collapsed and then delivered different result. Using V3
</t>
        </r>
      </text>
    </comment>
    <comment ref="T32" authorId="0" shapeId="0">
      <text>
        <r>
          <rPr>
            <b/>
            <sz val="9"/>
            <color indexed="81"/>
            <rFont val="Tahoma"/>
            <family val="2"/>
          </rPr>
          <t>Mears,  Chantal:</t>
        </r>
        <r>
          <rPr>
            <sz val="9"/>
            <color indexed="81"/>
            <rFont val="Tahoma"/>
            <family val="2"/>
          </rPr>
          <t xml:space="preserve">
Text file was overwritten
</t>
        </r>
      </text>
    </comment>
    <comment ref="T39" authorId="0" shapeId="0">
      <text>
        <r>
          <rPr>
            <b/>
            <sz val="9"/>
            <color indexed="81"/>
            <rFont val="Tahoma"/>
            <family val="2"/>
          </rPr>
          <t>Mears,  Chantal:</t>
        </r>
        <r>
          <rPr>
            <sz val="9"/>
            <color indexed="81"/>
            <rFont val="Tahoma"/>
            <family val="2"/>
          </rPr>
          <t xml:space="preserve">
Back at home, with only the RaDeCC </t>
        </r>
      </text>
    </comment>
  </commentList>
</comments>
</file>

<file path=xl/comments5.xml><?xml version="1.0" encoding="utf-8"?>
<comments xmlns="http://schemas.openxmlformats.org/spreadsheetml/2006/main">
  <authors>
    <author>Mears,  Chantal</author>
  </authors>
  <commentList>
    <comment ref="C3" authorId="0" shapeId="0">
      <text>
        <r>
          <rPr>
            <b/>
            <sz val="9"/>
            <color indexed="81"/>
            <rFont val="Tahoma"/>
            <family val="2"/>
          </rPr>
          <t>Mears,  Chantal:</t>
        </r>
        <r>
          <rPr>
            <sz val="9"/>
            <color indexed="81"/>
            <rFont val="Tahoma"/>
            <family val="2"/>
          </rPr>
          <t xml:space="preserve">
Careful. 
Ship time = german </t>
        </r>
      </text>
    </comment>
    <comment ref="I21" authorId="0" shapeId="0">
      <text>
        <r>
          <rPr>
            <b/>
            <sz val="9"/>
            <color indexed="81"/>
            <rFont val="Tahoma"/>
            <family val="2"/>
          </rPr>
          <t>Mears,  Chantal:</t>
        </r>
        <r>
          <rPr>
            <sz val="9"/>
            <color indexed="81"/>
            <rFont val="Tahoma"/>
            <family val="2"/>
          </rPr>
          <t xml:space="preserve">
This is too high careful. </t>
        </r>
      </text>
    </comment>
    <comment ref="A28" authorId="0" shapeId="0">
      <text>
        <r>
          <rPr>
            <b/>
            <sz val="9"/>
            <color indexed="81"/>
            <rFont val="Tahoma"/>
            <family val="2"/>
          </rPr>
          <t>Mears,  Chantal:</t>
        </r>
        <r>
          <rPr>
            <sz val="9"/>
            <color indexed="81"/>
            <rFont val="Tahoma"/>
            <family val="2"/>
          </rPr>
          <t xml:space="preserve">
Using V3 blank</t>
        </r>
      </text>
    </comment>
  </commentList>
</comments>
</file>

<file path=xl/comments6.xml><?xml version="1.0" encoding="utf-8"?>
<comments xmlns="http://schemas.openxmlformats.org/spreadsheetml/2006/main">
  <authors>
    <author>Mears,  Chantal</author>
  </authors>
  <commentList>
    <comment ref="AB4" authorId="0" shapeId="0">
      <text>
        <r>
          <rPr>
            <b/>
            <sz val="9"/>
            <color indexed="81"/>
            <rFont val="Tahoma"/>
            <family val="2"/>
          </rPr>
          <t>Mears,  Chantal:</t>
        </r>
        <r>
          <rPr>
            <sz val="9"/>
            <color indexed="81"/>
            <rFont val="Tahoma"/>
            <family val="2"/>
          </rPr>
          <t xml:space="preserve">
For after daylight savings time. </t>
        </r>
      </text>
    </comment>
    <comment ref="A8" authorId="0" shapeId="0">
      <text>
        <r>
          <rPr>
            <b/>
            <sz val="9"/>
            <color indexed="81"/>
            <rFont val="Tahoma"/>
            <family val="2"/>
          </rPr>
          <t>Mears,  Chantal:</t>
        </r>
        <r>
          <rPr>
            <sz val="9"/>
            <color indexed="81"/>
            <rFont val="Tahoma"/>
            <family val="2"/>
          </rPr>
          <t xml:space="preserve">
Detector 88 left behind (original grey/orange)</t>
        </r>
      </text>
    </comment>
    <comment ref="AD8" authorId="0" shapeId="0">
      <text>
        <r>
          <rPr>
            <b/>
            <sz val="9"/>
            <color indexed="81"/>
            <rFont val="Tahoma"/>
            <family val="2"/>
          </rPr>
          <t>Mears,  Chantal:</t>
        </r>
        <r>
          <rPr>
            <sz val="9"/>
            <color indexed="81"/>
            <rFont val="Tahoma"/>
            <family val="2"/>
          </rPr>
          <t xml:space="preserve">
Why is there a comma at the end?!</t>
        </r>
      </text>
    </comment>
    <comment ref="A10" authorId="0" shapeId="0">
      <text>
        <r>
          <rPr>
            <b/>
            <sz val="9"/>
            <color indexed="81"/>
            <rFont val="Tahoma"/>
            <family val="2"/>
          </rPr>
          <t>Mears,  Chantal:</t>
        </r>
        <r>
          <rPr>
            <sz val="9"/>
            <color indexed="81"/>
            <rFont val="Tahoma"/>
            <family val="2"/>
          </rPr>
          <t xml:space="preserve">
All detectors back but not messed up, same as the Alkor
</t>
        </r>
      </text>
    </comment>
    <comment ref="AF10" authorId="0" shapeId="0">
      <text>
        <r>
          <rPr>
            <b/>
            <sz val="9"/>
            <color indexed="81"/>
            <rFont val="Tahoma"/>
            <family val="2"/>
          </rPr>
          <t>Mears,  Chantal:</t>
        </r>
        <r>
          <rPr>
            <sz val="9"/>
            <color indexed="81"/>
            <rFont val="Tahoma"/>
            <family val="2"/>
          </rPr>
          <t xml:space="preserve">
Again careful only 2
</t>
        </r>
      </text>
    </comment>
    <comment ref="D11" authorId="0" shapeId="0">
      <text>
        <r>
          <rPr>
            <b/>
            <sz val="9"/>
            <color indexed="81"/>
            <rFont val="Tahoma"/>
            <family val="2"/>
          </rPr>
          <t>Mears,  Chantal:</t>
        </r>
        <r>
          <rPr>
            <sz val="9"/>
            <color indexed="81"/>
            <rFont val="Tahoma"/>
            <family val="2"/>
          </rPr>
          <t xml:space="preserve">
Daylight savings decreases time change between Germany (hamburg) and UTC. </t>
        </r>
      </text>
    </comment>
    <comment ref="AC11" authorId="0" shapeId="0">
      <text>
        <r>
          <rPr>
            <b/>
            <sz val="9"/>
            <color indexed="81"/>
            <rFont val="Tahoma"/>
            <family val="2"/>
          </rPr>
          <t>Mears,  Chantal:</t>
        </r>
        <r>
          <rPr>
            <sz val="9"/>
            <color indexed="81"/>
            <rFont val="Tahoma"/>
            <family val="2"/>
          </rPr>
          <t xml:space="preserve">
Careful you only have 2!
</t>
        </r>
      </text>
    </comment>
    <comment ref="A14" authorId="0" shapeId="0">
      <text>
        <r>
          <rPr>
            <b/>
            <sz val="9"/>
            <color indexed="81"/>
            <rFont val="Tahoma"/>
            <family val="2"/>
          </rPr>
          <t>Mears,  Chantal:</t>
        </r>
        <r>
          <rPr>
            <sz val="9"/>
            <color indexed="81"/>
            <rFont val="Tahoma"/>
            <family val="2"/>
          </rPr>
          <t xml:space="preserve">
This is when you messed up the detectors colouring. 
Green should be grey and grey should be green 
While Orange should be blue and blue should be orange
</t>
        </r>
      </text>
    </comment>
    <comment ref="D18" authorId="0" shapeId="0">
      <text>
        <r>
          <rPr>
            <b/>
            <sz val="9"/>
            <color indexed="81"/>
            <rFont val="Tahoma"/>
            <family val="2"/>
          </rPr>
          <t>Mears,  Chantal:</t>
        </r>
        <r>
          <rPr>
            <sz val="9"/>
            <color indexed="81"/>
            <rFont val="Tahoma"/>
            <family val="2"/>
          </rPr>
          <t xml:space="preserve">
Daylight savings pushes this back to +2 difference between Hamburg DE and UTC</t>
        </r>
      </text>
    </comment>
    <comment ref="D32" authorId="0" shapeId="0">
      <text>
        <r>
          <rPr>
            <b/>
            <sz val="9"/>
            <color indexed="81"/>
            <rFont val="Tahoma"/>
            <family val="2"/>
          </rPr>
          <t>Mears,  Chantal:</t>
        </r>
        <r>
          <rPr>
            <sz val="9"/>
            <color indexed="81"/>
            <rFont val="Tahoma"/>
            <family val="2"/>
          </rPr>
          <t xml:space="preserve">
Daylight savings decreases change from Germany to UTC. </t>
        </r>
      </text>
    </comment>
    <comment ref="D38" authorId="0" shapeId="0">
      <text>
        <r>
          <rPr>
            <b/>
            <sz val="9"/>
            <color indexed="81"/>
            <rFont val="Tahoma"/>
            <family val="2"/>
          </rPr>
          <t>Mears,  Chantal:</t>
        </r>
        <r>
          <rPr>
            <sz val="9"/>
            <color indexed="81"/>
            <rFont val="Tahoma"/>
            <family val="2"/>
          </rPr>
          <t xml:space="preserve">
Daylight savings makes the time difference between Hamburg DE and UTC +2 again
</t>
        </r>
      </text>
    </comment>
  </commentList>
</comments>
</file>

<file path=xl/sharedStrings.xml><?xml version="1.0" encoding="utf-8"?>
<sst xmlns="http://schemas.openxmlformats.org/spreadsheetml/2006/main" count="758" uniqueCount="205">
  <si>
    <t>SampleID</t>
  </si>
  <si>
    <t>Date</t>
  </si>
  <si>
    <t>Time</t>
  </si>
  <si>
    <t>Volume (L)</t>
  </si>
  <si>
    <t>Sample type</t>
  </si>
  <si>
    <t>Notes</t>
  </si>
  <si>
    <t>Taken from ship SW line</t>
  </si>
  <si>
    <t>Detector</t>
  </si>
  <si>
    <t>Grey</t>
  </si>
  <si>
    <t>Orange</t>
  </si>
  <si>
    <t>Sample Time</t>
  </si>
  <si>
    <t>Analysis Time</t>
  </si>
  <si>
    <t>Total</t>
  </si>
  <si>
    <t>Efficiency</t>
  </si>
  <si>
    <t>Canister #</t>
  </si>
  <si>
    <t>Average CPM Count 1</t>
  </si>
  <si>
    <t>Average CPM/100L Count 1</t>
  </si>
  <si>
    <t>Average CPM Count 2</t>
  </si>
  <si>
    <t>Average CPM/100L Count 2</t>
  </si>
  <si>
    <t>Average CPM Count 3</t>
  </si>
  <si>
    <t>Average CPM/100L Count 3</t>
  </si>
  <si>
    <t>Mean half life (days)</t>
  </si>
  <si>
    <t>223 Ra</t>
  </si>
  <si>
    <t>224 Ra</t>
  </si>
  <si>
    <t>Count 1</t>
  </si>
  <si>
    <t>Decay Constant (days-1)</t>
  </si>
  <si>
    <t>Run time (min)</t>
  </si>
  <si>
    <t>Blank</t>
  </si>
  <si>
    <t>a</t>
  </si>
  <si>
    <t>Average 220 Efficiency</t>
  </si>
  <si>
    <t>Average 219 Efficiency</t>
  </si>
  <si>
    <t>Efficiency Count</t>
  </si>
  <si>
    <t>Overlying water enrichment factor</t>
  </si>
  <si>
    <t>Count 2</t>
  </si>
  <si>
    <t>CC</t>
  </si>
  <si>
    <t>223 STD (STD1)</t>
  </si>
  <si>
    <t>224 STD  (STD2)</t>
  </si>
  <si>
    <t>corr.</t>
  </si>
  <si>
    <t>EFF.</t>
  </si>
  <si>
    <t>fr. 219</t>
  </si>
  <si>
    <t>fr. 220</t>
  </si>
  <si>
    <t xml:space="preserve">223 STD </t>
  </si>
  <si>
    <t>DPM</t>
  </si>
  <si>
    <t xml:space="preserve">224 STD </t>
  </si>
  <si>
    <t>Ave EFF</t>
  </si>
  <si>
    <t>N</t>
  </si>
  <si>
    <t>Counter</t>
  </si>
  <si>
    <t>&lt;&lt;Personal Comm Walter Geibert (AWI)</t>
  </si>
  <si>
    <t>Counting Mid-point</t>
  </si>
  <si>
    <t>Runtime (minutes)</t>
  </si>
  <si>
    <t>Err Total CPM</t>
  </si>
  <si>
    <t>Err 220 CPM</t>
  </si>
  <si>
    <t>220 Counts</t>
  </si>
  <si>
    <t>Total Counts</t>
  </si>
  <si>
    <t>220 (CPM)</t>
  </si>
  <si>
    <t>Total Counts (CPM)</t>
  </si>
  <si>
    <t>219 (CPM)</t>
  </si>
  <si>
    <t>Err 220 (2/sqrt)</t>
  </si>
  <si>
    <t>Err 220</t>
  </si>
  <si>
    <t>Err 219 CPM</t>
  </si>
  <si>
    <t>Err 219 (2/sqrt)</t>
  </si>
  <si>
    <t>Err 219</t>
  </si>
  <si>
    <t>219 Counts</t>
  </si>
  <si>
    <t>ERR Total CPM</t>
  </si>
  <si>
    <t>220 CC</t>
  </si>
  <si>
    <t>ERR 220 CC</t>
  </si>
  <si>
    <t>ERR X</t>
  </si>
  <si>
    <t>219 CC</t>
  </si>
  <si>
    <t>ERR 219 CC</t>
  </si>
  <si>
    <t>ERR Y</t>
  </si>
  <si>
    <t>Y (Tot-Corr220-cpm219)</t>
  </si>
  <si>
    <t>CORR 220</t>
  </si>
  <si>
    <t>ERR CORR 220</t>
  </si>
  <si>
    <t>CORR 219</t>
  </si>
  <si>
    <t>ERR CORR 219</t>
  </si>
  <si>
    <t>Final 220</t>
  </si>
  <si>
    <t>sfda</t>
  </si>
  <si>
    <t>ERR Final 220</t>
  </si>
  <si>
    <t>Effic.</t>
  </si>
  <si>
    <t>220 DPM</t>
  </si>
  <si>
    <t>ERR 220 DPM</t>
  </si>
  <si>
    <t>SD</t>
  </si>
  <si>
    <t>220 DPM/100L</t>
  </si>
  <si>
    <t>?</t>
  </si>
  <si>
    <t>228 Th on Fiber</t>
  </si>
  <si>
    <t>220 Decay Corrected</t>
  </si>
  <si>
    <t>220 Error Decay Corrected</t>
  </si>
  <si>
    <t>Decay</t>
  </si>
  <si>
    <t>Time since first count</t>
  </si>
  <si>
    <t>Error</t>
  </si>
  <si>
    <t>228Th Relative Err</t>
  </si>
  <si>
    <t>228Th est. DPM/100L</t>
  </si>
  <si>
    <t>224Ra (DPM/100L)</t>
  </si>
  <si>
    <t>224Ra ERR (DPM/100L)</t>
  </si>
  <si>
    <t>% Error</t>
  </si>
  <si>
    <t>220 Decay Corrected (DPM/100L)</t>
  </si>
  <si>
    <t>Final 224 Values</t>
  </si>
  <si>
    <t>219 From 220</t>
  </si>
  <si>
    <t>Final 219</t>
  </si>
  <si>
    <t>Err Final 219</t>
  </si>
  <si>
    <t>219 DPM</t>
  </si>
  <si>
    <t>Err 219 DPM</t>
  </si>
  <si>
    <t>219 DPM/100L</t>
  </si>
  <si>
    <t>227Ac Estimate</t>
  </si>
  <si>
    <t>219 Decay Corrected (DPM/100L)</t>
  </si>
  <si>
    <t>219 Error Decay Corrected</t>
  </si>
  <si>
    <t>Final 223 Values</t>
  </si>
  <si>
    <t>223Ra (DPM/100L)</t>
  </si>
  <si>
    <t>223Ra ERR (DPM/100L)</t>
  </si>
  <si>
    <t>Ra 224</t>
  </si>
  <si>
    <t>error (dpm/100 L)</t>
  </si>
  <si>
    <t>activity (dpm/100 L)</t>
  </si>
  <si>
    <t>Ra 223</t>
  </si>
  <si>
    <t>Station</t>
  </si>
  <si>
    <t>Lat</t>
  </si>
  <si>
    <t>Long</t>
  </si>
  <si>
    <t>Sample Date</t>
  </si>
  <si>
    <t>Average Surface Water hydrography</t>
  </si>
  <si>
    <t xml:space="preserve">Cast </t>
  </si>
  <si>
    <t>Sample Time (UTC)</t>
  </si>
  <si>
    <t>SW</t>
  </si>
  <si>
    <t>BW</t>
  </si>
  <si>
    <t>Depth (m)</t>
  </si>
  <si>
    <t>Salinty</t>
  </si>
  <si>
    <t>Temperature (degC)</t>
  </si>
  <si>
    <t xml:space="preserve">AL557 2021 - Lea </t>
  </si>
  <si>
    <t>Cast #</t>
  </si>
  <si>
    <t>Sample Data</t>
  </si>
  <si>
    <t xml:space="preserve">Run 1 </t>
  </si>
  <si>
    <t xml:space="preserve">Run 2 </t>
  </si>
  <si>
    <t>Blue</t>
  </si>
  <si>
    <t>Green</t>
  </si>
  <si>
    <t>checked?</t>
  </si>
  <si>
    <t>eff</t>
  </si>
  <si>
    <t>Efficiency from station 11</t>
  </si>
  <si>
    <t>Efficiency from station 25</t>
  </si>
  <si>
    <t>BW-eff</t>
  </si>
  <si>
    <t>Efficiency from station 44 BW</t>
  </si>
  <si>
    <t xml:space="preserve">Run 3 </t>
  </si>
  <si>
    <t xml:space="preserve">Green </t>
  </si>
  <si>
    <t>0506_1orange_223Rastandard.txt</t>
  </si>
  <si>
    <t>060621_green_223STD</t>
  </si>
  <si>
    <t>060621_blue_223_Std</t>
  </si>
  <si>
    <t>070621_grey_223_STD</t>
  </si>
  <si>
    <t>070621_orange_223_Std</t>
  </si>
  <si>
    <t>060621_grey_224Ra_standards</t>
  </si>
  <si>
    <t>060621_blue_224STD</t>
  </si>
  <si>
    <t>060621_green_224_std</t>
  </si>
  <si>
    <t>070621_orange_224_Std</t>
  </si>
  <si>
    <t>070621_grey_224_STD</t>
  </si>
  <si>
    <t xml:space="preserve">Grey </t>
  </si>
  <si>
    <t>Background from Count 1</t>
  </si>
  <si>
    <t>Stations</t>
  </si>
  <si>
    <t>Time (UTC)</t>
  </si>
  <si>
    <t>Time (ship)</t>
  </si>
  <si>
    <t>Conversion to UTC</t>
  </si>
  <si>
    <t xml:space="preserve"> to UTC</t>
  </si>
  <si>
    <t xml:space="preserve">Conversion </t>
  </si>
  <si>
    <t>219 (cpm)</t>
  </si>
  <si>
    <t>220 (cpm)</t>
  </si>
  <si>
    <t>Total (cpm)</t>
  </si>
  <si>
    <t>290621_orange_Standard224Ra</t>
  </si>
  <si>
    <t>290621_grey_Standard223Ra</t>
  </si>
  <si>
    <t>303621_orange_Standard224Ra</t>
  </si>
  <si>
    <t>300621_grey_Standard224Ra</t>
  </si>
  <si>
    <t>06102021_grey_Std224Ra</t>
  </si>
  <si>
    <t>06102021_orange_Std223Ra</t>
  </si>
  <si>
    <t>Standard_223_88_orange</t>
  </si>
  <si>
    <t>Standard_224_88_grey</t>
  </si>
  <si>
    <t>Standard_223_94_grey</t>
  </si>
  <si>
    <t>Standard_224_94_orange</t>
  </si>
  <si>
    <t>081121_green(4)_Standard223</t>
  </si>
  <si>
    <t>081120_blue(3)_Standard224</t>
  </si>
  <si>
    <t>191121_green_St223</t>
  </si>
  <si>
    <t>191121_blue_St224</t>
  </si>
  <si>
    <t>221121_grey_ST224</t>
  </si>
  <si>
    <t>221121_orange_ST223</t>
  </si>
  <si>
    <t>231121_grey_St223</t>
  </si>
  <si>
    <t>231121_orange_St224</t>
  </si>
  <si>
    <t>030222_grey_St223</t>
  </si>
  <si>
    <t>12042022_grey_223Std</t>
  </si>
  <si>
    <t>12042022_orange_224Std</t>
  </si>
  <si>
    <t>21042022_green_224Std</t>
  </si>
  <si>
    <t>21042022_blue_223Std</t>
  </si>
  <si>
    <t>n</t>
  </si>
  <si>
    <t xml:space="preserve"> </t>
  </si>
  <si>
    <t>Total (CPM)</t>
  </si>
  <si>
    <t>Background</t>
  </si>
  <si>
    <t>X (Total-220-219)</t>
  </si>
  <si>
    <t>Decay Factor</t>
  </si>
  <si>
    <t>223 t(1/2)= 11.434</t>
  </si>
  <si>
    <t>224 t(1/2)= 3.66</t>
  </si>
  <si>
    <t>ERR 220 DPM/100L</t>
  </si>
  <si>
    <t>Corrections</t>
  </si>
  <si>
    <t xml:space="preserve">Decay Corr. </t>
  </si>
  <si>
    <t>Divided by Vol.</t>
  </si>
  <si>
    <t>Efficiency Corr.</t>
  </si>
  <si>
    <t>Decay Corrected.</t>
  </si>
  <si>
    <t>Th estimate</t>
  </si>
  <si>
    <t>Error 219 DPM/100L</t>
  </si>
  <si>
    <t>Calculating 219 from 220</t>
  </si>
  <si>
    <t>Derived from Count 2</t>
  </si>
  <si>
    <t>Mid-point</t>
  </si>
  <si>
    <t>Run Time</t>
  </si>
  <si>
    <t xml:space="preserve">Burts Efficiency Calc.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</si>
</sst>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64" formatCode="0.0000"/>
    <numFmt numFmtId="165" formatCode="0.000"/>
    <numFmt numFmtId="166" formatCode="0.0%"/>
    <numFmt numFmtId="167" formatCode="[$-F400]h:mm:ss\ AM/PM"/>
    <numFmt numFmtId="168" formatCode="0.0"/>
    <numFmt numFmtId="169" formatCode="[$-409]d/m/yy\ h:mm\ AM/PM;@"/>
    <numFmt numFmtId="170" formatCode="h:mm:ss;@"/>
    <numFmt numFmtId="171" formatCode="0.000000000000"/>
  </numFmts>
  <fonts count="5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6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2" tint="-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AEAAAA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0"/>
      <name val="Arial"/>
      <family val="2"/>
    </font>
    <font>
      <b/>
      <sz val="10"/>
      <color indexed="57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1"/>
      <color rgb="FFFF0000"/>
      <name val="Calibri"/>
      <family val="2"/>
    </font>
    <font>
      <sz val="12"/>
      <name val="Calibri"/>
      <family val="2"/>
      <scheme val="minor"/>
    </font>
    <font>
      <b/>
      <sz val="12"/>
      <color indexed="10"/>
      <name val="Arial"/>
      <family val="2"/>
    </font>
    <font>
      <sz val="14"/>
      <color theme="1"/>
      <name val="Calibri"/>
      <family val="2"/>
      <scheme val="minor"/>
    </font>
    <font>
      <b/>
      <i/>
      <sz val="12"/>
      <name val="Calibri"/>
      <family val="2"/>
      <scheme val="minor"/>
    </font>
    <font>
      <i/>
      <sz val="12"/>
      <name val="Calibri"/>
      <family val="2"/>
      <scheme val="minor"/>
    </font>
    <font>
      <b/>
      <sz val="15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2"/>
      <color rgb="FF00B050"/>
      <name val="Calibri"/>
      <family val="2"/>
      <scheme val="minor"/>
    </font>
    <font>
      <b/>
      <sz val="15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2"/>
      <color theme="7"/>
      <name val="Calibri"/>
      <family val="2"/>
      <scheme val="minor"/>
    </font>
    <font>
      <b/>
      <sz val="15"/>
      <color rgb="FF92D050"/>
      <name val="Calibri"/>
      <family val="2"/>
      <scheme val="minor"/>
    </font>
    <font>
      <b/>
      <sz val="11"/>
      <color rgb="FF92D050"/>
      <name val="Calibri"/>
      <family val="2"/>
      <scheme val="minor"/>
    </font>
    <font>
      <sz val="12"/>
      <color rgb="FF92D050"/>
      <name val="Calibri"/>
      <family val="2"/>
      <scheme val="minor"/>
    </font>
    <font>
      <b/>
      <sz val="11"/>
      <color theme="9"/>
      <name val="Calibri"/>
      <family val="2"/>
      <scheme val="minor"/>
    </font>
    <font>
      <sz val="12"/>
      <color theme="9"/>
      <name val="Calibri"/>
      <family val="2"/>
      <scheme val="minor"/>
    </font>
    <font>
      <b/>
      <sz val="12"/>
      <color theme="7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4"/>
      <color theme="1"/>
      <name val="Calibri"/>
      <family val="2"/>
      <scheme val="minor"/>
    </font>
    <font>
      <sz val="12"/>
      <color theme="4"/>
      <name val="Calibri"/>
      <family val="2"/>
      <scheme val="minor"/>
    </font>
    <font>
      <sz val="11"/>
      <color theme="4"/>
      <name val="Calibri"/>
      <family val="2"/>
      <scheme val="minor"/>
    </font>
    <font>
      <sz val="10"/>
      <color theme="4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2" tint="-9.9978637043366805E-2"/>
      <name val="Calibri"/>
      <family val="2"/>
      <scheme val="minor"/>
    </font>
    <font>
      <sz val="12"/>
      <color theme="2" tint="-9.9978637043366805E-2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1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E1E1FF"/>
        <bgColor indexed="64"/>
      </patternFill>
    </fill>
    <fill>
      <patternFill patternType="solid">
        <fgColor rgb="FFF8E8EA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10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/>
      <right style="thick">
        <color theme="1"/>
      </right>
      <top/>
      <bottom/>
      <diagonal/>
    </border>
    <border>
      <left/>
      <right style="thin">
        <color rgb="FF000000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theme="4" tint="0.3999755851924192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theme="4" tint="0.3999755851924192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theme="1"/>
      </top>
      <bottom style="thin">
        <color theme="1"/>
      </bottom>
      <diagonal/>
    </border>
    <border>
      <left/>
      <right style="thin">
        <color indexed="64"/>
      </right>
      <top style="thin">
        <color theme="1"/>
      </top>
      <bottom/>
      <diagonal/>
    </border>
    <border>
      <left/>
      <right style="medium">
        <color indexed="64"/>
      </right>
      <top style="thin">
        <color theme="1"/>
      </top>
      <bottom/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indexed="64"/>
      </top>
      <bottom style="thin">
        <color indexed="64"/>
      </bottom>
      <diagonal/>
    </border>
    <border>
      <left/>
      <right style="thin">
        <color theme="1"/>
      </right>
      <top style="thin">
        <color indexed="64"/>
      </top>
      <bottom style="thin">
        <color indexed="64"/>
      </bottom>
      <diagonal/>
    </border>
    <border>
      <left/>
      <right style="thick">
        <color theme="1"/>
      </right>
      <top style="thin">
        <color indexed="64"/>
      </top>
      <bottom style="thin">
        <color indexed="64"/>
      </bottom>
      <diagonal/>
    </border>
    <border>
      <left/>
      <right style="thin">
        <color theme="1"/>
      </right>
      <top style="thin">
        <color theme="1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indexed="64"/>
      </bottom>
      <diagonal/>
    </border>
    <border>
      <left/>
      <right/>
      <top style="thin">
        <color theme="1"/>
      </top>
      <bottom style="thin">
        <color indexed="64"/>
      </bottom>
      <diagonal/>
    </border>
    <border>
      <left style="double">
        <color indexed="64"/>
      </left>
      <right/>
      <top style="thin">
        <color theme="1"/>
      </top>
      <bottom style="thin">
        <color indexed="64"/>
      </bottom>
      <diagonal/>
    </border>
    <border>
      <left style="thin">
        <color indexed="64"/>
      </left>
      <right style="thin">
        <color theme="1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theme="1"/>
      </left>
      <right style="medium">
        <color indexed="64"/>
      </right>
      <top/>
      <bottom/>
      <diagonal/>
    </border>
    <border>
      <left style="double">
        <color indexed="64"/>
      </left>
      <right/>
      <top/>
      <bottom style="medium">
        <color theme="7"/>
      </bottom>
      <diagonal/>
    </border>
    <border>
      <left/>
      <right/>
      <top/>
      <bottom style="medium">
        <color theme="7"/>
      </bottom>
      <diagonal/>
    </border>
    <border>
      <left/>
      <right style="medium">
        <color indexed="64"/>
      </right>
      <top/>
      <bottom style="medium">
        <color theme="7"/>
      </bottom>
      <diagonal/>
    </border>
    <border>
      <left/>
      <right style="thin">
        <color indexed="64"/>
      </right>
      <top/>
      <bottom style="medium">
        <color theme="7"/>
      </bottom>
      <diagonal/>
    </border>
    <border>
      <left/>
      <right style="thin">
        <color indexed="64"/>
      </right>
      <top style="thin">
        <color theme="1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1"/>
      </right>
      <top/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theme="1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7"/>
      </bottom>
      <diagonal/>
    </border>
    <border>
      <left/>
      <right style="thin">
        <color theme="1"/>
      </right>
      <top/>
      <bottom style="thin">
        <color theme="7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7"/>
      </bottom>
      <diagonal/>
    </border>
    <border>
      <left style="thin">
        <color auto="1"/>
      </left>
      <right/>
      <top/>
      <bottom style="thin">
        <color theme="7"/>
      </bottom>
      <diagonal/>
    </border>
    <border>
      <left/>
      <right style="thin">
        <color auto="1"/>
      </right>
      <top/>
      <bottom style="thin">
        <color theme="7"/>
      </bottom>
      <diagonal/>
    </border>
    <border>
      <left/>
      <right style="medium">
        <color indexed="64"/>
      </right>
      <top/>
      <bottom style="thin">
        <color theme="7"/>
      </bottom>
      <diagonal/>
    </border>
    <border>
      <left style="thin">
        <color theme="1"/>
      </left>
      <right style="thin">
        <color theme="1"/>
      </right>
      <top/>
      <bottom style="thin">
        <color theme="7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theme="7"/>
      </bottom>
      <diagonal/>
    </border>
    <border>
      <left style="thin">
        <color theme="1"/>
      </left>
      <right style="thin">
        <color indexed="64"/>
      </right>
      <top/>
      <bottom/>
      <diagonal/>
    </border>
    <border>
      <left style="thin">
        <color theme="1"/>
      </left>
      <right style="thin">
        <color indexed="64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indexed="64"/>
      </right>
      <top/>
      <bottom style="thin">
        <color theme="7"/>
      </bottom>
      <diagonal/>
    </border>
    <border>
      <left/>
      <right style="thin">
        <color theme="1"/>
      </right>
      <top style="thin">
        <color indexed="64"/>
      </top>
      <bottom/>
      <diagonal/>
    </border>
    <border>
      <left style="thin">
        <color theme="1"/>
      </left>
      <right/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theme="4" tint="0.39997558519241921"/>
      </bottom>
      <diagonal/>
    </border>
    <border>
      <left style="medium">
        <color indexed="64"/>
      </left>
      <right style="thin">
        <color theme="1"/>
      </right>
      <top/>
      <bottom/>
      <diagonal/>
    </border>
    <border>
      <left style="thin">
        <color indexed="64"/>
      </left>
      <right/>
      <top/>
      <bottom style="medium">
        <color theme="4" tint="0.39997558519241921"/>
      </bottom>
      <diagonal/>
    </border>
    <border>
      <left style="medium">
        <color indexed="64"/>
      </left>
      <right/>
      <top/>
      <bottom style="thick">
        <color theme="4"/>
      </bottom>
      <diagonal/>
    </border>
    <border>
      <left/>
      <right style="medium">
        <color indexed="64"/>
      </right>
      <top/>
      <bottom style="thick">
        <color theme="4"/>
      </bottom>
      <diagonal/>
    </border>
    <border>
      <left style="thin">
        <color theme="1"/>
      </left>
      <right/>
      <top/>
      <bottom style="thin">
        <color theme="7"/>
      </bottom>
      <diagonal/>
    </border>
  </borders>
  <cellStyleXfs count="9">
    <xf numFmtId="0" fontId="0" fillId="0" borderId="0"/>
    <xf numFmtId="9" fontId="3" fillId="0" borderId="0" applyFont="0" applyFill="0" applyBorder="0" applyAlignment="0" applyProtection="0"/>
    <xf numFmtId="0" fontId="12" fillId="0" borderId="22" applyNumberFormat="0" applyFill="0" applyAlignment="0" applyProtection="0"/>
    <xf numFmtId="0" fontId="13" fillId="0" borderId="23" applyNumberFormat="0" applyFill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</cellStyleXfs>
  <cellXfs count="795">
    <xf numFmtId="0" fontId="0" fillId="0" borderId="0" xfId="0"/>
    <xf numFmtId="14" fontId="0" fillId="0" borderId="0" xfId="0" applyNumberFormat="1"/>
    <xf numFmtId="0" fontId="0" fillId="0" borderId="0" xfId="0" applyBorder="1"/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6" fillId="0" borderId="4" xfId="0" applyFont="1" applyBorder="1"/>
    <xf numFmtId="0" fontId="6" fillId="0" borderId="0" xfId="0" applyFont="1"/>
    <xf numFmtId="0" fontId="4" fillId="0" borderId="6" xfId="0" applyFont="1" applyBorder="1"/>
    <xf numFmtId="0" fontId="4" fillId="0" borderId="0" xfId="0" applyFont="1"/>
    <xf numFmtId="0" fontId="0" fillId="0" borderId="0" xfId="0" applyFont="1"/>
    <xf numFmtId="0" fontId="0" fillId="0" borderId="3" xfId="0" applyFont="1" applyBorder="1"/>
    <xf numFmtId="0" fontId="5" fillId="0" borderId="9" xfId="0" applyFont="1" applyBorder="1" applyAlignment="1">
      <alignment wrapText="1"/>
    </xf>
    <xf numFmtId="0" fontId="0" fillId="0" borderId="10" xfId="0" applyBorder="1"/>
    <xf numFmtId="0" fontId="0" fillId="0" borderId="3" xfId="0" applyFont="1" applyBorder="1" applyAlignment="1">
      <alignment wrapText="1"/>
    </xf>
    <xf numFmtId="0" fontId="0" fillId="0" borderId="0" xfId="0" applyFont="1" applyBorder="1"/>
    <xf numFmtId="2" fontId="0" fillId="0" borderId="0" xfId="0" applyNumberFormat="1" applyFont="1"/>
    <xf numFmtId="0" fontId="0" fillId="0" borderId="9" xfId="0" applyFont="1" applyBorder="1" applyAlignment="1">
      <alignment wrapText="1"/>
    </xf>
    <xf numFmtId="0" fontId="0" fillId="0" borderId="3" xfId="0" applyBorder="1" applyAlignment="1">
      <alignment horizontal="center" vertical="center" wrapText="1"/>
    </xf>
    <xf numFmtId="0" fontId="4" fillId="0" borderId="0" xfId="0" applyFont="1" applyAlignment="1">
      <alignment wrapText="1"/>
    </xf>
    <xf numFmtId="169" fontId="0" fillId="0" borderId="0" xfId="0" applyNumberFormat="1"/>
    <xf numFmtId="0" fontId="0" fillId="0" borderId="3" xfId="0" applyFill="1" applyBorder="1" applyAlignment="1">
      <alignment horizontal="center" vertical="center" wrapText="1"/>
    </xf>
    <xf numFmtId="0" fontId="0" fillId="0" borderId="0" xfId="0" applyFill="1"/>
    <xf numFmtId="0" fontId="9" fillId="0" borderId="9" xfId="0" applyFont="1" applyBorder="1"/>
    <xf numFmtId="14" fontId="0" fillId="0" borderId="0" xfId="0" applyNumberFormat="1" applyAlignment="1">
      <alignment horizontal="center" vertical="center"/>
    </xf>
    <xf numFmtId="20" fontId="0" fillId="0" borderId="3" xfId="0" applyNumberFormat="1" applyBorder="1" applyAlignment="1">
      <alignment horizontal="center" vertical="center"/>
    </xf>
    <xf numFmtId="14" fontId="0" fillId="0" borderId="0" xfId="0" applyNumberFormat="1" applyFill="1" applyAlignment="1">
      <alignment horizontal="center" vertical="center"/>
    </xf>
    <xf numFmtId="20" fontId="0" fillId="0" borderId="3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166" fontId="0" fillId="0" borderId="0" xfId="1" applyNumberFormat="1" applyFont="1" applyAlignment="1">
      <alignment horizontal="center" vertical="center"/>
    </xf>
    <xf numFmtId="9" fontId="0" fillId="0" borderId="0" xfId="1" applyFont="1" applyAlignment="1">
      <alignment horizontal="center" vertical="center"/>
    </xf>
    <xf numFmtId="0" fontId="9" fillId="0" borderId="9" xfId="0" applyFont="1" applyBorder="1" applyAlignment="1">
      <alignment horizontal="center" vertical="center" wrapText="1"/>
    </xf>
    <xf numFmtId="166" fontId="0" fillId="0" borderId="0" xfId="0" applyNumberFormat="1" applyAlignment="1">
      <alignment horizontal="center" vertical="center"/>
    </xf>
    <xf numFmtId="0" fontId="9" fillId="0" borderId="9" xfId="0" applyFont="1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2" fillId="0" borderId="22" xfId="2" applyAlignment="1">
      <alignment horizontal="center" wrapText="1"/>
    </xf>
    <xf numFmtId="0" fontId="12" fillId="0" borderId="22" xfId="2" applyAlignment="1">
      <alignment horizontal="center"/>
    </xf>
    <xf numFmtId="0" fontId="12" fillId="0" borderId="22" xfId="2"/>
    <xf numFmtId="0" fontId="13" fillId="0" borderId="23" xfId="3" applyAlignment="1">
      <alignment wrapText="1"/>
    </xf>
    <xf numFmtId="0" fontId="13" fillId="0" borderId="23" xfId="3" applyNumberFormat="1" applyAlignment="1">
      <alignment wrapText="1"/>
    </xf>
    <xf numFmtId="2" fontId="13" fillId="0" borderId="23" xfId="3" applyNumberFormat="1" applyAlignment="1">
      <alignment wrapText="1"/>
    </xf>
    <xf numFmtId="0" fontId="13" fillId="0" borderId="25" xfId="3" applyBorder="1" applyAlignment="1">
      <alignment wrapText="1"/>
    </xf>
    <xf numFmtId="0" fontId="0" fillId="0" borderId="24" xfId="0" applyFont="1" applyBorder="1"/>
    <xf numFmtId="167" fontId="0" fillId="0" borderId="0" xfId="0" applyNumberFormat="1" applyAlignment="1">
      <alignment horizontal="center" vertical="center"/>
    </xf>
    <xf numFmtId="0" fontId="6" fillId="0" borderId="0" xfId="0" applyFont="1" applyBorder="1"/>
    <xf numFmtId="0" fontId="6" fillId="0" borderId="28" xfId="0" applyFont="1" applyBorder="1"/>
    <xf numFmtId="0" fontId="0" fillId="8" borderId="1" xfId="0" applyFill="1" applyBorder="1" applyAlignment="1">
      <alignment horizontal="center"/>
    </xf>
    <xf numFmtId="0" fontId="6" fillId="8" borderId="1" xfId="0" applyFont="1" applyFill="1" applyBorder="1"/>
    <xf numFmtId="1" fontId="15" fillId="0" borderId="29" xfId="0" applyNumberFormat="1" applyFont="1" applyBorder="1" applyAlignment="1">
      <alignment horizontal="center"/>
    </xf>
    <xf numFmtId="1" fontId="16" fillId="0" borderId="29" xfId="0" applyNumberFormat="1" applyFont="1" applyBorder="1" applyAlignment="1">
      <alignment horizontal="center"/>
    </xf>
    <xf numFmtId="1" fontId="16" fillId="0" borderId="27" xfId="0" applyNumberFormat="1" applyFont="1" applyBorder="1" applyAlignment="1">
      <alignment horizontal="center"/>
    </xf>
    <xf numFmtId="0" fontId="15" fillId="0" borderId="29" xfId="0" applyFont="1" applyBorder="1" applyAlignment="1">
      <alignment horizontal="center"/>
    </xf>
    <xf numFmtId="0" fontId="16" fillId="0" borderId="29" xfId="0" applyFont="1" applyBorder="1" applyAlignment="1">
      <alignment horizontal="center"/>
    </xf>
    <xf numFmtId="0" fontId="17" fillId="0" borderId="30" xfId="0" applyFont="1" applyBorder="1" applyAlignment="1">
      <alignment horizontal="center"/>
    </xf>
    <xf numFmtId="0" fontId="17" fillId="0" borderId="29" xfId="0" applyFont="1" applyBorder="1" applyAlignment="1">
      <alignment horizontal="center"/>
    </xf>
    <xf numFmtId="0" fontId="15" fillId="0" borderId="31" xfId="0" applyFont="1" applyBorder="1" applyAlignment="1">
      <alignment horizontal="center"/>
    </xf>
    <xf numFmtId="0" fontId="16" fillId="0" borderId="31" xfId="0" applyFont="1" applyBorder="1" applyAlignment="1">
      <alignment horizontal="center"/>
    </xf>
    <xf numFmtId="0" fontId="16" fillId="0" borderId="32" xfId="0" applyFont="1" applyBorder="1" applyAlignment="1">
      <alignment horizontal="center"/>
    </xf>
    <xf numFmtId="1" fontId="15" fillId="0" borderId="31" xfId="0" applyNumberFormat="1" applyFont="1" applyBorder="1" applyAlignment="1">
      <alignment horizontal="center"/>
    </xf>
    <xf numFmtId="1" fontId="16" fillId="0" borderId="31" xfId="0" applyNumberFormat="1" applyFont="1" applyBorder="1" applyAlignment="1">
      <alignment horizontal="center"/>
    </xf>
    <xf numFmtId="1" fontId="17" fillId="0" borderId="33" xfId="0" applyNumberFormat="1" applyFont="1" applyBorder="1" applyAlignment="1">
      <alignment horizontal="center"/>
    </xf>
    <xf numFmtId="1" fontId="17" fillId="0" borderId="31" xfId="0" applyNumberFormat="1" applyFont="1" applyBorder="1" applyAlignment="1">
      <alignment horizontal="center"/>
    </xf>
    <xf numFmtId="165" fontId="18" fillId="7" borderId="0" xfId="0" applyNumberFormat="1" applyFont="1" applyFill="1" applyAlignment="1">
      <alignment horizontal="center"/>
    </xf>
    <xf numFmtId="165" fontId="20" fillId="7" borderId="0" xfId="0" applyNumberFormat="1" applyFont="1" applyFill="1"/>
    <xf numFmtId="165" fontId="0" fillId="0" borderId="0" xfId="0" applyNumberFormat="1"/>
    <xf numFmtId="0" fontId="21" fillId="0" borderId="17" xfId="0" applyFont="1" applyFill="1" applyBorder="1" applyAlignment="1">
      <alignment horizontal="center"/>
    </xf>
    <xf numFmtId="0" fontId="0" fillId="0" borderId="35" xfId="0" applyBorder="1" applyAlignment="1">
      <alignment horizontal="center"/>
    </xf>
    <xf numFmtId="0" fontId="0" fillId="8" borderId="14" xfId="0" applyFill="1" applyBorder="1" applyAlignment="1">
      <alignment horizontal="center"/>
    </xf>
    <xf numFmtId="0" fontId="0" fillId="0" borderId="16" xfId="0" applyBorder="1" applyAlignment="1"/>
    <xf numFmtId="0" fontId="0" fillId="0" borderId="17" xfId="0" applyBorder="1"/>
    <xf numFmtId="0" fontId="0" fillId="0" borderId="34" xfId="0" applyBorder="1"/>
    <xf numFmtId="0" fontId="0" fillId="0" borderId="20" xfId="0" applyBorder="1"/>
    <xf numFmtId="0" fontId="0" fillId="0" borderId="26" xfId="0" applyBorder="1"/>
    <xf numFmtId="165" fontId="14" fillId="0" borderId="15" xfId="0" applyNumberFormat="1" applyFont="1" applyBorder="1"/>
    <xf numFmtId="165" fontId="14" fillId="0" borderId="18" xfId="0" applyNumberFormat="1" applyFont="1" applyBorder="1"/>
    <xf numFmtId="165" fontId="20" fillId="7" borderId="24" xfId="0" applyNumberFormat="1" applyFont="1" applyFill="1" applyBorder="1"/>
    <xf numFmtId="165" fontId="19" fillId="7" borderId="0" xfId="0" applyNumberFormat="1" applyFont="1" applyFill="1"/>
    <xf numFmtId="0" fontId="12" fillId="0" borderId="22" xfId="2" applyAlignment="1">
      <alignment horizontal="center"/>
    </xf>
    <xf numFmtId="0" fontId="20" fillId="0" borderId="4" xfId="0" applyFont="1" applyBorder="1"/>
    <xf numFmtId="0" fontId="20" fillId="0" borderId="3" xfId="0" applyFont="1" applyBorder="1"/>
    <xf numFmtId="0" fontId="20" fillId="0" borderId="6" xfId="0" applyFont="1" applyBorder="1"/>
    <xf numFmtId="0" fontId="20" fillId="0" borderId="0" xfId="0" applyFont="1"/>
    <xf numFmtId="0" fontId="23" fillId="0" borderId="23" xfId="3" applyNumberFormat="1" applyFont="1" applyAlignment="1">
      <alignment horizontal="center" vertical="center" wrapText="1"/>
    </xf>
    <xf numFmtId="2" fontId="24" fillId="0" borderId="0" xfId="0" applyNumberFormat="1" applyFont="1" applyAlignment="1">
      <alignment horizontal="center" vertical="center"/>
    </xf>
    <xf numFmtId="2" fontId="24" fillId="0" borderId="3" xfId="0" applyNumberFormat="1" applyFont="1" applyBorder="1" applyAlignment="1">
      <alignment horizontal="center" vertical="center"/>
    </xf>
    <xf numFmtId="0" fontId="23" fillId="0" borderId="36" xfId="3" applyNumberFormat="1" applyFont="1" applyBorder="1" applyAlignment="1">
      <alignment horizontal="center" vertical="center" wrapText="1"/>
    </xf>
    <xf numFmtId="1" fontId="13" fillId="0" borderId="23" xfId="3" applyNumberFormat="1" applyAlignment="1">
      <alignment wrapText="1"/>
    </xf>
    <xf numFmtId="1" fontId="0" fillId="0" borderId="0" xfId="0" applyNumberFormat="1" applyFont="1" applyBorder="1"/>
    <xf numFmtId="0" fontId="13" fillId="0" borderId="25" xfId="3" applyNumberFormat="1" applyBorder="1" applyAlignment="1">
      <alignment wrapText="1"/>
    </xf>
    <xf numFmtId="165" fontId="14" fillId="0" borderId="16" xfId="0" applyNumberFormat="1" applyFont="1" applyBorder="1"/>
    <xf numFmtId="0" fontId="0" fillId="0" borderId="16" xfId="0" applyBorder="1"/>
    <xf numFmtId="0" fontId="0" fillId="0" borderId="19" xfId="0" applyBorder="1"/>
    <xf numFmtId="165" fontId="14" fillId="0" borderId="19" xfId="0" applyNumberFormat="1" applyFont="1" applyBorder="1"/>
    <xf numFmtId="2" fontId="24" fillId="0" borderId="0" xfId="0" applyNumberFormat="1" applyFont="1" applyBorder="1" applyAlignment="1">
      <alignment horizontal="center" vertical="center"/>
    </xf>
    <xf numFmtId="0" fontId="14" fillId="0" borderId="0" xfId="0" applyFont="1"/>
    <xf numFmtId="0" fontId="13" fillId="0" borderId="23" xfId="3" applyNumberFormat="1" applyBorder="1" applyAlignment="1">
      <alignment wrapText="1"/>
    </xf>
    <xf numFmtId="0" fontId="12" fillId="0" borderId="0" xfId="2" applyBorder="1"/>
    <xf numFmtId="0" fontId="13" fillId="0" borderId="12" xfId="3" applyNumberFormat="1" applyBorder="1" applyAlignment="1">
      <alignment wrapText="1"/>
    </xf>
    <xf numFmtId="0" fontId="13" fillId="0" borderId="13" xfId="3" applyBorder="1" applyAlignment="1">
      <alignment wrapText="1"/>
    </xf>
    <xf numFmtId="0" fontId="29" fillId="0" borderId="13" xfId="3" applyFont="1" applyBorder="1" applyAlignment="1">
      <alignment wrapText="1"/>
    </xf>
    <xf numFmtId="0" fontId="13" fillId="0" borderId="13" xfId="3" applyBorder="1" applyAlignment="1">
      <alignment horizontal="center" wrapText="1"/>
    </xf>
    <xf numFmtId="0" fontId="25" fillId="0" borderId="15" xfId="2" applyFont="1" applyBorder="1"/>
    <xf numFmtId="0" fontId="25" fillId="0" borderId="17" xfId="2" applyFont="1" applyBorder="1"/>
    <xf numFmtId="0" fontId="26" fillId="0" borderId="12" xfId="3" applyFont="1" applyBorder="1" applyAlignment="1">
      <alignment wrapText="1"/>
    </xf>
    <xf numFmtId="0" fontId="26" fillId="0" borderId="14" xfId="3" applyFont="1" applyBorder="1" applyAlignment="1">
      <alignment wrapText="1"/>
    </xf>
    <xf numFmtId="0" fontId="27" fillId="0" borderId="34" xfId="0" applyFont="1" applyBorder="1"/>
    <xf numFmtId="0" fontId="27" fillId="0" borderId="35" xfId="0" applyFont="1" applyBorder="1"/>
    <xf numFmtId="0" fontId="34" fillId="0" borderId="12" xfId="3" applyFont="1" applyBorder="1" applyAlignment="1">
      <alignment wrapText="1"/>
    </xf>
    <xf numFmtId="0" fontId="35" fillId="0" borderId="34" xfId="0" applyFont="1" applyBorder="1"/>
    <xf numFmtId="0" fontId="30" fillId="9" borderId="34" xfId="0" applyFont="1" applyFill="1" applyBorder="1"/>
    <xf numFmtId="0" fontId="30" fillId="9" borderId="0" xfId="0" applyFont="1" applyFill="1" applyBorder="1"/>
    <xf numFmtId="0" fontId="36" fillId="9" borderId="12" xfId="3" applyFont="1" applyFill="1" applyBorder="1" applyAlignment="1">
      <alignment wrapText="1"/>
    </xf>
    <xf numFmtId="0" fontId="36" fillId="9" borderId="13" xfId="3" applyFont="1" applyFill="1" applyBorder="1" applyAlignment="1">
      <alignment wrapText="1"/>
    </xf>
    <xf numFmtId="2" fontId="32" fillId="0" borderId="13" xfId="3" applyNumberFormat="1" applyFont="1" applyBorder="1" applyAlignment="1">
      <alignment wrapText="1"/>
    </xf>
    <xf numFmtId="2" fontId="33" fillId="0" borderId="0" xfId="0" applyNumberFormat="1" applyFont="1"/>
    <xf numFmtId="2" fontId="12" fillId="0" borderId="22" xfId="2" applyNumberFormat="1" applyBorder="1" applyAlignment="1">
      <alignment horizontal="center"/>
    </xf>
    <xf numFmtId="2" fontId="0" fillId="0" borderId="0" xfId="0" applyNumberFormat="1"/>
    <xf numFmtId="2" fontId="12" fillId="0" borderId="0" xfId="2" applyNumberFormat="1" applyBorder="1"/>
    <xf numFmtId="2" fontId="13" fillId="0" borderId="13" xfId="3" applyNumberFormat="1" applyBorder="1" applyAlignment="1">
      <alignment wrapText="1"/>
    </xf>
    <xf numFmtId="0" fontId="31" fillId="0" borderId="0" xfId="2" applyNumberFormat="1" applyFont="1" applyBorder="1" applyAlignment="1">
      <alignment wrapText="1"/>
    </xf>
    <xf numFmtId="164" fontId="35" fillId="0" borderId="0" xfId="0" applyNumberFormat="1" applyFont="1"/>
    <xf numFmtId="2" fontId="29" fillId="0" borderId="13" xfId="3" applyNumberFormat="1" applyFont="1" applyBorder="1" applyAlignment="1">
      <alignment wrapText="1"/>
    </xf>
    <xf numFmtId="2" fontId="14" fillId="0" borderId="0" xfId="0" applyNumberFormat="1" applyFont="1"/>
    <xf numFmtId="9" fontId="36" fillId="9" borderId="14" xfId="1" applyFont="1" applyFill="1" applyBorder="1" applyAlignment="1">
      <alignment wrapText="1"/>
    </xf>
    <xf numFmtId="9" fontId="30" fillId="9" borderId="35" xfId="1" applyFont="1" applyFill="1" applyBorder="1"/>
    <xf numFmtId="0" fontId="0" fillId="0" borderId="24" xfId="0" applyBorder="1"/>
    <xf numFmtId="0" fontId="13" fillId="0" borderId="23" xfId="3" applyFill="1" applyAlignment="1">
      <alignment wrapText="1"/>
    </xf>
    <xf numFmtId="0" fontId="13" fillId="0" borderId="25" xfId="3" applyFill="1" applyBorder="1" applyAlignment="1">
      <alignment wrapText="1"/>
    </xf>
    <xf numFmtId="0" fontId="3" fillId="0" borderId="24" xfId="5" applyNumberFormat="1" applyFill="1" applyBorder="1" applyAlignment="1">
      <alignment wrapText="1"/>
    </xf>
    <xf numFmtId="0" fontId="3" fillId="0" borderId="24" xfId="4" applyNumberFormat="1" applyFill="1" applyBorder="1" applyAlignment="1">
      <alignment wrapText="1"/>
    </xf>
    <xf numFmtId="0" fontId="3" fillId="0" borderId="24" xfId="6" applyNumberFormat="1" applyFill="1" applyBorder="1" applyAlignment="1">
      <alignment wrapText="1"/>
    </xf>
    <xf numFmtId="0" fontId="3" fillId="0" borderId="24" xfId="7" applyNumberFormat="1" applyFill="1" applyBorder="1" applyAlignment="1">
      <alignment wrapText="1"/>
    </xf>
    <xf numFmtId="0" fontId="3" fillId="0" borderId="24" xfId="8" applyNumberFormat="1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/>
    <xf numFmtId="0" fontId="0" fillId="0" borderId="0" xfId="0" applyFont="1" applyFill="1"/>
    <xf numFmtId="0" fontId="0" fillId="0" borderId="24" xfId="0" applyFont="1" applyFill="1" applyBorder="1"/>
    <xf numFmtId="0" fontId="0" fillId="0" borderId="0" xfId="0" applyFill="1" applyBorder="1"/>
    <xf numFmtId="0" fontId="38" fillId="0" borderId="0" xfId="0" applyFont="1" applyFill="1" applyBorder="1"/>
    <xf numFmtId="0" fontId="3" fillId="0" borderId="0" xfId="5" applyFill="1" applyBorder="1" applyAlignment="1">
      <alignment wrapText="1"/>
    </xf>
    <xf numFmtId="0" fontId="3" fillId="0" borderId="0" xfId="4" applyFill="1" applyBorder="1" applyAlignment="1">
      <alignment wrapText="1"/>
    </xf>
    <xf numFmtId="0" fontId="3" fillId="0" borderId="0" xfId="6" applyFill="1" applyBorder="1" applyAlignment="1">
      <alignment wrapText="1"/>
    </xf>
    <xf numFmtId="0" fontId="3" fillId="0" borderId="0" xfId="7" applyFill="1" applyBorder="1" applyAlignment="1">
      <alignment wrapText="1"/>
    </xf>
    <xf numFmtId="0" fontId="3" fillId="0" borderId="0" xfId="8" applyFill="1" applyBorder="1" applyAlignment="1">
      <alignment wrapText="1"/>
    </xf>
    <xf numFmtId="0" fontId="13" fillId="0" borderId="0" xfId="3" applyFill="1" applyBorder="1" applyAlignment="1">
      <alignment wrapText="1"/>
    </xf>
    <xf numFmtId="14" fontId="0" fillId="0" borderId="0" xfId="0" applyNumberFormat="1" applyBorder="1"/>
    <xf numFmtId="167" fontId="0" fillId="0" borderId="24" xfId="5" applyNumberFormat="1" applyFont="1" applyFill="1" applyBorder="1" applyAlignment="1">
      <alignment wrapText="1"/>
    </xf>
    <xf numFmtId="170" fontId="3" fillId="0" borderId="0" xfId="5" applyNumberFormat="1" applyFill="1" applyBorder="1" applyAlignment="1">
      <alignment wrapText="1"/>
    </xf>
    <xf numFmtId="170" fontId="3" fillId="0" borderId="0" xfId="4" applyNumberFormat="1" applyFill="1" applyBorder="1" applyAlignment="1">
      <alignment wrapText="1"/>
    </xf>
    <xf numFmtId="170" fontId="3" fillId="0" borderId="0" xfId="6" applyNumberFormat="1" applyFill="1" applyBorder="1" applyAlignment="1">
      <alignment wrapText="1"/>
    </xf>
    <xf numFmtId="170" fontId="3" fillId="0" borderId="0" xfId="7" applyNumberFormat="1" applyFill="1" applyBorder="1" applyAlignment="1">
      <alignment wrapText="1"/>
    </xf>
    <xf numFmtId="170" fontId="3" fillId="0" borderId="0" xfId="8" applyNumberFormat="1" applyFill="1" applyBorder="1" applyAlignment="1">
      <alignment wrapText="1"/>
    </xf>
    <xf numFmtId="170" fontId="0" fillId="0" borderId="0" xfId="6" applyNumberFormat="1" applyFont="1" applyFill="1" applyBorder="1" applyAlignment="1">
      <alignment wrapText="1"/>
    </xf>
    <xf numFmtId="170" fontId="0" fillId="0" borderId="0" xfId="0" applyNumberFormat="1" applyFont="1" applyFill="1" applyBorder="1" applyAlignment="1">
      <alignment wrapText="1"/>
    </xf>
    <xf numFmtId="170" fontId="0" fillId="0" borderId="0" xfId="0" applyNumberFormat="1" applyFont="1" applyFill="1" applyBorder="1"/>
    <xf numFmtId="0" fontId="13" fillId="0" borderId="24" xfId="3" applyFill="1" applyBorder="1" applyAlignment="1">
      <alignment wrapText="1"/>
    </xf>
    <xf numFmtId="0" fontId="0" fillId="0" borderId="24" xfId="0" applyFont="1" applyFill="1" applyBorder="1" applyAlignment="1">
      <alignment wrapText="1"/>
    </xf>
    <xf numFmtId="0" fontId="3" fillId="10" borderId="24" xfId="5" applyNumberFormat="1" applyFill="1" applyBorder="1" applyAlignment="1">
      <alignment wrapText="1"/>
    </xf>
    <xf numFmtId="0" fontId="3" fillId="10" borderId="24" xfId="4" applyNumberFormat="1" applyFill="1" applyBorder="1" applyAlignment="1">
      <alignment wrapText="1"/>
    </xf>
    <xf numFmtId="0" fontId="3" fillId="10" borderId="24" xfId="6" applyNumberFormat="1" applyFill="1" applyBorder="1" applyAlignment="1">
      <alignment wrapText="1"/>
    </xf>
    <xf numFmtId="0" fontId="3" fillId="10" borderId="24" xfId="7" applyNumberFormat="1" applyFill="1" applyBorder="1" applyAlignment="1">
      <alignment wrapText="1"/>
    </xf>
    <xf numFmtId="0" fontId="3" fillId="10" borderId="24" xfId="8" applyNumberFormat="1" applyFill="1" applyBorder="1" applyAlignment="1">
      <alignment wrapText="1"/>
    </xf>
    <xf numFmtId="0" fontId="3" fillId="11" borderId="24" xfId="5" applyNumberFormat="1" applyFill="1" applyBorder="1" applyAlignment="1">
      <alignment wrapText="1"/>
    </xf>
    <xf numFmtId="0" fontId="3" fillId="11" borderId="24" xfId="4" applyNumberFormat="1" applyFill="1" applyBorder="1" applyAlignment="1">
      <alignment wrapText="1"/>
    </xf>
    <xf numFmtId="0" fontId="3" fillId="11" borderId="24" xfId="6" applyNumberFormat="1" applyFill="1" applyBorder="1" applyAlignment="1">
      <alignment wrapText="1"/>
    </xf>
    <xf numFmtId="0" fontId="3" fillId="11" borderId="24" xfId="7" applyNumberFormat="1" applyFill="1" applyBorder="1" applyAlignment="1">
      <alignment wrapText="1"/>
    </xf>
    <xf numFmtId="0" fontId="3" fillId="11" borderId="24" xfId="8" applyNumberFormat="1" applyFill="1" applyBorder="1" applyAlignment="1">
      <alignment wrapText="1"/>
    </xf>
    <xf numFmtId="0" fontId="13" fillId="0" borderId="29" xfId="3" applyBorder="1" applyAlignment="1">
      <alignment wrapText="1"/>
    </xf>
    <xf numFmtId="0" fontId="13" fillId="0" borderId="29" xfId="3" applyFill="1" applyBorder="1" applyAlignment="1">
      <alignment wrapText="1"/>
    </xf>
    <xf numFmtId="0" fontId="0" fillId="0" borderId="21" xfId="0" applyFill="1" applyBorder="1"/>
    <xf numFmtId="0" fontId="0" fillId="0" borderId="24" xfId="0" applyFill="1" applyBorder="1"/>
    <xf numFmtId="0" fontId="14" fillId="0" borderId="0" xfId="0" applyFont="1" applyBorder="1"/>
    <xf numFmtId="0" fontId="13" fillId="0" borderId="36" xfId="3" applyFill="1" applyBorder="1" applyAlignment="1">
      <alignment wrapText="1"/>
    </xf>
    <xf numFmtId="0" fontId="0" fillId="12" borderId="32" xfId="0" applyFill="1" applyBorder="1" applyAlignment="1">
      <alignment horizontal="center" vertical="center"/>
    </xf>
    <xf numFmtId="14" fontId="0" fillId="12" borderId="0" xfId="0" applyNumberFormat="1" applyFill="1" applyAlignment="1">
      <alignment horizontal="center" vertical="center"/>
    </xf>
    <xf numFmtId="20" fontId="0" fillId="12" borderId="3" xfId="0" applyNumberFormat="1" applyFill="1" applyBorder="1" applyAlignment="1">
      <alignment horizontal="center" vertical="center"/>
    </xf>
    <xf numFmtId="0" fontId="0" fillId="12" borderId="9" xfId="0" applyNumberFormat="1" applyFill="1" applyBorder="1" applyAlignment="1">
      <alignment horizontal="center" vertical="center"/>
    </xf>
    <xf numFmtId="0" fontId="0" fillId="12" borderId="9" xfId="0" applyFill="1" applyBorder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0" fillId="12" borderId="3" xfId="0" applyFill="1" applyBorder="1" applyAlignment="1">
      <alignment horizontal="center" vertical="center"/>
    </xf>
    <xf numFmtId="2" fontId="8" fillId="12" borderId="0" xfId="0" applyNumberFormat="1" applyFont="1" applyFill="1" applyAlignment="1">
      <alignment horizontal="center" vertical="center"/>
    </xf>
    <xf numFmtId="2" fontId="4" fillId="12" borderId="0" xfId="0" applyNumberFormat="1" applyFont="1" applyFill="1" applyAlignment="1">
      <alignment horizontal="center" vertical="center"/>
    </xf>
    <xf numFmtId="2" fontId="8" fillId="12" borderId="3" xfId="0" applyNumberFormat="1" applyFont="1" applyFill="1" applyBorder="1" applyAlignment="1">
      <alignment horizontal="center" vertical="center"/>
    </xf>
    <xf numFmtId="0" fontId="0" fillId="12" borderId="0" xfId="0" applyFill="1"/>
    <xf numFmtId="0" fontId="0" fillId="12" borderId="3" xfId="0" applyFill="1" applyBorder="1"/>
    <xf numFmtId="2" fontId="8" fillId="12" borderId="0" xfId="0" applyNumberFormat="1" applyFont="1" applyFill="1"/>
    <xf numFmtId="2" fontId="4" fillId="12" borderId="0" xfId="0" applyNumberFormat="1" applyFont="1" applyFill="1"/>
    <xf numFmtId="2" fontId="8" fillId="12" borderId="3" xfId="0" applyNumberFormat="1" applyFont="1" applyFill="1" applyBorder="1"/>
    <xf numFmtId="167" fontId="9" fillId="0" borderId="9" xfId="0" applyNumberFormat="1" applyFont="1" applyBorder="1" applyAlignment="1">
      <alignment horizontal="center"/>
    </xf>
    <xf numFmtId="0" fontId="20" fillId="0" borderId="3" xfId="0" applyFont="1" applyBorder="1" applyAlignment="1">
      <alignment horizontal="center" vertical="center"/>
    </xf>
    <xf numFmtId="0" fontId="20" fillId="0" borderId="3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0" fillId="0" borderId="10" xfId="0" applyFont="1" applyFill="1" applyBorder="1" applyAlignment="1">
      <alignment horizontal="center" vertical="center"/>
    </xf>
    <xf numFmtId="20" fontId="20" fillId="0" borderId="3" xfId="0" applyNumberFormat="1" applyFont="1" applyFill="1" applyBorder="1" applyAlignment="1">
      <alignment horizontal="center" vertical="center"/>
    </xf>
    <xf numFmtId="2" fontId="8" fillId="12" borderId="24" xfId="0" applyNumberFormat="1" applyFont="1" applyFill="1" applyBorder="1" applyAlignment="1">
      <alignment horizontal="center" vertical="center"/>
    </xf>
    <xf numFmtId="0" fontId="0" fillId="0" borderId="35" xfId="0" applyBorder="1"/>
    <xf numFmtId="0" fontId="0" fillId="0" borderId="35" xfId="0" applyFont="1" applyBorder="1"/>
    <xf numFmtId="0" fontId="0" fillId="0" borderId="35" xfId="0" applyFill="1" applyBorder="1"/>
    <xf numFmtId="0" fontId="0" fillId="12" borderId="24" xfId="0" applyFill="1" applyBorder="1" applyAlignment="1">
      <alignment horizontal="center" vertical="center"/>
    </xf>
    <xf numFmtId="0" fontId="0" fillId="12" borderId="0" xfId="0" applyFill="1" applyBorder="1" applyAlignment="1">
      <alignment horizontal="center" vertical="center"/>
    </xf>
    <xf numFmtId="0" fontId="43" fillId="0" borderId="3" xfId="0" applyFont="1" applyBorder="1" applyAlignment="1">
      <alignment horizontal="center" vertical="center" wrapText="1"/>
    </xf>
    <xf numFmtId="0" fontId="43" fillId="0" borderId="3" xfId="0" applyFont="1" applyFill="1" applyBorder="1" applyAlignment="1">
      <alignment horizontal="center" vertical="center"/>
    </xf>
    <xf numFmtId="14" fontId="43" fillId="0" borderId="0" xfId="0" applyNumberFormat="1" applyFont="1" applyAlignment="1">
      <alignment horizontal="center" vertical="center"/>
    </xf>
    <xf numFmtId="20" fontId="43" fillId="0" borderId="3" xfId="0" applyNumberFormat="1" applyFont="1" applyBorder="1" applyAlignment="1">
      <alignment horizontal="center" vertical="center"/>
    </xf>
    <xf numFmtId="0" fontId="44" fillId="0" borderId="9" xfId="0" applyFont="1" applyBorder="1" applyAlignment="1">
      <alignment horizontal="center" vertical="center"/>
    </xf>
    <xf numFmtId="0" fontId="45" fillId="0" borderId="9" xfId="0" applyFont="1" applyBorder="1" applyAlignment="1">
      <alignment horizontal="center" vertical="center" wrapText="1"/>
    </xf>
    <xf numFmtId="0" fontId="43" fillId="0" borderId="10" xfId="0" applyFont="1" applyBorder="1" applyAlignment="1">
      <alignment horizontal="center" vertical="center"/>
    </xf>
    <xf numFmtId="14" fontId="43" fillId="12" borderId="0" xfId="0" applyNumberFormat="1" applyFont="1" applyFill="1" applyAlignment="1">
      <alignment horizontal="center" vertical="center"/>
    </xf>
    <xf numFmtId="0" fontId="43" fillId="12" borderId="9" xfId="0" applyNumberFormat="1" applyFont="1" applyFill="1" applyBorder="1" applyAlignment="1">
      <alignment horizontal="center" vertical="center"/>
    </xf>
    <xf numFmtId="0" fontId="43" fillId="12" borderId="9" xfId="0" applyFont="1" applyFill="1" applyBorder="1" applyAlignment="1">
      <alignment horizontal="center" vertical="center"/>
    </xf>
    <xf numFmtId="0" fontId="43" fillId="12" borderId="0" xfId="0" applyFont="1" applyFill="1" applyAlignment="1">
      <alignment horizontal="center" vertical="center"/>
    </xf>
    <xf numFmtId="0" fontId="43" fillId="12" borderId="24" xfId="0" applyFont="1" applyFill="1" applyBorder="1" applyAlignment="1">
      <alignment horizontal="center" vertical="center"/>
    </xf>
    <xf numFmtId="2" fontId="43" fillId="12" borderId="0" xfId="0" applyNumberFormat="1" applyFont="1" applyFill="1" applyAlignment="1">
      <alignment horizontal="center" vertical="center"/>
    </xf>
    <xf numFmtId="2" fontId="46" fillId="12" borderId="0" xfId="0" applyNumberFormat="1" applyFont="1" applyFill="1" applyAlignment="1">
      <alignment horizontal="center" vertical="center"/>
    </xf>
    <xf numFmtId="2" fontId="43" fillId="12" borderId="3" xfId="0" applyNumberFormat="1" applyFont="1" applyFill="1" applyBorder="1" applyAlignment="1">
      <alignment horizontal="center" vertical="center"/>
    </xf>
    <xf numFmtId="0" fontId="43" fillId="0" borderId="0" xfId="0" applyFont="1" applyAlignment="1">
      <alignment horizontal="center" vertical="center"/>
    </xf>
    <xf numFmtId="0" fontId="43" fillId="0" borderId="3" xfId="0" applyFont="1" applyBorder="1" applyAlignment="1">
      <alignment horizontal="center" vertical="center"/>
    </xf>
    <xf numFmtId="0" fontId="43" fillId="0" borderId="0" xfId="0" applyFont="1"/>
    <xf numFmtId="0" fontId="43" fillId="12" borderId="3" xfId="0" applyFont="1" applyFill="1" applyBorder="1" applyAlignment="1">
      <alignment horizontal="center" vertical="center"/>
    </xf>
    <xf numFmtId="0" fontId="43" fillId="0" borderId="0" xfId="0" applyFont="1" applyFill="1" applyAlignment="1">
      <alignment horizontal="center" vertical="center"/>
    </xf>
    <xf numFmtId="2" fontId="43" fillId="0" borderId="0" xfId="0" applyNumberFormat="1" applyFont="1" applyFill="1" applyAlignment="1">
      <alignment horizontal="center" vertical="center"/>
    </xf>
    <xf numFmtId="2" fontId="46" fillId="0" borderId="0" xfId="0" applyNumberFormat="1" applyFont="1" applyFill="1" applyAlignment="1">
      <alignment horizontal="center" vertical="center"/>
    </xf>
    <xf numFmtId="2" fontId="43" fillId="0" borderId="0" xfId="0" applyNumberFormat="1" applyFont="1" applyFill="1" applyBorder="1" applyAlignment="1">
      <alignment horizontal="center" vertical="center"/>
    </xf>
    <xf numFmtId="0" fontId="0" fillId="11" borderId="9" xfId="0" applyFill="1" applyBorder="1" applyAlignment="1">
      <alignment horizontal="center" vertical="center"/>
    </xf>
    <xf numFmtId="0" fontId="14" fillId="11" borderId="2" xfId="0" applyFont="1" applyFill="1" applyBorder="1" applyAlignment="1">
      <alignment horizontal="center" vertical="center"/>
    </xf>
    <xf numFmtId="0" fontId="0" fillId="11" borderId="3" xfId="0" applyNumberFormat="1" applyFill="1" applyBorder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11" borderId="3" xfId="0" applyFill="1" applyBorder="1" applyAlignment="1">
      <alignment horizontal="center" vertical="center"/>
    </xf>
    <xf numFmtId="2" fontId="8" fillId="11" borderId="0" xfId="0" applyNumberFormat="1" applyFont="1" applyFill="1" applyAlignment="1">
      <alignment horizontal="center" vertical="center"/>
    </xf>
    <xf numFmtId="2" fontId="4" fillId="11" borderId="0" xfId="0" applyNumberFormat="1" applyFont="1" applyFill="1" applyAlignment="1">
      <alignment horizontal="center" vertical="center"/>
    </xf>
    <xf numFmtId="2" fontId="8" fillId="11" borderId="3" xfId="0" applyNumberFormat="1" applyFont="1" applyFill="1" applyBorder="1" applyAlignment="1">
      <alignment horizontal="center" vertical="center"/>
    </xf>
    <xf numFmtId="2" fontId="14" fillId="11" borderId="0" xfId="0" applyNumberFormat="1" applyFont="1" applyFill="1" applyBorder="1" applyAlignment="1">
      <alignment horizontal="center" vertical="center"/>
    </xf>
    <xf numFmtId="2" fontId="0" fillId="11" borderId="3" xfId="0" applyNumberFormat="1" applyFill="1" applyBorder="1" applyAlignment="1">
      <alignment horizontal="center" vertical="center"/>
    </xf>
    <xf numFmtId="0" fontId="7" fillId="11" borderId="3" xfId="0" applyNumberFormat="1" applyFont="1" applyFill="1" applyBorder="1" applyAlignment="1">
      <alignment horizontal="center" vertical="center"/>
    </xf>
    <xf numFmtId="0" fontId="7" fillId="11" borderId="0" xfId="0" applyFont="1" applyFill="1" applyAlignment="1">
      <alignment horizontal="center" vertical="center"/>
    </xf>
    <xf numFmtId="0" fontId="7" fillId="11" borderId="11" xfId="0" applyFont="1" applyFill="1" applyBorder="1" applyAlignment="1">
      <alignment horizontal="center" vertical="center"/>
    </xf>
    <xf numFmtId="2" fontId="7" fillId="11" borderId="11" xfId="0" applyNumberFormat="1" applyFont="1" applyFill="1" applyBorder="1" applyAlignment="1">
      <alignment horizontal="center" vertical="center"/>
    </xf>
    <xf numFmtId="2" fontId="7" fillId="11" borderId="3" xfId="0" applyNumberFormat="1" applyFont="1" applyFill="1" applyBorder="1" applyAlignment="1">
      <alignment horizontal="center" vertical="center"/>
    </xf>
    <xf numFmtId="0" fontId="0" fillId="11" borderId="9" xfId="0" applyFill="1" applyBorder="1"/>
    <xf numFmtId="0" fontId="0" fillId="11" borderId="0" xfId="0" applyFill="1"/>
    <xf numFmtId="0" fontId="0" fillId="11" borderId="3" xfId="0" applyFill="1" applyBorder="1"/>
    <xf numFmtId="0" fontId="0" fillId="11" borderId="3" xfId="0" applyNumberFormat="1" applyFill="1" applyBorder="1"/>
    <xf numFmtId="2" fontId="8" fillId="11" borderId="0" xfId="0" applyNumberFormat="1" applyFont="1" applyFill="1"/>
    <xf numFmtId="2" fontId="4" fillId="11" borderId="0" xfId="0" applyNumberFormat="1" applyFont="1" applyFill="1"/>
    <xf numFmtId="2" fontId="8" fillId="11" borderId="3" xfId="0" applyNumberFormat="1" applyFont="1" applyFill="1" applyBorder="1"/>
    <xf numFmtId="2" fontId="14" fillId="11" borderId="0" xfId="0" applyNumberFormat="1" applyFont="1" applyFill="1" applyBorder="1"/>
    <xf numFmtId="0" fontId="14" fillId="12" borderId="2" xfId="0" applyFont="1" applyFill="1" applyBorder="1" applyAlignment="1">
      <alignment horizontal="center" vertical="center"/>
    </xf>
    <xf numFmtId="2" fontId="14" fillId="12" borderId="0" xfId="0" applyNumberFormat="1" applyFont="1" applyFill="1" applyBorder="1" applyAlignment="1">
      <alignment horizontal="center" vertical="center"/>
    </xf>
    <xf numFmtId="2" fontId="14" fillId="12" borderId="0" xfId="0" applyNumberFormat="1" applyFont="1" applyFill="1" applyBorder="1"/>
    <xf numFmtId="20" fontId="0" fillId="11" borderId="0" xfId="0" applyNumberFormat="1" applyFill="1" applyBorder="1" applyAlignment="1">
      <alignment horizontal="center" vertical="center"/>
    </xf>
    <xf numFmtId="20" fontId="7" fillId="11" borderId="0" xfId="0" applyNumberFormat="1" applyFont="1" applyFill="1" applyBorder="1" applyAlignment="1">
      <alignment horizontal="center" vertical="center"/>
    </xf>
    <xf numFmtId="0" fontId="0" fillId="11" borderId="0" xfId="0" applyFill="1" applyBorder="1"/>
    <xf numFmtId="14" fontId="0" fillId="11" borderId="41" xfId="0" applyNumberFormat="1" applyFill="1" applyBorder="1" applyAlignment="1">
      <alignment horizontal="center" vertical="center"/>
    </xf>
    <xf numFmtId="0" fontId="0" fillId="11" borderId="41" xfId="0" applyFill="1" applyBorder="1"/>
    <xf numFmtId="0" fontId="0" fillId="0" borderId="44" xfId="0" applyBorder="1" applyAlignment="1">
      <alignment horizontal="center" vertical="center" wrapText="1"/>
    </xf>
    <xf numFmtId="0" fontId="20" fillId="0" borderId="44" xfId="0" applyFont="1" applyBorder="1" applyAlignment="1">
      <alignment horizontal="center" vertical="center" wrapText="1"/>
    </xf>
    <xf numFmtId="0" fontId="0" fillId="0" borderId="45" xfId="0" applyBorder="1" applyAlignment="1">
      <alignment horizontal="center" vertical="center" wrapText="1"/>
    </xf>
    <xf numFmtId="0" fontId="9" fillId="0" borderId="44" xfId="0" applyFont="1" applyBorder="1" applyAlignment="1">
      <alignment horizontal="center" vertical="center" wrapText="1"/>
    </xf>
    <xf numFmtId="0" fontId="5" fillId="0" borderId="44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0" fillId="12" borderId="47" xfId="0" applyFill="1" applyBorder="1" applyAlignment="1">
      <alignment horizontal="center" vertical="center" wrapText="1"/>
    </xf>
    <xf numFmtId="0" fontId="0" fillId="12" borderId="48" xfId="0" applyFill="1" applyBorder="1" applyAlignment="1">
      <alignment horizontal="center" vertical="center" wrapText="1"/>
    </xf>
    <xf numFmtId="0" fontId="0" fillId="12" borderId="43" xfId="0" applyFill="1" applyBorder="1" applyAlignment="1">
      <alignment horizontal="center" vertical="center" wrapText="1"/>
    </xf>
    <xf numFmtId="0" fontId="8" fillId="12" borderId="47" xfId="0" applyNumberFormat="1" applyFont="1" applyFill="1" applyBorder="1" applyAlignment="1">
      <alignment horizontal="center" vertical="center" wrapText="1"/>
    </xf>
    <xf numFmtId="0" fontId="4" fillId="12" borderId="48" xfId="0" applyNumberFormat="1" applyFont="1" applyFill="1" applyBorder="1" applyAlignment="1">
      <alignment horizontal="center" vertical="center" wrapText="1"/>
    </xf>
    <xf numFmtId="2" fontId="8" fillId="12" borderId="48" xfId="0" applyNumberFormat="1" applyFont="1" applyFill="1" applyBorder="1" applyAlignment="1">
      <alignment horizontal="center" vertical="center" wrapText="1"/>
    </xf>
    <xf numFmtId="2" fontId="14" fillId="12" borderId="49" xfId="0" applyNumberFormat="1" applyFont="1" applyFill="1" applyBorder="1" applyAlignment="1">
      <alignment horizontal="center" vertical="center" wrapText="1"/>
    </xf>
    <xf numFmtId="0" fontId="0" fillId="11" borderId="50" xfId="0" applyFill="1" applyBorder="1" applyAlignment="1">
      <alignment horizontal="center" vertical="center" wrapText="1"/>
    </xf>
    <xf numFmtId="0" fontId="0" fillId="11" borderId="49" xfId="0" applyFill="1" applyBorder="1" applyAlignment="1">
      <alignment horizontal="center" vertical="center" wrapText="1"/>
    </xf>
    <xf numFmtId="0" fontId="0" fillId="11" borderId="47" xfId="0" applyNumberFormat="1" applyFill="1" applyBorder="1" applyAlignment="1">
      <alignment horizontal="center" vertical="center" wrapText="1"/>
    </xf>
    <xf numFmtId="0" fontId="0" fillId="11" borderId="48" xfId="0" applyFill="1" applyBorder="1" applyAlignment="1">
      <alignment horizontal="center" vertical="center" wrapText="1"/>
    </xf>
    <xf numFmtId="0" fontId="0" fillId="11" borderId="47" xfId="0" applyFill="1" applyBorder="1" applyAlignment="1">
      <alignment horizontal="center" vertical="center" wrapText="1"/>
    </xf>
    <xf numFmtId="0" fontId="8" fillId="11" borderId="47" xfId="0" applyNumberFormat="1" applyFont="1" applyFill="1" applyBorder="1" applyAlignment="1">
      <alignment horizontal="center" vertical="center" wrapText="1"/>
    </xf>
    <xf numFmtId="0" fontId="4" fillId="11" borderId="48" xfId="0" applyNumberFormat="1" applyFont="1" applyFill="1" applyBorder="1" applyAlignment="1">
      <alignment horizontal="center" vertical="center" wrapText="1"/>
    </xf>
    <xf numFmtId="2" fontId="8" fillId="11" borderId="48" xfId="0" applyNumberFormat="1" applyFont="1" applyFill="1" applyBorder="1" applyAlignment="1">
      <alignment horizontal="center" vertical="center" wrapText="1"/>
    </xf>
    <xf numFmtId="0" fontId="0" fillId="0" borderId="48" xfId="0" applyBorder="1" applyAlignment="1">
      <alignment horizontal="center" vertical="center" wrapText="1"/>
    </xf>
    <xf numFmtId="0" fontId="0" fillId="0" borderId="48" xfId="0" applyBorder="1" applyAlignment="1">
      <alignment wrapText="1"/>
    </xf>
    <xf numFmtId="14" fontId="43" fillId="0" borderId="0" xfId="0" applyNumberFormat="1" applyFont="1"/>
    <xf numFmtId="167" fontId="44" fillId="0" borderId="9" xfId="0" applyNumberFormat="1" applyFont="1" applyBorder="1" applyAlignment="1">
      <alignment horizontal="center"/>
    </xf>
    <xf numFmtId="0" fontId="45" fillId="0" borderId="9" xfId="0" applyFont="1" applyBorder="1" applyAlignment="1">
      <alignment horizontal="center" wrapText="1"/>
    </xf>
    <xf numFmtId="0" fontId="43" fillId="0" borderId="35" xfId="0" applyFont="1" applyBorder="1"/>
    <xf numFmtId="0" fontId="0" fillId="11" borderId="0" xfId="0" applyFill="1" applyBorder="1" applyAlignment="1">
      <alignment horizontal="center" vertical="center"/>
    </xf>
    <xf numFmtId="2" fontId="4" fillId="11" borderId="0" xfId="0" applyNumberFormat="1" applyFont="1" applyFill="1" applyBorder="1" applyAlignment="1">
      <alignment horizontal="center" vertical="center"/>
    </xf>
    <xf numFmtId="2" fontId="8" fillId="11" borderId="21" xfId="0" applyNumberFormat="1" applyFont="1" applyFill="1" applyBorder="1" applyAlignment="1">
      <alignment horizontal="center" vertical="center"/>
    </xf>
    <xf numFmtId="2" fontId="8" fillId="11" borderId="24" xfId="0" applyNumberFormat="1" applyFont="1" applyFill="1" applyBorder="1" applyAlignment="1">
      <alignment horizontal="center" vertical="center"/>
    </xf>
    <xf numFmtId="0" fontId="0" fillId="15" borderId="47" xfId="0" applyFill="1" applyBorder="1" applyAlignment="1">
      <alignment horizontal="center" vertical="center" wrapText="1"/>
    </xf>
    <xf numFmtId="0" fontId="0" fillId="15" borderId="48" xfId="0" applyFill="1" applyBorder="1" applyAlignment="1">
      <alignment horizontal="center" vertical="center" wrapText="1"/>
    </xf>
    <xf numFmtId="10" fontId="0" fillId="15" borderId="0" xfId="1" applyNumberFormat="1" applyFont="1" applyFill="1" applyAlignment="1">
      <alignment horizontal="center" vertical="center"/>
    </xf>
    <xf numFmtId="10" fontId="0" fillId="15" borderId="3" xfId="1" applyNumberFormat="1" applyFont="1" applyFill="1" applyBorder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0" fillId="15" borderId="3" xfId="0" applyFill="1" applyBorder="1" applyAlignment="1">
      <alignment horizontal="center" vertical="center"/>
    </xf>
    <xf numFmtId="0" fontId="0" fillId="15" borderId="0" xfId="0" applyFill="1"/>
    <xf numFmtId="0" fontId="0" fillId="15" borderId="3" xfId="0" applyFill="1" applyBorder="1"/>
    <xf numFmtId="0" fontId="0" fillId="0" borderId="3" xfId="0" applyFill="1" applyBorder="1"/>
    <xf numFmtId="0" fontId="0" fillId="16" borderId="47" xfId="0" applyFill="1" applyBorder="1" applyAlignment="1">
      <alignment horizontal="center" vertical="center" wrapText="1"/>
    </xf>
    <xf numFmtId="0" fontId="0" fillId="16" borderId="48" xfId="0" applyFill="1" applyBorder="1" applyAlignment="1">
      <alignment horizontal="center" vertical="center" wrapText="1"/>
    </xf>
    <xf numFmtId="0" fontId="8" fillId="16" borderId="47" xfId="0" applyNumberFormat="1" applyFont="1" applyFill="1" applyBorder="1" applyAlignment="1">
      <alignment horizontal="center" vertical="center" wrapText="1"/>
    </xf>
    <xf numFmtId="0" fontId="4" fillId="16" borderId="48" xfId="0" applyNumberFormat="1" applyFont="1" applyFill="1" applyBorder="1" applyAlignment="1">
      <alignment horizontal="center" vertical="center" wrapText="1"/>
    </xf>
    <xf numFmtId="2" fontId="8" fillId="16" borderId="48" xfId="0" applyNumberFormat="1" applyFont="1" applyFill="1" applyBorder="1" applyAlignment="1">
      <alignment horizontal="center" vertical="center" wrapText="1"/>
    </xf>
    <xf numFmtId="0" fontId="0" fillId="16" borderId="0" xfId="0" applyFill="1" applyAlignment="1">
      <alignment horizontal="center" vertical="center"/>
    </xf>
    <xf numFmtId="0" fontId="0" fillId="16" borderId="3" xfId="0" applyFill="1" applyBorder="1" applyAlignment="1">
      <alignment horizontal="center" vertical="center"/>
    </xf>
    <xf numFmtId="2" fontId="8" fillId="16" borderId="0" xfId="0" applyNumberFormat="1" applyFont="1" applyFill="1" applyAlignment="1">
      <alignment horizontal="center" vertical="center"/>
    </xf>
    <xf numFmtId="2" fontId="4" fillId="16" borderId="0" xfId="0" applyNumberFormat="1" applyFont="1" applyFill="1" applyAlignment="1">
      <alignment horizontal="center" vertical="center"/>
    </xf>
    <xf numFmtId="2" fontId="8" fillId="16" borderId="3" xfId="0" applyNumberFormat="1" applyFont="1" applyFill="1" applyBorder="1" applyAlignment="1">
      <alignment horizontal="center" vertical="center"/>
    </xf>
    <xf numFmtId="0" fontId="0" fillId="16" borderId="0" xfId="0" applyFill="1"/>
    <xf numFmtId="0" fontId="43" fillId="16" borderId="3" xfId="0" applyNumberFormat="1" applyFont="1" applyFill="1" applyBorder="1" applyAlignment="1">
      <alignment horizontal="center" vertical="center"/>
    </xf>
    <xf numFmtId="0" fontId="7" fillId="16" borderId="0" xfId="0" applyFont="1" applyFill="1" applyAlignment="1">
      <alignment horizontal="center" vertical="center"/>
    </xf>
    <xf numFmtId="0" fontId="7" fillId="16" borderId="11" xfId="0" applyFont="1" applyFill="1" applyBorder="1" applyAlignment="1">
      <alignment horizontal="center" vertical="center"/>
    </xf>
    <xf numFmtId="2" fontId="10" fillId="16" borderId="0" xfId="0" applyNumberFormat="1" applyFont="1" applyFill="1" applyAlignment="1">
      <alignment horizontal="center" vertical="center"/>
    </xf>
    <xf numFmtId="2" fontId="11" fillId="16" borderId="0" xfId="0" applyNumberFormat="1" applyFont="1" applyFill="1" applyAlignment="1">
      <alignment horizontal="center" vertical="center"/>
    </xf>
    <xf numFmtId="2" fontId="10" fillId="16" borderId="11" xfId="0" applyNumberFormat="1" applyFont="1" applyFill="1" applyBorder="1" applyAlignment="1">
      <alignment horizontal="center" vertical="center"/>
    </xf>
    <xf numFmtId="0" fontId="0" fillId="16" borderId="3" xfId="0" applyFill="1" applyBorder="1"/>
    <xf numFmtId="2" fontId="8" fillId="16" borderId="0" xfId="0" applyNumberFormat="1" applyFont="1" applyFill="1"/>
    <xf numFmtId="2" fontId="4" fillId="16" borderId="0" xfId="0" applyNumberFormat="1" applyFont="1" applyFill="1"/>
    <xf numFmtId="2" fontId="8" fillId="16" borderId="3" xfId="0" applyNumberFormat="1" applyFont="1" applyFill="1" applyBorder="1"/>
    <xf numFmtId="0" fontId="7" fillId="16" borderId="0" xfId="0" applyFont="1" applyFill="1" applyBorder="1" applyAlignment="1">
      <alignment horizontal="center" vertical="center"/>
    </xf>
    <xf numFmtId="0" fontId="7" fillId="16" borderId="0" xfId="0" applyNumberFormat="1" applyFont="1" applyFill="1" applyBorder="1" applyAlignment="1">
      <alignment horizontal="center" vertical="center"/>
    </xf>
    <xf numFmtId="2" fontId="10" fillId="16" borderId="0" xfId="0" applyNumberFormat="1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 wrapText="1"/>
    </xf>
    <xf numFmtId="0" fontId="44" fillId="0" borderId="9" xfId="0" applyFont="1" applyBorder="1" applyAlignment="1">
      <alignment horizontal="center" vertical="center" wrapText="1"/>
    </xf>
    <xf numFmtId="0" fontId="43" fillId="16" borderId="0" xfId="0" applyNumberFormat="1" applyFont="1" applyFill="1" applyBorder="1" applyAlignment="1">
      <alignment horizontal="center" vertical="center"/>
    </xf>
    <xf numFmtId="2" fontId="14" fillId="11" borderId="49" xfId="0" applyNumberFormat="1" applyFont="1" applyFill="1" applyBorder="1" applyAlignment="1">
      <alignment horizontal="center" vertical="center" wrapText="1"/>
    </xf>
    <xf numFmtId="0" fontId="0" fillId="16" borderId="21" xfId="0" applyFill="1" applyBorder="1"/>
    <xf numFmtId="0" fontId="0" fillId="16" borderId="51" xfId="0" applyFill="1" applyBorder="1" applyAlignment="1">
      <alignment horizontal="center" vertical="center" wrapText="1"/>
    </xf>
    <xf numFmtId="2" fontId="14" fillId="11" borderId="55" xfId="0" applyNumberFormat="1" applyFont="1" applyFill="1" applyBorder="1"/>
    <xf numFmtId="2" fontId="8" fillId="11" borderId="0" xfId="0" applyNumberFormat="1" applyFont="1" applyFill="1" applyBorder="1"/>
    <xf numFmtId="2" fontId="14" fillId="11" borderId="53" xfId="0" applyNumberFormat="1" applyFont="1" applyFill="1" applyBorder="1"/>
    <xf numFmtId="14" fontId="43" fillId="14" borderId="41" xfId="0" applyNumberFormat="1" applyFont="1" applyFill="1" applyBorder="1" applyAlignment="1">
      <alignment horizontal="center" vertical="center"/>
    </xf>
    <xf numFmtId="20" fontId="43" fillId="14" borderId="0" xfId="0" applyNumberFormat="1" applyFont="1" applyFill="1" applyBorder="1" applyAlignment="1">
      <alignment horizontal="center" vertical="center"/>
    </xf>
    <xf numFmtId="0" fontId="43" fillId="14" borderId="0" xfId="0" applyFont="1" applyFill="1" applyBorder="1" applyAlignment="1">
      <alignment horizontal="center" vertical="center"/>
    </xf>
    <xf numFmtId="0" fontId="43" fillId="14" borderId="0" xfId="0" applyFont="1" applyFill="1" applyAlignment="1">
      <alignment horizontal="center" vertical="center"/>
    </xf>
    <xf numFmtId="2" fontId="43" fillId="14" borderId="0" xfId="0" applyNumberFormat="1" applyFont="1" applyFill="1" applyAlignment="1">
      <alignment horizontal="center" vertical="center"/>
    </xf>
    <xf numFmtId="2" fontId="46" fillId="14" borderId="0" xfId="0" applyNumberFormat="1" applyFont="1" applyFill="1" applyAlignment="1">
      <alignment horizontal="center" vertical="center"/>
    </xf>
    <xf numFmtId="2" fontId="43" fillId="14" borderId="0" xfId="0" applyNumberFormat="1" applyFont="1" applyFill="1" applyBorder="1" applyAlignment="1">
      <alignment horizontal="center" vertical="center"/>
    </xf>
    <xf numFmtId="14" fontId="43" fillId="14" borderId="56" xfId="0" applyNumberFormat="1" applyFont="1" applyFill="1" applyBorder="1" applyAlignment="1">
      <alignment horizontal="center" vertical="center"/>
    </xf>
    <xf numFmtId="20" fontId="43" fillId="14" borderId="57" xfId="0" applyNumberFormat="1" applyFont="1" applyFill="1" applyBorder="1" applyAlignment="1">
      <alignment horizontal="center" vertical="center"/>
    </xf>
    <xf numFmtId="0" fontId="43" fillId="14" borderId="57" xfId="0" applyFont="1" applyFill="1" applyBorder="1" applyAlignment="1">
      <alignment horizontal="center" vertical="center"/>
    </xf>
    <xf numFmtId="2" fontId="43" fillId="14" borderId="57" xfId="0" applyNumberFormat="1" applyFont="1" applyFill="1" applyBorder="1" applyAlignment="1">
      <alignment horizontal="center" vertical="center"/>
    </xf>
    <xf numFmtId="2" fontId="46" fillId="14" borderId="57" xfId="0" applyNumberFormat="1" applyFont="1" applyFill="1" applyBorder="1" applyAlignment="1">
      <alignment horizontal="center" vertical="center"/>
    </xf>
    <xf numFmtId="2" fontId="43" fillId="14" borderId="58" xfId="0" applyNumberFormat="1" applyFont="1" applyFill="1" applyBorder="1" applyAlignment="1">
      <alignment horizontal="center" vertical="center"/>
    </xf>
    <xf numFmtId="0" fontId="7" fillId="11" borderId="24" xfId="0" applyFont="1" applyFill="1" applyBorder="1" applyAlignment="1">
      <alignment horizontal="center" vertical="center"/>
    </xf>
    <xf numFmtId="0" fontId="7" fillId="11" borderId="37" xfId="0" applyFont="1" applyFill="1" applyBorder="1" applyAlignment="1">
      <alignment horizontal="center" vertical="center"/>
    </xf>
    <xf numFmtId="0" fontId="43" fillId="14" borderId="59" xfId="0" applyFont="1" applyFill="1" applyBorder="1" applyAlignment="1">
      <alignment horizontal="center" vertical="center"/>
    </xf>
    <xf numFmtId="20" fontId="43" fillId="0" borderId="0" xfId="0" applyNumberFormat="1" applyFont="1" applyFill="1" applyBorder="1" applyAlignment="1">
      <alignment horizontal="center" vertical="center"/>
    </xf>
    <xf numFmtId="0" fontId="43" fillId="0" borderId="0" xfId="0" applyFont="1" applyFill="1" applyBorder="1" applyAlignment="1">
      <alignment horizontal="center" vertical="center"/>
    </xf>
    <xf numFmtId="10" fontId="0" fillId="15" borderId="0" xfId="1" applyNumberFormat="1" applyFont="1" applyFill="1" applyBorder="1" applyAlignment="1">
      <alignment horizontal="center" vertical="center"/>
    </xf>
    <xf numFmtId="0" fontId="14" fillId="16" borderId="39" xfId="0" applyFont="1" applyFill="1" applyBorder="1" applyAlignment="1">
      <alignment horizontal="center" vertical="center"/>
    </xf>
    <xf numFmtId="2" fontId="14" fillId="16" borderId="60" xfId="0" applyNumberFormat="1" applyFont="1" applyFill="1" applyBorder="1" applyAlignment="1">
      <alignment horizontal="center" vertical="center" wrapText="1"/>
    </xf>
    <xf numFmtId="2" fontId="14" fillId="16" borderId="24" xfId="0" applyNumberFormat="1" applyFont="1" applyFill="1" applyBorder="1" applyAlignment="1">
      <alignment horizontal="center" vertical="center"/>
    </xf>
    <xf numFmtId="2" fontId="14" fillId="14" borderId="24" xfId="0" applyNumberFormat="1" applyFont="1" applyFill="1" applyBorder="1" applyAlignment="1">
      <alignment horizontal="center" vertical="center"/>
    </xf>
    <xf numFmtId="2" fontId="14" fillId="16" borderId="24" xfId="0" applyNumberFormat="1" applyFont="1" applyFill="1" applyBorder="1"/>
    <xf numFmtId="0" fontId="0" fillId="16" borderId="61" xfId="0" applyFill="1" applyBorder="1" applyAlignment="1">
      <alignment horizontal="center" vertical="center" wrapText="1"/>
    </xf>
    <xf numFmtId="14" fontId="0" fillId="16" borderId="34" xfId="0" applyNumberFormat="1" applyFill="1" applyBorder="1" applyAlignment="1">
      <alignment horizontal="center" vertical="center"/>
    </xf>
    <xf numFmtId="0" fontId="0" fillId="16" borderId="34" xfId="0" applyFill="1" applyBorder="1"/>
    <xf numFmtId="14" fontId="7" fillId="16" borderId="34" xfId="0" applyNumberFormat="1" applyFont="1" applyFill="1" applyBorder="1" applyAlignment="1">
      <alignment horizontal="center" vertical="center"/>
    </xf>
    <xf numFmtId="0" fontId="7" fillId="16" borderId="34" xfId="0" applyFont="1" applyFill="1" applyBorder="1" applyAlignment="1">
      <alignment horizontal="center" vertical="center"/>
    </xf>
    <xf numFmtId="0" fontId="0" fillId="16" borderId="34" xfId="0" applyFill="1" applyBorder="1" applyAlignment="1">
      <alignment horizontal="center" vertical="center"/>
    </xf>
    <xf numFmtId="0" fontId="0" fillId="16" borderId="15" xfId="0" applyFill="1" applyBorder="1"/>
    <xf numFmtId="0" fontId="0" fillId="16" borderId="18" xfId="0" applyFill="1" applyBorder="1"/>
    <xf numFmtId="20" fontId="0" fillId="16" borderId="0" xfId="0" applyNumberFormat="1" applyFill="1" applyBorder="1" applyAlignment="1">
      <alignment horizontal="center" vertical="center"/>
    </xf>
    <xf numFmtId="0" fontId="0" fillId="16" borderId="0" xfId="0" applyNumberFormat="1" applyFill="1" applyBorder="1" applyAlignment="1">
      <alignment horizontal="center" vertical="center"/>
    </xf>
    <xf numFmtId="0" fontId="0" fillId="16" borderId="0" xfId="0" applyFill="1" applyBorder="1" applyAlignment="1">
      <alignment horizontal="center" vertical="center"/>
    </xf>
    <xf numFmtId="20" fontId="7" fillId="16" borderId="0" xfId="0" applyNumberFormat="1" applyFont="1" applyFill="1" applyBorder="1" applyAlignment="1">
      <alignment horizontal="center" vertical="center"/>
    </xf>
    <xf numFmtId="0" fontId="0" fillId="16" borderId="0" xfId="0" applyFill="1" applyBorder="1"/>
    <xf numFmtId="0" fontId="0" fillId="16" borderId="0" xfId="0" applyNumberFormat="1" applyFill="1" applyBorder="1"/>
    <xf numFmtId="0" fontId="0" fillId="16" borderId="62" xfId="0" applyFill="1" applyBorder="1" applyAlignment="1">
      <alignment horizontal="center" vertical="center" wrapText="1"/>
    </xf>
    <xf numFmtId="0" fontId="0" fillId="16" borderId="62" xfId="0" applyNumberFormat="1" applyFill="1" applyBorder="1" applyAlignment="1">
      <alignment horizontal="center" vertical="center" wrapText="1"/>
    </xf>
    <xf numFmtId="0" fontId="0" fillId="16" borderId="63" xfId="0" applyFill="1" applyBorder="1" applyAlignment="1">
      <alignment horizontal="center" vertical="center"/>
    </xf>
    <xf numFmtId="0" fontId="43" fillId="14" borderId="21" xfId="0" applyFont="1" applyFill="1" applyBorder="1" applyAlignment="1">
      <alignment horizontal="center" vertical="center"/>
    </xf>
    <xf numFmtId="0" fontId="7" fillId="16" borderId="64" xfId="0" applyFont="1" applyFill="1" applyBorder="1" applyAlignment="1">
      <alignment horizontal="center" vertical="center"/>
    </xf>
    <xf numFmtId="0" fontId="43" fillId="16" borderId="63" xfId="0" applyNumberFormat="1" applyFont="1" applyFill="1" applyBorder="1" applyAlignment="1">
      <alignment horizontal="center" vertical="center"/>
    </xf>
    <xf numFmtId="0" fontId="0" fillId="16" borderId="63" xfId="0" applyFill="1" applyBorder="1"/>
    <xf numFmtId="0" fontId="0" fillId="16" borderId="1" xfId="0" applyFill="1" applyBorder="1" applyAlignment="1">
      <alignment horizontal="center" vertical="center"/>
    </xf>
    <xf numFmtId="0" fontId="0" fillId="0" borderId="65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14" fontId="43" fillId="0" borderId="0" xfId="0" applyNumberFormat="1" applyFont="1" applyFill="1" applyBorder="1" applyAlignment="1">
      <alignment horizontal="center" vertical="center"/>
    </xf>
    <xf numFmtId="165" fontId="14" fillId="0" borderId="0" xfId="0" applyNumberFormat="1" applyFont="1" applyBorder="1"/>
    <xf numFmtId="0" fontId="0" fillId="0" borderId="53" xfId="0" applyBorder="1"/>
    <xf numFmtId="0" fontId="0" fillId="0" borderId="53" xfId="0" applyFill="1" applyBorder="1"/>
    <xf numFmtId="0" fontId="0" fillId="0" borderId="54" xfId="0" applyFill="1" applyBorder="1"/>
    <xf numFmtId="0" fontId="0" fillId="0" borderId="40" xfId="0" applyBorder="1"/>
    <xf numFmtId="165" fontId="14" fillId="0" borderId="34" xfId="0" applyNumberFormat="1" applyFont="1" applyBorder="1"/>
    <xf numFmtId="0" fontId="43" fillId="11" borderId="24" xfId="6" applyNumberFormat="1" applyFont="1" applyFill="1" applyBorder="1" applyAlignment="1">
      <alignment wrapText="1"/>
    </xf>
    <xf numFmtId="0" fontId="43" fillId="10" borderId="24" xfId="6" applyNumberFormat="1" applyFont="1" applyFill="1" applyBorder="1" applyAlignment="1">
      <alignment wrapText="1"/>
    </xf>
    <xf numFmtId="0" fontId="47" fillId="0" borderId="0" xfId="0" applyFont="1"/>
    <xf numFmtId="0" fontId="6" fillId="8" borderId="66" xfId="0" applyFont="1" applyFill="1" applyBorder="1"/>
    <xf numFmtId="0" fontId="42" fillId="0" borderId="0" xfId="0" applyFont="1" applyFill="1" applyAlignment="1"/>
    <xf numFmtId="0" fontId="0" fillId="0" borderId="13" xfId="0" applyFill="1" applyBorder="1"/>
    <xf numFmtId="0" fontId="42" fillId="0" borderId="34" xfId="0" applyFont="1" applyBorder="1" applyAlignment="1"/>
    <xf numFmtId="14" fontId="0" fillId="15" borderId="34" xfId="0" applyNumberFormat="1" applyFill="1" applyBorder="1"/>
    <xf numFmtId="0" fontId="20" fillId="0" borderId="3" xfId="0" applyFont="1" applyFill="1" applyBorder="1"/>
    <xf numFmtId="0" fontId="0" fillId="15" borderId="12" xfId="0" applyFill="1" applyBorder="1"/>
    <xf numFmtId="0" fontId="48" fillId="15" borderId="67" xfId="0" applyFont="1" applyFill="1" applyBorder="1"/>
    <xf numFmtId="20" fontId="48" fillId="15" borderId="68" xfId="0" applyNumberFormat="1" applyFont="1" applyFill="1" applyBorder="1"/>
    <xf numFmtId="0" fontId="0" fillId="15" borderId="69" xfId="0" applyFill="1" applyBorder="1"/>
    <xf numFmtId="20" fontId="0" fillId="15" borderId="70" xfId="0" applyNumberFormat="1" applyFill="1" applyBorder="1"/>
    <xf numFmtId="21" fontId="0" fillId="0" borderId="0" xfId="0" applyNumberFormat="1" applyBorder="1"/>
    <xf numFmtId="0" fontId="0" fillId="0" borderId="71" xfId="0" applyBorder="1"/>
    <xf numFmtId="21" fontId="0" fillId="15" borderId="14" xfId="0" applyNumberFormat="1" applyFill="1" applyBorder="1"/>
    <xf numFmtId="0" fontId="0" fillId="0" borderId="72" xfId="0" applyBorder="1" applyAlignment="1">
      <alignment wrapText="1"/>
    </xf>
    <xf numFmtId="0" fontId="0" fillId="0" borderId="47" xfId="0" applyBorder="1" applyAlignment="1">
      <alignment wrapText="1"/>
    </xf>
    <xf numFmtId="0" fontId="0" fillId="17" borderId="52" xfId="0" applyFill="1" applyBorder="1" applyAlignment="1">
      <alignment wrapText="1"/>
    </xf>
    <xf numFmtId="21" fontId="0" fillId="17" borderId="54" xfId="0" applyNumberFormat="1" applyFill="1" applyBorder="1"/>
    <xf numFmtId="20" fontId="0" fillId="12" borderId="0" xfId="0" applyNumberFormat="1" applyFill="1" applyBorder="1" applyAlignment="1">
      <alignment horizontal="center" vertical="center"/>
    </xf>
    <xf numFmtId="20" fontId="43" fillId="12" borderId="0" xfId="0" applyNumberFormat="1" applyFont="1" applyFill="1" applyBorder="1" applyAlignment="1">
      <alignment horizontal="center" vertical="center"/>
    </xf>
    <xf numFmtId="0" fontId="0" fillId="12" borderId="44" xfId="0" applyFill="1" applyBorder="1" applyAlignment="1">
      <alignment horizontal="center" vertical="center" wrapText="1"/>
    </xf>
    <xf numFmtId="0" fontId="0" fillId="11" borderId="60" xfId="0" applyFill="1" applyBorder="1" applyAlignment="1">
      <alignment horizontal="center" vertical="center" wrapText="1"/>
    </xf>
    <xf numFmtId="20" fontId="0" fillId="11" borderId="24" xfId="0" applyNumberFormat="1" applyFill="1" applyBorder="1" applyAlignment="1">
      <alignment horizontal="center" vertical="center"/>
    </xf>
    <xf numFmtId="20" fontId="0" fillId="14" borderId="24" xfId="0" applyNumberFormat="1" applyFill="1" applyBorder="1" applyAlignment="1">
      <alignment horizontal="center" vertical="center"/>
    </xf>
    <xf numFmtId="0" fontId="0" fillId="11" borderId="24" xfId="0" applyFill="1" applyBorder="1"/>
    <xf numFmtId="0" fontId="0" fillId="0" borderId="21" xfId="0" applyBorder="1"/>
    <xf numFmtId="0" fontId="21" fillId="0" borderId="16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8" borderId="13" xfId="0" applyFill="1" applyBorder="1" applyAlignment="1">
      <alignment horizontal="center"/>
    </xf>
    <xf numFmtId="0" fontId="49" fillId="0" borderId="75" xfId="0" applyFont="1" applyBorder="1"/>
    <xf numFmtId="0" fontId="49" fillId="0" borderId="54" xfId="0" applyFont="1" applyBorder="1"/>
    <xf numFmtId="0" fontId="0" fillId="0" borderId="37" xfId="0" applyBorder="1"/>
    <xf numFmtId="0" fontId="14" fillId="0" borderId="21" xfId="0" applyFont="1" applyBorder="1" applyAlignment="1">
      <alignment horizontal="center"/>
    </xf>
    <xf numFmtId="0" fontId="14" fillId="0" borderId="76" xfId="0" applyFont="1" applyBorder="1"/>
    <xf numFmtId="0" fontId="14" fillId="0" borderId="21" xfId="0" applyFont="1" applyBorder="1"/>
    <xf numFmtId="0" fontId="0" fillId="0" borderId="77" xfId="0" applyBorder="1"/>
    <xf numFmtId="14" fontId="0" fillId="0" borderId="77" xfId="0" applyNumberFormat="1" applyBorder="1"/>
    <xf numFmtId="20" fontId="0" fillId="0" borderId="78" xfId="0" applyNumberFormat="1" applyBorder="1" applyAlignment="1">
      <alignment horizontal="center" vertical="center"/>
    </xf>
    <xf numFmtId="0" fontId="6" fillId="8" borderId="79" xfId="0" applyFont="1" applyFill="1" applyBorder="1"/>
    <xf numFmtId="0" fontId="6" fillId="0" borderId="77" xfId="0" applyFont="1" applyBorder="1"/>
    <xf numFmtId="0" fontId="4" fillId="0" borderId="77" xfId="0" applyFont="1" applyBorder="1"/>
    <xf numFmtId="0" fontId="14" fillId="0" borderId="80" xfId="0" applyFont="1" applyBorder="1"/>
    <xf numFmtId="165" fontId="20" fillId="7" borderId="77" xfId="0" applyNumberFormat="1" applyFont="1" applyFill="1" applyBorder="1"/>
    <xf numFmtId="165" fontId="18" fillId="7" borderId="77" xfId="0" applyNumberFormat="1" applyFont="1" applyFill="1" applyBorder="1" applyAlignment="1">
      <alignment horizontal="center"/>
    </xf>
    <xf numFmtId="165" fontId="20" fillId="7" borderId="81" xfId="0" applyNumberFormat="1" applyFont="1" applyFill="1" applyBorder="1"/>
    <xf numFmtId="165" fontId="19" fillId="7" borderId="77" xfId="0" applyNumberFormat="1" applyFont="1" applyFill="1" applyBorder="1"/>
    <xf numFmtId="0" fontId="0" fillId="0" borderId="82" xfId="0" applyBorder="1"/>
    <xf numFmtId="20" fontId="0" fillId="0" borderId="83" xfId="0" applyNumberFormat="1" applyBorder="1" applyAlignment="1">
      <alignment horizontal="center" vertical="center"/>
    </xf>
    <xf numFmtId="0" fontId="0" fillId="0" borderId="78" xfId="0" applyBorder="1"/>
    <xf numFmtId="21" fontId="0" fillId="8" borderId="53" xfId="0" applyNumberFormat="1" applyFill="1" applyBorder="1"/>
    <xf numFmtId="21" fontId="0" fillId="10" borderId="26" xfId="0" applyNumberFormat="1" applyFill="1" applyBorder="1"/>
    <xf numFmtId="165" fontId="20" fillId="7" borderId="0" xfId="0" applyNumberFormat="1" applyFont="1" applyFill="1" applyBorder="1"/>
    <xf numFmtId="0" fontId="6" fillId="8" borderId="74" xfId="0" applyFont="1" applyFill="1" applyBorder="1"/>
    <xf numFmtId="0" fontId="0" fillId="8" borderId="84" xfId="0" applyFill="1" applyBorder="1" applyAlignment="1">
      <alignment horizontal="center"/>
    </xf>
    <xf numFmtId="0" fontId="6" fillId="8" borderId="84" xfId="0" applyFont="1" applyFill="1" applyBorder="1"/>
    <xf numFmtId="0" fontId="6" fillId="8" borderId="85" xfId="0" applyFont="1" applyFill="1" applyBorder="1"/>
    <xf numFmtId="0" fontId="6" fillId="8" borderId="32" xfId="0" applyFont="1" applyFill="1" applyBorder="1"/>
    <xf numFmtId="0" fontId="6" fillId="8" borderId="27" xfId="0" applyFont="1" applyFill="1" applyBorder="1"/>
    <xf numFmtId="0" fontId="0" fillId="0" borderId="86" xfId="0" applyBorder="1"/>
    <xf numFmtId="0" fontId="0" fillId="0" borderId="87" xfId="0" applyBorder="1"/>
    <xf numFmtId="0" fontId="0" fillId="0" borderId="81" xfId="0" applyBorder="1"/>
    <xf numFmtId="0" fontId="0" fillId="0" borderId="88" xfId="0" applyBorder="1"/>
    <xf numFmtId="0" fontId="0" fillId="0" borderId="86" xfId="0" applyFill="1" applyBorder="1"/>
    <xf numFmtId="0" fontId="6" fillId="0" borderId="0" xfId="0" applyFont="1" applyFill="1" applyBorder="1"/>
    <xf numFmtId="165" fontId="20" fillId="0" borderId="0" xfId="0" applyNumberFormat="1" applyFont="1" applyFill="1" applyBorder="1"/>
    <xf numFmtId="167" fontId="0" fillId="0" borderId="0" xfId="0" applyNumberFormat="1" applyFill="1" applyBorder="1"/>
    <xf numFmtId="14" fontId="0" fillId="0" borderId="0" xfId="0" applyNumberFormat="1" applyFill="1" applyBorder="1"/>
    <xf numFmtId="20" fontId="0" fillId="0" borderId="0" xfId="0" applyNumberFormat="1" applyFill="1" applyBorder="1" applyAlignment="1">
      <alignment horizontal="center" vertical="center"/>
    </xf>
    <xf numFmtId="0" fontId="4" fillId="0" borderId="0" xfId="0" applyFont="1" applyFill="1" applyBorder="1"/>
    <xf numFmtId="0" fontId="14" fillId="0" borderId="0" xfId="0" applyFont="1" applyFill="1" applyBorder="1"/>
    <xf numFmtId="165" fontId="18" fillId="0" borderId="0" xfId="0" applyNumberFormat="1" applyFont="1" applyFill="1" applyBorder="1" applyAlignment="1">
      <alignment horizontal="center"/>
    </xf>
    <xf numFmtId="165" fontId="19" fillId="0" borderId="0" xfId="0" applyNumberFormat="1" applyFont="1" applyFill="1" applyBorder="1"/>
    <xf numFmtId="165" fontId="0" fillId="0" borderId="0" xfId="0" applyNumberFormat="1" applyFill="1" applyBorder="1"/>
    <xf numFmtId="0" fontId="0" fillId="0" borderId="29" xfId="0" applyBorder="1"/>
    <xf numFmtId="20" fontId="0" fillId="0" borderId="89" xfId="0" applyNumberFormat="1" applyBorder="1" applyAlignment="1">
      <alignment horizontal="center" vertical="center"/>
    </xf>
    <xf numFmtId="0" fontId="14" fillId="0" borderId="30" xfId="0" applyFont="1" applyBorder="1" applyAlignment="1">
      <alignment horizontal="center"/>
    </xf>
    <xf numFmtId="0" fontId="0" fillId="0" borderId="30" xfId="0" applyBorder="1"/>
    <xf numFmtId="0" fontId="6" fillId="0" borderId="8" xfId="0" applyFont="1" applyBorder="1"/>
    <xf numFmtId="0" fontId="4" fillId="0" borderId="91" xfId="0" applyFont="1" applyBorder="1"/>
    <xf numFmtId="0" fontId="6" fillId="0" borderId="7" xfId="0" applyFont="1" applyBorder="1"/>
    <xf numFmtId="14" fontId="0" fillId="0" borderId="29" xfId="0" applyNumberFormat="1" applyBorder="1"/>
    <xf numFmtId="0" fontId="6" fillId="0" borderId="29" xfId="0" applyFont="1" applyBorder="1"/>
    <xf numFmtId="0" fontId="4" fillId="0" borderId="29" xfId="0" applyFont="1" applyBorder="1"/>
    <xf numFmtId="0" fontId="14" fillId="0" borderId="30" xfId="0" applyFont="1" applyBorder="1"/>
    <xf numFmtId="165" fontId="20" fillId="7" borderId="29" xfId="0" applyNumberFormat="1" applyFont="1" applyFill="1" applyBorder="1"/>
    <xf numFmtId="165" fontId="18" fillId="7" borderId="29" xfId="0" applyNumberFormat="1" applyFont="1" applyFill="1" applyBorder="1" applyAlignment="1">
      <alignment horizontal="center"/>
    </xf>
    <xf numFmtId="165" fontId="20" fillId="7" borderId="27" xfId="0" applyNumberFormat="1" applyFont="1" applyFill="1" applyBorder="1"/>
    <xf numFmtId="165" fontId="19" fillId="7" borderId="29" xfId="0" applyNumberFormat="1" applyFont="1" applyFill="1" applyBorder="1"/>
    <xf numFmtId="0" fontId="0" fillId="0" borderId="52" xfId="0" applyBorder="1"/>
    <xf numFmtId="0" fontId="0" fillId="0" borderId="62" xfId="0" applyBorder="1" applyAlignment="1"/>
    <xf numFmtId="0" fontId="0" fillId="0" borderId="92" xfId="0" applyBorder="1"/>
    <xf numFmtId="0" fontId="0" fillId="0" borderId="93" xfId="0" applyBorder="1"/>
    <xf numFmtId="0" fontId="0" fillId="0" borderId="94" xfId="0" applyBorder="1"/>
    <xf numFmtId="0" fontId="21" fillId="0" borderId="0" xfId="0" applyFont="1" applyFill="1" applyBorder="1" applyAlignment="1">
      <alignment horizontal="center"/>
    </xf>
    <xf numFmtId="0" fontId="0" fillId="0" borderId="54" xfId="0" applyBorder="1"/>
    <xf numFmtId="0" fontId="0" fillId="0" borderId="52" xfId="0" applyBorder="1" applyAlignment="1">
      <alignment horizontal="center"/>
    </xf>
    <xf numFmtId="165" fontId="20" fillId="0" borderId="0" xfId="0" applyNumberFormat="1" applyFont="1" applyBorder="1"/>
    <xf numFmtId="0" fontId="39" fillId="0" borderId="27" xfId="0" applyFont="1" applyBorder="1"/>
    <xf numFmtId="0" fontId="39" fillId="0" borderId="24" xfId="0" applyFont="1" applyBorder="1"/>
    <xf numFmtId="0" fontId="39" fillId="0" borderId="81" xfId="0" applyFont="1" applyBorder="1"/>
    <xf numFmtId="0" fontId="14" fillId="0" borderId="53" xfId="0" applyFont="1" applyBorder="1"/>
    <xf numFmtId="0" fontId="14" fillId="0" borderId="54" xfId="0" applyFont="1" applyBorder="1"/>
    <xf numFmtId="165" fontId="20" fillId="0" borderId="19" xfId="0" applyNumberFormat="1" applyFont="1" applyBorder="1"/>
    <xf numFmtId="0" fontId="3" fillId="0" borderId="3" xfId="5" applyFill="1" applyBorder="1" applyAlignment="1">
      <alignment wrapText="1"/>
    </xf>
    <xf numFmtId="14" fontId="3" fillId="0" borderId="3" xfId="5" applyNumberFormat="1" applyFill="1" applyBorder="1" applyAlignment="1">
      <alignment wrapText="1"/>
    </xf>
    <xf numFmtId="167" fontId="3" fillId="0" borderId="3" xfId="5" applyNumberFormat="1" applyFill="1" applyBorder="1" applyAlignment="1">
      <alignment wrapText="1"/>
    </xf>
    <xf numFmtId="2" fontId="24" fillId="0" borderId="0" xfId="5" applyNumberFormat="1" applyFont="1" applyFill="1" applyBorder="1" applyAlignment="1">
      <alignment horizontal="center" vertical="center" wrapText="1"/>
    </xf>
    <xf numFmtId="2" fontId="3" fillId="0" borderId="0" xfId="5" applyNumberFormat="1" applyFill="1" applyBorder="1"/>
    <xf numFmtId="0" fontId="3" fillId="0" borderId="24" xfId="5" applyFill="1" applyBorder="1"/>
    <xf numFmtId="0" fontId="3" fillId="0" borderId="0" xfId="5" applyFill="1"/>
    <xf numFmtId="2" fontId="3" fillId="0" borderId="0" xfId="5" applyNumberFormat="1" applyFill="1"/>
    <xf numFmtId="2" fontId="14" fillId="0" borderId="0" xfId="5" applyNumberFormat="1" applyFont="1" applyFill="1"/>
    <xf numFmtId="2" fontId="0" fillId="0" borderId="0" xfId="5" applyNumberFormat="1" applyFont="1" applyFill="1"/>
    <xf numFmtId="2" fontId="27" fillId="0" borderId="34" xfId="5" applyNumberFormat="1" applyFont="1" applyFill="1" applyBorder="1"/>
    <xf numFmtId="2" fontId="27" fillId="0" borderId="35" xfId="5" applyNumberFormat="1" applyFont="1" applyFill="1" applyBorder="1"/>
    <xf numFmtId="168" fontId="30" fillId="0" borderId="34" xfId="5" applyNumberFormat="1" applyFont="1" applyFill="1" applyBorder="1"/>
    <xf numFmtId="168" fontId="30" fillId="0" borderId="0" xfId="5" applyNumberFormat="1" applyFont="1" applyFill="1" applyBorder="1"/>
    <xf numFmtId="9" fontId="30" fillId="0" borderId="35" xfId="1" applyFont="1" applyFill="1" applyBorder="1"/>
    <xf numFmtId="0" fontId="14" fillId="0" borderId="0" xfId="5" applyFont="1" applyFill="1"/>
    <xf numFmtId="0" fontId="3" fillId="0" borderId="0" xfId="4" applyFill="1"/>
    <xf numFmtId="0" fontId="3" fillId="0" borderId="24" xfId="4" applyFill="1" applyBorder="1"/>
    <xf numFmtId="0" fontId="14" fillId="0" borderId="0" xfId="4" applyFont="1" applyFill="1"/>
    <xf numFmtId="0" fontId="3" fillId="0" borderId="0" xfId="6" applyFill="1"/>
    <xf numFmtId="0" fontId="3" fillId="0" borderId="24" xfId="6" applyFill="1" applyBorder="1"/>
    <xf numFmtId="0" fontId="14" fillId="0" borderId="0" xfId="6" applyFont="1" applyFill="1"/>
    <xf numFmtId="2" fontId="3" fillId="0" borderId="0" xfId="6" applyNumberFormat="1" applyFill="1"/>
    <xf numFmtId="0" fontId="3" fillId="0" borderId="0" xfId="7" applyFill="1"/>
    <xf numFmtId="0" fontId="3" fillId="0" borderId="24" xfId="7" applyFill="1" applyBorder="1"/>
    <xf numFmtId="0" fontId="14" fillId="0" borderId="0" xfId="7" applyFont="1" applyFill="1"/>
    <xf numFmtId="0" fontId="3" fillId="0" borderId="0" xfId="8" applyFill="1"/>
    <xf numFmtId="0" fontId="3" fillId="0" borderId="24" xfId="8" applyFill="1" applyBorder="1"/>
    <xf numFmtId="0" fontId="14" fillId="0" borderId="0" xfId="8" applyFont="1" applyFill="1"/>
    <xf numFmtId="168" fontId="3" fillId="0" borderId="0" xfId="6" applyNumberFormat="1" applyFill="1"/>
    <xf numFmtId="0" fontId="13" fillId="0" borderId="95" xfId="3" applyBorder="1" applyAlignment="1">
      <alignment wrapText="1"/>
    </xf>
    <xf numFmtId="0" fontId="13" fillId="0" borderId="23" xfId="3" applyBorder="1" applyAlignment="1">
      <alignment wrapText="1"/>
    </xf>
    <xf numFmtId="0" fontId="3" fillId="0" borderId="0" xfId="5" applyNumberFormat="1" applyFill="1" applyBorder="1" applyAlignment="1">
      <alignment wrapText="1"/>
    </xf>
    <xf numFmtId="0" fontId="12" fillId="0" borderId="18" xfId="2" applyBorder="1" applyAlignment="1">
      <alignment horizontal="center"/>
    </xf>
    <xf numFmtId="0" fontId="0" fillId="0" borderId="96" xfId="0" applyFont="1" applyBorder="1"/>
    <xf numFmtId="167" fontId="3" fillId="12" borderId="96" xfId="5" applyNumberFormat="1" applyFill="1" applyBorder="1" applyAlignment="1">
      <alignment wrapText="1"/>
    </xf>
    <xf numFmtId="14" fontId="3" fillId="12" borderId="3" xfId="5" applyNumberFormat="1" applyFill="1" applyBorder="1" applyAlignment="1">
      <alignment wrapText="1"/>
    </xf>
    <xf numFmtId="167" fontId="3" fillId="12" borderId="3" xfId="5" applyNumberFormat="1" applyFill="1" applyBorder="1" applyAlignment="1">
      <alignment wrapText="1"/>
    </xf>
    <xf numFmtId="1" fontId="3" fillId="12" borderId="3" xfId="5" applyNumberFormat="1" applyFill="1" applyBorder="1" applyAlignment="1">
      <alignment wrapText="1"/>
    </xf>
    <xf numFmtId="2" fontId="0" fillId="12" borderId="3" xfId="5" applyNumberFormat="1" applyFont="1" applyFill="1" applyBorder="1" applyAlignment="1">
      <alignment wrapText="1"/>
    </xf>
    <xf numFmtId="2" fontId="24" fillId="12" borderId="3" xfId="5" applyNumberFormat="1" applyFont="1" applyFill="1" applyBorder="1" applyAlignment="1">
      <alignment horizontal="center" vertical="center" wrapText="1"/>
    </xf>
    <xf numFmtId="2" fontId="0" fillId="0" borderId="24" xfId="0" applyNumberFormat="1" applyFont="1" applyFill="1" applyBorder="1"/>
    <xf numFmtId="2" fontId="50" fillId="10" borderId="97" xfId="3" applyNumberFormat="1" applyFont="1" applyFill="1" applyBorder="1" applyAlignment="1">
      <alignment wrapText="1"/>
    </xf>
    <xf numFmtId="2" fontId="20" fillId="10" borderId="21" xfId="5" applyNumberFormat="1" applyFont="1" applyFill="1" applyBorder="1"/>
    <xf numFmtId="2" fontId="20" fillId="10" borderId="21" xfId="0" applyNumberFormat="1" applyFont="1" applyFill="1" applyBorder="1"/>
    <xf numFmtId="0" fontId="13" fillId="13" borderId="23" xfId="3" applyFill="1" applyAlignment="1">
      <alignment wrapText="1"/>
    </xf>
    <xf numFmtId="0" fontId="3" fillId="13" borderId="0" xfId="5" applyFill="1"/>
    <xf numFmtId="0" fontId="0" fillId="13" borderId="0" xfId="5" applyFont="1" applyFill="1"/>
    <xf numFmtId="0" fontId="3" fillId="13" borderId="0" xfId="4" applyFill="1"/>
    <xf numFmtId="0" fontId="3" fillId="13" borderId="0" xfId="6" applyFill="1"/>
    <xf numFmtId="0" fontId="3" fillId="13" borderId="0" xfId="7" applyFill="1"/>
    <xf numFmtId="0" fontId="3" fillId="13" borderId="0" xfId="8" applyFill="1"/>
    <xf numFmtId="168" fontId="3" fillId="13" borderId="0" xfId="6" applyNumberFormat="1" applyFill="1"/>
    <xf numFmtId="0" fontId="0" fillId="13" borderId="0" xfId="0" applyFont="1" applyFill="1"/>
    <xf numFmtId="0" fontId="29" fillId="13" borderId="23" xfId="3" applyFont="1" applyFill="1" applyAlignment="1">
      <alignment wrapText="1"/>
    </xf>
    <xf numFmtId="0" fontId="13" fillId="0" borderId="13" xfId="3" applyFill="1" applyBorder="1" applyAlignment="1">
      <alignment wrapText="1"/>
    </xf>
    <xf numFmtId="0" fontId="12" fillId="0" borderId="22" xfId="2" applyNumberFormat="1" applyBorder="1" applyAlignment="1">
      <alignment horizontal="center"/>
    </xf>
    <xf numFmtId="0" fontId="0" fillId="0" borderId="0" xfId="0" applyNumberFormat="1" applyFont="1" applyBorder="1"/>
    <xf numFmtId="0" fontId="3" fillId="0" borderId="0" xfId="5" applyFill="1" applyBorder="1"/>
    <xf numFmtId="0" fontId="12" fillId="0" borderId="19" xfId="2" applyBorder="1"/>
    <xf numFmtId="0" fontId="13" fillId="0" borderId="19" xfId="3" applyBorder="1" applyAlignment="1">
      <alignment wrapText="1"/>
    </xf>
    <xf numFmtId="2" fontId="28" fillId="0" borderId="18" xfId="2" applyNumberFormat="1" applyFont="1" applyBorder="1"/>
    <xf numFmtId="2" fontId="29" fillId="0" borderId="18" xfId="3" applyNumberFormat="1" applyFont="1" applyBorder="1" applyAlignment="1">
      <alignment wrapText="1"/>
    </xf>
    <xf numFmtId="2" fontId="14" fillId="0" borderId="34" xfId="5" applyNumberFormat="1" applyFont="1" applyFill="1" applyBorder="1"/>
    <xf numFmtId="2" fontId="14" fillId="0" borderId="34" xfId="0" applyNumberFormat="1" applyFont="1" applyBorder="1"/>
    <xf numFmtId="2" fontId="13" fillId="10" borderId="13" xfId="3" applyNumberFormat="1" applyFill="1" applyBorder="1" applyAlignment="1">
      <alignment wrapText="1"/>
    </xf>
    <xf numFmtId="2" fontId="3" fillId="10" borderId="0" xfId="5" applyNumberFormat="1" applyFill="1"/>
    <xf numFmtId="2" fontId="0" fillId="10" borderId="0" xfId="0" applyNumberFormat="1" applyFont="1" applyFill="1"/>
    <xf numFmtId="2" fontId="33" fillId="0" borderId="0" xfId="5" applyNumberFormat="1" applyFont="1" applyFill="1"/>
    <xf numFmtId="165" fontId="0" fillId="0" borderId="0" xfId="5" applyNumberFormat="1" applyFont="1" applyFill="1"/>
    <xf numFmtId="2" fontId="35" fillId="0" borderId="34" xfId="5" applyNumberFormat="1" applyFont="1" applyFill="1" applyBorder="1"/>
    <xf numFmtId="0" fontId="26" fillId="10" borderId="12" xfId="3" applyFont="1" applyFill="1" applyBorder="1" applyAlignment="1">
      <alignment wrapText="1"/>
    </xf>
    <xf numFmtId="0" fontId="26" fillId="10" borderId="14" xfId="3" applyFont="1" applyFill="1" applyBorder="1" applyAlignment="1">
      <alignment wrapText="1"/>
    </xf>
    <xf numFmtId="2" fontId="27" fillId="10" borderId="34" xfId="5" applyNumberFormat="1" applyFont="1" applyFill="1" applyBorder="1"/>
    <xf numFmtId="2" fontId="27" fillId="10" borderId="35" xfId="5" applyNumberFormat="1" applyFont="1" applyFill="1" applyBorder="1"/>
    <xf numFmtId="0" fontId="27" fillId="10" borderId="34" xfId="0" applyFont="1" applyFill="1" applyBorder="1"/>
    <xf numFmtId="0" fontId="27" fillId="10" borderId="35" xfId="0" applyFont="1" applyFill="1" applyBorder="1"/>
    <xf numFmtId="2" fontId="13" fillId="0" borderId="23" xfId="3" applyNumberFormat="1" applyBorder="1" applyAlignment="1">
      <alignment wrapText="1"/>
    </xf>
    <xf numFmtId="2" fontId="3" fillId="0" borderId="0" xfId="5" applyNumberFormat="1" applyFill="1" applyBorder="1" applyAlignment="1">
      <alignment wrapText="1"/>
    </xf>
    <xf numFmtId="0" fontId="12" fillId="11" borderId="18" xfId="2" applyFill="1" applyBorder="1" applyAlignment="1">
      <alignment horizontal="center"/>
    </xf>
    <xf numFmtId="0" fontId="13" fillId="11" borderId="95" xfId="3" applyFill="1" applyBorder="1" applyAlignment="1">
      <alignment wrapText="1"/>
    </xf>
    <xf numFmtId="0" fontId="13" fillId="11" borderId="23" xfId="3" applyFill="1" applyAlignment="1">
      <alignment wrapText="1"/>
    </xf>
    <xf numFmtId="1" fontId="13" fillId="11" borderId="23" xfId="3" applyNumberFormat="1" applyFill="1" applyAlignment="1">
      <alignment wrapText="1"/>
    </xf>
    <xf numFmtId="14" fontId="13" fillId="11" borderId="23" xfId="3" applyNumberFormat="1" applyFill="1" applyAlignment="1">
      <alignment wrapText="1"/>
    </xf>
    <xf numFmtId="2" fontId="13" fillId="11" borderId="23" xfId="3" applyNumberFormat="1" applyFill="1" applyAlignment="1">
      <alignment wrapText="1"/>
    </xf>
    <xf numFmtId="2" fontId="23" fillId="11" borderId="23" xfId="3" applyNumberFormat="1" applyFont="1" applyFill="1" applyAlignment="1">
      <alignment horizontal="center" vertical="center" wrapText="1"/>
    </xf>
    <xf numFmtId="2" fontId="23" fillId="11" borderId="36" xfId="3" applyNumberFormat="1" applyFont="1" applyFill="1" applyBorder="1" applyAlignment="1">
      <alignment horizontal="center" vertical="center" wrapText="1"/>
    </xf>
    <xf numFmtId="0" fontId="3" fillId="11" borderId="96" xfId="5" applyNumberFormat="1" applyFill="1" applyBorder="1" applyAlignment="1">
      <alignment wrapText="1"/>
    </xf>
    <xf numFmtId="14" fontId="3" fillId="11" borderId="3" xfId="5" applyNumberFormat="1" applyFill="1" applyBorder="1" applyAlignment="1">
      <alignment wrapText="1"/>
    </xf>
    <xf numFmtId="167" fontId="3" fillId="11" borderId="3" xfId="5" applyNumberFormat="1" applyFill="1" applyBorder="1" applyAlignment="1">
      <alignment wrapText="1"/>
    </xf>
    <xf numFmtId="1" fontId="3" fillId="11" borderId="3" xfId="5" applyNumberFormat="1" applyFill="1" applyBorder="1" applyAlignment="1">
      <alignment wrapText="1"/>
    </xf>
    <xf numFmtId="14" fontId="0" fillId="11" borderId="3" xfId="5" applyNumberFormat="1" applyFont="1" applyFill="1" applyBorder="1" applyAlignment="1">
      <alignment wrapText="1"/>
    </xf>
    <xf numFmtId="2" fontId="0" fillId="11" borderId="3" xfId="5" applyNumberFormat="1" applyFont="1" applyFill="1" applyBorder="1" applyAlignment="1">
      <alignment wrapText="1"/>
    </xf>
    <xf numFmtId="2" fontId="24" fillId="11" borderId="3" xfId="5" applyNumberFormat="1" applyFont="1" applyFill="1" applyBorder="1" applyAlignment="1">
      <alignment horizontal="center" vertical="center" wrapText="1"/>
    </xf>
    <xf numFmtId="14" fontId="0" fillId="11" borderId="0" xfId="0" applyNumberFormat="1" applyFill="1"/>
    <xf numFmtId="2" fontId="0" fillId="11" borderId="0" xfId="0" applyNumberFormat="1" applyFill="1"/>
    <xf numFmtId="0" fontId="0" fillId="11" borderId="34" xfId="0" applyFill="1" applyBorder="1"/>
    <xf numFmtId="14" fontId="3" fillId="0" borderId="0" xfId="5" applyNumberFormat="1" applyFill="1" applyBorder="1" applyAlignment="1">
      <alignment wrapText="1"/>
    </xf>
    <xf numFmtId="0" fontId="3" fillId="11" borderId="34" xfId="5" applyNumberFormat="1" applyFill="1" applyBorder="1" applyAlignment="1">
      <alignment wrapText="1"/>
    </xf>
    <xf numFmtId="2" fontId="13" fillId="0" borderId="95" xfId="3" applyNumberFormat="1" applyBorder="1" applyAlignment="1">
      <alignment wrapText="1"/>
    </xf>
    <xf numFmtId="2" fontId="3" fillId="0" borderId="34" xfId="5" applyNumberFormat="1" applyFill="1" applyBorder="1"/>
    <xf numFmtId="0" fontId="0" fillId="10" borderId="0" xfId="0" applyFill="1"/>
    <xf numFmtId="0" fontId="12" fillId="0" borderId="35" xfId="2" applyBorder="1"/>
    <xf numFmtId="0" fontId="13" fillId="0" borderId="14" xfId="3" applyBorder="1" applyAlignment="1">
      <alignment wrapText="1"/>
    </xf>
    <xf numFmtId="0" fontId="3" fillId="0" borderId="35" xfId="5" applyFill="1" applyBorder="1"/>
    <xf numFmtId="0" fontId="0" fillId="18" borderId="0" xfId="0" applyFill="1"/>
    <xf numFmtId="0" fontId="13" fillId="19" borderId="23" xfId="3" applyFill="1" applyAlignment="1">
      <alignment wrapText="1"/>
    </xf>
    <xf numFmtId="0" fontId="0" fillId="19" borderId="0" xfId="5" applyFont="1" applyFill="1"/>
    <xf numFmtId="0" fontId="0" fillId="19" borderId="0" xfId="0" applyFill="1"/>
    <xf numFmtId="0" fontId="34" fillId="11" borderId="14" xfId="3" applyFont="1" applyFill="1" applyBorder="1" applyAlignment="1">
      <alignment wrapText="1"/>
    </xf>
    <xf numFmtId="2" fontId="35" fillId="11" borderId="35" xfId="5" applyNumberFormat="1" applyFont="1" applyFill="1" applyBorder="1"/>
    <xf numFmtId="0" fontId="35" fillId="11" borderId="35" xfId="0" applyFont="1" applyFill="1" applyBorder="1"/>
    <xf numFmtId="2" fontId="13" fillId="0" borderId="14" xfId="3" applyNumberFormat="1" applyBorder="1" applyAlignment="1">
      <alignment wrapText="1"/>
    </xf>
    <xf numFmtId="2" fontId="3" fillId="0" borderId="35" xfId="5" applyNumberFormat="1" applyFill="1" applyBorder="1"/>
    <xf numFmtId="2" fontId="0" fillId="0" borderId="0" xfId="0" applyNumberFormat="1" applyBorder="1"/>
    <xf numFmtId="2" fontId="0" fillId="0" borderId="35" xfId="0" applyNumberFormat="1" applyBorder="1"/>
    <xf numFmtId="2" fontId="13" fillId="0" borderId="12" xfId="3" applyNumberFormat="1" applyBorder="1" applyAlignment="1">
      <alignment wrapText="1"/>
    </xf>
    <xf numFmtId="2" fontId="13" fillId="0" borderId="14" xfId="3" applyNumberFormat="1" applyBorder="1" applyAlignment="1">
      <alignment horizontal="center" wrapText="1"/>
    </xf>
    <xf numFmtId="2" fontId="0" fillId="0" borderId="34" xfId="0" applyNumberFormat="1" applyBorder="1"/>
    <xf numFmtId="0" fontId="13" fillId="18" borderId="13" xfId="3" applyFill="1" applyBorder="1" applyAlignment="1">
      <alignment wrapText="1"/>
    </xf>
    <xf numFmtId="0" fontId="13" fillId="10" borderId="13" xfId="3" applyFill="1" applyBorder="1" applyAlignment="1">
      <alignment wrapText="1"/>
    </xf>
    <xf numFmtId="171" fontId="3" fillId="10" borderId="0" xfId="5" applyNumberFormat="1" applyFill="1"/>
    <xf numFmtId="0" fontId="13" fillId="18" borderId="14" xfId="3" applyFill="1" applyBorder="1" applyAlignment="1">
      <alignment wrapText="1"/>
    </xf>
    <xf numFmtId="2" fontId="3" fillId="18" borderId="0" xfId="5" applyNumberFormat="1" applyFill="1"/>
    <xf numFmtId="0" fontId="3" fillId="18" borderId="35" xfId="5" applyFill="1" applyBorder="1"/>
    <xf numFmtId="0" fontId="0" fillId="18" borderId="35" xfId="0" applyFill="1" applyBorder="1"/>
    <xf numFmtId="0" fontId="12" fillId="0" borderId="20" xfId="2" applyFill="1" applyBorder="1"/>
    <xf numFmtId="0" fontId="3" fillId="0" borderId="34" xfId="5" applyFill="1" applyBorder="1"/>
    <xf numFmtId="0" fontId="12" fillId="10" borderId="0" xfId="2" applyFill="1" applyBorder="1" applyAlignment="1">
      <alignment horizontal="center"/>
    </xf>
    <xf numFmtId="0" fontId="3" fillId="9" borderId="3" xfId="5" applyFill="1" applyBorder="1" applyAlignment="1">
      <alignment wrapText="1"/>
    </xf>
    <xf numFmtId="14" fontId="3" fillId="9" borderId="3" xfId="5" applyNumberFormat="1" applyFill="1" applyBorder="1" applyAlignment="1">
      <alignment wrapText="1"/>
    </xf>
    <xf numFmtId="167" fontId="3" fillId="9" borderId="3" xfId="5" applyNumberFormat="1" applyFill="1" applyBorder="1" applyAlignment="1">
      <alignment wrapText="1"/>
    </xf>
    <xf numFmtId="2" fontId="3" fillId="9" borderId="0" xfId="5" applyNumberFormat="1" applyFill="1" applyBorder="1" applyAlignment="1">
      <alignment wrapText="1"/>
    </xf>
    <xf numFmtId="0" fontId="3" fillId="9" borderId="96" xfId="5" applyNumberFormat="1" applyFill="1" applyBorder="1" applyAlignment="1">
      <alignment wrapText="1"/>
    </xf>
    <xf numFmtId="1" fontId="3" fillId="9" borderId="3" xfId="5" applyNumberFormat="1" applyFill="1" applyBorder="1" applyAlignment="1">
      <alignment wrapText="1"/>
    </xf>
    <xf numFmtId="14" fontId="0" fillId="9" borderId="3" xfId="5" applyNumberFormat="1" applyFont="1" applyFill="1" applyBorder="1" applyAlignment="1">
      <alignment wrapText="1"/>
    </xf>
    <xf numFmtId="2" fontId="0" fillId="9" borderId="3" xfId="5" applyNumberFormat="1" applyFont="1" applyFill="1" applyBorder="1" applyAlignment="1">
      <alignment wrapText="1"/>
    </xf>
    <xf numFmtId="2" fontId="24" fillId="9" borderId="3" xfId="5" applyNumberFormat="1" applyFont="1" applyFill="1" applyBorder="1" applyAlignment="1">
      <alignment horizontal="center" vertical="center" wrapText="1"/>
    </xf>
    <xf numFmtId="2" fontId="24" fillId="9" borderId="0" xfId="5" applyNumberFormat="1" applyFont="1" applyFill="1" applyBorder="1" applyAlignment="1">
      <alignment horizontal="center" vertical="center" wrapText="1"/>
    </xf>
    <xf numFmtId="2" fontId="3" fillId="9" borderId="34" xfId="5" applyNumberFormat="1" applyFill="1" applyBorder="1"/>
    <xf numFmtId="0" fontId="3" fillId="9" borderId="24" xfId="5" applyFill="1" applyBorder="1"/>
    <xf numFmtId="2" fontId="3" fillId="9" borderId="0" xfId="5" applyNumberFormat="1" applyFill="1" applyBorder="1"/>
    <xf numFmtId="0" fontId="3" fillId="9" borderId="0" xfId="5" applyFill="1"/>
    <xf numFmtId="0" fontId="0" fillId="9" borderId="0" xfId="5" applyFont="1" applyFill="1"/>
    <xf numFmtId="0" fontId="3" fillId="9" borderId="0" xfId="5" applyFill="1" applyBorder="1"/>
    <xf numFmtId="0" fontId="3" fillId="9" borderId="34" xfId="5" applyFill="1" applyBorder="1"/>
    <xf numFmtId="2" fontId="3" fillId="9" borderId="0" xfId="5" applyNumberFormat="1" applyFill="1"/>
    <xf numFmtId="0" fontId="3" fillId="9" borderId="35" xfId="5" applyFill="1" applyBorder="1"/>
    <xf numFmtId="171" fontId="3" fillId="9" borderId="0" xfId="5" applyNumberFormat="1" applyFill="1"/>
    <xf numFmtId="2" fontId="3" fillId="9" borderId="35" xfId="5" applyNumberFormat="1" applyFill="1" applyBorder="1"/>
    <xf numFmtId="2" fontId="33" fillId="9" borderId="0" xfId="5" applyNumberFormat="1" applyFont="1" applyFill="1"/>
    <xf numFmtId="165" fontId="0" fillId="9" borderId="0" xfId="5" applyNumberFormat="1" applyFont="1" applyFill="1"/>
    <xf numFmtId="2" fontId="35" fillId="9" borderId="34" xfId="5" applyNumberFormat="1" applyFont="1" applyFill="1" applyBorder="1"/>
    <xf numFmtId="2" fontId="35" fillId="9" borderId="35" xfId="5" applyNumberFormat="1" applyFont="1" applyFill="1" applyBorder="1"/>
    <xf numFmtId="0" fontId="0" fillId="9" borderId="0" xfId="0" applyFill="1"/>
    <xf numFmtId="2" fontId="51" fillId="0" borderId="23" xfId="3" applyNumberFormat="1" applyFont="1" applyAlignment="1">
      <alignment wrapText="1"/>
    </xf>
    <xf numFmtId="2" fontId="52" fillId="0" borderId="0" xfId="5" applyNumberFormat="1" applyFont="1" applyFill="1"/>
    <xf numFmtId="2" fontId="52" fillId="0" borderId="0" xfId="0" applyNumberFormat="1" applyFont="1"/>
    <xf numFmtId="2" fontId="13" fillId="0" borderId="26" xfId="3" applyNumberFormat="1" applyFill="1" applyBorder="1" applyAlignment="1">
      <alignment wrapText="1"/>
    </xf>
    <xf numFmtId="2" fontId="0" fillId="0" borderId="53" xfId="5" applyNumberFormat="1" applyFont="1" applyFill="1" applyBorder="1"/>
    <xf numFmtId="2" fontId="0" fillId="0" borderId="53" xfId="0" applyNumberFormat="1" applyFont="1" applyFill="1" applyBorder="1"/>
    <xf numFmtId="2" fontId="13" fillId="0" borderId="53" xfId="2" applyNumberFormat="1" applyFont="1" applyFill="1" applyBorder="1"/>
    <xf numFmtId="0" fontId="3" fillId="9" borderId="0" xfId="5" applyNumberFormat="1" applyFill="1" applyBorder="1" applyAlignment="1">
      <alignment wrapText="1"/>
    </xf>
    <xf numFmtId="167" fontId="3" fillId="9" borderId="96" xfId="5" applyNumberFormat="1" applyFill="1" applyBorder="1" applyAlignment="1">
      <alignment wrapText="1"/>
    </xf>
    <xf numFmtId="2" fontId="20" fillId="9" borderId="21" xfId="5" applyNumberFormat="1" applyFont="1" applyFill="1" applyBorder="1"/>
    <xf numFmtId="0" fontId="3" fillId="9" borderId="0" xfId="7" applyFill="1"/>
    <xf numFmtId="0" fontId="3" fillId="9" borderId="24" xfId="7" applyFill="1" applyBorder="1"/>
    <xf numFmtId="2" fontId="14" fillId="9" borderId="0" xfId="5" applyNumberFormat="1" applyFont="1" applyFill="1"/>
    <xf numFmtId="0" fontId="14" fillId="9" borderId="0" xfId="7" applyFont="1" applyFill="1"/>
    <xf numFmtId="2" fontId="14" fillId="9" borderId="34" xfId="5" applyNumberFormat="1" applyFont="1" applyFill="1" applyBorder="1"/>
    <xf numFmtId="2" fontId="0" fillId="9" borderId="53" xfId="5" applyNumberFormat="1" applyFont="1" applyFill="1" applyBorder="1"/>
    <xf numFmtId="2" fontId="27" fillId="9" borderId="34" xfId="5" applyNumberFormat="1" applyFont="1" applyFill="1" applyBorder="1"/>
    <xf numFmtId="2" fontId="27" fillId="9" borderId="35" xfId="5" applyNumberFormat="1" applyFont="1" applyFill="1" applyBorder="1"/>
    <xf numFmtId="168" fontId="30" fillId="9" borderId="34" xfId="5" applyNumberFormat="1" applyFont="1" applyFill="1" applyBorder="1"/>
    <xf numFmtId="168" fontId="30" fillId="9" borderId="0" xfId="5" applyNumberFormat="1" applyFont="1" applyFill="1" applyBorder="1"/>
    <xf numFmtId="2" fontId="52" fillId="9" borderId="0" xfId="5" applyNumberFormat="1" applyFont="1" applyFill="1"/>
    <xf numFmtId="0" fontId="3" fillId="9" borderId="0" xfId="8" applyFill="1"/>
    <xf numFmtId="0" fontId="3" fillId="9" borderId="24" xfId="8" applyFill="1" applyBorder="1"/>
    <xf numFmtId="0" fontId="14" fillId="9" borderId="0" xfId="8" applyFont="1" applyFill="1"/>
    <xf numFmtId="0" fontId="0" fillId="9" borderId="0" xfId="0" applyFont="1" applyFill="1"/>
    <xf numFmtId="0" fontId="3" fillId="9" borderId="0" xfId="4" applyFill="1"/>
    <xf numFmtId="0" fontId="3" fillId="9" borderId="24" xfId="4" applyFill="1" applyBorder="1"/>
    <xf numFmtId="0" fontId="14" fillId="9" borderId="0" xfId="4" applyFont="1" applyFill="1"/>
    <xf numFmtId="0" fontId="0" fillId="20" borderId="0" xfId="0" applyFill="1" applyBorder="1"/>
    <xf numFmtId="0" fontId="3" fillId="20" borderId="0" xfId="5" applyFill="1" applyBorder="1" applyAlignment="1">
      <alignment wrapText="1"/>
    </xf>
    <xf numFmtId="14" fontId="0" fillId="20" borderId="0" xfId="0" applyNumberFormat="1" applyFill="1" applyBorder="1"/>
    <xf numFmtId="170" fontId="3" fillId="20" borderId="0" xfId="5" applyNumberFormat="1" applyFill="1" applyBorder="1" applyAlignment="1">
      <alignment wrapText="1"/>
    </xf>
    <xf numFmtId="167" fontId="0" fillId="20" borderId="24" xfId="5" applyNumberFormat="1" applyFont="1" applyFill="1" applyBorder="1" applyAlignment="1">
      <alignment wrapText="1"/>
    </xf>
    <xf numFmtId="0" fontId="0" fillId="20" borderId="24" xfId="0" applyFill="1" applyBorder="1"/>
    <xf numFmtId="0" fontId="3" fillId="20" borderId="24" xfId="6" applyNumberFormat="1" applyFill="1" applyBorder="1" applyAlignment="1">
      <alignment wrapText="1"/>
    </xf>
    <xf numFmtId="0" fontId="37" fillId="20" borderId="0" xfId="0" applyFont="1" applyFill="1" applyBorder="1"/>
    <xf numFmtId="0" fontId="0" fillId="20" borderId="0" xfId="0" applyFill="1"/>
    <xf numFmtId="0" fontId="3" fillId="20" borderId="0" xfId="6" applyFill="1" applyBorder="1" applyAlignment="1">
      <alignment wrapText="1"/>
    </xf>
    <xf numFmtId="170" fontId="3" fillId="20" borderId="0" xfId="6" applyNumberFormat="1" applyFill="1" applyBorder="1" applyAlignment="1">
      <alignment wrapText="1"/>
    </xf>
    <xf numFmtId="0" fontId="39" fillId="20" borderId="24" xfId="0" applyFont="1" applyFill="1" applyBorder="1"/>
    <xf numFmtId="0" fontId="0" fillId="20" borderId="24" xfId="0" applyFont="1" applyFill="1" applyBorder="1"/>
    <xf numFmtId="0" fontId="0" fillId="20" borderId="0" xfId="0" applyFont="1" applyFill="1" applyBorder="1"/>
    <xf numFmtId="0" fontId="3" fillId="20" borderId="0" xfId="4" applyFill="1" applyBorder="1" applyAlignment="1">
      <alignment wrapText="1"/>
    </xf>
    <xf numFmtId="170" fontId="3" fillId="20" borderId="0" xfId="4" applyNumberFormat="1" applyFill="1" applyBorder="1" applyAlignment="1">
      <alignment wrapText="1"/>
    </xf>
    <xf numFmtId="0" fontId="14" fillId="20" borderId="0" xfId="0" applyFont="1" applyFill="1" applyBorder="1"/>
    <xf numFmtId="0" fontId="3" fillId="20" borderId="0" xfId="8" applyFill="1" applyBorder="1" applyAlignment="1">
      <alignment wrapText="1"/>
    </xf>
    <xf numFmtId="170" fontId="3" fillId="20" borderId="0" xfId="8" applyNumberFormat="1" applyFill="1" applyBorder="1" applyAlignment="1">
      <alignment wrapText="1"/>
    </xf>
    <xf numFmtId="170" fontId="0" fillId="20" borderId="0" xfId="0" applyNumberFormat="1" applyFont="1" applyFill="1" applyBorder="1"/>
    <xf numFmtId="0" fontId="43" fillId="9" borderId="0" xfId="0" applyFont="1" applyFill="1" applyBorder="1"/>
    <xf numFmtId="0" fontId="43" fillId="9" borderId="0" xfId="4" applyFont="1" applyFill="1" applyBorder="1" applyAlignment="1">
      <alignment wrapText="1"/>
    </xf>
    <xf numFmtId="14" fontId="43" fillId="9" borderId="0" xfId="0" applyNumberFormat="1" applyFont="1" applyFill="1" applyBorder="1"/>
    <xf numFmtId="170" fontId="43" fillId="9" borderId="0" xfId="4" applyNumberFormat="1" applyFont="1" applyFill="1" applyBorder="1" applyAlignment="1">
      <alignment wrapText="1"/>
    </xf>
    <xf numFmtId="167" fontId="43" fillId="9" borderId="24" xfId="5" applyNumberFormat="1" applyFont="1" applyFill="1" applyBorder="1" applyAlignment="1">
      <alignment wrapText="1"/>
    </xf>
    <xf numFmtId="0" fontId="43" fillId="9" borderId="24" xfId="0" applyFont="1" applyFill="1" applyBorder="1"/>
    <xf numFmtId="0" fontId="43" fillId="9" borderId="24" xfId="6" applyNumberFormat="1" applyFont="1" applyFill="1" applyBorder="1" applyAlignment="1">
      <alignment wrapText="1"/>
    </xf>
    <xf numFmtId="0" fontId="43" fillId="9" borderId="0" xfId="0" applyFont="1" applyFill="1"/>
    <xf numFmtId="0" fontId="43" fillId="9" borderId="0" xfId="8" applyFont="1" applyFill="1" applyBorder="1" applyAlignment="1">
      <alignment wrapText="1"/>
    </xf>
    <xf numFmtId="170" fontId="43" fillId="9" borderId="0" xfId="8" applyNumberFormat="1" applyFont="1" applyFill="1" applyBorder="1" applyAlignment="1">
      <alignment wrapText="1"/>
    </xf>
    <xf numFmtId="0" fontId="44" fillId="9" borderId="0" xfId="0" applyFont="1" applyFill="1" applyBorder="1"/>
    <xf numFmtId="0" fontId="43" fillId="9" borderId="0" xfId="6" applyFont="1" applyFill="1" applyBorder="1" applyAlignment="1">
      <alignment wrapText="1"/>
    </xf>
    <xf numFmtId="170" fontId="43" fillId="9" borderId="0" xfId="6" applyNumberFormat="1" applyFont="1" applyFill="1" applyBorder="1" applyAlignment="1">
      <alignment wrapText="1"/>
    </xf>
    <xf numFmtId="0" fontId="0" fillId="0" borderId="28" xfId="0" applyBorder="1"/>
    <xf numFmtId="20" fontId="0" fillId="0" borderId="0" xfId="0" applyNumberFormat="1" applyBorder="1" applyAlignment="1">
      <alignment horizontal="center" vertical="center"/>
    </xf>
    <xf numFmtId="20" fontId="0" fillId="0" borderId="77" xfId="0" applyNumberFormat="1" applyBorder="1" applyAlignment="1">
      <alignment horizontal="center" vertical="center"/>
    </xf>
    <xf numFmtId="20" fontId="0" fillId="0" borderId="29" xfId="0" applyNumberFormat="1" applyBorder="1" applyAlignment="1">
      <alignment horizontal="center" vertical="center"/>
    </xf>
    <xf numFmtId="20" fontId="0" fillId="0" borderId="100" xfId="0" applyNumberFormat="1" applyBorder="1" applyAlignment="1">
      <alignment horizontal="center" vertical="center"/>
    </xf>
    <xf numFmtId="0" fontId="6" fillId="0" borderId="24" xfId="0" applyFont="1" applyFill="1" applyBorder="1"/>
    <xf numFmtId="0" fontId="6" fillId="0" borderId="81" xfId="0" applyFont="1" applyFill="1" applyBorder="1"/>
    <xf numFmtId="0" fontId="0" fillId="0" borderId="27" xfId="0" applyFill="1" applyBorder="1" applyAlignment="1">
      <alignment horizontal="center"/>
    </xf>
    <xf numFmtId="0" fontId="6" fillId="0" borderId="27" xfId="0" applyFont="1" applyFill="1" applyBorder="1"/>
    <xf numFmtId="0" fontId="0" fillId="0" borderId="66" xfId="0" applyFill="1" applyBorder="1" applyAlignment="1">
      <alignment horizontal="center"/>
    </xf>
    <xf numFmtId="0" fontId="6" fillId="0" borderId="1" xfId="0" applyFont="1" applyFill="1" applyBorder="1"/>
    <xf numFmtId="21" fontId="0" fillId="0" borderId="0" xfId="0" applyNumberFormat="1"/>
    <xf numFmtId="0" fontId="12" fillId="0" borderId="12" xfId="2" applyFill="1" applyBorder="1" applyAlignment="1">
      <alignment horizontal="center" wrapText="1"/>
    </xf>
    <xf numFmtId="0" fontId="12" fillId="0" borderId="14" xfId="2" applyFill="1" applyBorder="1" applyAlignment="1">
      <alignment horizontal="center" wrapText="1"/>
    </xf>
    <xf numFmtId="0" fontId="12" fillId="0" borderId="0" xfId="2" applyFill="1" applyBorder="1" applyAlignment="1">
      <alignment horizontal="left" wrapText="1"/>
    </xf>
    <xf numFmtId="0" fontId="12" fillId="0" borderId="35" xfId="2" applyFill="1" applyBorder="1" applyAlignment="1">
      <alignment horizontal="left" wrapText="1"/>
    </xf>
    <xf numFmtId="0" fontId="12" fillId="0" borderId="15" xfId="2" applyBorder="1" applyAlignment="1">
      <alignment horizontal="center" wrapText="1"/>
    </xf>
    <xf numFmtId="0" fontId="12" fillId="0" borderId="16" xfId="2" applyBorder="1" applyAlignment="1">
      <alignment horizontal="center" wrapText="1"/>
    </xf>
    <xf numFmtId="0" fontId="36" fillId="9" borderId="12" xfId="2" applyFont="1" applyFill="1" applyBorder="1" applyAlignment="1">
      <alignment horizontal="center"/>
    </xf>
    <xf numFmtId="0" fontId="36" fillId="9" borderId="13" xfId="2" applyFont="1" applyFill="1" applyBorder="1" applyAlignment="1">
      <alignment horizontal="center"/>
    </xf>
    <xf numFmtId="0" fontId="36" fillId="9" borderId="14" xfId="2" applyFont="1" applyFill="1" applyBorder="1" applyAlignment="1">
      <alignment horizontal="center"/>
    </xf>
    <xf numFmtId="0" fontId="12" fillId="0" borderId="22" xfId="2" applyAlignment="1">
      <alignment horizontal="center"/>
    </xf>
    <xf numFmtId="0" fontId="12" fillId="0" borderId="13" xfId="2" applyBorder="1" applyAlignment="1">
      <alignment horizontal="center"/>
    </xf>
    <xf numFmtId="0" fontId="12" fillId="0" borderId="34" xfId="2" applyBorder="1" applyAlignment="1">
      <alignment horizontal="center"/>
    </xf>
    <xf numFmtId="0" fontId="12" fillId="0" borderId="24" xfId="2" applyBorder="1" applyAlignment="1">
      <alignment horizontal="center"/>
    </xf>
    <xf numFmtId="0" fontId="12" fillId="0" borderId="21" xfId="2" applyBorder="1" applyAlignment="1">
      <alignment horizontal="center"/>
    </xf>
    <xf numFmtId="0" fontId="12" fillId="0" borderId="0" xfId="2" applyBorder="1" applyAlignment="1">
      <alignment horizontal="center"/>
    </xf>
    <xf numFmtId="0" fontId="12" fillId="0" borderId="73" xfId="2" applyBorder="1" applyAlignment="1">
      <alignment horizontal="center"/>
    </xf>
    <xf numFmtId="0" fontId="12" fillId="0" borderId="19" xfId="2" applyBorder="1" applyAlignment="1">
      <alignment horizontal="center"/>
    </xf>
    <xf numFmtId="0" fontId="12" fillId="0" borderId="19" xfId="2" applyFont="1" applyBorder="1" applyAlignment="1">
      <alignment horizontal="center"/>
    </xf>
    <xf numFmtId="0" fontId="12" fillId="0" borderId="12" xfId="2" applyFont="1" applyFill="1" applyBorder="1" applyAlignment="1">
      <alignment horizontal="center"/>
    </xf>
    <xf numFmtId="0" fontId="12" fillId="0" borderId="14" xfId="2" applyFont="1" applyFill="1" applyBorder="1" applyAlignment="1">
      <alignment horizontal="center"/>
    </xf>
    <xf numFmtId="2" fontId="12" fillId="0" borderId="18" xfId="2" applyNumberFormat="1" applyFill="1" applyBorder="1" applyAlignment="1">
      <alignment horizontal="center"/>
    </xf>
    <xf numFmtId="2" fontId="12" fillId="0" borderId="20" xfId="2" applyNumberFormat="1" applyFill="1" applyBorder="1" applyAlignment="1">
      <alignment horizontal="center"/>
    </xf>
    <xf numFmtId="2" fontId="12" fillId="0" borderId="98" xfId="2" applyNumberFormat="1" applyBorder="1" applyAlignment="1">
      <alignment horizontal="center"/>
    </xf>
    <xf numFmtId="2" fontId="12" fillId="0" borderId="22" xfId="2" applyNumberFormat="1" applyAlignment="1">
      <alignment horizontal="center"/>
    </xf>
    <xf numFmtId="2" fontId="12" fillId="0" borderId="99" xfId="2" applyNumberFormat="1" applyBorder="1" applyAlignment="1">
      <alignment horizontal="center"/>
    </xf>
    <xf numFmtId="0" fontId="12" fillId="11" borderId="13" xfId="2" applyFill="1" applyBorder="1" applyAlignment="1">
      <alignment horizontal="center"/>
    </xf>
    <xf numFmtId="0" fontId="12" fillId="0" borderId="18" xfId="2" applyFont="1" applyBorder="1" applyAlignment="1">
      <alignment horizontal="center"/>
    </xf>
    <xf numFmtId="0" fontId="12" fillId="0" borderId="12" xfId="2" applyFont="1" applyBorder="1" applyAlignment="1">
      <alignment horizontal="center"/>
    </xf>
    <xf numFmtId="0" fontId="12" fillId="0" borderId="14" xfId="2" applyFont="1" applyBorder="1" applyAlignment="1">
      <alignment horizontal="center"/>
    </xf>
    <xf numFmtId="2" fontId="12" fillId="0" borderId="18" xfId="2" applyNumberFormat="1" applyBorder="1" applyAlignment="1">
      <alignment horizontal="center"/>
    </xf>
    <xf numFmtId="2" fontId="12" fillId="0" borderId="20" xfId="2" applyNumberFormat="1" applyBorder="1" applyAlignment="1">
      <alignment horizontal="center"/>
    </xf>
    <xf numFmtId="0" fontId="12" fillId="0" borderId="20" xfId="2" applyBorder="1" applyAlignment="1">
      <alignment horizontal="center"/>
    </xf>
    <xf numFmtId="0" fontId="42" fillId="0" borderId="0" xfId="0" applyFont="1" applyBorder="1" applyAlignment="1">
      <alignment horizontal="center" vertical="center" wrapText="1"/>
    </xf>
    <xf numFmtId="0" fontId="42" fillId="0" borderId="24" xfId="0" applyFont="1" applyBorder="1" applyAlignment="1">
      <alignment horizontal="center" vertical="center" wrapText="1"/>
    </xf>
    <xf numFmtId="0" fontId="0" fillId="15" borderId="7" xfId="0" applyFill="1" applyBorder="1" applyAlignment="1">
      <alignment horizontal="center" vertical="center"/>
    </xf>
    <xf numFmtId="0" fontId="0" fillId="15" borderId="8" xfId="0" applyFill="1" applyBorder="1" applyAlignment="1">
      <alignment horizontal="center" vertical="center"/>
    </xf>
    <xf numFmtId="0" fontId="0" fillId="16" borderId="2" xfId="0" applyFill="1" applyBorder="1" applyAlignment="1">
      <alignment horizontal="center" vertical="center"/>
    </xf>
    <xf numFmtId="0" fontId="0" fillId="16" borderId="8" xfId="0" applyFill="1" applyBorder="1" applyAlignment="1">
      <alignment horizontal="center" vertical="center"/>
    </xf>
    <xf numFmtId="0" fontId="0" fillId="16" borderId="7" xfId="0" applyFill="1" applyBorder="1" applyAlignment="1">
      <alignment horizontal="center" vertical="center"/>
    </xf>
    <xf numFmtId="0" fontId="0" fillId="11" borderId="7" xfId="0" applyFill="1" applyBorder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0" fontId="0" fillId="11" borderId="8" xfId="0" applyFill="1" applyBorder="1" applyAlignment="1">
      <alignment horizontal="center" vertical="center"/>
    </xf>
    <xf numFmtId="0" fontId="42" fillId="12" borderId="38" xfId="0" applyFont="1" applyFill="1" applyBorder="1" applyAlignment="1">
      <alignment horizontal="center" vertical="center" wrapText="1"/>
    </xf>
    <xf numFmtId="0" fontId="42" fillId="12" borderId="2" xfId="0" applyFont="1" applyFill="1" applyBorder="1" applyAlignment="1">
      <alignment horizontal="center" vertical="center" wrapText="1"/>
    </xf>
    <xf numFmtId="0" fontId="42" fillId="12" borderId="5" xfId="0" applyFont="1" applyFill="1" applyBorder="1" applyAlignment="1">
      <alignment horizontal="center" vertical="center" wrapText="1"/>
    </xf>
    <xf numFmtId="0" fontId="42" fillId="11" borderId="42" xfId="0" applyFont="1" applyFill="1" applyBorder="1" applyAlignment="1">
      <alignment horizontal="center" vertical="center" wrapText="1"/>
    </xf>
    <xf numFmtId="0" fontId="42" fillId="11" borderId="5" xfId="0" applyFont="1" applyFill="1" applyBorder="1" applyAlignment="1">
      <alignment horizontal="center" vertical="center" wrapText="1"/>
    </xf>
    <xf numFmtId="0" fontId="42" fillId="11" borderId="6" xfId="0" applyFont="1" applyFill="1" applyBorder="1" applyAlignment="1">
      <alignment horizontal="center" vertical="center" wrapText="1"/>
    </xf>
    <xf numFmtId="0" fontId="42" fillId="16" borderId="12" xfId="0" applyFont="1" applyFill="1" applyBorder="1" applyAlignment="1">
      <alignment horizontal="left" vertical="center" wrapText="1"/>
    </xf>
    <xf numFmtId="0" fontId="42" fillId="16" borderId="13" xfId="0" applyFont="1" applyFill="1" applyBorder="1" applyAlignment="1">
      <alignment horizontal="left" vertical="center" wrapText="1"/>
    </xf>
    <xf numFmtId="0" fontId="0" fillId="12" borderId="2" xfId="0" applyFill="1" applyBorder="1" applyAlignment="1">
      <alignment horizontal="center" vertical="center"/>
    </xf>
    <xf numFmtId="0" fontId="0" fillId="12" borderId="8" xfId="0" applyFill="1" applyBorder="1" applyAlignment="1">
      <alignment horizontal="center" vertical="center"/>
    </xf>
    <xf numFmtId="0" fontId="0" fillId="12" borderId="7" xfId="0" applyFill="1" applyBorder="1" applyAlignment="1">
      <alignment horizontal="center" vertical="center"/>
    </xf>
    <xf numFmtId="0" fontId="22" fillId="0" borderId="12" xfId="0" applyFont="1" applyBorder="1" applyAlignment="1">
      <alignment horizontal="center"/>
    </xf>
    <xf numFmtId="0" fontId="22" fillId="0" borderId="14" xfId="0" applyFont="1" applyBorder="1" applyAlignment="1">
      <alignment horizontal="center"/>
    </xf>
    <xf numFmtId="0" fontId="0" fillId="15" borderId="12" xfId="0" applyFill="1" applyBorder="1" applyAlignment="1">
      <alignment horizontal="center"/>
    </xf>
    <xf numFmtId="0" fontId="0" fillId="15" borderId="13" xfId="0" applyFill="1" applyBorder="1" applyAlignment="1">
      <alignment horizontal="center"/>
    </xf>
    <xf numFmtId="0" fontId="0" fillId="15" borderId="7" xfId="0" applyFill="1" applyBorder="1"/>
    <xf numFmtId="0" fontId="0" fillId="15" borderId="2" xfId="0" applyFill="1" applyBorder="1"/>
    <xf numFmtId="0" fontId="0" fillId="15" borderId="8" xfId="0" applyFill="1" applyBorder="1"/>
    <xf numFmtId="0" fontId="0" fillId="0" borderId="7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22" fillId="0" borderId="13" xfId="0" applyFont="1" applyBorder="1" applyAlignment="1">
      <alignment horizontal="center"/>
    </xf>
    <xf numFmtId="0" fontId="0" fillId="0" borderId="9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7" xfId="0" applyBorder="1"/>
    <xf numFmtId="0" fontId="0" fillId="0" borderId="2" xfId="0" applyBorder="1"/>
    <xf numFmtId="0" fontId="0" fillId="0" borderId="8" xfId="0" applyBorder="1"/>
    <xf numFmtId="0" fontId="0" fillId="0" borderId="2" xfId="0" applyBorder="1" applyAlignment="1">
      <alignment horizontal="center"/>
    </xf>
    <xf numFmtId="0" fontId="0" fillId="0" borderId="8" xfId="0" applyBorder="1" applyAlignment="1">
      <alignment horizontal="center"/>
    </xf>
    <xf numFmtId="2" fontId="14" fillId="12" borderId="0" xfId="0" applyNumberFormat="1" applyFont="1" applyFill="1" applyBorder="1" applyAlignment="1">
      <alignment horizontal="center"/>
    </xf>
    <xf numFmtId="2" fontId="14" fillId="11" borderId="0" xfId="0" applyNumberFormat="1" applyFont="1" applyFill="1" applyBorder="1" applyAlignment="1">
      <alignment horizontal="center"/>
    </xf>
  </cellXfs>
  <cellStyles count="9">
    <cellStyle name="20% - Accent1" xfId="4" builtinId="30"/>
    <cellStyle name="40% - Accent2" xfId="6" builtinId="35"/>
    <cellStyle name="40% - Accent3" xfId="7" builtinId="39"/>
    <cellStyle name="40% - Accent4" xfId="8" builtinId="43"/>
    <cellStyle name="60% - Accent1" xfId="5" builtinId="32"/>
    <cellStyle name="Heading 1" xfId="2" builtinId="16"/>
    <cellStyle name="Heading 3" xfId="3" builtinId="18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CCFFFF"/>
      <color rgb="FFF8E8EA"/>
      <color rgb="FFFFCCFF"/>
      <color rgb="FFE1E1FF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51"/>
  <sheetViews>
    <sheetView topLeftCell="A16" zoomScale="90" zoomScaleNormal="90" workbookViewId="0">
      <selection activeCell="G3" sqref="G3"/>
    </sheetView>
  </sheetViews>
  <sheetFormatPr defaultColWidth="8.83203125" defaultRowHeight="15.5" x14ac:dyDescent="0.35"/>
  <cols>
    <col min="1" max="1" width="9.58203125" style="139" customWidth="1"/>
    <col min="2" max="2" width="7.1640625" style="140" customWidth="1"/>
    <col min="3" max="3" width="13.08203125" style="141" customWidth="1"/>
    <col min="4" max="4" width="18" style="140" customWidth="1"/>
    <col min="5" max="5" width="14.1640625" style="162" customWidth="1"/>
    <col min="6" max="6" width="11.9140625" style="142" customWidth="1"/>
    <col min="7" max="7" width="12.58203125" style="24" customWidth="1"/>
    <col min="8" max="8" width="12.5" style="24" customWidth="1"/>
    <col min="9" max="9" width="12.9140625" style="24" customWidth="1"/>
    <col min="10" max="10" width="12.25" style="176" customWidth="1"/>
    <col min="11" max="11" width="8.83203125" style="2"/>
    <col min="13" max="13" width="11.9140625" customWidth="1"/>
    <col min="14" max="14" width="10.4140625" customWidth="1"/>
    <col min="15" max="15" width="19" customWidth="1"/>
  </cols>
  <sheetData>
    <row r="1" spans="1:16" ht="20" thickBot="1" x14ac:dyDescent="0.5">
      <c r="A1" s="724" t="s">
        <v>125</v>
      </c>
      <c r="B1" s="724"/>
      <c r="C1" s="724"/>
      <c r="D1" s="724"/>
      <c r="E1" s="724"/>
      <c r="F1" s="725"/>
      <c r="G1" s="722" t="s">
        <v>109</v>
      </c>
      <c r="H1" s="723"/>
      <c r="I1" s="722" t="s">
        <v>112</v>
      </c>
      <c r="J1" s="723"/>
      <c r="K1" s="726" t="s">
        <v>117</v>
      </c>
      <c r="L1" s="727"/>
      <c r="M1" s="727"/>
      <c r="N1" s="727"/>
      <c r="O1" s="727"/>
    </row>
    <row r="2" spans="1:16" ht="29.5" thickBot="1" x14ac:dyDescent="0.4">
      <c r="A2" s="150" t="s">
        <v>113</v>
      </c>
      <c r="B2" s="132" t="s">
        <v>118</v>
      </c>
      <c r="C2" s="150" t="s">
        <v>116</v>
      </c>
      <c r="D2" s="150" t="s">
        <v>119</v>
      </c>
      <c r="E2" s="161" t="s">
        <v>4</v>
      </c>
      <c r="F2" s="133" t="s">
        <v>3</v>
      </c>
      <c r="G2" s="132" t="s">
        <v>111</v>
      </c>
      <c r="H2" s="133" t="s">
        <v>110</v>
      </c>
      <c r="I2" s="132" t="s">
        <v>111</v>
      </c>
      <c r="J2" s="178" t="s">
        <v>110</v>
      </c>
      <c r="K2" s="173" t="s">
        <v>114</v>
      </c>
      <c r="L2" s="173" t="s">
        <v>115</v>
      </c>
      <c r="M2" s="174" t="s">
        <v>122</v>
      </c>
      <c r="N2" s="174" t="s">
        <v>123</v>
      </c>
      <c r="O2" s="174" t="s">
        <v>124</v>
      </c>
    </row>
    <row r="3" spans="1:16" x14ac:dyDescent="0.35">
      <c r="A3" s="2">
        <v>1</v>
      </c>
      <c r="B3" s="145"/>
      <c r="C3" s="151">
        <v>44351</v>
      </c>
      <c r="D3" s="153">
        <v>0.29901620370370369</v>
      </c>
      <c r="E3" s="152" t="s">
        <v>120</v>
      </c>
      <c r="F3" s="131">
        <v>100</v>
      </c>
      <c r="G3" s="168">
        <f>'Count 1 '!AY3</f>
        <v>182.37569221690171</v>
      </c>
      <c r="H3" s="134">
        <f>'Count 1 '!AZ3</f>
        <v>13.535578185888395</v>
      </c>
      <c r="I3" s="163">
        <f>'Count 1 '!BM3</f>
        <v>5.0298250732932397</v>
      </c>
      <c r="J3" s="134">
        <f>'Count 1 '!BN3</f>
        <v>5.1563295653556755</v>
      </c>
      <c r="K3" s="2">
        <v>53.961779999999997</v>
      </c>
      <c r="L3" s="2">
        <v>8.6221599999999992</v>
      </c>
      <c r="M3" s="2">
        <v>5</v>
      </c>
      <c r="N3" s="17">
        <v>23.781700000000001</v>
      </c>
      <c r="O3" s="177">
        <v>13.5352</v>
      </c>
      <c r="P3" s="2"/>
    </row>
    <row r="4" spans="1:16" x14ac:dyDescent="0.35">
      <c r="A4" s="2">
        <v>2</v>
      </c>
      <c r="B4" s="145"/>
      <c r="C4" s="151">
        <v>44351</v>
      </c>
      <c r="D4" s="153">
        <v>0.3833333333333333</v>
      </c>
      <c r="E4" s="152" t="s">
        <v>120</v>
      </c>
      <c r="F4" s="131">
        <v>200.4</v>
      </c>
      <c r="G4" s="168">
        <f>'Count 1 '!AY4</f>
        <v>59.208786898340122</v>
      </c>
      <c r="H4" s="134">
        <f>'Count 1 '!AZ4</f>
        <v>3.615847451042332</v>
      </c>
      <c r="I4" s="163">
        <f>'Count 1 '!BM4</f>
        <v>2.0150675802887461</v>
      </c>
      <c r="J4" s="134">
        <f>'Count 1 '!BN4</f>
        <v>2.0468403083910545</v>
      </c>
      <c r="K4" s="2">
        <v>54.000100000000003</v>
      </c>
      <c r="L4" s="2">
        <v>8.0989000000000004</v>
      </c>
      <c r="M4" s="2">
        <v>5</v>
      </c>
      <c r="N4" s="2">
        <v>30.702110000000001</v>
      </c>
      <c r="O4" s="2">
        <v>10.413690000000001</v>
      </c>
      <c r="P4" s="2"/>
    </row>
    <row r="5" spans="1:16" x14ac:dyDescent="0.35">
      <c r="A5" s="143">
        <v>3</v>
      </c>
      <c r="B5" s="146"/>
      <c r="C5" s="151">
        <v>44351</v>
      </c>
      <c r="D5" s="154">
        <v>0.4368055555555555</v>
      </c>
      <c r="E5" s="152" t="s">
        <v>120</v>
      </c>
      <c r="F5" s="131">
        <v>200.5</v>
      </c>
      <c r="G5" s="169">
        <f>'Count 1 '!AY5</f>
        <v>8.1852113071826764</v>
      </c>
      <c r="H5" s="135">
        <f>'Count 1 '!AZ5</f>
        <v>0.57694263783862909</v>
      </c>
      <c r="I5" s="164">
        <f>'Count 1 '!BM5</f>
        <v>0.78059536043845557</v>
      </c>
      <c r="J5" s="135">
        <f>'Count 1 '!BN5</f>
        <v>0.1608226149068773</v>
      </c>
      <c r="K5" s="143">
        <v>54.061120000000003</v>
      </c>
      <c r="L5" s="143">
        <v>8.01586</v>
      </c>
      <c r="M5" s="2">
        <v>5</v>
      </c>
      <c r="N5" s="2">
        <v>29.88147</v>
      </c>
      <c r="O5" s="2">
        <v>11.59498</v>
      </c>
      <c r="P5" s="2"/>
    </row>
    <row r="6" spans="1:16" x14ac:dyDescent="0.35">
      <c r="A6" s="143">
        <v>4</v>
      </c>
      <c r="B6" s="145"/>
      <c r="C6" s="151">
        <v>44351</v>
      </c>
      <c r="D6" s="153">
        <v>0.56527777777777777</v>
      </c>
      <c r="E6" s="152" t="s">
        <v>120</v>
      </c>
      <c r="F6" s="131">
        <v>197.5</v>
      </c>
      <c r="G6" s="168">
        <f>'Count 1 '!AY6</f>
        <v>40.60990034401938</v>
      </c>
      <c r="H6" s="134">
        <f>'Count 1 '!AZ6</f>
        <v>3.194919360223007</v>
      </c>
      <c r="I6" s="163">
        <f>'Count 1 '!BM6</f>
        <v>1.2834593853108378</v>
      </c>
      <c r="J6" s="134">
        <f>'Count 1 '!BN6</f>
        <v>1.3126590656722903</v>
      </c>
      <c r="K6" s="143">
        <v>54.400179999999999</v>
      </c>
      <c r="L6" s="143">
        <v>8.0985600000000009</v>
      </c>
      <c r="M6" s="2">
        <v>5</v>
      </c>
      <c r="N6" s="2">
        <v>29.0976</v>
      </c>
      <c r="O6" s="2">
        <v>12.361050000000001</v>
      </c>
      <c r="P6" s="2"/>
    </row>
    <row r="7" spans="1:16" x14ac:dyDescent="0.35">
      <c r="A7" s="143">
        <v>5</v>
      </c>
      <c r="B7" s="147"/>
      <c r="C7" s="151">
        <v>44351</v>
      </c>
      <c r="D7" s="155">
        <v>0.73263888888888884</v>
      </c>
      <c r="E7" s="152" t="s">
        <v>120</v>
      </c>
      <c r="F7" s="131">
        <v>199.6</v>
      </c>
      <c r="G7" s="170">
        <f>'Count 1 '!AY7</f>
        <v>1.1445668033287966</v>
      </c>
      <c r="H7" s="136">
        <f>'Count 1 '!AZ7</f>
        <v>9.8814886680027511E-2</v>
      </c>
      <c r="I7" s="165">
        <f>'Count 1 '!BM7</f>
        <v>0.1526690094169863</v>
      </c>
      <c r="J7" s="136">
        <f>'Count 1 '!BN7</f>
        <v>0.15916138982632622</v>
      </c>
      <c r="K7" s="143">
        <v>54.999200000000002</v>
      </c>
      <c r="L7" s="143">
        <v>8.0988399999999992</v>
      </c>
      <c r="M7" s="2">
        <v>5</v>
      </c>
      <c r="N7" s="2">
        <v>29.692049999999998</v>
      </c>
      <c r="O7" s="2">
        <v>12.325900000000001</v>
      </c>
      <c r="P7" s="2"/>
    </row>
    <row r="8" spans="1:16" x14ac:dyDescent="0.35">
      <c r="A8" s="143">
        <v>6</v>
      </c>
      <c r="B8" s="145"/>
      <c r="C8" s="151">
        <v>44351</v>
      </c>
      <c r="D8" s="153">
        <v>0.83333333333333337</v>
      </c>
      <c r="E8" s="152" t="s">
        <v>120</v>
      </c>
      <c r="F8" s="131">
        <v>170.1</v>
      </c>
      <c r="G8" s="168">
        <f>'Count 1 '!AY8</f>
        <v>12.236300749963361</v>
      </c>
      <c r="H8" s="134">
        <f>'Count 1 '!AZ8</f>
        <v>0.80778032848705161</v>
      </c>
      <c r="I8" s="163">
        <f>'Count 1 '!BM8</f>
        <v>1.0019042003091148</v>
      </c>
      <c r="J8" s="134">
        <f>'Count 1 '!BN8</f>
        <v>0.15574621110549139</v>
      </c>
      <c r="K8" s="143">
        <v>54.99868</v>
      </c>
      <c r="L8" s="143">
        <v>7.4985200000000001</v>
      </c>
      <c r="M8" s="2">
        <v>5</v>
      </c>
      <c r="N8" s="2">
        <v>30.509</v>
      </c>
      <c r="O8" s="2">
        <v>13.2544</v>
      </c>
      <c r="P8" s="2"/>
    </row>
    <row r="9" spans="1:16" x14ac:dyDescent="0.35">
      <c r="A9" s="143">
        <v>7</v>
      </c>
      <c r="B9" s="148"/>
      <c r="C9" s="151">
        <v>44351</v>
      </c>
      <c r="D9" s="156">
        <v>0.22916666666666666</v>
      </c>
      <c r="E9" s="152" t="s">
        <v>120</v>
      </c>
      <c r="F9" s="131">
        <v>166.7</v>
      </c>
      <c r="G9" s="171">
        <f>'Count 1 '!AY9</f>
        <v>24.857040619505607</v>
      </c>
      <c r="H9" s="137">
        <f>'Count 1 '!AZ9</f>
        <v>1.7971401575834864</v>
      </c>
      <c r="I9" s="166">
        <f>'Count 1 '!BM9</f>
        <v>1.241474780968159</v>
      </c>
      <c r="J9" s="137">
        <f>'Count 1 '!BN9</f>
        <v>1.2531088696141506</v>
      </c>
      <c r="K9" s="143">
        <v>54.399679999999996</v>
      </c>
      <c r="L9" s="143">
        <v>7.4993400000000001</v>
      </c>
      <c r="M9" s="2">
        <v>5</v>
      </c>
      <c r="N9" s="2">
        <v>31.626239999999999</v>
      </c>
      <c r="O9" s="2">
        <v>11.569129999999999</v>
      </c>
      <c r="P9" s="2"/>
    </row>
    <row r="10" spans="1:16" x14ac:dyDescent="0.35">
      <c r="A10" s="143">
        <v>8</v>
      </c>
      <c r="B10" s="149"/>
      <c r="C10" s="151">
        <v>44351</v>
      </c>
      <c r="D10" s="157">
        <v>0.84930555555555554</v>
      </c>
      <c r="E10" s="152" t="s">
        <v>120</v>
      </c>
      <c r="F10" s="131">
        <v>187</v>
      </c>
      <c r="G10" s="172">
        <f>'Count 1 '!AY10</f>
        <v>15.723903162006703</v>
      </c>
      <c r="H10" s="138">
        <f>'Count 1 '!AZ10</f>
        <v>1.0387438388322803</v>
      </c>
      <c r="I10" s="167">
        <f>'Count 1 '!BM10</f>
        <v>0.74787115736975851</v>
      </c>
      <c r="J10" s="138">
        <f>'Count 1 '!BN10</f>
        <v>0.76040021710217143</v>
      </c>
      <c r="K10" s="143">
        <v>53.999760000000002</v>
      </c>
      <c r="L10" s="143">
        <v>7.5001199999999999</v>
      </c>
      <c r="M10" s="2">
        <v>5</v>
      </c>
      <c r="N10" s="2">
        <v>32.301169999999999</v>
      </c>
      <c r="O10" s="2">
        <v>12.7273</v>
      </c>
      <c r="P10" s="2"/>
    </row>
    <row r="11" spans="1:16" x14ac:dyDescent="0.35">
      <c r="A11" s="2">
        <v>9</v>
      </c>
      <c r="B11" s="147"/>
      <c r="C11" s="151">
        <v>44352</v>
      </c>
      <c r="D11" s="155">
        <v>0.43333333333333335</v>
      </c>
      <c r="E11" s="152" t="s">
        <v>120</v>
      </c>
      <c r="F11" s="48">
        <v>167.9</v>
      </c>
      <c r="G11" s="170">
        <f>'Count 1 '!AY11</f>
        <v>4.2926831424290857</v>
      </c>
      <c r="H11" s="136">
        <f>'Count 1 '!AZ11</f>
        <v>0.31890284992998863</v>
      </c>
      <c r="I11" s="165">
        <f>'Count 1 '!BM11</f>
        <v>0.45219903892696023</v>
      </c>
      <c r="J11" s="136">
        <f>'Count 1 '!BN11</f>
        <v>0.46144241217161247</v>
      </c>
      <c r="K11" s="2">
        <v>53.981760000000001</v>
      </c>
      <c r="L11" s="2">
        <v>7.0025000000000004</v>
      </c>
      <c r="M11" s="2">
        <v>5</v>
      </c>
      <c r="N11" s="2">
        <v>33.205800000000004</v>
      </c>
      <c r="O11" s="2">
        <v>12.069100000000001</v>
      </c>
      <c r="P11" s="2"/>
    </row>
    <row r="12" spans="1:16" x14ac:dyDescent="0.35">
      <c r="A12" s="143">
        <v>10</v>
      </c>
      <c r="B12" s="147"/>
      <c r="C12" s="151">
        <v>44352</v>
      </c>
      <c r="D12" s="155">
        <v>0.55763888888888891</v>
      </c>
      <c r="E12" s="152" t="s">
        <v>120</v>
      </c>
      <c r="F12" s="131">
        <v>175.5</v>
      </c>
      <c r="G12" s="170">
        <f>'Count 1 '!AY12</f>
        <v>18.418608857589096</v>
      </c>
      <c r="H12" s="136">
        <f>'Count 1 '!AZ12</f>
        <v>1.1809130828908969</v>
      </c>
      <c r="I12" s="165">
        <f>'Count 1 '!BM12</f>
        <v>1.2714562585019173</v>
      </c>
      <c r="J12" s="136">
        <f>'Count 1 '!BN12</f>
        <v>0.2062774814451297</v>
      </c>
      <c r="K12" s="143">
        <v>54.398800000000001</v>
      </c>
      <c r="L12" s="143">
        <v>6.9981200000000001</v>
      </c>
      <c r="M12" s="2">
        <v>5</v>
      </c>
      <c r="N12" s="2">
        <v>33.202150000000003</v>
      </c>
      <c r="O12" s="2">
        <v>9.9753000000000007</v>
      </c>
      <c r="P12" s="2"/>
    </row>
    <row r="13" spans="1:16" x14ac:dyDescent="0.35">
      <c r="A13" s="2">
        <v>11</v>
      </c>
      <c r="B13" s="147"/>
      <c r="C13" s="151">
        <v>44352</v>
      </c>
      <c r="D13" s="158">
        <v>0.79791666666666661</v>
      </c>
      <c r="E13" s="152" t="s">
        <v>120</v>
      </c>
      <c r="F13" s="131">
        <v>200.1</v>
      </c>
      <c r="G13" s="170">
        <f>'Count 1 '!AY13</f>
        <v>10.713554976317095</v>
      </c>
      <c r="H13" s="136">
        <f>'Count 1 '!AZ13</f>
        <v>0.8714293417289255</v>
      </c>
      <c r="I13" s="165">
        <f>'Count 1 '!BM13</f>
        <v>0.5755664668370809</v>
      </c>
      <c r="J13" s="136">
        <f>'Count 1 '!BN13</f>
        <v>0.58431888322810188</v>
      </c>
      <c r="K13" s="2">
        <v>54.809440000000002</v>
      </c>
      <c r="L13" s="2">
        <v>6.7428600000000003</v>
      </c>
      <c r="M13" s="2">
        <v>5</v>
      </c>
      <c r="N13" s="2">
        <v>33.243000000000002</v>
      </c>
      <c r="O13" s="2">
        <v>12.960100000000001</v>
      </c>
      <c r="P13" s="2"/>
    </row>
    <row r="14" spans="1:16" s="704" customFormat="1" x14ac:dyDescent="0.35">
      <c r="A14" s="697">
        <v>11</v>
      </c>
      <c r="B14" s="708"/>
      <c r="C14" s="699">
        <v>44352</v>
      </c>
      <c r="D14" s="709">
        <v>0.79791666666666661</v>
      </c>
      <c r="E14" s="701" t="s">
        <v>133</v>
      </c>
      <c r="F14" s="702">
        <v>200.1</v>
      </c>
      <c r="G14" s="388">
        <f>'Count 1 '!AY14</f>
        <v>0</v>
      </c>
      <c r="H14" s="703">
        <f>'Count 1 '!AZ14</f>
        <v>0</v>
      </c>
      <c r="I14" s="389">
        <f>'Count 1 '!BM14</f>
        <v>-4.7050035269225375E-2</v>
      </c>
      <c r="J14" s="703">
        <f>'Count 1 '!BN14</f>
        <v>-0.16521685313054951</v>
      </c>
      <c r="K14" s="697">
        <v>54.809440000000002</v>
      </c>
      <c r="L14" s="697">
        <v>6.7428600000000003</v>
      </c>
      <c r="M14" s="697">
        <v>5</v>
      </c>
      <c r="N14" s="697">
        <v>33.243000000000002</v>
      </c>
      <c r="O14" s="697">
        <v>12.960100000000001</v>
      </c>
      <c r="P14" s="697"/>
    </row>
    <row r="15" spans="1:16" x14ac:dyDescent="0.35">
      <c r="A15" s="2">
        <v>12</v>
      </c>
      <c r="B15" s="148"/>
      <c r="C15" s="151">
        <v>44352</v>
      </c>
      <c r="D15" s="156">
        <v>0.875</v>
      </c>
      <c r="E15" s="152" t="s">
        <v>120</v>
      </c>
      <c r="F15" s="131">
        <v>185.7</v>
      </c>
      <c r="G15" s="170">
        <f>'Count 1 '!AY15</f>
        <v>13.223417816674219</v>
      </c>
      <c r="H15" s="136">
        <f>'Count 1 '!AZ15</f>
        <v>0.8316873589931415</v>
      </c>
      <c r="I15" s="165">
        <f>'Count 1 '!BM15</f>
        <v>0.65551527036321755</v>
      </c>
      <c r="J15" s="136">
        <f>'Count 1 '!BN15</f>
        <v>0.12574117962776468</v>
      </c>
      <c r="K15" s="2">
        <v>55.000799999999998</v>
      </c>
      <c r="L15" s="2">
        <v>6.9999000000000002</v>
      </c>
      <c r="M15" s="2">
        <v>5</v>
      </c>
      <c r="N15" s="2">
        <v>33.325099999999999</v>
      </c>
      <c r="O15" s="2">
        <v>12.395350000000001</v>
      </c>
      <c r="P15" s="2"/>
    </row>
    <row r="16" spans="1:16" x14ac:dyDescent="0.35">
      <c r="A16" s="2">
        <v>13</v>
      </c>
      <c r="B16" s="149"/>
      <c r="C16" s="151">
        <v>44353</v>
      </c>
      <c r="D16" s="157">
        <v>0.22916666666666666</v>
      </c>
      <c r="E16" s="152" t="s">
        <v>120</v>
      </c>
      <c r="F16" s="131">
        <v>179.5</v>
      </c>
      <c r="G16" s="170">
        <f>'Count 1 '!AY16</f>
        <v>3.3171561297482985</v>
      </c>
      <c r="H16" s="136">
        <f>'Count 1 '!AZ16</f>
        <v>0.2441597825128512</v>
      </c>
      <c r="I16" s="165">
        <f>'Count 1 '!BM16</f>
        <v>0.36488715236964953</v>
      </c>
      <c r="J16" s="136">
        <f>'Count 1 '!BN16</f>
        <v>0.37199174190047424</v>
      </c>
      <c r="K16" s="2">
        <v>54.999659999999999</v>
      </c>
      <c r="L16" s="2">
        <v>6.4998800000000001</v>
      </c>
      <c r="M16" s="2">
        <v>5</v>
      </c>
      <c r="N16" s="2">
        <v>33.520699999999998</v>
      </c>
      <c r="O16" s="2">
        <v>12.8345</v>
      </c>
      <c r="P16" s="2"/>
    </row>
    <row r="17" spans="1:16" s="685" customFormat="1" x14ac:dyDescent="0.35">
      <c r="A17" s="677">
        <v>13</v>
      </c>
      <c r="B17" s="678">
        <v>2</v>
      </c>
      <c r="C17" s="679">
        <v>44353</v>
      </c>
      <c r="D17" s="680">
        <v>0.25555555555555559</v>
      </c>
      <c r="E17" s="681" t="s">
        <v>121</v>
      </c>
      <c r="F17" s="682">
        <v>66.599999999999994</v>
      </c>
      <c r="G17" s="170">
        <f>'Count 1 '!AY17</f>
        <v>46.912439691141479</v>
      </c>
      <c r="H17" s="683">
        <f>'Count 1 '!AZ17</f>
        <v>3.4863196874598184</v>
      </c>
      <c r="I17" s="165">
        <f>'Count 1 '!BM17</f>
        <v>2.3745211798524597</v>
      </c>
      <c r="J17" s="683">
        <f>'Count 1 '!BN17</f>
        <v>2.4042274299930368</v>
      </c>
      <c r="K17" s="677">
        <v>54.999659999999999</v>
      </c>
      <c r="L17" s="677">
        <v>6.4998800000000001</v>
      </c>
      <c r="M17" s="684">
        <v>43</v>
      </c>
      <c r="N17" s="677">
        <v>34.118749999999999</v>
      </c>
      <c r="O17" s="677">
        <v>9.1715180000000007</v>
      </c>
      <c r="P17" s="677"/>
    </row>
    <row r="18" spans="1:16" x14ac:dyDescent="0.35">
      <c r="A18" s="2">
        <v>14</v>
      </c>
      <c r="B18" s="146"/>
      <c r="C18" s="151">
        <v>44353</v>
      </c>
      <c r="D18" s="154">
        <v>0.40625</v>
      </c>
      <c r="E18" s="152" t="s">
        <v>120</v>
      </c>
      <c r="F18" s="131">
        <v>181.3</v>
      </c>
      <c r="G18" s="170">
        <f>'Count 1 '!AY18</f>
        <v>21.769752896673268</v>
      </c>
      <c r="H18" s="136">
        <f>'Count 1 '!AZ18</f>
        <v>1.4242175075182015</v>
      </c>
      <c r="I18" s="165">
        <f>'Count 1 '!BM18</f>
        <v>1.5945122724187215</v>
      </c>
      <c r="J18" s="136">
        <f>'Count 1 '!BN18</f>
        <v>0.255734609694304</v>
      </c>
      <c r="K18" s="2">
        <v>54.400100000000002</v>
      </c>
      <c r="L18" s="2">
        <v>6.5006599999999999</v>
      </c>
      <c r="M18" s="2">
        <v>5</v>
      </c>
      <c r="N18" s="2">
        <v>34.088160000000002</v>
      </c>
      <c r="O18" s="2">
        <v>11.849690000000001</v>
      </c>
      <c r="P18" s="2"/>
    </row>
    <row r="19" spans="1:16" s="685" customFormat="1" x14ac:dyDescent="0.35">
      <c r="A19" s="677">
        <v>14</v>
      </c>
      <c r="B19" s="686">
        <v>2</v>
      </c>
      <c r="C19" s="679">
        <v>44353</v>
      </c>
      <c r="D19" s="687">
        <v>0.4291666666666667</v>
      </c>
      <c r="E19" s="681" t="s">
        <v>121</v>
      </c>
      <c r="F19" s="682">
        <v>70.614000000000004</v>
      </c>
      <c r="G19" s="170">
        <f>'Count 1 '!AY19</f>
        <v>35.10326526332878</v>
      </c>
      <c r="H19" s="683">
        <f>'Count 1 '!AZ19</f>
        <v>2.499457581914021</v>
      </c>
      <c r="I19" s="165">
        <f>'Count 1 '!BM19</f>
        <v>2.0033311132077647</v>
      </c>
      <c r="J19" s="683">
        <f>'Count 1 '!BN19</f>
        <v>2.041741743237373</v>
      </c>
      <c r="K19" s="677">
        <v>54.400100000000002</v>
      </c>
      <c r="L19" s="677">
        <v>6.5006599999999999</v>
      </c>
      <c r="M19" s="684">
        <v>36</v>
      </c>
      <c r="N19" s="677">
        <v>34.160899999999998</v>
      </c>
      <c r="O19" s="677">
        <v>10.1972</v>
      </c>
      <c r="P19" s="677"/>
    </row>
    <row r="20" spans="1:16" x14ac:dyDescent="0.35">
      <c r="A20" s="2">
        <v>15</v>
      </c>
      <c r="B20" s="147"/>
      <c r="C20" s="151">
        <v>44353</v>
      </c>
      <c r="D20" s="155">
        <v>0.55555555555555558</v>
      </c>
      <c r="E20" s="152" t="s">
        <v>120</v>
      </c>
      <c r="F20" s="131">
        <v>194.1</v>
      </c>
      <c r="G20" s="170">
        <f>'Count 1 '!AY20</f>
        <v>29.599107743827393</v>
      </c>
      <c r="H20" s="136">
        <f>'Count 1 '!AZ20</f>
        <v>1.8055066909616526</v>
      </c>
      <c r="I20" s="165">
        <f>'Count 1 '!BM20</f>
        <v>1.2070450414211518</v>
      </c>
      <c r="J20" s="136">
        <f>'Count 1 '!BN20</f>
        <v>0.23430248924371175</v>
      </c>
      <c r="K20" s="2">
        <v>53.989179999999998</v>
      </c>
      <c r="L20" s="2">
        <v>6.2285000000000004</v>
      </c>
      <c r="M20" s="2">
        <v>5</v>
      </c>
      <c r="N20" s="2">
        <v>33.352179999999997</v>
      </c>
      <c r="O20" s="2">
        <v>12.1999</v>
      </c>
      <c r="P20" s="2"/>
    </row>
    <row r="21" spans="1:16" s="685" customFormat="1" x14ac:dyDescent="0.35">
      <c r="A21" s="677">
        <v>15</v>
      </c>
      <c r="B21" s="686">
        <v>11</v>
      </c>
      <c r="C21" s="679">
        <v>44353</v>
      </c>
      <c r="D21" s="687">
        <v>0.79166666666666663</v>
      </c>
      <c r="E21" s="681" t="s">
        <v>121</v>
      </c>
      <c r="F21" s="688">
        <v>56</v>
      </c>
      <c r="G21" s="170">
        <f>'Count 1 '!AY21</f>
        <v>28.925300435419881</v>
      </c>
      <c r="H21" s="683">
        <f>'Count 1 '!AZ21</f>
        <v>2.2955768841780713</v>
      </c>
      <c r="I21" s="165">
        <f>'Count 1 '!BM21</f>
        <v>1.7572379371347422</v>
      </c>
      <c r="J21" s="683">
        <f>'Count 1 '!BN21</f>
        <v>1.7997154522281533</v>
      </c>
      <c r="K21" s="677">
        <v>53.989179999999998</v>
      </c>
      <c r="L21" s="677">
        <v>6.2285000000000004</v>
      </c>
      <c r="M21" s="684">
        <v>28</v>
      </c>
      <c r="N21" s="677">
        <v>33.610199999999999</v>
      </c>
      <c r="O21" s="677">
        <v>11.484</v>
      </c>
      <c r="P21" s="677"/>
    </row>
    <row r="22" spans="1:16" x14ac:dyDescent="0.35">
      <c r="A22" s="2">
        <v>16</v>
      </c>
      <c r="B22" s="148"/>
      <c r="C22" s="151">
        <v>44353</v>
      </c>
      <c r="D22" s="156">
        <v>0.71250000000000002</v>
      </c>
      <c r="E22" s="152" t="s">
        <v>120</v>
      </c>
      <c r="F22" s="131">
        <v>199.9</v>
      </c>
      <c r="G22" s="170">
        <f>'Count 1 '!AY22</f>
        <v>38.729933077057375</v>
      </c>
      <c r="H22" s="136">
        <f>'Count 1 '!AZ22</f>
        <v>3.1623523105816163</v>
      </c>
      <c r="I22" s="165">
        <f>'Count 1 '!BM22</f>
        <v>1.5257834771235614</v>
      </c>
      <c r="J22" s="136">
        <f>'Count 1 '!BN22</f>
        <v>1.5564549132304324</v>
      </c>
      <c r="K22" s="2">
        <v>53.80048</v>
      </c>
      <c r="L22" s="2">
        <v>6.5015999999999998</v>
      </c>
      <c r="M22" s="2">
        <v>5</v>
      </c>
      <c r="N22" s="2">
        <v>32.4572</v>
      </c>
      <c r="O22" s="2">
        <v>12.914199999999999</v>
      </c>
      <c r="P22" s="2"/>
    </row>
    <row r="23" spans="1:16" x14ac:dyDescent="0.35">
      <c r="A23" s="2">
        <v>17</v>
      </c>
      <c r="B23" s="149"/>
      <c r="C23" s="151">
        <v>44353</v>
      </c>
      <c r="D23" s="157">
        <v>0.89583333333333337</v>
      </c>
      <c r="E23" s="152" t="s">
        <v>120</v>
      </c>
      <c r="F23" s="131">
        <v>199.9</v>
      </c>
      <c r="G23" s="170">
        <f>'Count 1 '!AY23</f>
        <v>18.242235866726048</v>
      </c>
      <c r="H23" s="136">
        <f>'Count 1 '!AZ23</f>
        <v>1.1321530340922885</v>
      </c>
      <c r="I23" s="165">
        <f>'Count 1 '!BM23</f>
        <v>1.113134192170278</v>
      </c>
      <c r="J23" s="136">
        <f>'Count 1 '!BN23</f>
        <v>1.1261939273600134</v>
      </c>
      <c r="K23" s="2">
        <v>54.400440000000003</v>
      </c>
      <c r="L23" s="2">
        <v>6.0563799999999999</v>
      </c>
      <c r="M23" s="2">
        <v>5</v>
      </c>
      <c r="N23" s="2">
        <v>34.055700000000002</v>
      </c>
      <c r="O23" s="2">
        <v>11.87237</v>
      </c>
      <c r="P23" s="2"/>
    </row>
    <row r="24" spans="1:16" s="685" customFormat="1" x14ac:dyDescent="0.35">
      <c r="A24" s="677">
        <v>17</v>
      </c>
      <c r="B24" s="678">
        <v>2</v>
      </c>
      <c r="C24" s="679">
        <v>44353</v>
      </c>
      <c r="D24" s="680">
        <v>0.92569444444444438</v>
      </c>
      <c r="E24" s="681" t="s">
        <v>121</v>
      </c>
      <c r="F24" s="689">
        <v>58</v>
      </c>
      <c r="G24" s="170">
        <f>'Count 1 '!AY24</f>
        <v>14.202868731310266</v>
      </c>
      <c r="H24" s="683">
        <f>'Count 1 '!AZ24</f>
        <v>1.3031413815346304</v>
      </c>
      <c r="I24" s="165">
        <f>'Count 1 '!BM24</f>
        <v>0.8798733743425603</v>
      </c>
      <c r="J24" s="683">
        <f>'Count 1 '!BN24</f>
        <v>0.90875937887669278</v>
      </c>
      <c r="K24" s="690">
        <v>54.400440000000003</v>
      </c>
      <c r="L24" s="677">
        <v>6.0563799999999999</v>
      </c>
      <c r="M24" s="684">
        <v>37.85</v>
      </c>
      <c r="N24" s="677">
        <v>34.137300000000003</v>
      </c>
      <c r="O24" s="677">
        <v>10.1004</v>
      </c>
      <c r="P24" s="677"/>
    </row>
    <row r="25" spans="1:16" x14ac:dyDescent="0.35">
      <c r="A25" s="144">
        <v>18</v>
      </c>
      <c r="B25" s="146"/>
      <c r="C25" s="151">
        <v>44354</v>
      </c>
      <c r="D25" s="154">
        <v>5.319444444444444E-2</v>
      </c>
      <c r="E25" s="152" t="s">
        <v>120</v>
      </c>
      <c r="F25" s="135">
        <v>193.8</v>
      </c>
      <c r="G25" s="170">
        <f>'Count 1 '!AY25</f>
        <v>9.1999084486196097</v>
      </c>
      <c r="H25" s="136">
        <f>'Count 1 '!AZ25</f>
        <v>0.62252700871620559</v>
      </c>
      <c r="I25" s="165">
        <f>'Count 1 '!BM25</f>
        <v>0.85492719324978284</v>
      </c>
      <c r="J25" s="136">
        <f>'Count 1 '!BN25</f>
        <v>0.86275077744922346</v>
      </c>
      <c r="K25" s="143">
        <v>54.400939999999999</v>
      </c>
      <c r="L25" s="143">
        <v>5.2499200000000004</v>
      </c>
      <c r="M25" s="144">
        <v>5</v>
      </c>
      <c r="N25" s="143">
        <v>34.145800000000001</v>
      </c>
      <c r="O25" s="143">
        <v>12.476599999999999</v>
      </c>
      <c r="P25" s="2"/>
    </row>
    <row r="26" spans="1:16" s="685" customFormat="1" x14ac:dyDescent="0.35">
      <c r="A26" s="677">
        <v>18</v>
      </c>
      <c r="B26" s="686">
        <v>2</v>
      </c>
      <c r="C26" s="679">
        <v>44354</v>
      </c>
      <c r="D26" s="687">
        <v>8.1932870370370378E-2</v>
      </c>
      <c r="E26" s="681" t="s">
        <v>121</v>
      </c>
      <c r="F26" s="688">
        <v>60.04</v>
      </c>
      <c r="G26" s="170">
        <f>'Count 1 '!AY26</f>
        <v>16.281579154232261</v>
      </c>
      <c r="H26" s="683">
        <f>'Count 1 '!AZ26</f>
        <v>1.5562341684031011</v>
      </c>
      <c r="I26" s="165">
        <f>'Count 1 '!BM26</f>
        <v>0.90708199357675912</v>
      </c>
      <c r="J26" s="683">
        <f>'Count 1 '!BN26</f>
        <v>0.93185434095668784</v>
      </c>
      <c r="K26" s="690">
        <v>54.400939999999999</v>
      </c>
      <c r="L26" s="677">
        <v>5.2499200000000004</v>
      </c>
      <c r="M26" s="684">
        <v>39</v>
      </c>
      <c r="N26" s="677">
        <v>34.304000000000002</v>
      </c>
      <c r="O26" s="677">
        <v>9.5902999999999992</v>
      </c>
      <c r="P26" s="677"/>
    </row>
    <row r="27" spans="1:16" x14ac:dyDescent="0.35">
      <c r="A27" s="2">
        <v>19</v>
      </c>
      <c r="B27" s="147"/>
      <c r="C27" s="151">
        <v>44354</v>
      </c>
      <c r="D27" s="155">
        <v>0.25</v>
      </c>
      <c r="E27" s="152" t="s">
        <v>120</v>
      </c>
      <c r="F27" s="136">
        <v>200.2</v>
      </c>
      <c r="G27" s="170">
        <f>'Count 1 '!AY27</f>
        <v>17.994788912680534</v>
      </c>
      <c r="H27" s="136">
        <f>'Count 1 '!AZ27</f>
        <v>1.1159904150371327</v>
      </c>
      <c r="I27" s="165">
        <f>'Count 1 '!BM27</f>
        <v>0.85289327712346286</v>
      </c>
      <c r="J27" s="136">
        <f>'Count 1 '!BN27</f>
        <v>0.16206602611117418</v>
      </c>
      <c r="K27" s="2">
        <v>53.799660000000003</v>
      </c>
      <c r="L27" s="2">
        <v>5.25082</v>
      </c>
      <c r="M27" s="2">
        <v>5</v>
      </c>
      <c r="N27" s="2">
        <v>34.088700000000003</v>
      </c>
      <c r="O27" s="2">
        <v>12.909599999999999</v>
      </c>
      <c r="P27" s="2"/>
    </row>
    <row r="28" spans="1:16" x14ac:dyDescent="0.35">
      <c r="A28" s="2">
        <v>20</v>
      </c>
      <c r="B28" s="149"/>
      <c r="C28" s="151">
        <v>44354</v>
      </c>
      <c r="D28" s="157">
        <v>0.45833333333333331</v>
      </c>
      <c r="E28" s="152" t="s">
        <v>120</v>
      </c>
      <c r="F28" s="138">
        <v>200.1</v>
      </c>
      <c r="G28" s="170">
        <f>'Count 1 '!AY28</f>
        <v>24.440264435149018</v>
      </c>
      <c r="H28" s="136">
        <f>'Count 1 '!AZ28</f>
        <v>1.9286893167560963</v>
      </c>
      <c r="I28" s="165">
        <f>'Count 1 '!BM28</f>
        <v>0.92400575451696287</v>
      </c>
      <c r="J28" s="136">
        <f>'Count 1 '!BN28</f>
        <v>0.94085483099283618</v>
      </c>
      <c r="K28" s="143">
        <v>53.200420000000001</v>
      </c>
      <c r="L28" s="143">
        <v>4.4981400000000002</v>
      </c>
      <c r="M28" s="144">
        <v>5</v>
      </c>
      <c r="N28" s="143">
        <v>33.684399999999997</v>
      </c>
      <c r="O28" s="143">
        <v>13.339399999999999</v>
      </c>
      <c r="P28" s="2"/>
    </row>
    <row r="29" spans="1:16" x14ac:dyDescent="0.35">
      <c r="A29" s="2">
        <v>21</v>
      </c>
      <c r="B29" s="146"/>
      <c r="C29" s="151">
        <v>44354</v>
      </c>
      <c r="D29" s="154">
        <v>0.65277777777777779</v>
      </c>
      <c r="E29" s="152" t="s">
        <v>120</v>
      </c>
      <c r="F29" s="135">
        <v>201.1</v>
      </c>
      <c r="G29" s="170">
        <f>'Count 1 '!AY29</f>
        <v>27.138931632114129</v>
      </c>
      <c r="H29" s="136">
        <f>'Count 1 '!AZ29</f>
        <v>1.5574487448220313</v>
      </c>
      <c r="I29" s="165">
        <f>'Count 1 '!BM29</f>
        <v>1.1841206075053632</v>
      </c>
      <c r="J29" s="136">
        <f>'Count 1 '!BN29</f>
        <v>0.20773885462139977</v>
      </c>
      <c r="K29" s="2">
        <v>52.599620000000002</v>
      </c>
      <c r="L29" s="2">
        <v>4.1118800000000002</v>
      </c>
      <c r="M29" s="2">
        <v>5</v>
      </c>
      <c r="N29" s="2">
        <v>33.588200000000001</v>
      </c>
      <c r="O29" s="2">
        <v>13.160500000000001</v>
      </c>
      <c r="P29" s="2"/>
    </row>
    <row r="30" spans="1:16" x14ac:dyDescent="0.35">
      <c r="A30" s="2">
        <v>22</v>
      </c>
      <c r="B30" s="145"/>
      <c r="C30" s="151">
        <v>44355</v>
      </c>
      <c r="D30" s="153">
        <v>5.9722222222222225E-2</v>
      </c>
      <c r="E30" s="152" t="s">
        <v>120</v>
      </c>
      <c r="F30" s="131">
        <v>200.2</v>
      </c>
      <c r="G30" s="170">
        <f>'Count 1 '!AY30</f>
        <v>21.120118572651183</v>
      </c>
      <c r="H30" s="136">
        <f>'Count 1 '!AZ30</f>
        <v>1.6737660387805791</v>
      </c>
      <c r="I30" s="165">
        <f>'Count 1 '!BM30</f>
        <v>1.0370008462877316</v>
      </c>
      <c r="J30" s="136">
        <f>'Count 1 '!BN30</f>
        <v>1.0525325364957663</v>
      </c>
      <c r="K30" s="2">
        <v>51.501779999999997</v>
      </c>
      <c r="L30" s="2">
        <v>1.9993799999999999</v>
      </c>
      <c r="M30" s="2">
        <v>5</v>
      </c>
      <c r="N30" s="2">
        <v>34.876800000000003</v>
      </c>
      <c r="O30" s="2">
        <v>12.6837</v>
      </c>
      <c r="P30" s="2"/>
    </row>
    <row r="31" spans="1:16" x14ac:dyDescent="0.35">
      <c r="A31" s="2">
        <v>23</v>
      </c>
      <c r="B31" s="146"/>
      <c r="C31" s="151">
        <v>44355</v>
      </c>
      <c r="D31" s="154">
        <v>0.20138888888888887</v>
      </c>
      <c r="E31" s="152" t="s">
        <v>120</v>
      </c>
      <c r="F31" s="131">
        <v>190.8</v>
      </c>
      <c r="G31" s="170">
        <f>'Count 1 '!AY31</f>
        <v>24.949449513641028</v>
      </c>
      <c r="H31" s="136">
        <f>'Count 1 '!AZ31</f>
        <v>1.4539433191495799</v>
      </c>
      <c r="I31" s="165">
        <f>'Count 1 '!BM31</f>
        <v>1.1321289173908591</v>
      </c>
      <c r="J31" s="136">
        <f>'Count 1 '!BN31</f>
        <v>0.19503694234366431</v>
      </c>
      <c r="K31" s="2">
        <v>51.999780000000001</v>
      </c>
      <c r="L31" s="2">
        <v>2.4992800000000002</v>
      </c>
      <c r="M31" s="2">
        <v>5</v>
      </c>
      <c r="N31" s="2">
        <v>35.043900000000001</v>
      </c>
      <c r="O31" s="2">
        <v>12.3062</v>
      </c>
      <c r="P31" s="2"/>
    </row>
    <row r="32" spans="1:16" x14ac:dyDescent="0.35">
      <c r="A32" s="2">
        <v>24</v>
      </c>
      <c r="B32" s="147"/>
      <c r="C32" s="151">
        <v>44355</v>
      </c>
      <c r="D32" s="155">
        <v>0.37152777777777773</v>
      </c>
      <c r="E32" s="152" t="s">
        <v>120</v>
      </c>
      <c r="F32" s="131">
        <v>200.7</v>
      </c>
      <c r="G32" s="170">
        <f>'Count 1 '!AY32</f>
        <v>17.43414823097665</v>
      </c>
      <c r="H32" s="136">
        <f>'Count 1 '!AZ32</f>
        <v>1.1316969867267868</v>
      </c>
      <c r="I32" s="165">
        <f>'Count 1 '!BM32</f>
        <v>1.1816693972301155</v>
      </c>
      <c r="J32" s="136">
        <f>'Count 1 '!BN32</f>
        <v>1.1967786689831006</v>
      </c>
      <c r="K32" s="2">
        <v>52.6</v>
      </c>
      <c r="L32" s="2">
        <v>2.4998399999999998</v>
      </c>
      <c r="M32" s="2">
        <v>5</v>
      </c>
      <c r="N32" s="2">
        <v>33.646599999999999</v>
      </c>
      <c r="O32" s="2">
        <v>11.332800000000001</v>
      </c>
      <c r="P32" s="2"/>
    </row>
    <row r="33" spans="1:16" x14ac:dyDescent="0.35">
      <c r="A33" s="2">
        <v>25</v>
      </c>
      <c r="B33" s="147"/>
      <c r="C33" s="151">
        <v>44355</v>
      </c>
      <c r="D33" s="155">
        <v>0.52777777777777779</v>
      </c>
      <c r="E33" s="152" t="s">
        <v>120</v>
      </c>
      <c r="F33" s="131">
        <v>199.9</v>
      </c>
      <c r="G33" s="170">
        <f>'Count 1 '!AY33</f>
        <v>0.57452386221585194</v>
      </c>
      <c r="H33" s="136">
        <f>'Count 1 '!AZ33</f>
        <v>4.806536324415326E-2</v>
      </c>
      <c r="I33" s="165">
        <f>'Count 1 '!BM33</f>
        <v>0.40549710381471771</v>
      </c>
      <c r="J33" s="136">
        <f>'Count 1 '!BN33</f>
        <v>7.4982146042325476E-2</v>
      </c>
      <c r="K33" s="2">
        <v>53.201239999999999</v>
      </c>
      <c r="L33" s="2">
        <v>2.5005600000000001</v>
      </c>
      <c r="M33" s="2">
        <v>5</v>
      </c>
      <c r="N33" s="2">
        <v>33.879300000000001</v>
      </c>
      <c r="O33" s="2">
        <v>11.812200000000001</v>
      </c>
      <c r="P33" s="2"/>
    </row>
    <row r="34" spans="1:16" s="704" customFormat="1" x14ac:dyDescent="0.35">
      <c r="A34" s="697">
        <v>25</v>
      </c>
      <c r="B34" s="708"/>
      <c r="C34" s="699">
        <v>44355</v>
      </c>
      <c r="D34" s="709">
        <v>0.52777777777777779</v>
      </c>
      <c r="E34" s="701" t="s">
        <v>133</v>
      </c>
      <c r="F34" s="702">
        <v>199.9</v>
      </c>
      <c r="G34" s="388">
        <f>'Count 1 '!AY34</f>
        <v>0</v>
      </c>
      <c r="H34" s="703">
        <f>'Count 1 '!AZ34</f>
        <v>0</v>
      </c>
      <c r="I34" s="389">
        <f>'Count 1 '!BM34</f>
        <v>5.9587038444440486E-2</v>
      </c>
      <c r="J34" s="703">
        <f>'Count 1 '!BN34</f>
        <v>6.4049668688027986E-2</v>
      </c>
      <c r="K34" s="697">
        <v>53.201239999999999</v>
      </c>
      <c r="L34" s="697">
        <v>2.5005600000000001</v>
      </c>
      <c r="M34" s="697">
        <v>5</v>
      </c>
      <c r="N34" s="697">
        <v>33.879300000000001</v>
      </c>
      <c r="O34" s="697">
        <v>11.812200000000001</v>
      </c>
      <c r="P34" s="697"/>
    </row>
    <row r="35" spans="1:16" x14ac:dyDescent="0.35">
      <c r="A35" s="2">
        <v>26</v>
      </c>
      <c r="B35" s="145"/>
      <c r="C35" s="151">
        <v>44355</v>
      </c>
      <c r="D35" s="153">
        <v>0.75902777777777775</v>
      </c>
      <c r="E35" s="152" t="s">
        <v>120</v>
      </c>
      <c r="F35" s="131">
        <v>200</v>
      </c>
      <c r="G35" s="170">
        <f>'Count 1 '!AY35</f>
        <v>38.042796025561728</v>
      </c>
      <c r="H35" s="136">
        <f>'Count 1 '!AZ35</f>
        <v>1.9592149888107568</v>
      </c>
      <c r="I35" s="165">
        <f>'Count 1 '!BM35</f>
        <v>1.1760808580867133</v>
      </c>
      <c r="J35" s="136">
        <f>'Count 1 '!BN35</f>
        <v>1.1908224664117661</v>
      </c>
      <c r="K35" s="2">
        <v>53.800240000000002</v>
      </c>
      <c r="L35" s="2">
        <v>1.49878</v>
      </c>
      <c r="M35" s="2">
        <v>5</v>
      </c>
      <c r="N35" s="2">
        <v>34.546399999999998</v>
      </c>
      <c r="O35" s="2">
        <v>10.7699</v>
      </c>
      <c r="P35" s="2"/>
    </row>
    <row r="36" spans="1:16" x14ac:dyDescent="0.35">
      <c r="A36" s="2">
        <v>27</v>
      </c>
      <c r="B36" s="146"/>
      <c r="C36" s="151">
        <v>44355</v>
      </c>
      <c r="D36" s="154">
        <v>0.90763888888888899</v>
      </c>
      <c r="E36" s="152" t="s">
        <v>120</v>
      </c>
      <c r="F36" s="131">
        <v>200.3</v>
      </c>
      <c r="G36" s="170">
        <f>'Count 1 '!AY36</f>
        <v>31.487510940969507</v>
      </c>
      <c r="H36" s="136">
        <f>'Count 1 '!AZ36</f>
        <v>1.9920698509186798</v>
      </c>
      <c r="I36" s="165">
        <f>'Count 1 '!BM36</f>
        <v>0.88644011106074883</v>
      </c>
      <c r="J36" s="136">
        <f>'Count 1 '!BN36</f>
        <v>0.21099561501310707</v>
      </c>
      <c r="K36" s="2">
        <v>53.801000000000002</v>
      </c>
      <c r="L36" s="2">
        <v>0.49953999999999998</v>
      </c>
      <c r="M36" s="2">
        <v>5</v>
      </c>
      <c r="N36" s="2">
        <v>34.287599999999998</v>
      </c>
      <c r="O36" s="2">
        <v>10.208</v>
      </c>
      <c r="P36" s="2"/>
    </row>
    <row r="37" spans="1:16" s="685" customFormat="1" x14ac:dyDescent="0.35">
      <c r="A37" s="677">
        <v>32</v>
      </c>
      <c r="B37" s="691">
        <v>2</v>
      </c>
      <c r="C37" s="679">
        <v>44357</v>
      </c>
      <c r="D37" s="692">
        <v>0.24944444444444444</v>
      </c>
      <c r="E37" s="681" t="s">
        <v>121</v>
      </c>
      <c r="F37" s="682">
        <v>79.599999999999994</v>
      </c>
      <c r="G37" s="170">
        <f>'Count 1 '!AY37</f>
        <v>10.534039785821449</v>
      </c>
      <c r="H37" s="683">
        <f>'Count 1 '!AZ37</f>
        <v>0.94780200731695941</v>
      </c>
      <c r="I37" s="165">
        <f>'Count 1 '!BM37</f>
        <v>0.59057896049185987</v>
      </c>
      <c r="J37" s="683">
        <f>'Count 1 '!BN37</f>
        <v>0.1598485250493128</v>
      </c>
      <c r="K37" s="677">
        <v>59.000059999999998</v>
      </c>
      <c r="L37" s="677">
        <v>0.501</v>
      </c>
      <c r="M37" s="693">
        <v>135</v>
      </c>
      <c r="N37" s="677">
        <v>35.054900000000004</v>
      </c>
      <c r="O37" s="677">
        <v>6.9360999999999997</v>
      </c>
      <c r="P37" s="677"/>
    </row>
    <row r="38" spans="1:16" s="704" customFormat="1" x14ac:dyDescent="0.35">
      <c r="A38" s="697">
        <v>32</v>
      </c>
      <c r="B38" s="698"/>
      <c r="C38" s="699">
        <v>44357</v>
      </c>
      <c r="D38" s="700">
        <v>0.24944444444444444</v>
      </c>
      <c r="E38" s="701" t="s">
        <v>133</v>
      </c>
      <c r="F38" s="702">
        <v>79.599999999999994</v>
      </c>
      <c r="G38" s="388">
        <f>'Count 1 '!AY38</f>
        <v>0</v>
      </c>
      <c r="H38" s="703">
        <f>'Count 1 '!AZ38</f>
        <v>0</v>
      </c>
      <c r="I38" s="389">
        <f>'Count 1 '!BM38</f>
        <v>1.3798916414116506E-2</v>
      </c>
      <c r="J38" s="703">
        <f>'Count 1 '!BN38</f>
        <v>1.0877517026076484E-2</v>
      </c>
      <c r="K38" s="697">
        <v>59.000059999999998</v>
      </c>
      <c r="L38" s="697">
        <v>0.501</v>
      </c>
      <c r="M38" s="697">
        <v>135</v>
      </c>
      <c r="N38" s="697">
        <v>35.054900000000004</v>
      </c>
      <c r="O38" s="697">
        <v>6.9360999999999997</v>
      </c>
      <c r="P38" s="697"/>
    </row>
    <row r="39" spans="1:16" x14ac:dyDescent="0.35">
      <c r="A39" s="143">
        <v>43</v>
      </c>
      <c r="B39" s="147"/>
      <c r="C39" s="151">
        <v>44361</v>
      </c>
      <c r="D39" s="155">
        <v>0.19027777777777777</v>
      </c>
      <c r="E39" s="152" t="s">
        <v>120</v>
      </c>
      <c r="F39" s="131">
        <v>200.1</v>
      </c>
      <c r="G39" s="170">
        <f>'Count 1 '!AY39</f>
        <v>-1.6526106383273107</v>
      </c>
      <c r="H39" s="136">
        <f>'Count 1 '!AZ39</f>
        <v>-0.29781692622018141</v>
      </c>
      <c r="I39" s="165">
        <f>'Count 1 '!BM39</f>
        <v>4.5852511110372203E-2</v>
      </c>
      <c r="J39" s="136">
        <f>'Count 1 '!BN39</f>
        <v>1.9394295182690962E-2</v>
      </c>
      <c r="K39" s="143">
        <v>55.000100000000003</v>
      </c>
      <c r="L39" s="143">
        <v>2.5009000000000001</v>
      </c>
      <c r="M39" s="143">
        <v>5</v>
      </c>
      <c r="N39" s="143">
        <v>34.764299999999999</v>
      </c>
      <c r="O39" s="143">
        <v>14.423</v>
      </c>
      <c r="P39" s="2"/>
    </row>
    <row r="40" spans="1:16" s="685" customFormat="1" x14ac:dyDescent="0.35">
      <c r="A40" s="677">
        <v>43</v>
      </c>
      <c r="B40" s="686"/>
      <c r="C40" s="679"/>
      <c r="D40" s="687"/>
      <c r="E40" s="681"/>
      <c r="F40" s="682"/>
      <c r="G40" s="170">
        <f>'Count 1 '!AY40</f>
        <v>27.881800264367229</v>
      </c>
      <c r="H40" s="683">
        <f>'Count 1 '!AZ40</f>
        <v>1.8649381641483154</v>
      </c>
      <c r="I40" s="165">
        <f>'Count 1 '!BM40</f>
        <v>0.61982023475191872</v>
      </c>
      <c r="J40" s="683">
        <f>'Count 1 '!BN40</f>
        <v>0.64548664635811415</v>
      </c>
      <c r="K40" s="677"/>
      <c r="L40" s="677"/>
      <c r="M40" s="677"/>
      <c r="N40" s="677"/>
      <c r="O40" s="677"/>
      <c r="P40" s="677"/>
    </row>
    <row r="41" spans="1:16" x14ac:dyDescent="0.35">
      <c r="A41" s="143">
        <v>44</v>
      </c>
      <c r="B41" s="147"/>
      <c r="C41" s="151">
        <v>44361</v>
      </c>
      <c r="D41" s="157">
        <v>0.53125</v>
      </c>
      <c r="E41" s="152" t="s">
        <v>120</v>
      </c>
      <c r="F41" s="131">
        <v>200.4</v>
      </c>
      <c r="G41" s="170">
        <f>'Count 1 '!AY41</f>
        <v>29.321185951978414</v>
      </c>
      <c r="H41" s="136">
        <f>'Count 1 '!AZ41</f>
        <v>1.9233681402938685</v>
      </c>
      <c r="I41" s="165">
        <f>'Count 1 '!BM41</f>
        <v>1.5209408806894</v>
      </c>
      <c r="J41" s="136">
        <f>'Count 1 '!BN41</f>
        <v>0.27676015423684097</v>
      </c>
      <c r="K41" s="143">
        <v>53.799399999999999</v>
      </c>
      <c r="L41" s="143">
        <v>2.75034</v>
      </c>
      <c r="M41" s="143">
        <v>5</v>
      </c>
      <c r="N41" s="143">
        <v>34.500999999999998</v>
      </c>
      <c r="O41" s="143">
        <v>12.3796</v>
      </c>
      <c r="P41" s="2"/>
    </row>
    <row r="42" spans="1:16" s="685" customFormat="1" x14ac:dyDescent="0.35">
      <c r="A42" s="677">
        <v>44</v>
      </c>
      <c r="B42" s="694">
        <v>1</v>
      </c>
      <c r="C42" s="679">
        <v>44361</v>
      </c>
      <c r="D42" s="695">
        <v>0.53125</v>
      </c>
      <c r="E42" s="681" t="s">
        <v>121</v>
      </c>
      <c r="F42" s="682">
        <v>90.5</v>
      </c>
      <c r="G42" s="170">
        <f>'Count 1 '!AY42</f>
        <v>37.29933286802315</v>
      </c>
      <c r="H42" s="683">
        <f>'Count 1 '!AZ42</f>
        <v>2.7060086146142788</v>
      </c>
      <c r="I42" s="165">
        <f>'Count 1 '!BM42</f>
        <v>1.8361743208412409</v>
      </c>
      <c r="J42" s="683">
        <f>'Count 1 '!BN42</f>
        <v>1.8543838174876759</v>
      </c>
      <c r="K42" s="677">
        <v>53.799399999999999</v>
      </c>
      <c r="L42" s="677">
        <v>2.75034</v>
      </c>
      <c r="M42" s="684">
        <v>35</v>
      </c>
      <c r="N42" s="677">
        <v>34.472099999999998</v>
      </c>
      <c r="O42" s="677">
        <v>10.5334</v>
      </c>
      <c r="P42" s="677"/>
    </row>
    <row r="43" spans="1:16" s="704" customFormat="1" x14ac:dyDescent="0.35">
      <c r="A43" s="697">
        <v>44</v>
      </c>
      <c r="B43" s="705"/>
      <c r="C43" s="699">
        <v>44361</v>
      </c>
      <c r="D43" s="706">
        <v>0.53125</v>
      </c>
      <c r="E43" s="701" t="s">
        <v>133</v>
      </c>
      <c r="F43" s="702">
        <v>90.5</v>
      </c>
      <c r="G43" s="388">
        <f>'Count 1 '!AY43</f>
        <v>0</v>
      </c>
      <c r="H43" s="703">
        <f>'Count 1 '!AZ43</f>
        <v>0</v>
      </c>
      <c r="I43" s="389">
        <f>'Count 1 '!BM43</f>
        <v>-8.2721837757348364E-3</v>
      </c>
      <c r="J43" s="703">
        <f>'Count 1 '!BN43</f>
        <v>-9.9848740845557629E-3</v>
      </c>
      <c r="K43" s="697">
        <v>53.799399999999999</v>
      </c>
      <c r="L43" s="697">
        <v>2.75034</v>
      </c>
      <c r="M43" s="707">
        <v>35</v>
      </c>
      <c r="N43" s="697">
        <v>34.472099999999998</v>
      </c>
      <c r="O43" s="697">
        <v>10.5334</v>
      </c>
      <c r="P43" s="697"/>
    </row>
    <row r="44" spans="1:16" x14ac:dyDescent="0.35">
      <c r="A44" s="143">
        <v>45</v>
      </c>
      <c r="B44" s="139"/>
      <c r="C44" s="151">
        <v>44361</v>
      </c>
      <c r="D44" s="159">
        <v>0.79861111111111116</v>
      </c>
      <c r="E44" s="152" t="s">
        <v>120</v>
      </c>
      <c r="F44" s="48">
        <v>200.1</v>
      </c>
      <c r="G44" s="170">
        <f>'Count 1 '!AY44</f>
        <v>-0.81640427689438455</v>
      </c>
      <c r="H44" s="136">
        <f>'Count 1 '!AZ44</f>
        <v>-7.8546730413669399E-2</v>
      </c>
      <c r="I44" s="165">
        <f>'Count 1 '!BM44</f>
        <v>0.11012569067982431</v>
      </c>
      <c r="J44" s="136">
        <f>'Count 1 '!BN44</f>
        <v>0.11585317803997502</v>
      </c>
      <c r="K44" s="143">
        <v>54.400219999999997</v>
      </c>
      <c r="L44" s="143">
        <v>3.9990399999999999</v>
      </c>
      <c r="M44" s="2">
        <v>5</v>
      </c>
      <c r="N44" s="143">
        <v>34.395000000000003</v>
      </c>
      <c r="O44" s="143">
        <v>14.645099999999999</v>
      </c>
      <c r="P44" s="2"/>
    </row>
    <row r="45" spans="1:16" s="685" customFormat="1" x14ac:dyDescent="0.35">
      <c r="A45" s="677">
        <v>45</v>
      </c>
      <c r="B45" s="690"/>
      <c r="C45" s="679">
        <v>44361</v>
      </c>
      <c r="D45" s="696">
        <v>0.79861111111111116</v>
      </c>
      <c r="E45" s="681" t="s">
        <v>121</v>
      </c>
      <c r="F45" s="682">
        <v>104</v>
      </c>
      <c r="G45" s="170">
        <f>'Count 1 '!AY45</f>
        <v>32.357968141273183</v>
      </c>
      <c r="H45" s="683">
        <f>'Count 1 '!AZ45</f>
        <v>1.9416482239657087</v>
      </c>
      <c r="I45" s="165">
        <f>'Count 1 '!BM45</f>
        <v>1.9095631929323347</v>
      </c>
      <c r="J45" s="683">
        <f>'Count 1 '!BN45</f>
        <v>0.31018613711088167</v>
      </c>
      <c r="K45" s="677">
        <v>54.400219999999997</v>
      </c>
      <c r="L45" s="677">
        <v>3.9990399999999999</v>
      </c>
      <c r="M45" s="684">
        <v>39.299999999999997</v>
      </c>
      <c r="N45" s="677">
        <v>34.413800000000002</v>
      </c>
      <c r="O45" s="677">
        <v>8.3265999999999991</v>
      </c>
      <c r="P45" s="677"/>
    </row>
    <row r="46" spans="1:16" x14ac:dyDescent="0.35">
      <c r="A46" s="2">
        <v>46</v>
      </c>
      <c r="C46" s="151">
        <v>44361</v>
      </c>
      <c r="D46" s="160">
        <v>0.99652777777777779</v>
      </c>
      <c r="E46" s="152" t="s">
        <v>120</v>
      </c>
      <c r="F46" s="48">
        <v>199.9</v>
      </c>
      <c r="G46" s="170">
        <f>'Count 1 '!AY46</f>
        <v>-0.77308237074842834</v>
      </c>
      <c r="H46" s="136">
        <f>'Count 1 '!AZ46</f>
        <v>-7.5170559822999125E-2</v>
      </c>
      <c r="I46" s="165">
        <f>'Count 1 '!BM46</f>
        <v>0.37578061024715631</v>
      </c>
      <c r="J46" s="136">
        <f>'Count 1 '!BN46</f>
        <v>7.5838831830123909E-2</v>
      </c>
      <c r="K46" s="143">
        <v>54.999740000000003</v>
      </c>
      <c r="L46" s="143">
        <v>3.5013000000000001</v>
      </c>
      <c r="M46" s="2">
        <v>5</v>
      </c>
      <c r="N46" s="143">
        <v>34.499000000000002</v>
      </c>
      <c r="O46" s="143">
        <v>14.2278</v>
      </c>
      <c r="P46" s="2"/>
    </row>
    <row r="47" spans="1:16" x14ac:dyDescent="0.35">
      <c r="A47" s="2">
        <v>47</v>
      </c>
      <c r="C47" s="151">
        <v>44362</v>
      </c>
      <c r="D47" s="160">
        <v>0.16666666666666666</v>
      </c>
      <c r="E47" s="152" t="s">
        <v>120</v>
      </c>
      <c r="F47" s="48">
        <v>200.5</v>
      </c>
      <c r="G47" s="170">
        <f>'Count 1 '!AY47</f>
        <v>0.30164841155634109</v>
      </c>
      <c r="H47" s="136">
        <f>'Count 1 '!AZ47</f>
        <v>2.8812973248336232E-2</v>
      </c>
      <c r="I47" s="165">
        <f>'Count 1 '!BM47</f>
        <v>0.2109726579163152</v>
      </c>
      <c r="J47" s="136">
        <f>'Count 1 '!BN47</f>
        <v>0.21738736122402169</v>
      </c>
      <c r="K47" s="143">
        <v>55.499639999999999</v>
      </c>
      <c r="L47" s="143">
        <v>4.1718599999999997</v>
      </c>
      <c r="M47" s="2">
        <v>5</v>
      </c>
      <c r="N47" s="143">
        <v>34.8185</v>
      </c>
      <c r="O47" s="143">
        <v>14.0952</v>
      </c>
      <c r="P47" s="2"/>
    </row>
    <row r="48" spans="1:16" s="685" customFormat="1" x14ac:dyDescent="0.35">
      <c r="A48" s="677">
        <v>47</v>
      </c>
      <c r="B48" s="690"/>
      <c r="C48" s="679">
        <v>44362</v>
      </c>
      <c r="D48" s="696">
        <v>0.1763888888888889</v>
      </c>
      <c r="E48" s="681" t="s">
        <v>121</v>
      </c>
      <c r="F48" s="682">
        <v>77.2</v>
      </c>
      <c r="G48" s="170">
        <f>'Count 1 '!AY48</f>
        <v>10.892548485327408</v>
      </c>
      <c r="H48" s="683">
        <f>'Count 1 '!AZ48</f>
        <v>0.86778827781662971</v>
      </c>
      <c r="I48" s="165">
        <f>'Count 1 '!BM48</f>
        <v>0.56963233388405354</v>
      </c>
      <c r="J48" s="683">
        <f>'Count 1 '!BN48</f>
        <v>0.58931455267881683</v>
      </c>
      <c r="K48" s="677">
        <v>55.499639999999999</v>
      </c>
      <c r="L48" s="677">
        <v>4.1718599999999997</v>
      </c>
      <c r="M48" s="684">
        <v>25.2</v>
      </c>
      <c r="N48" s="677">
        <v>34.677599999999998</v>
      </c>
      <c r="O48" s="677">
        <v>10.25</v>
      </c>
      <c r="P48" s="677"/>
    </row>
    <row r="49" spans="1:16" x14ac:dyDescent="0.35">
      <c r="A49" s="2">
        <v>49</v>
      </c>
      <c r="C49" s="151">
        <v>44362</v>
      </c>
      <c r="D49" s="160">
        <v>0.65277777777777779</v>
      </c>
      <c r="E49" s="152" t="s">
        <v>120</v>
      </c>
      <c r="F49" s="131">
        <v>200</v>
      </c>
      <c r="G49" s="170">
        <f>'Count 1 '!AY49</f>
        <v>0.62711774260740438</v>
      </c>
      <c r="H49" s="136">
        <f>'Count 1 '!AZ49</f>
        <v>5.4979344362651249E-2</v>
      </c>
      <c r="I49" s="165">
        <f>'Count 1 '!BM49</f>
        <v>5.1919441674989505E-2</v>
      </c>
      <c r="J49" s="136">
        <f>'Count 1 '!BN49</f>
        <v>2.1771337799503979E-2</v>
      </c>
      <c r="K49" s="143">
        <v>55.999760000000002</v>
      </c>
      <c r="L49" s="143">
        <v>5.0003599999999997</v>
      </c>
      <c r="M49" s="2">
        <v>5</v>
      </c>
      <c r="N49" s="143">
        <v>34.653500000000001</v>
      </c>
      <c r="O49" s="143">
        <v>14.145200000000001</v>
      </c>
      <c r="P49" s="2"/>
    </row>
    <row r="50" spans="1:16" x14ac:dyDescent="0.35">
      <c r="A50" s="2">
        <v>50</v>
      </c>
      <c r="C50" s="151">
        <v>44362</v>
      </c>
      <c r="D50" s="160">
        <v>0.86249999999999993</v>
      </c>
      <c r="E50" s="152" t="s">
        <v>120</v>
      </c>
      <c r="F50" s="131">
        <v>199.9</v>
      </c>
      <c r="G50" s="170">
        <f>'Count 1 '!AY50</f>
        <v>-1.7075707223402445</v>
      </c>
      <c r="H50" s="136">
        <f>'Count 1 '!AZ50</f>
        <v>-0.14437963472697057</v>
      </c>
      <c r="I50" s="165">
        <f>'Count 1 '!BM50</f>
        <v>0.1734526844100214</v>
      </c>
      <c r="J50" s="136">
        <f>'Count 1 '!BN50</f>
        <v>0.17890118518311415</v>
      </c>
      <c r="K50" s="175">
        <v>56.000399999999999</v>
      </c>
      <c r="L50" s="143">
        <v>6.5002399999999998</v>
      </c>
      <c r="M50" s="2">
        <v>5</v>
      </c>
      <c r="N50" s="143">
        <v>34.0976</v>
      </c>
      <c r="O50" s="143">
        <v>13.4655</v>
      </c>
      <c r="P50" s="2"/>
    </row>
    <row r="51" spans="1:16" x14ac:dyDescent="0.35">
      <c r="L51" s="2"/>
      <c r="M51" s="2"/>
    </row>
  </sheetData>
  <autoFilter ref="A2:O42"/>
  <mergeCells count="4">
    <mergeCell ref="G1:H1"/>
    <mergeCell ref="I1:J1"/>
    <mergeCell ref="A1:F1"/>
    <mergeCell ref="K1:O1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O62"/>
  <sheetViews>
    <sheetView topLeftCell="A10" zoomScale="88" zoomScaleNormal="88" workbookViewId="0">
      <pane xSplit="1" topLeftCell="F1" activePane="topRight" state="frozen"/>
      <selection pane="topRight" activeCell="K3" sqref="K3"/>
    </sheetView>
  </sheetViews>
  <sheetFormatPr defaultColWidth="10.83203125" defaultRowHeight="15.5" x14ac:dyDescent="0.35"/>
  <cols>
    <col min="1" max="1" width="14.1640625" style="16" customWidth="1"/>
    <col min="2" max="2" width="7.1640625" style="17" customWidth="1"/>
    <col min="3" max="3" width="10.83203125" style="12" customWidth="1"/>
    <col min="4" max="4" width="13" style="13" customWidth="1"/>
    <col min="5" max="5" width="7.25" style="19" customWidth="1"/>
    <col min="6" max="6" width="9.58203125" style="551" customWidth="1"/>
    <col min="7" max="7" width="9.83203125" style="528" customWidth="1"/>
    <col min="8" max="8" width="10.5" style="12" bestFit="1" customWidth="1"/>
    <col min="9" max="9" width="11.33203125" style="13" bestFit="1" customWidth="1"/>
    <col min="10" max="10" width="11.33203125" style="93" customWidth="1"/>
    <col min="11" max="11" width="11.33203125" style="17" customWidth="1"/>
    <col min="12" max="12" width="11.83203125" style="17" bestFit="1" customWidth="1"/>
    <col min="13" max="13" width="6.6640625" style="89" bestFit="1" customWidth="1"/>
    <col min="14" max="14" width="6.5" style="90" customWidth="1"/>
    <col min="15" max="16" width="8" style="99" customWidth="1"/>
    <col min="17" max="17" width="8.6640625" style="538" customWidth="1"/>
    <col min="18" max="18" width="8.1640625" style="535" customWidth="1"/>
    <col min="19" max="19" width="6.6640625" style="12" customWidth="1"/>
    <col min="20" max="20" width="6.6640625" style="547" customWidth="1"/>
    <col min="21" max="21" width="7.1640625" style="547" bestFit="1" customWidth="1"/>
    <col min="22" max="22" width="6.6640625" style="48" customWidth="1"/>
    <col min="23" max="23" width="6.83203125" style="12" customWidth="1"/>
    <col min="24" max="24" width="6.83203125" style="547" customWidth="1"/>
    <col min="25" max="25" width="7.1640625" style="547" bestFit="1" customWidth="1"/>
    <col min="26" max="26" width="6.83203125" style="48" customWidth="1"/>
    <col min="27" max="27" width="6.33203125" style="12" customWidth="1"/>
    <col min="28" max="28" width="6.33203125" style="141" customWidth="1"/>
    <col min="29" max="29" width="7.75" style="12" customWidth="1"/>
    <col min="30" max="30" width="5.33203125" style="12" customWidth="1"/>
    <col min="31" max="31" width="9" style="12" customWidth="1"/>
    <col min="32" max="32" width="8.5" style="12" customWidth="1"/>
    <col min="33" max="33" width="12.5" style="12" bestFit="1" customWidth="1"/>
    <col min="34" max="34" width="6.5" style="202" customWidth="1"/>
    <col min="35" max="35" width="7.33203125" style="100" customWidth="1"/>
    <col min="36" max="36" width="8.6640625" style="12" customWidth="1"/>
    <col min="37" max="37" width="6.6640625" style="100" customWidth="1"/>
    <col min="38" max="38" width="8.1640625" style="12" customWidth="1"/>
    <col min="39" max="39" width="6.83203125" style="17" customWidth="1"/>
    <col min="40" max="40" width="9.9140625" style="558" customWidth="1"/>
    <col min="41" max="41" width="8.33203125" style="18" customWidth="1"/>
    <col min="42" max="42" width="9.08203125" style="18" customWidth="1"/>
    <col min="43" max="43" width="7.33203125" style="18" customWidth="1"/>
    <col min="44" max="44" width="8.5" style="18" customWidth="1"/>
    <col min="45" max="45" width="7.33203125" style="12" customWidth="1"/>
    <col min="46" max="46" width="17.08203125" style="654" customWidth="1"/>
    <col min="47" max="47" width="10.83203125" style="569"/>
    <col min="48" max="48" width="10.83203125" style="570"/>
    <col min="49" max="49" width="10.33203125" style="561" customWidth="1"/>
    <col min="50" max="50" width="9" style="18" customWidth="1"/>
    <col min="51" max="51" width="10.83203125" style="115"/>
    <col min="52" max="52" width="10.83203125" style="116"/>
    <col min="53" max="53" width="6.33203125" style="130" customWidth="1"/>
    <col min="54" max="54" width="5.83203125" style="651" customWidth="1"/>
    <col min="55" max="55" width="7.83203125" style="18" customWidth="1"/>
    <col min="56" max="56" width="5.83203125" style="128" customWidth="1"/>
    <col min="57" max="58" width="5.83203125" style="12" customWidth="1"/>
    <col min="59" max="59" width="7" style="12" customWidth="1"/>
    <col min="60" max="60" width="5.6640625" style="12" customWidth="1"/>
    <col min="61" max="61" width="9.83203125" style="12" customWidth="1"/>
    <col min="62" max="62" width="10.83203125" style="12"/>
    <col min="63" max="63" width="10.83203125" style="111"/>
    <col min="64" max="64" width="10.83203125" style="112"/>
    <col min="65" max="65" width="10.83203125" style="115"/>
    <col min="66" max="66" width="10.83203125" style="116"/>
    <col min="67" max="67" width="6.33203125" style="130" customWidth="1"/>
    <col min="68" max="16384" width="10.83203125" style="12"/>
  </cols>
  <sheetData>
    <row r="1" spans="1:67" s="43" customFormat="1" ht="20" thickBot="1" x14ac:dyDescent="0.5">
      <c r="A1" s="41"/>
      <c r="B1" s="42"/>
      <c r="C1" s="731" t="s">
        <v>10</v>
      </c>
      <c r="D1" s="731"/>
      <c r="E1" s="41"/>
      <c r="F1" s="550"/>
      <c r="G1" s="527"/>
      <c r="H1" s="732" t="s">
        <v>24</v>
      </c>
      <c r="I1" s="732"/>
      <c r="J1" s="732"/>
      <c r="K1" s="732"/>
      <c r="L1" s="732"/>
      <c r="M1" s="732"/>
      <c r="N1" s="732"/>
      <c r="O1" s="733" t="s">
        <v>189</v>
      </c>
      <c r="P1" s="734"/>
      <c r="Q1" s="733" t="s">
        <v>63</v>
      </c>
      <c r="R1" s="734"/>
      <c r="S1" s="735" t="s">
        <v>51</v>
      </c>
      <c r="T1" s="736"/>
      <c r="U1" s="736"/>
      <c r="V1" s="734"/>
      <c r="W1" s="735" t="s">
        <v>59</v>
      </c>
      <c r="X1" s="736"/>
      <c r="Y1" s="736"/>
      <c r="Z1" s="734"/>
      <c r="AA1" s="737" t="s">
        <v>187</v>
      </c>
      <c r="AB1" s="738"/>
      <c r="AC1" s="738"/>
      <c r="AD1" s="738"/>
      <c r="AE1" s="738"/>
      <c r="AF1" s="738"/>
      <c r="AG1" s="102"/>
      <c r="AH1" s="596"/>
      <c r="AI1" s="739" t="s">
        <v>193</v>
      </c>
      <c r="AJ1" s="739"/>
      <c r="AK1" s="739"/>
      <c r="AL1" s="739"/>
      <c r="AM1" s="553"/>
      <c r="AN1" s="555"/>
      <c r="AO1" s="123"/>
      <c r="AP1" s="123"/>
      <c r="AQ1" s="123"/>
      <c r="AR1" s="123"/>
      <c r="AS1" s="102"/>
      <c r="AT1" s="655" t="s">
        <v>201</v>
      </c>
      <c r="AU1" s="740" t="s">
        <v>197</v>
      </c>
      <c r="AV1" s="741"/>
      <c r="AW1" s="742" t="s">
        <v>198</v>
      </c>
      <c r="AX1" s="743"/>
      <c r="AY1" s="728" t="s">
        <v>96</v>
      </c>
      <c r="AZ1" s="729"/>
      <c r="BA1" s="730"/>
      <c r="BB1" s="744" t="s">
        <v>200</v>
      </c>
      <c r="BC1" s="745"/>
      <c r="BD1" s="745"/>
      <c r="BE1" s="745"/>
      <c r="BF1" s="745"/>
      <c r="BG1" s="745"/>
      <c r="BH1" s="745"/>
      <c r="BI1" s="745"/>
      <c r="BJ1" s="746"/>
      <c r="BK1" s="107"/>
      <c r="BL1" s="108"/>
      <c r="BM1" s="728" t="s">
        <v>106</v>
      </c>
      <c r="BN1" s="729"/>
      <c r="BO1" s="730"/>
    </row>
    <row r="2" spans="1:67" s="44" customFormat="1" ht="53" customHeight="1" thickTop="1" thickBot="1" x14ac:dyDescent="0.4">
      <c r="A2" s="44" t="s">
        <v>0</v>
      </c>
      <c r="B2" s="44" t="s">
        <v>14</v>
      </c>
      <c r="C2" s="44" t="s">
        <v>1</v>
      </c>
      <c r="D2" s="44" t="s">
        <v>153</v>
      </c>
      <c r="E2" s="44" t="s">
        <v>4</v>
      </c>
      <c r="F2" s="101" t="s">
        <v>3</v>
      </c>
      <c r="G2" s="524" t="s">
        <v>7</v>
      </c>
      <c r="H2" s="44" t="s">
        <v>1</v>
      </c>
      <c r="I2" s="44" t="s">
        <v>153</v>
      </c>
      <c r="J2" s="92" t="s">
        <v>49</v>
      </c>
      <c r="K2" s="44" t="s">
        <v>48</v>
      </c>
      <c r="L2" s="88" t="s">
        <v>186</v>
      </c>
      <c r="M2" s="88" t="s">
        <v>56</v>
      </c>
      <c r="N2" s="91" t="s">
        <v>54</v>
      </c>
      <c r="O2" s="45" t="s">
        <v>190</v>
      </c>
      <c r="P2" s="525" t="s">
        <v>191</v>
      </c>
      <c r="Q2" s="536" t="s">
        <v>50</v>
      </c>
      <c r="R2" s="133" t="s">
        <v>53</v>
      </c>
      <c r="S2" s="46" t="s">
        <v>51</v>
      </c>
      <c r="T2" s="539" t="s">
        <v>57</v>
      </c>
      <c r="U2" s="548" t="s">
        <v>58</v>
      </c>
      <c r="V2" s="94" t="s">
        <v>52</v>
      </c>
      <c r="W2" s="46" t="s">
        <v>59</v>
      </c>
      <c r="X2" s="539" t="s">
        <v>60</v>
      </c>
      <c r="Y2" s="548" t="s">
        <v>61</v>
      </c>
      <c r="Z2" s="101" t="s">
        <v>62</v>
      </c>
      <c r="AA2" s="103" t="s">
        <v>64</v>
      </c>
      <c r="AB2" s="549" t="s">
        <v>65</v>
      </c>
      <c r="AC2" s="104" t="s">
        <v>188</v>
      </c>
      <c r="AD2" s="104" t="s">
        <v>66</v>
      </c>
      <c r="AE2" s="104" t="s">
        <v>67</v>
      </c>
      <c r="AF2" s="104" t="s">
        <v>68</v>
      </c>
      <c r="AG2" s="104" t="s">
        <v>70</v>
      </c>
      <c r="AH2" s="597" t="s">
        <v>69</v>
      </c>
      <c r="AI2" s="105" t="s">
        <v>71</v>
      </c>
      <c r="AJ2" s="104" t="s">
        <v>72</v>
      </c>
      <c r="AK2" s="105" t="s">
        <v>73</v>
      </c>
      <c r="AL2" s="554" t="s">
        <v>74</v>
      </c>
      <c r="AM2" s="554" t="s">
        <v>78</v>
      </c>
      <c r="AN2" s="556" t="s">
        <v>75</v>
      </c>
      <c r="AO2" s="124" t="s">
        <v>77</v>
      </c>
      <c r="AP2" s="124" t="s">
        <v>79</v>
      </c>
      <c r="AQ2" s="124" t="s">
        <v>80</v>
      </c>
      <c r="AR2" s="124" t="s">
        <v>82</v>
      </c>
      <c r="AS2" s="106" t="s">
        <v>192</v>
      </c>
      <c r="AT2" s="652" t="s">
        <v>84</v>
      </c>
      <c r="AU2" s="565" t="s">
        <v>95</v>
      </c>
      <c r="AV2" s="566" t="s">
        <v>86</v>
      </c>
      <c r="AW2" s="559" t="s">
        <v>90</v>
      </c>
      <c r="AX2" s="124" t="s">
        <v>91</v>
      </c>
      <c r="AY2" s="117" t="s">
        <v>92</v>
      </c>
      <c r="AZ2" s="118" t="s">
        <v>93</v>
      </c>
      <c r="BA2" s="129" t="s">
        <v>94</v>
      </c>
      <c r="BB2" s="649" t="s">
        <v>83</v>
      </c>
      <c r="BC2" s="46" t="s">
        <v>97</v>
      </c>
      <c r="BD2" s="127" t="s">
        <v>98</v>
      </c>
      <c r="BE2" s="44" t="s">
        <v>99</v>
      </c>
      <c r="BF2" s="44" t="s">
        <v>100</v>
      </c>
      <c r="BG2" s="44" t="s">
        <v>101</v>
      </c>
      <c r="BH2" s="44" t="s">
        <v>102</v>
      </c>
      <c r="BI2" s="44" t="s">
        <v>199</v>
      </c>
      <c r="BJ2" s="44" t="s">
        <v>103</v>
      </c>
      <c r="BK2" s="109" t="s">
        <v>104</v>
      </c>
      <c r="BL2" s="110" t="s">
        <v>105</v>
      </c>
      <c r="BM2" s="117" t="s">
        <v>107</v>
      </c>
      <c r="BN2" s="118" t="s">
        <v>108</v>
      </c>
      <c r="BO2" s="129" t="s">
        <v>94</v>
      </c>
    </row>
    <row r="3" spans="1:67" s="500" customFormat="1" x14ac:dyDescent="0.35">
      <c r="A3" s="494">
        <f>Samples!A3</f>
        <v>1</v>
      </c>
      <c r="B3" s="494">
        <f>Samples!B3</f>
        <v>0</v>
      </c>
      <c r="C3" s="495">
        <f>Samples!C3</f>
        <v>44351</v>
      </c>
      <c r="D3" s="496">
        <f>Samples!D3</f>
        <v>0.29901620370370369</v>
      </c>
      <c r="E3" s="496" t="str">
        <f>Samples!E3</f>
        <v>SW</v>
      </c>
      <c r="F3" s="526">
        <f>Samples!G3</f>
        <v>100</v>
      </c>
      <c r="G3" s="529" t="str">
        <f>Samples!L3</f>
        <v>Orange</v>
      </c>
      <c r="H3" s="530">
        <f>Samples!H3</f>
        <v>44352</v>
      </c>
      <c r="I3" s="531">
        <f>Samples!J3</f>
        <v>0.44583333333333336</v>
      </c>
      <c r="J3" s="532">
        <f>Samples!K3</f>
        <v>40.4</v>
      </c>
      <c r="K3" s="533">
        <f>H3+I3+(Samples!K3/(60*24))</f>
        <v>44352.47388888889</v>
      </c>
      <c r="L3" s="533">
        <f>Samples!O3</f>
        <v>33.390999999999998</v>
      </c>
      <c r="M3" s="534">
        <f>Samples!M3</f>
        <v>1.0640000000000001</v>
      </c>
      <c r="N3" s="534">
        <f>Samples!N3</f>
        <v>15.272</v>
      </c>
      <c r="O3" s="497">
        <f>EXP(-(LN(2)/11.434*(K3-C3-D3)))</f>
        <v>0.93125453262237734</v>
      </c>
      <c r="P3" s="497">
        <f>EXP(-(LN(2)/3.66*(K3-C3-D3)))</f>
        <v>0.80051288752001581</v>
      </c>
      <c r="Q3" s="537">
        <f>SQRT(R3)/J3</f>
        <v>0.90912589941663136</v>
      </c>
      <c r="R3" s="499">
        <f>L3*J3</f>
        <v>1348.9964</v>
      </c>
      <c r="S3" s="498">
        <f>SQRT(V3)/J3</f>
        <v>0.61483314970827496</v>
      </c>
      <c r="T3" s="540">
        <f>2/SQRT(V3)</f>
        <v>8.0517699018894051E-2</v>
      </c>
      <c r="U3" s="541">
        <f>SQRT((N3*J3)-(AA3*J3))/((N3*J3)-(AA3*J3))</f>
        <v>4.5868020069783508E-2</v>
      </c>
      <c r="V3" s="499">
        <f>J3*N3</f>
        <v>616.98879999999997</v>
      </c>
      <c r="W3" s="498">
        <f>SQRT(Z3)/J3</f>
        <v>0.16228565452117552</v>
      </c>
      <c r="X3" s="540">
        <f>2/SQRT(Z3)</f>
        <v>0.30504822278416455</v>
      </c>
      <c r="Y3" s="541">
        <f>SQRT((M3*(L3*J3))-(AE3*(L3*J3)))/((M3*(L3*J3))-(AE3*(L3*J3)))</f>
        <v>2.6609722318280654E-2</v>
      </c>
      <c r="Z3" s="499">
        <f>J3*M3</f>
        <v>42.985599999999998</v>
      </c>
      <c r="AA3" s="500">
        <f>((L3-N3-M3)^2*0.01)/((1-((L3-N3-M3)*0.01)))</f>
        <v>3.5068180722165292</v>
      </c>
      <c r="AB3" s="500">
        <f t="shared" ref="AB3" si="0">AD3*(((2*0.01*AC3)-(0.01*AC3)^2)/(1-0.01*AC3)^2)</f>
        <v>0.50314978600809213</v>
      </c>
      <c r="AC3" s="501">
        <f>L3-N3-M3</f>
        <v>17.055</v>
      </c>
      <c r="AD3" s="500">
        <f>SQRT((Q3^2)+(S3^2)+(W3^2))</f>
        <v>1.1094441566089135</v>
      </c>
      <c r="AE3" s="500">
        <f>((L3-N3-AA3-M3)^2*0.000093)/((1-(L3-N3-AA3-M3)*0.000093))</f>
        <v>1.7091986296600012E-2</v>
      </c>
      <c r="AF3" s="500">
        <f>AH3*(((2*0.000093*AC3-(0.01*AC3))^2)/(1-(0.000093*AC3)^2))</f>
        <v>3.4128516336252045E-2</v>
      </c>
      <c r="AG3" s="501">
        <f>L3-AI3-M3</f>
        <v>20.561818072216525</v>
      </c>
      <c r="AH3" s="598">
        <f>SQRT((W3^2)+(AJ3^2)+(Q3^2))</f>
        <v>1.2182060760781208</v>
      </c>
      <c r="AI3" s="502">
        <f>N3-AA3</f>
        <v>11.765181927783471</v>
      </c>
      <c r="AJ3" s="500">
        <f>SQRT((S3^2)+(AB3^2))</f>
        <v>0.79446806678442849</v>
      </c>
      <c r="AK3" s="502">
        <f>M3-AE3</f>
        <v>1.0469080137034001</v>
      </c>
      <c r="AL3" s="500">
        <f>SQRT((W3^2)+(AF3^2))</f>
        <v>0.1658354283338761</v>
      </c>
      <c r="AM3" s="552">
        <f>((((IF(G3="Grey",STDs!$AC$9,IF(G3="Orange",STDs!$AC$8,IF(G3="Green",STDs!$AC$10,IF(G3="Blue",STDs!$AC$11)))))*2)*(M3-AE3))^2*0.01)/((1+(((IF(G3="Grey",STDs!$AC$9,IF(G3="Orange",STDs!$AC$8,IF(G3="Green",STDs!$AC$10,IF(G3="Blue",STDs!$AC$11)))))*2)*(M3-AE3))*0.01))</f>
        <v>1.0876762798224442E-3</v>
      </c>
      <c r="AN3" s="557">
        <f>AI3-AM3-IF(G3="Grey",Blanks!$O$7,IF(G3="Orange",Blanks!$O$6,IF(G3="Green",Blanks!$O$8,Blanks!$O$9)))</f>
        <v>11.75520536261476</v>
      </c>
      <c r="AO3" s="501">
        <f>AJ3</f>
        <v>0.79446806678442849</v>
      </c>
      <c r="AP3" s="501">
        <f>AN3/IF(G3="Grey",STDs!$AF$9,IF(G3="Orange",STDs!$AF$8,IF(G3="Green",STDs!$AF$10,STDs!$AF$11)))</f>
        <v>152.25996185526239</v>
      </c>
      <c r="AQ3" s="501">
        <f>SQRT(((AO3/IF(G3="Grey",STDs!$AF$9,IF(G3="Orange",STDs!$AF$8,IF(G3="Green",STDs!$AF$10,STDs!$AF$11))))^2)+(((AN3*(IF(G3="Grey",STDs!$AG$9,IF(G3="Orange",STDs!$AG$8,IF(G3="Green",STDs!$AG$10,STDs!$AG$11)))))/(IF(G3="Grey",STDs!$AF$9,IF(G3="Orange",STDs!$AF$8,IF(G3="Green",STDs!$AF$10,STDs!$AF$11))))))^2)</f>
        <v>10.336115713486352</v>
      </c>
      <c r="AR3" s="501">
        <f>(AP3/F3)*100</f>
        <v>152.25996185526239</v>
      </c>
      <c r="AS3" s="500">
        <f>(SQRT(((AQ3/F3)^2)+(((AP3*(F3*0.03))/(F3^2))^2)))*100</f>
        <v>11.300445762372776</v>
      </c>
      <c r="AT3" s="653">
        <f>'Count 2'!AU3</f>
        <v>6.265869865248745</v>
      </c>
      <c r="AU3" s="567">
        <f>(AR3-AT3)/P3</f>
        <v>182.37569221690171</v>
      </c>
      <c r="AV3" s="568">
        <f>(AS3/AR3)*AU3</f>
        <v>13.535578185888395</v>
      </c>
      <c r="AW3" s="560">
        <f>AV3/AU3</f>
        <v>7.421810451466504E-2</v>
      </c>
      <c r="AX3" s="501">
        <f>SQRT((N3*J3)-(AA3*J3))/((N3*J3)-(AA3*J3))</f>
        <v>4.5868020069783508E-2</v>
      </c>
      <c r="AY3" s="506">
        <f>AU3</f>
        <v>182.37569221690171</v>
      </c>
      <c r="AZ3" s="507">
        <f>AV3</f>
        <v>13.535578185888395</v>
      </c>
      <c r="BA3" s="508">
        <f>AZ3/AY3</f>
        <v>7.421810451466504E-2</v>
      </c>
      <c r="BB3" s="650">
        <f>SQRT(N3*J3)/(N3*J3)</f>
        <v>4.0258849509447026E-2</v>
      </c>
      <c r="BC3" s="501">
        <f>AI3*0.0255</f>
        <v>0.30001213915847852</v>
      </c>
      <c r="BD3" s="502">
        <f>AK3-BC3</f>
        <v>0.74689587454492168</v>
      </c>
      <c r="BE3" s="501">
        <f>SQRT((AL3^2)+((0.0255*AJ3)^2))</f>
        <v>0.16706829072717108</v>
      </c>
      <c r="BF3" s="501">
        <f>BD3/(IF(G3="Grey",STDs!$AC$9,IF(G3="Orange",STDs!$AC$8,IF(G3="Green",STDs!$AC$10,STDs!$AC$11))))</f>
        <v>4.7340473978020103</v>
      </c>
      <c r="BG3" s="501">
        <f>SQRT(((BE3/IF(G3="Grey",STDs!$AC$9,IF(G3="Orange",STDs!$AC$8,IF(G3="Green",STDs!$AC$10,STDs!$AC$11))))^2)+(((BD3*(IF(G3="Grey",STDs!$AD$9,IF(G3="Orange",STDs!$AC$8,IF(G3="Green",STDs!$AC$10,STDs!$AC$11)))))/(IF(G3="Grey",STDs!$AC$9,IF(G3="Orange",STDs!$AC$8,IF(G3="Green",STDs!$AC$10,STDs!$AC$11)))^2))^2))</f>
        <v>4.8510343215976954</v>
      </c>
      <c r="BH3" s="501">
        <f>BF3*100/F3</f>
        <v>4.7340473978020103</v>
      </c>
      <c r="BI3" s="501">
        <f>(SQRT(((BG3/F3)^2)+(((BF3*(F3*0.03))/(F3^2))^2)))*100</f>
        <v>4.8531128230865379</v>
      </c>
      <c r="BJ3" s="503">
        <v>0.05</v>
      </c>
      <c r="BK3" s="504">
        <f t="shared" ref="BK3:BK50" si="1">(BH3-BJ3)/O3</f>
        <v>5.0298250732932397</v>
      </c>
      <c r="BL3" s="505">
        <f>(BI3/BH3)*BK3</f>
        <v>5.1563295653556755</v>
      </c>
      <c r="BM3" s="506">
        <f>BK3</f>
        <v>5.0298250732932397</v>
      </c>
      <c r="BN3" s="507">
        <f>BL3</f>
        <v>5.1563295653556755</v>
      </c>
      <c r="BO3" s="508">
        <f>BN3/BM3</f>
        <v>1.0251508730858523</v>
      </c>
    </row>
    <row r="4" spans="1:67" s="500" customFormat="1" x14ac:dyDescent="0.35">
      <c r="A4" s="494">
        <f>Samples!A4</f>
        <v>2</v>
      </c>
      <c r="B4" s="494">
        <f>Samples!B4</f>
        <v>0</v>
      </c>
      <c r="C4" s="495">
        <f>Samples!C4</f>
        <v>44351</v>
      </c>
      <c r="D4" s="496">
        <f>Samples!D4</f>
        <v>0.3833333333333333</v>
      </c>
      <c r="E4" s="496" t="str">
        <f>Samples!E4</f>
        <v>SW</v>
      </c>
      <c r="F4" s="526">
        <f>Samples!G4</f>
        <v>200.4</v>
      </c>
      <c r="G4" s="529" t="str">
        <f>Samples!L4</f>
        <v>Blue</v>
      </c>
      <c r="H4" s="530">
        <f>Samples!H4</f>
        <v>44352</v>
      </c>
      <c r="I4" s="531">
        <f>Samples!J4</f>
        <v>0.32219907407407411</v>
      </c>
      <c r="J4" s="532">
        <f>Samples!K4</f>
        <v>72.12</v>
      </c>
      <c r="K4" s="533">
        <f>H4+I4+(Samples!K4/(60*24))</f>
        <v>44352.372282407407</v>
      </c>
      <c r="L4" s="533">
        <f>Samples!O4</f>
        <v>17.527000000000001</v>
      </c>
      <c r="M4" s="534">
        <f>Samples!M4</f>
        <v>0.76300000000000001</v>
      </c>
      <c r="N4" s="534">
        <f>Samples!N4</f>
        <v>7.5430000000000001</v>
      </c>
      <c r="O4" s="497">
        <f t="shared" ref="O4:O50" si="2">EXP(-(LN(2)/11.434*(K4-C4-D4)))</f>
        <v>0.94181006106717102</v>
      </c>
      <c r="P4" s="497">
        <f t="shared" ref="P4:P50" si="3">EXP(-(LN(2)/3.66*(K4-C4-D4)))</f>
        <v>0.829201904399959</v>
      </c>
      <c r="Q4" s="537">
        <f t="shared" ref="Q4:Q50" si="4">SQRT(R4)/J4</f>
        <v>0.49297617897199908</v>
      </c>
      <c r="R4" s="499">
        <f t="shared" ref="R4:R50" si="5">L4*J4</f>
        <v>1264.0472400000001</v>
      </c>
      <c r="S4" s="500">
        <f t="shared" ref="S4:S37" si="6">SQRT(V4)/J4</f>
        <v>0.3234031121278812</v>
      </c>
      <c r="T4" s="540">
        <f t="shared" ref="T4:T37" si="7">2/SQRT(V4)</f>
        <v>8.5749201147522519E-2</v>
      </c>
      <c r="U4" s="540">
        <f t="shared" ref="U4:U37" si="8">SQRT((N4*J4)-(AA4*J4))/((N4*J4)-(AA4*J4))</f>
        <v>4.5813226348252453E-2</v>
      </c>
      <c r="V4" s="499">
        <f t="shared" ref="V4:V37" si="9">J4*N4</f>
        <v>544.00116000000003</v>
      </c>
      <c r="W4" s="498">
        <f t="shared" ref="W4:W50" si="10">SQRT(Z4)/J4</f>
        <v>0.10285713185255554</v>
      </c>
      <c r="X4" s="540">
        <f t="shared" ref="X4:X50" si="11">2/SQRT(Z4)</f>
        <v>0.26961240328323871</v>
      </c>
      <c r="Y4" s="541">
        <f t="shared" ref="Y4:Y50" si="12">SQRT((M4*(L4*J4))-(AE4*(L4*J4)))/((M4*(L4*J4))-(AE4*(L4*J4)))</f>
        <v>3.2335651339901024E-2</v>
      </c>
      <c r="Z4" s="499">
        <f t="shared" ref="Z4:Z50" si="13">J4*M4</f>
        <v>55.027560000000001</v>
      </c>
      <c r="AA4" s="500">
        <f t="shared" ref="AA4:AA50" si="14">((L4-N4-M4)^2*0.01)/((1-((L4-N4-M4)*0.01)))</f>
        <v>0.93663557650998619</v>
      </c>
      <c r="AB4" s="500">
        <f t="shared" ref="AB4:AB50" si="15">AD4*(((2*0.01*AC4)-(0.01*AC4)^2)/(1-0.01*AC4)^2)</f>
        <v>0.12776072402675695</v>
      </c>
      <c r="AC4" s="501">
        <f t="shared" ref="AC4:AC50" si="16">L4-N4-M4</f>
        <v>9.2210000000000019</v>
      </c>
      <c r="AD4" s="500">
        <f t="shared" ref="AD4:AD50" si="17">SQRT((Q4^2)+(S4^2)+(W4^2))</f>
        <v>0.59849367209751292</v>
      </c>
      <c r="AE4" s="500">
        <f t="shared" ref="AE4:AE50" si="18">((L4-N4-AA4-M4)^2*0.000093)/((1-(L4-N4-AA4-M4)*0.000093))</f>
        <v>6.3875758143524721E-3</v>
      </c>
      <c r="AF4" s="500">
        <f t="shared" ref="AF4:AF50" si="19">AH4*(((2*0.000093*AC4-(0.01*AC4))^2)/(1-(0.000093*AC4)^2))</f>
        <v>5.0116936487604406E-3</v>
      </c>
      <c r="AG4" s="500">
        <f t="shared" ref="AG4:AG37" si="20">L4-AI4-M4</f>
        <v>10.157635576509987</v>
      </c>
      <c r="AH4" s="598">
        <f t="shared" ref="AH4:AH50" si="21">SQRT((W4^2)+(AJ4^2)+(Q4^2))</f>
        <v>0.61197833143388869</v>
      </c>
      <c r="AI4" s="502">
        <f t="shared" ref="AI4:AI50" si="22">N4-AA4</f>
        <v>6.6063644234900138</v>
      </c>
      <c r="AJ4" s="500">
        <f t="shared" ref="AJ4:AJ50" si="23">SQRT((S4^2)+(AB4^2))</f>
        <v>0.34772456849903494</v>
      </c>
      <c r="AK4" s="509">
        <f t="shared" ref="AK4:AK37" si="24">M4-AE4</f>
        <v>0.75661242418564756</v>
      </c>
      <c r="AL4" s="500">
        <f t="shared" ref="AL4:AL37" si="25">SQRT((W4^2)+(AF4^2))</f>
        <v>0.10297915636750488</v>
      </c>
      <c r="AM4" s="552">
        <f>((((IF(G4="Grey",STDs!$AC$9,IF(G4="Orange",STDs!$AC$8,IF(G4="Green",STDs!$AC$10,IF(G4="Blue",STDs!$AC$11)))))*2)*(M4-AE4))^2*0.01)/((1+(((IF(G4="Grey",STDs!$AC$9,IF(G4="Orange",STDs!$AC$8,IF(G4="Green",STDs!$AC$10,IF(G4="Blue",STDs!$AC$11)))))*2)*(M4-AE4))*0.01))</f>
        <v>5.1868681143030096E-4</v>
      </c>
      <c r="AN4" s="557">
        <f>AI4-AM4-IF(G4="Grey",Blanks!$O$7,IF(G4="Orange",Blanks!$O$6,IF(G4="Green",Blanks!$O$8,Blanks!$O$9)))</f>
        <v>6.5789885938214407</v>
      </c>
      <c r="AO4" s="501">
        <f t="shared" ref="AO4:AO50" si="26">AJ4</f>
        <v>0.34772456849903494</v>
      </c>
      <c r="AP4" s="501">
        <f>AN4/IF(G4="Grey",STDs!$AF$9,IF(G4="Orange",STDs!$AF$8,IF(G4="Green",STDs!$AF$10,STDs!$AF$11)))</f>
        <v>96.067967670383453</v>
      </c>
      <c r="AQ4" s="501">
        <f>SQRT(((AO4/IF(G4="Grey",STDs!$AF$9,IF(G4="Orange",STDs!$AF$8,IF(G4="Green",STDs!$AF$10,STDs!$AF$11))))^2)+(((AN4*(IF(G4="Grey",STDs!$AG$9,IF(G4="Orange",STDs!$AG$8,IF(G4="Green",STDs!$AG$10,STDs!$AG$11)))))/(IF(G4="Grey",STDs!$AF$9,IF(G4="Orange",STDs!$AF$8,IF(G4="Green",STDs!$AF$10,STDs!$AF$11))))))^2)</f>
        <v>5.1101264606445005</v>
      </c>
      <c r="AR4" s="501">
        <f t="shared" ref="AR4:AR50" si="27">(AP4/F4)*100</f>
        <v>47.938107619951822</v>
      </c>
      <c r="AS4" s="500">
        <f t="shared" ref="AS4:AS50" si="28">(SQRT(((AQ4/F4)^2)+(((AP4*(F4*0.03))/(F4^2))^2)))*100</f>
        <v>2.9275533805989049</v>
      </c>
      <c r="AT4" s="653">
        <f>'Count 2'!AU4</f>
        <v>-1.1579312333631511</v>
      </c>
      <c r="AU4" s="567">
        <f t="shared" ref="AU4:AU50" si="29">(AR4-AT4)/P4</f>
        <v>59.208786898340122</v>
      </c>
      <c r="AV4" s="568">
        <f t="shared" ref="AV4:AV50" si="30">(AS4/AR4)*AU4</f>
        <v>3.615847451042332</v>
      </c>
      <c r="AW4" s="560">
        <f t="shared" ref="AW4:AW50" si="31">AV4/AU4</f>
        <v>6.1069439866259102E-2</v>
      </c>
      <c r="AX4" s="501">
        <f t="shared" ref="AX4:AX50" si="32">SQRT((N4*J4)-(AA4*J4))/((N4*J4)-(AA4*J4))</f>
        <v>4.5813226348252453E-2</v>
      </c>
      <c r="AY4" s="506">
        <f t="shared" ref="AY4:AY50" si="33">AU4</f>
        <v>59.208786898340122</v>
      </c>
      <c r="AZ4" s="507">
        <f t="shared" ref="AZ4:AZ50" si="34">AV4</f>
        <v>3.615847451042332</v>
      </c>
      <c r="BA4" s="508">
        <f t="shared" ref="BA4:BA50" si="35">AZ4/AY4</f>
        <v>6.1069439866259102E-2</v>
      </c>
      <c r="BB4" s="650">
        <f t="shared" ref="BB4:BB50" si="36">SQRT(N4*J4)/(N4*J4)</f>
        <v>4.287460057376126E-2</v>
      </c>
      <c r="BC4" s="501">
        <f t="shared" ref="BC4:BC50" si="37">AI4*0.0255</f>
        <v>0.16846229279899536</v>
      </c>
      <c r="BD4" s="502">
        <f t="shared" ref="BD4:BD50" si="38">AK4-BC4</f>
        <v>0.58815013138665218</v>
      </c>
      <c r="BE4" s="501">
        <f t="shared" ref="BE4:BE50" si="39">SQRT((AL4^2)+((0.0255*AJ4)^2))</f>
        <v>0.10336019503830525</v>
      </c>
      <c r="BF4" s="501">
        <f>BD4/(IF(G4="Grey",STDs!$AC$9,IF(G4="Orange",STDs!$AC$8,IF(G4="Green",STDs!$AC$10,STDs!$AC$11))))</f>
        <v>3.903413085375826</v>
      </c>
      <c r="BG4" s="501">
        <f>SQRT(((BE4/IF(G4="Grey",STDs!$AC$9,IF(G4="Orange",STDs!$AC$8,IF(G4="Green",STDs!$AC$10,STDs!$AC$11))))^2)+(((BD4*(IF(G4="Grey",STDs!$AD$9,IF(G4="Orange",STDs!$AC$8,IF(G4="Green",STDs!$AC$10,STDs!$AC$11)))))/(IF(G4="Grey",STDs!$AC$9,IF(G4="Orange",STDs!$AC$8,IF(G4="Green",STDs!$AC$10,STDs!$AC$11)))^2))^2))</f>
        <v>3.9632307950573984</v>
      </c>
      <c r="BH4" s="501">
        <f t="shared" ref="BH4:BH50" si="40">BF4*100/F4</f>
        <v>1.9478109208462207</v>
      </c>
      <c r="BI4" s="501">
        <f t="shared" ref="BI4:BI50" si="41">(SQRT(((BG4/F4)^2)+(((BF4*(F4*0.03))/(F4^2))^2)))*100</f>
        <v>1.978523174563233</v>
      </c>
      <c r="BJ4" s="500">
        <v>0.05</v>
      </c>
      <c r="BK4" s="504">
        <f t="shared" si="1"/>
        <v>2.0150675802887461</v>
      </c>
      <c r="BL4" s="505">
        <f t="shared" ref="BL4:BL50" si="42">(BI4/BH4)*BK4</f>
        <v>2.0468403083910545</v>
      </c>
      <c r="BM4" s="506">
        <f t="shared" ref="BM4:BM50" si="43">BK4</f>
        <v>2.0150675802887461</v>
      </c>
      <c r="BN4" s="507">
        <f t="shared" ref="BN4:BN50" si="44">BL4</f>
        <v>2.0468403083910545</v>
      </c>
      <c r="BO4" s="508">
        <f t="shared" ref="BO4:BO50" si="45">BN4/BM4</f>
        <v>1.015767574454131</v>
      </c>
    </row>
    <row r="5" spans="1:67" s="510" customFormat="1" x14ac:dyDescent="0.35">
      <c r="A5" s="494">
        <f>Samples!A5</f>
        <v>3</v>
      </c>
      <c r="B5" s="494">
        <f>Samples!B5</f>
        <v>0</v>
      </c>
      <c r="C5" s="495">
        <f>Samples!C5</f>
        <v>44351</v>
      </c>
      <c r="D5" s="496">
        <f>Samples!D5</f>
        <v>0.4368055555555555</v>
      </c>
      <c r="E5" s="496" t="str">
        <f>Samples!E5</f>
        <v>SW</v>
      </c>
      <c r="F5" s="526">
        <f>Samples!G5</f>
        <v>200.5</v>
      </c>
      <c r="G5" s="529" t="str">
        <f>Samples!L5</f>
        <v>Grey</v>
      </c>
      <c r="H5" s="530">
        <f>Samples!H5</f>
        <v>44352</v>
      </c>
      <c r="I5" s="531">
        <f>Samples!J5</f>
        <v>0.32777777777777783</v>
      </c>
      <c r="J5" s="532">
        <f>Samples!K5</f>
        <v>144.72</v>
      </c>
      <c r="K5" s="533">
        <f>H5+I5+(Samples!K5/(60*24))</f>
        <v>44352.428277777777</v>
      </c>
      <c r="L5" s="533">
        <f>Samples!O5</f>
        <v>11.284000000000001</v>
      </c>
      <c r="M5" s="534">
        <f>Samples!M5</f>
        <v>0.30399999999999999</v>
      </c>
      <c r="N5" s="534">
        <f>Samples!N5</f>
        <v>3.262</v>
      </c>
      <c r="O5" s="497">
        <f t="shared" si="2"/>
        <v>0.94166601542101691</v>
      </c>
      <c r="P5" s="497">
        <f t="shared" si="3"/>
        <v>0.82880576899550862</v>
      </c>
      <c r="Q5" s="537">
        <f t="shared" si="4"/>
        <v>0.27923333403611839</v>
      </c>
      <c r="R5" s="499">
        <f t="shared" si="5"/>
        <v>1633.0204800000001</v>
      </c>
      <c r="S5" s="510">
        <f t="shared" si="6"/>
        <v>0.15013353186688061</v>
      </c>
      <c r="T5" s="542">
        <f t="shared" si="7"/>
        <v>9.2049988882207612E-2</v>
      </c>
      <c r="U5" s="542">
        <f t="shared" si="8"/>
        <v>5.138955980229655E-2</v>
      </c>
      <c r="V5" s="511">
        <f t="shared" si="9"/>
        <v>472.07664</v>
      </c>
      <c r="W5" s="498">
        <f t="shared" si="10"/>
        <v>4.5832391065242548E-2</v>
      </c>
      <c r="X5" s="540">
        <f t="shared" si="11"/>
        <v>0.30152888858712196</v>
      </c>
      <c r="Y5" s="541">
        <f t="shared" si="12"/>
        <v>4.5229120822328474E-2</v>
      </c>
      <c r="Z5" s="499">
        <f t="shared" si="13"/>
        <v>43.994880000000002</v>
      </c>
      <c r="AA5" s="500">
        <f t="shared" si="14"/>
        <v>0.64549450597082858</v>
      </c>
      <c r="AB5" s="500">
        <f t="shared" si="15"/>
        <v>5.5822381223758433E-2</v>
      </c>
      <c r="AC5" s="501">
        <f t="shared" si="16"/>
        <v>7.718</v>
      </c>
      <c r="AD5" s="500">
        <f t="shared" si="17"/>
        <v>0.32033098554230977</v>
      </c>
      <c r="AE5" s="500">
        <f t="shared" si="18"/>
        <v>4.6549528212502253E-3</v>
      </c>
      <c r="AF5" s="500">
        <f t="shared" si="19"/>
        <v>1.8655077143927873E-3</v>
      </c>
      <c r="AG5" s="510">
        <f t="shared" si="20"/>
        <v>8.363494505970829</v>
      </c>
      <c r="AH5" s="598">
        <f t="shared" si="21"/>
        <v>0.32515854370444902</v>
      </c>
      <c r="AI5" s="502">
        <f t="shared" si="22"/>
        <v>2.6165054940291714</v>
      </c>
      <c r="AJ5" s="500">
        <f t="shared" si="23"/>
        <v>0.16017557752764394</v>
      </c>
      <c r="AK5" s="512">
        <f t="shared" si="24"/>
        <v>0.29934504717874977</v>
      </c>
      <c r="AL5" s="510">
        <f t="shared" si="25"/>
        <v>4.5870341069037014E-2</v>
      </c>
      <c r="AM5" s="552">
        <f>((((IF(G5="Grey",STDs!$AC$9,IF(G5="Orange",STDs!$AC$8,IF(G5="Green",STDs!$AC$10,IF(G5="Blue",STDs!$AC$11)))))*2)*(M5-AE5))^2*0.01)/((1+(((IF(G5="Grey",STDs!$AC$9,IF(G5="Orange",STDs!$AC$8,IF(G5="Green",STDs!$AC$10,IF(G5="Blue",STDs!$AC$11)))))*2)*(M5-AE5))*0.01))</f>
        <v>7.8215908026798198E-5</v>
      </c>
      <c r="AN5" s="557">
        <f>AI5-AM5-IF(G5="Grey",Blanks!$O$7,IF(G5="Orange",Blanks!$O$6,IF(G5="Green",Blanks!$O$8,Blanks!$O$9)))</f>
        <v>2.5857213957682035</v>
      </c>
      <c r="AO5" s="501">
        <f t="shared" si="26"/>
        <v>0.16017557752764394</v>
      </c>
      <c r="AP5" s="501">
        <f>AN5/IF(G5="Grey",STDs!$AF$9,IF(G5="Orange",STDs!$AF$8,IF(G5="Green",STDs!$AF$10,STDs!$AF$11)))</f>
        <v>34.30641238571895</v>
      </c>
      <c r="AQ5" s="501">
        <f>SQRT(((AO5/IF(G5="Grey",STDs!$AF$9,IF(G5="Orange",STDs!$AF$8,IF(G5="Green",STDs!$AF$10,STDs!$AF$11))))^2)+(((AN5*(IF(G5="Grey",STDs!$AG$9,IF(G5="Orange",STDs!$AG$8,IF(G5="Green",STDs!$AG$10,STDs!$AG$11)))))/(IF(G5="Grey",STDs!$AF$9,IF(G5="Orange",STDs!$AF$8,IF(G5="Green",STDs!$AF$10,STDs!$AF$11))))))^2)</f>
        <v>2.1881665040951503</v>
      </c>
      <c r="AR5" s="501">
        <f t="shared" si="27"/>
        <v>17.11043011756556</v>
      </c>
      <c r="AS5" s="500">
        <f t="shared" si="28"/>
        <v>1.2060454295076248</v>
      </c>
      <c r="AT5" s="653">
        <f>'Count 2'!AU5</f>
        <v>10.32647976572529</v>
      </c>
      <c r="AU5" s="567">
        <f t="shared" si="29"/>
        <v>8.1852113071826764</v>
      </c>
      <c r="AV5" s="568">
        <f t="shared" si="30"/>
        <v>0.57694263783862909</v>
      </c>
      <c r="AW5" s="560">
        <f t="shared" si="31"/>
        <v>7.0485979675607283E-2</v>
      </c>
      <c r="AX5" s="501">
        <f t="shared" si="32"/>
        <v>5.138955980229655E-2</v>
      </c>
      <c r="AY5" s="506">
        <f t="shared" si="33"/>
        <v>8.1852113071826764</v>
      </c>
      <c r="AZ5" s="507">
        <f t="shared" si="34"/>
        <v>0.57694263783862909</v>
      </c>
      <c r="BA5" s="508">
        <f t="shared" si="35"/>
        <v>7.0485979675607283E-2</v>
      </c>
      <c r="BB5" s="650">
        <f t="shared" si="36"/>
        <v>4.6024994441103806E-2</v>
      </c>
      <c r="BC5" s="501">
        <f t="shared" si="37"/>
        <v>6.6720890097743873E-2</v>
      </c>
      <c r="BD5" s="502">
        <f t="shared" si="38"/>
        <v>0.23262415708100589</v>
      </c>
      <c r="BE5" s="501">
        <f t="shared" si="39"/>
        <v>4.6051831060309613E-2</v>
      </c>
      <c r="BF5" s="501">
        <f>BD5/(IF(G5="Grey",STDs!$AC$9,IF(G5="Orange",STDs!$AC$8,IF(G5="Green",STDs!$AC$10,STDs!$AC$11))))</f>
        <v>1.574045546054027</v>
      </c>
      <c r="BG5" s="501">
        <f>SQRT(((BE5/IF(G5="Grey",STDs!$AC$9,IF(G5="Orange",STDs!$AC$8,IF(G5="Green",STDs!$AC$10,STDs!$AC$11))))^2)+(((BD5*(IF(G5="Grey",STDs!$AD$9,IF(G5="Orange",STDs!$AC$8,IF(G5="Green",STDs!$AC$10,STDs!$AC$11)))))/(IF(G5="Grey",STDs!$AC$9,IF(G5="Orange",STDs!$AC$8,IF(G5="Green",STDs!$AC$10,STDs!$AC$11)))^2))^2))</f>
        <v>0.32083721062765264</v>
      </c>
      <c r="BH5" s="501">
        <f t="shared" si="40"/>
        <v>0.78506012272021297</v>
      </c>
      <c r="BI5" s="501">
        <f t="shared" si="41"/>
        <v>0.16174247016285334</v>
      </c>
      <c r="BJ5" s="510">
        <v>0.05</v>
      </c>
      <c r="BK5" s="504">
        <f t="shared" si="1"/>
        <v>0.78059536043845557</v>
      </c>
      <c r="BL5" s="505">
        <f t="shared" si="42"/>
        <v>0.1608226149068773</v>
      </c>
      <c r="BM5" s="506">
        <f t="shared" si="43"/>
        <v>0.78059536043845557</v>
      </c>
      <c r="BN5" s="507">
        <f t="shared" si="44"/>
        <v>0.1608226149068773</v>
      </c>
      <c r="BO5" s="508">
        <f t="shared" si="45"/>
        <v>0.20602558387811098</v>
      </c>
    </row>
    <row r="6" spans="1:67" s="500" customFormat="1" x14ac:dyDescent="0.35">
      <c r="A6" s="494">
        <f>Samples!A6</f>
        <v>4</v>
      </c>
      <c r="B6" s="494">
        <f>Samples!B6</f>
        <v>0</v>
      </c>
      <c r="C6" s="495">
        <f>Samples!C6</f>
        <v>44351</v>
      </c>
      <c r="D6" s="496">
        <f>Samples!D6</f>
        <v>0.56527777777777777</v>
      </c>
      <c r="E6" s="496" t="str">
        <f>Samples!E6</f>
        <v>SW</v>
      </c>
      <c r="F6" s="526">
        <f>Samples!G6</f>
        <v>197.5</v>
      </c>
      <c r="G6" s="529" t="str">
        <f>Samples!L6</f>
        <v>Green</v>
      </c>
      <c r="H6" s="530">
        <f>Samples!H6</f>
        <v>44352</v>
      </c>
      <c r="I6" s="531">
        <f>Samples!J6</f>
        <v>0.44993055555555556</v>
      </c>
      <c r="J6" s="532">
        <f>Samples!K6</f>
        <v>71.319999999999993</v>
      </c>
      <c r="K6" s="533">
        <f>H6+I6+(Samples!K6/(60*24))</f>
        <v>44352.499458333339</v>
      </c>
      <c r="L6" s="533">
        <f>Samples!O6</f>
        <v>15.452</v>
      </c>
      <c r="M6" s="534">
        <f>Samples!M6</f>
        <v>0.57499999999999996</v>
      </c>
      <c r="N6" s="534">
        <f>Samples!N6</f>
        <v>6.45</v>
      </c>
      <c r="O6" s="497">
        <f t="shared" si="2"/>
        <v>0.94494221252072352</v>
      </c>
      <c r="P6" s="497">
        <f t="shared" si="3"/>
        <v>0.83784740060744067</v>
      </c>
      <c r="Q6" s="537">
        <f t="shared" si="4"/>
        <v>0.46546462714697245</v>
      </c>
      <c r="R6" s="499">
        <f t="shared" si="5"/>
        <v>1102.0366399999998</v>
      </c>
      <c r="S6" s="500">
        <f t="shared" si="6"/>
        <v>0.30072822439325347</v>
      </c>
      <c r="T6" s="540">
        <f t="shared" si="7"/>
        <v>9.324906182736542E-2</v>
      </c>
      <c r="U6" s="540">
        <f t="shared" si="8"/>
        <v>4.9708460162945341E-2</v>
      </c>
      <c r="V6" s="499">
        <f t="shared" si="9"/>
        <v>460.01399999999995</v>
      </c>
      <c r="W6" s="498">
        <f t="shared" si="10"/>
        <v>8.9790058620278737E-2</v>
      </c>
      <c r="X6" s="540">
        <f t="shared" si="11"/>
        <v>0.31231324737488253</v>
      </c>
      <c r="Y6" s="541">
        <f t="shared" si="12"/>
        <v>3.991494414895233E-2</v>
      </c>
      <c r="Z6" s="499">
        <f t="shared" si="13"/>
        <v>41.008999999999993</v>
      </c>
      <c r="AA6" s="500">
        <f t="shared" si="14"/>
        <v>0.77549418496718447</v>
      </c>
      <c r="AB6" s="500">
        <f t="shared" si="15"/>
        <v>0.10807765554559798</v>
      </c>
      <c r="AC6" s="501">
        <f t="shared" si="16"/>
        <v>8.4269999999999996</v>
      </c>
      <c r="AD6" s="500">
        <f t="shared" si="17"/>
        <v>0.56138849177625838</v>
      </c>
      <c r="AE6" s="500">
        <f t="shared" si="18"/>
        <v>5.448612513486494E-3</v>
      </c>
      <c r="AF6" s="500">
        <f t="shared" si="19"/>
        <v>3.9102498975368992E-3</v>
      </c>
      <c r="AG6" s="500">
        <f t="shared" si="20"/>
        <v>9.2024941849671862</v>
      </c>
      <c r="AH6" s="598">
        <f t="shared" si="21"/>
        <v>0.57169731355591935</v>
      </c>
      <c r="AI6" s="502">
        <f t="shared" si="22"/>
        <v>5.6745058150328154</v>
      </c>
      <c r="AJ6" s="500">
        <f t="shared" si="23"/>
        <v>0.3195594538970048</v>
      </c>
      <c r="AK6" s="509">
        <f t="shared" si="24"/>
        <v>0.56955138748651346</v>
      </c>
      <c r="AL6" s="500">
        <f t="shared" si="25"/>
        <v>8.9875161648223359E-2</v>
      </c>
      <c r="AM6" s="552">
        <f>((((IF(G6="Grey",STDs!$AC$9,IF(G6="Orange",STDs!$AC$8,IF(G6="Green",STDs!$AC$10,IF(G6="Blue",STDs!$AC$11)))))*2)*(M6-AE6))^2*0.01)/((1+(((IF(G6="Grey",STDs!$AC$9,IF(G6="Orange",STDs!$AC$8,IF(G6="Green",STDs!$AC$10,IF(G6="Blue",STDs!$AC$11)))))*2)*(M6-AE6))*0.01))</f>
        <v>3.7580134506165426E-4</v>
      </c>
      <c r="AN6" s="557">
        <f>AI6-AM6-IF(G6="Grey",Blanks!$O$7,IF(G6="Orange",Blanks!$O$6,IF(G6="Green",Blanks!$O$8,Blanks!$O$9)))</f>
        <v>5.6458572864150263</v>
      </c>
      <c r="AO6" s="501">
        <f t="shared" si="26"/>
        <v>0.3195594538970048</v>
      </c>
      <c r="AP6" s="501">
        <f>AN6/IF(G6="Grey",STDs!$AF$9,IF(G6="Orange",STDs!$AF$8,IF(G6="Green",STDs!$AF$10,STDs!$AF$11)))</f>
        <v>71.397894413036269</v>
      </c>
      <c r="AQ6" s="501">
        <f>SQRT(((AO6/IF(G6="Grey",STDs!$AF$9,IF(G6="Orange",STDs!$AF$8,IF(G6="Green",STDs!$AF$10,STDs!$AF$11))))^2)+(((AN6*(IF(G6="Grey",STDs!$AG$9,IF(G6="Orange",STDs!$AG$8,IF(G6="Green",STDs!$AG$10,STDs!$AG$11)))))/(IF(G6="Grey",STDs!$AF$9,IF(G6="Orange",STDs!$AF$8,IF(G6="Green",STDs!$AF$10,STDs!$AF$11))))))^2)</f>
        <v>5.1926965198769865</v>
      </c>
      <c r="AR6" s="501">
        <f t="shared" si="27"/>
        <v>36.150832614195579</v>
      </c>
      <c r="AS6" s="500">
        <f t="shared" si="28"/>
        <v>2.8441092942569681</v>
      </c>
      <c r="AT6" s="653">
        <f>'Count 2'!AU6</f>
        <v>2.12593317203173</v>
      </c>
      <c r="AU6" s="567">
        <f t="shared" si="29"/>
        <v>40.60990034401938</v>
      </c>
      <c r="AV6" s="568">
        <f t="shared" si="30"/>
        <v>3.194919360223007</v>
      </c>
      <c r="AW6" s="560">
        <f t="shared" si="31"/>
        <v>7.8673410502311733E-2</v>
      </c>
      <c r="AX6" s="501">
        <f t="shared" si="32"/>
        <v>4.9708460162945341E-2</v>
      </c>
      <c r="AY6" s="506">
        <f t="shared" si="33"/>
        <v>40.60990034401938</v>
      </c>
      <c r="AZ6" s="507">
        <f t="shared" si="34"/>
        <v>3.194919360223007</v>
      </c>
      <c r="BA6" s="508">
        <f t="shared" si="35"/>
        <v>7.8673410502311733E-2</v>
      </c>
      <c r="BB6" s="650">
        <f t="shared" si="36"/>
        <v>4.662453091368271E-2</v>
      </c>
      <c r="BC6" s="501">
        <f t="shared" si="37"/>
        <v>0.14469989828333679</v>
      </c>
      <c r="BD6" s="502">
        <f t="shared" si="38"/>
        <v>0.42485148920317667</v>
      </c>
      <c r="BE6" s="501">
        <f t="shared" si="39"/>
        <v>9.0243820119879345E-2</v>
      </c>
      <c r="BF6" s="501">
        <f>BD6/(IF(G6="Grey",STDs!$AC$9,IF(G6="Orange",STDs!$AC$8,IF(G6="Green",STDs!$AC$10,STDs!$AC$11))))</f>
        <v>2.4940200286913194</v>
      </c>
      <c r="BG6" s="501">
        <f>SQRT(((BE6/IF(G6="Grey",STDs!$AC$9,IF(G6="Orange",STDs!$AC$8,IF(G6="Green",STDs!$AC$10,STDs!$AC$11))))^2)+(((BD6*(IF(G6="Grey",STDs!$AD$9,IF(G6="Orange",STDs!$AC$8,IF(G6="Green",STDs!$AC$10,STDs!$AC$11)))))/(IF(G6="Grey",STDs!$AC$9,IF(G6="Orange",STDs!$AC$8,IF(G6="Green",STDs!$AC$10,STDs!$AC$11)))^2))^2))</f>
        <v>2.5496633076597655</v>
      </c>
      <c r="BH6" s="501">
        <f t="shared" si="40"/>
        <v>1.262794951236111</v>
      </c>
      <c r="BI6" s="501">
        <f t="shared" si="41"/>
        <v>1.2915244999543356</v>
      </c>
      <c r="BJ6" s="500">
        <v>0.05</v>
      </c>
      <c r="BK6" s="504">
        <f t="shared" si="1"/>
        <v>1.2834593853108378</v>
      </c>
      <c r="BL6" s="505">
        <f t="shared" si="42"/>
        <v>1.3126590656722903</v>
      </c>
      <c r="BM6" s="506">
        <f t="shared" si="43"/>
        <v>1.2834593853108378</v>
      </c>
      <c r="BN6" s="507">
        <f t="shared" si="44"/>
        <v>1.3126590656722903</v>
      </c>
      <c r="BO6" s="508">
        <f t="shared" si="45"/>
        <v>1.0227507630515169</v>
      </c>
    </row>
    <row r="7" spans="1:67" s="513" customFormat="1" x14ac:dyDescent="0.35">
      <c r="A7" s="494">
        <f>Samples!A7</f>
        <v>5</v>
      </c>
      <c r="B7" s="494">
        <f>Samples!B7</f>
        <v>0</v>
      </c>
      <c r="C7" s="495">
        <f>Samples!C7</f>
        <v>44351</v>
      </c>
      <c r="D7" s="496">
        <f>Samples!D7</f>
        <v>0.73263888888888884</v>
      </c>
      <c r="E7" s="496" t="str">
        <f>Samples!E7</f>
        <v>SW</v>
      </c>
      <c r="F7" s="526">
        <f>Samples!G7</f>
        <v>199.6</v>
      </c>
      <c r="G7" s="529" t="str">
        <f>Samples!L7</f>
        <v>Blue</v>
      </c>
      <c r="H7" s="530">
        <f>Samples!H7</f>
        <v>44352</v>
      </c>
      <c r="I7" s="531">
        <f>Samples!J7</f>
        <v>0.47690972222222222</v>
      </c>
      <c r="J7" s="532">
        <f>Samples!K7</f>
        <v>267.67</v>
      </c>
      <c r="K7" s="533">
        <f>H7+I7+(Samples!K7/(60*24))</f>
        <v>44352.662791666669</v>
      </c>
      <c r="L7" s="533">
        <f>Samples!O7</f>
        <v>4.181</v>
      </c>
      <c r="M7" s="534">
        <f>Samples!M7</f>
        <v>7.8E-2</v>
      </c>
      <c r="N7" s="534">
        <f>Samples!N7</f>
        <v>0.84099999999999997</v>
      </c>
      <c r="O7" s="497">
        <f t="shared" si="2"/>
        <v>0.94517296748199364</v>
      </c>
      <c r="P7" s="497">
        <f t="shared" si="3"/>
        <v>0.83848675323479405</v>
      </c>
      <c r="Q7" s="537">
        <f t="shared" si="4"/>
        <v>0.12497991769042351</v>
      </c>
      <c r="R7" s="499">
        <f t="shared" si="5"/>
        <v>1119.1282700000002</v>
      </c>
      <c r="S7" s="513">
        <f t="shared" si="6"/>
        <v>5.6052907989159399E-2</v>
      </c>
      <c r="T7" s="543">
        <f t="shared" si="7"/>
        <v>0.13330061352951109</v>
      </c>
      <c r="U7" s="543">
        <f t="shared" si="8"/>
        <v>7.1489097783892661E-2</v>
      </c>
      <c r="V7" s="514">
        <f t="shared" si="9"/>
        <v>225.11046999999999</v>
      </c>
      <c r="W7" s="498">
        <f t="shared" si="10"/>
        <v>1.7070547559397707E-2</v>
      </c>
      <c r="X7" s="540">
        <f t="shared" si="11"/>
        <v>0.43770634767686434</v>
      </c>
      <c r="Y7" s="541">
        <f t="shared" si="12"/>
        <v>0.10767159725468749</v>
      </c>
      <c r="Z7" s="499">
        <f t="shared" si="13"/>
        <v>20.878260000000001</v>
      </c>
      <c r="AA7" s="500">
        <f t="shared" si="14"/>
        <v>0.10999445926109698</v>
      </c>
      <c r="AB7" s="500">
        <f t="shared" si="15"/>
        <v>9.4659289127285006E-3</v>
      </c>
      <c r="AC7" s="501">
        <f t="shared" si="16"/>
        <v>3.262</v>
      </c>
      <c r="AD7" s="500">
        <f t="shared" si="17"/>
        <v>0.13803373469526883</v>
      </c>
      <c r="AE7" s="500">
        <f t="shared" si="18"/>
        <v>9.2423884853828821E-4</v>
      </c>
      <c r="AF7" s="500">
        <f t="shared" si="19"/>
        <v>1.4179604067704723E-4</v>
      </c>
      <c r="AG7" s="513">
        <f t="shared" si="20"/>
        <v>3.3719944592610971</v>
      </c>
      <c r="AH7" s="598">
        <f t="shared" si="21"/>
        <v>0.1383579261340119</v>
      </c>
      <c r="AI7" s="502">
        <f t="shared" si="22"/>
        <v>0.731005540738903</v>
      </c>
      <c r="AJ7" s="500">
        <f t="shared" si="23"/>
        <v>5.6846568095374049E-2</v>
      </c>
      <c r="AK7" s="515">
        <f t="shared" si="24"/>
        <v>7.7075761151461711E-2</v>
      </c>
      <c r="AL7" s="513">
        <f t="shared" si="25"/>
        <v>1.7071136461724236E-2</v>
      </c>
      <c r="AM7" s="552">
        <f>((((IF(G7="Grey",STDs!$AC$9,IF(G7="Orange",STDs!$AC$8,IF(G7="Green",STDs!$AC$10,IF(G7="Blue",STDs!$AC$11)))))*2)*(M7-AE7))^2*0.01)/((1+(((IF(G7="Grey",STDs!$AC$9,IF(G7="Orange",STDs!$AC$8,IF(G7="Green",STDs!$AC$10,IF(G7="Blue",STDs!$AC$11)))))*2)*(M7-AE7))*0.01))</f>
        <v>5.3936423315737359E-6</v>
      </c>
      <c r="AN7" s="557">
        <f>AI7-AM7-IF(G7="Grey",Blanks!$O$7,IF(G7="Orange",Blanks!$O$6,IF(G7="Green",Blanks!$O$8,Blanks!$O$9)))</f>
        <v>0.70414300423942855</v>
      </c>
      <c r="AO7" s="501">
        <f t="shared" si="26"/>
        <v>5.6846568095374049E-2</v>
      </c>
      <c r="AP7" s="501">
        <f>AN7/IF(G7="Grey",STDs!$AF$9,IF(G7="Orange",STDs!$AF$8,IF(G7="Green",STDs!$AF$10,STDs!$AF$11)))</f>
        <v>10.282064849622698</v>
      </c>
      <c r="AQ7" s="501">
        <f>SQRT(((AO7/IF(G7="Grey",STDs!$AF$9,IF(G7="Orange",STDs!$AF$8,IF(G7="Green",STDs!$AF$10,STDs!$AF$11))))^2)+(((AN7*(IF(G7="Grey",STDs!$AG$9,IF(G7="Orange",STDs!$AG$8,IF(G7="Green",STDs!$AG$10,STDs!$AG$11)))))/(IF(G7="Grey",STDs!$AF$9,IF(G7="Orange",STDs!$AF$8,IF(G7="Green",STDs!$AF$10,STDs!$AF$11))))))^2)</f>
        <v>0.83237350045141634</v>
      </c>
      <c r="AR7" s="501">
        <f t="shared" si="27"/>
        <v>5.1513350950013521</v>
      </c>
      <c r="AS7" s="500">
        <f t="shared" si="28"/>
        <v>0.44473471725981917</v>
      </c>
      <c r="AT7" s="653">
        <f>'Count 2'!AU7</f>
        <v>4.1916309922178625</v>
      </c>
      <c r="AU7" s="567">
        <f t="shared" si="29"/>
        <v>1.1445668033287966</v>
      </c>
      <c r="AV7" s="568">
        <f t="shared" si="30"/>
        <v>9.8814886680027511E-2</v>
      </c>
      <c r="AW7" s="560">
        <f t="shared" si="31"/>
        <v>8.6333874434099969E-2</v>
      </c>
      <c r="AX7" s="501">
        <f t="shared" si="32"/>
        <v>7.1489097783892661E-2</v>
      </c>
      <c r="AY7" s="506">
        <f t="shared" si="33"/>
        <v>1.1445668033287966</v>
      </c>
      <c r="AZ7" s="507">
        <f t="shared" si="34"/>
        <v>9.8814886680027511E-2</v>
      </c>
      <c r="BA7" s="508">
        <f t="shared" si="35"/>
        <v>8.6333874434099969E-2</v>
      </c>
      <c r="BB7" s="650">
        <f t="shared" si="36"/>
        <v>6.6650306764755529E-2</v>
      </c>
      <c r="BC7" s="501">
        <f t="shared" si="37"/>
        <v>1.8640641288842026E-2</v>
      </c>
      <c r="BD7" s="502">
        <f t="shared" si="38"/>
        <v>5.8435119862619685E-2</v>
      </c>
      <c r="BE7" s="501">
        <f t="shared" si="39"/>
        <v>1.7132571435007383E-2</v>
      </c>
      <c r="BF7" s="501">
        <f>BD7/(IF(G7="Grey",STDs!$AC$9,IF(G7="Orange",STDs!$AC$8,IF(G7="Green",STDs!$AC$10,STDs!$AC$11))))</f>
        <v>0.38782004686368599</v>
      </c>
      <c r="BG7" s="501">
        <f>SQRT(((BE7/IF(G7="Grey",STDs!$AC$9,IF(G7="Orange",STDs!$AC$8,IF(G7="Green",STDs!$AC$10,STDs!$AC$11))))^2)+(((BD7*(IF(G7="Grey",STDs!$AD$9,IF(G7="Orange",STDs!$AC$8,IF(G7="Green",STDs!$AC$10,STDs!$AC$11)))))/(IF(G7="Grey",STDs!$AC$9,IF(G7="Orange",STDs!$AC$8,IF(G7="Green",STDs!$AC$10,STDs!$AC$11)))^2))^2))</f>
        <v>0.40414499172845364</v>
      </c>
      <c r="BH7" s="501">
        <f t="shared" si="40"/>
        <v>0.1942986206731894</v>
      </c>
      <c r="BI7" s="501">
        <f t="shared" si="41"/>
        <v>0.2025613359631992</v>
      </c>
      <c r="BJ7" s="513">
        <v>0.05</v>
      </c>
      <c r="BK7" s="504">
        <f t="shared" si="1"/>
        <v>0.1526690094169863</v>
      </c>
      <c r="BL7" s="505">
        <f t="shared" si="42"/>
        <v>0.15916138982632622</v>
      </c>
      <c r="BM7" s="506">
        <f t="shared" si="43"/>
        <v>0.1526690094169863</v>
      </c>
      <c r="BN7" s="507">
        <f t="shared" si="44"/>
        <v>0.15916138982632622</v>
      </c>
      <c r="BO7" s="508">
        <f t="shared" si="45"/>
        <v>1.0425258566498405</v>
      </c>
    </row>
    <row r="8" spans="1:67" s="500" customFormat="1" x14ac:dyDescent="0.35">
      <c r="A8" s="494">
        <f>Samples!A8</f>
        <v>6</v>
      </c>
      <c r="B8" s="494">
        <f>Samples!B8</f>
        <v>0</v>
      </c>
      <c r="C8" s="495">
        <f>Samples!C8</f>
        <v>44351</v>
      </c>
      <c r="D8" s="496">
        <f>Samples!D8</f>
        <v>0.83333333333333337</v>
      </c>
      <c r="E8" s="496" t="str">
        <f>Samples!E8</f>
        <v>SW</v>
      </c>
      <c r="F8" s="526">
        <f>Samples!G8</f>
        <v>170.1</v>
      </c>
      <c r="G8" s="529" t="str">
        <f>Samples!L8</f>
        <v>Grey</v>
      </c>
      <c r="H8" s="530">
        <f>Samples!H8</f>
        <v>44352</v>
      </c>
      <c r="I8" s="531">
        <f>Samples!J8</f>
        <v>0.53880787037037037</v>
      </c>
      <c r="J8" s="532">
        <f>Samples!K8</f>
        <v>223.77</v>
      </c>
      <c r="K8" s="533">
        <f>H8+I8+(Samples!K8/(60*24))</f>
        <v>44352.694203703701</v>
      </c>
      <c r="L8" s="533">
        <f>Samples!O8</f>
        <v>6.1980000000000004</v>
      </c>
      <c r="M8" s="534">
        <f>Samples!M8</f>
        <v>0.29499999999999998</v>
      </c>
      <c r="N8" s="534">
        <f>Samples!N8</f>
        <v>1.819</v>
      </c>
      <c r="O8" s="497">
        <f t="shared" si="2"/>
        <v>0.94915105080039197</v>
      </c>
      <c r="P8" s="497">
        <f t="shared" si="3"/>
        <v>0.84956104237890584</v>
      </c>
      <c r="Q8" s="537">
        <f t="shared" si="4"/>
        <v>0.166427410161095</v>
      </c>
      <c r="R8" s="499">
        <f t="shared" si="5"/>
        <v>1386.9264600000001</v>
      </c>
      <c r="S8" s="500">
        <f t="shared" si="6"/>
        <v>9.0160314631992783E-2</v>
      </c>
      <c r="T8" s="540">
        <f t="shared" si="7"/>
        <v>9.9131736813625901E-2</v>
      </c>
      <c r="U8" s="540">
        <f t="shared" si="8"/>
        <v>5.2119699666213583E-2</v>
      </c>
      <c r="V8" s="499">
        <f t="shared" si="9"/>
        <v>407.03763000000004</v>
      </c>
      <c r="W8" s="498">
        <f t="shared" si="10"/>
        <v>3.6308647946694889E-2</v>
      </c>
      <c r="X8" s="540">
        <f t="shared" si="11"/>
        <v>0.24616032506233818</v>
      </c>
      <c r="Y8" s="541">
        <f t="shared" si="12"/>
        <v>4.9557776983670684E-2</v>
      </c>
      <c r="Z8" s="499">
        <f t="shared" si="13"/>
        <v>66.012150000000005</v>
      </c>
      <c r="AA8" s="500">
        <f t="shared" si="14"/>
        <v>0.17389232244880939</v>
      </c>
      <c r="AB8" s="500">
        <f t="shared" si="15"/>
        <v>1.6761981499185924E-2</v>
      </c>
      <c r="AC8" s="501">
        <f t="shared" si="16"/>
        <v>4.0840000000000005</v>
      </c>
      <c r="AD8" s="500">
        <f t="shared" si="17"/>
        <v>0.19273111607414695</v>
      </c>
      <c r="AE8" s="500">
        <f t="shared" si="18"/>
        <v>1.4223888481548375E-3</v>
      </c>
      <c r="AF8" s="500">
        <f t="shared" si="19"/>
        <v>3.1077908037410111E-4</v>
      </c>
      <c r="AG8" s="500">
        <f t="shared" si="20"/>
        <v>4.2578923224488099</v>
      </c>
      <c r="AH8" s="598">
        <f t="shared" si="21"/>
        <v>0.1934586444875632</v>
      </c>
      <c r="AI8" s="502">
        <f t="shared" si="22"/>
        <v>1.6451076775511906</v>
      </c>
      <c r="AJ8" s="500">
        <f t="shared" si="23"/>
        <v>9.1705214455444051E-2</v>
      </c>
      <c r="AK8" s="509">
        <f t="shared" si="24"/>
        <v>0.29357761115184516</v>
      </c>
      <c r="AL8" s="500">
        <f t="shared" si="25"/>
        <v>3.6309977958597403E-2</v>
      </c>
      <c r="AM8" s="552">
        <f>((((IF(G8="Grey",STDs!$AC$9,IF(G8="Orange",STDs!$AC$8,IF(G8="Green",STDs!$AC$10,IF(G8="Blue",STDs!$AC$11)))))*2)*(M8-AE8))^2*0.01)/((1+(((IF(G8="Grey",STDs!$AC$9,IF(G8="Orange",STDs!$AC$8,IF(G8="Green",STDs!$AC$10,IF(G8="Blue",STDs!$AC$11)))))*2)*(M8-AE8))*0.01))</f>
        <v>7.5232275743543031E-5</v>
      </c>
      <c r="AN8" s="557">
        <f>AI8-AM8-IF(G8="Grey",Blanks!$O$7,IF(G8="Orange",Blanks!$O$6,IF(G8="Green",Blanks!$O$8,Blanks!$O$9)))</f>
        <v>1.6143265629225059</v>
      </c>
      <c r="AO8" s="501">
        <f t="shared" si="26"/>
        <v>9.1705214455444051E-2</v>
      </c>
      <c r="AP8" s="501">
        <f>AN8/IF(G8="Grey",STDs!$AF$9,IF(G8="Orange",STDs!$AF$8,IF(G8="Green",STDs!$AF$10,STDs!$AF$11)))</f>
        <v>21.418298538843992</v>
      </c>
      <c r="AQ8" s="501">
        <f>SQRT(((AO8/IF(G8="Grey",STDs!$AF$9,IF(G8="Orange",STDs!$AF$8,IF(G8="Green",STDs!$AF$10,STDs!$AF$11))))^2)+(((AN8*(IF(G8="Grey",STDs!$AG$9,IF(G8="Orange",STDs!$AG$8,IF(G8="Green",STDs!$AG$10,STDs!$AG$11)))))/(IF(G8="Grey",STDs!$AF$9,IF(G8="Orange",STDs!$AF$8,IF(G8="Green",STDs!$AF$10,STDs!$AF$11))))))^2)</f>
        <v>1.2594961768147075</v>
      </c>
      <c r="AR8" s="501">
        <f t="shared" si="27"/>
        <v>12.59159232148383</v>
      </c>
      <c r="AS8" s="500">
        <f t="shared" si="28"/>
        <v>0.83123492871435856</v>
      </c>
      <c r="AT8" s="653">
        <f>'Count 2'!AU8</f>
        <v>2.1961079014831708</v>
      </c>
      <c r="AU8" s="567">
        <f t="shared" si="29"/>
        <v>12.236300749963361</v>
      </c>
      <c r="AV8" s="568">
        <f t="shared" si="30"/>
        <v>0.80778032848705161</v>
      </c>
      <c r="AW8" s="560">
        <f t="shared" si="31"/>
        <v>6.6015076369340661E-2</v>
      </c>
      <c r="AX8" s="501">
        <f t="shared" si="32"/>
        <v>5.2119699666213583E-2</v>
      </c>
      <c r="AY8" s="506">
        <f t="shared" si="33"/>
        <v>12.236300749963361</v>
      </c>
      <c r="AZ8" s="507">
        <f t="shared" si="34"/>
        <v>0.80778032848705161</v>
      </c>
      <c r="BA8" s="508">
        <f t="shared" si="35"/>
        <v>6.6015076369340661E-2</v>
      </c>
      <c r="BB8" s="650">
        <f t="shared" si="36"/>
        <v>4.9565868406812957E-2</v>
      </c>
      <c r="BC8" s="501">
        <f t="shared" si="37"/>
        <v>4.1950245777555357E-2</v>
      </c>
      <c r="BD8" s="502">
        <f t="shared" si="38"/>
        <v>0.25162736537428981</v>
      </c>
      <c r="BE8" s="501">
        <f t="shared" si="39"/>
        <v>3.6385203063172895E-2</v>
      </c>
      <c r="BF8" s="501">
        <f>BD8/(IF(G8="Grey",STDs!$AC$9,IF(G8="Orange",STDs!$AC$8,IF(G8="Green",STDs!$AC$10,STDs!$AC$11))))</f>
        <v>1.7026302801165534</v>
      </c>
      <c r="BG8" s="501">
        <f>SQRT(((BE8/IF(G8="Grey",STDs!$AC$9,IF(G8="Orange",STDs!$AC$8,IF(G8="Green",STDs!$AC$10,STDs!$AC$11))))^2)+(((BD8*(IF(G8="Grey",STDs!$AD$9,IF(G8="Orange",STDs!$AC$8,IF(G8="Green",STDs!$AC$10,STDs!$AC$11)))))/(IF(G8="Grey",STDs!$AC$9,IF(G8="Orange",STDs!$AC$8,IF(G8="Green",STDs!$AC$10,STDs!$AC$11)))^2))^2))</f>
        <v>0.25969865049598767</v>
      </c>
      <c r="BH8" s="501">
        <f t="shared" si="40"/>
        <v>1.0009584245247227</v>
      </c>
      <c r="BI8" s="501">
        <f t="shared" si="41"/>
        <v>0.155599190068022</v>
      </c>
      <c r="BJ8" s="500">
        <v>0.05</v>
      </c>
      <c r="BK8" s="504">
        <f t="shared" si="1"/>
        <v>1.0019042003091148</v>
      </c>
      <c r="BL8" s="505">
        <f t="shared" si="42"/>
        <v>0.15574621110549139</v>
      </c>
      <c r="BM8" s="506">
        <f t="shared" si="43"/>
        <v>1.0019042003091148</v>
      </c>
      <c r="BN8" s="507">
        <f t="shared" si="44"/>
        <v>0.15574621110549139</v>
      </c>
      <c r="BO8" s="508">
        <f t="shared" si="45"/>
        <v>0.15545020278130328</v>
      </c>
    </row>
    <row r="9" spans="1:67" s="517" customFormat="1" ht="17.5" customHeight="1" x14ac:dyDescent="0.35">
      <c r="A9" s="494">
        <f>Samples!A9</f>
        <v>7</v>
      </c>
      <c r="B9" s="494">
        <f>Samples!B9</f>
        <v>0</v>
      </c>
      <c r="C9" s="495">
        <f>Samples!C9</f>
        <v>44351</v>
      </c>
      <c r="D9" s="496">
        <f>Samples!D9</f>
        <v>0.22916666666666666</v>
      </c>
      <c r="E9" s="496" t="str">
        <f>Samples!E9</f>
        <v>SW</v>
      </c>
      <c r="F9" s="526">
        <f>Samples!G9</f>
        <v>166.7</v>
      </c>
      <c r="G9" s="529" t="str">
        <f>Samples!L9</f>
        <v>Green</v>
      </c>
      <c r="H9" s="530">
        <f>Samples!H9</f>
        <v>44352</v>
      </c>
      <c r="I9" s="531">
        <f>Samples!J9</f>
        <v>0.60902777777777772</v>
      </c>
      <c r="J9" s="532">
        <f>Samples!K9</f>
        <v>201.98</v>
      </c>
      <c r="K9" s="533">
        <f>H9+I9+(Samples!K9/(60*24))</f>
        <v>44352.749291666667</v>
      </c>
      <c r="L9" s="533">
        <f>Samples!O9</f>
        <v>8.7850000000000001</v>
      </c>
      <c r="M9" s="534">
        <f>Samples!M9</f>
        <v>0.40600000000000003</v>
      </c>
      <c r="N9" s="534">
        <f>Samples!N9</f>
        <v>2.9710000000000001</v>
      </c>
      <c r="O9" s="497">
        <f t="shared" si="2"/>
        <v>0.91196616996776136</v>
      </c>
      <c r="P9" s="497">
        <f t="shared" si="3"/>
        <v>0.74984551331552762</v>
      </c>
      <c r="Q9" s="537">
        <f t="shared" si="4"/>
        <v>0.2085531236559931</v>
      </c>
      <c r="R9" s="499">
        <f t="shared" si="5"/>
        <v>1774.3942999999999</v>
      </c>
      <c r="S9" s="517">
        <f t="shared" si="6"/>
        <v>0.1212822211457889</v>
      </c>
      <c r="T9" s="544">
        <f t="shared" si="7"/>
        <v>8.1644039815408215E-2</v>
      </c>
      <c r="U9" s="544">
        <f t="shared" si="8"/>
        <v>4.3127761136514092E-2</v>
      </c>
      <c r="V9" s="518">
        <f t="shared" si="9"/>
        <v>600.08258000000001</v>
      </c>
      <c r="W9" s="498">
        <f t="shared" si="10"/>
        <v>4.4834138888819652E-2</v>
      </c>
      <c r="X9" s="540">
        <f t="shared" si="11"/>
        <v>0.22085782703852047</v>
      </c>
      <c r="Y9" s="541">
        <f t="shared" si="12"/>
        <v>3.7368834401091365E-2</v>
      </c>
      <c r="Z9" s="499">
        <f t="shared" si="13"/>
        <v>82.003879999999995</v>
      </c>
      <c r="AA9" s="500">
        <f t="shared" si="14"/>
        <v>0.30918538565629233</v>
      </c>
      <c r="AB9" s="500">
        <f t="shared" si="15"/>
        <v>2.8860321461589036E-2</v>
      </c>
      <c r="AC9" s="501">
        <f t="shared" si="16"/>
        <v>5.4080000000000004</v>
      </c>
      <c r="AD9" s="500">
        <f t="shared" si="17"/>
        <v>0.24538517184750583</v>
      </c>
      <c r="AE9" s="500">
        <f t="shared" si="18"/>
        <v>2.4189527164503529E-3</v>
      </c>
      <c r="AF9" s="500">
        <f t="shared" si="19"/>
        <v>6.9598044503125481E-4</v>
      </c>
      <c r="AG9" s="517">
        <f t="shared" si="20"/>
        <v>5.7171853856562924</v>
      </c>
      <c r="AH9" s="598">
        <f t="shared" si="21"/>
        <v>0.24707650782196236</v>
      </c>
      <c r="AI9" s="502">
        <f t="shared" si="22"/>
        <v>2.6618146143437076</v>
      </c>
      <c r="AJ9" s="500">
        <f t="shared" si="23"/>
        <v>0.12466874235718552</v>
      </c>
      <c r="AK9" s="519">
        <f t="shared" si="24"/>
        <v>0.40358104728354965</v>
      </c>
      <c r="AL9" s="517">
        <f t="shared" si="25"/>
        <v>4.4839540571707873E-2</v>
      </c>
      <c r="AM9" s="552">
        <f>((((IF(G9="Grey",STDs!$AC$9,IF(G9="Orange",STDs!$AC$8,IF(G9="Green",STDs!$AC$10,IF(G9="Blue",STDs!$AC$11)))))*2)*(M9-AE9))^2*0.01)/((1+(((IF(G9="Grey",STDs!$AC$9,IF(G9="Orange",STDs!$AC$8,IF(G9="Green",STDs!$AC$10,IF(G9="Blue",STDs!$AC$11)))))*2)*(M9-AE9))*0.01))</f>
        <v>1.8879878502358978E-4</v>
      </c>
      <c r="AN9" s="557">
        <f>AI9-AM9-IF(G9="Grey",Blanks!$O$7,IF(G9="Orange",Blanks!$O$6,IF(G9="Green",Blanks!$O$8,Blanks!$O$9)))</f>
        <v>2.6333530882859568</v>
      </c>
      <c r="AO9" s="501">
        <f t="shared" si="26"/>
        <v>0.12466874235718552</v>
      </c>
      <c r="AP9" s="501">
        <f>AN9/IF(G9="Grey",STDs!$AF$9,IF(G9="Orange",STDs!$AF$8,IF(G9="Green",STDs!$AF$10,STDs!$AF$11)))</f>
        <v>33.301561873001035</v>
      </c>
      <c r="AQ9" s="501">
        <f>SQRT(((AO9/IF(G9="Grey",STDs!$AF$9,IF(G9="Orange",STDs!$AF$8,IF(G9="Green",STDs!$AF$10,STDs!$AF$11))))^2)+(((AN9*(IF(G9="Grey",STDs!$AG$9,IF(G9="Orange",STDs!$AG$8,IF(G9="Green",STDs!$AG$10,STDs!$AG$11)))))/(IF(G9="Grey",STDs!$AF$9,IF(G9="Orange",STDs!$AF$8,IF(G9="Green",STDs!$AF$10,STDs!$AF$11))))))^2)</f>
        <v>2.1906128583964088</v>
      </c>
      <c r="AR9" s="501">
        <f t="shared" si="27"/>
        <v>19.976941735453533</v>
      </c>
      <c r="AS9" s="500">
        <f t="shared" si="28"/>
        <v>1.4443136963905863</v>
      </c>
      <c r="AT9" s="653">
        <f>'Count 2'!AU9</f>
        <v>1.3380013526154273</v>
      </c>
      <c r="AU9" s="567">
        <f t="shared" si="29"/>
        <v>24.857040619505607</v>
      </c>
      <c r="AV9" s="568">
        <f t="shared" si="30"/>
        <v>1.7971401575834864</v>
      </c>
      <c r="AW9" s="560">
        <f t="shared" si="31"/>
        <v>7.2299039338305213E-2</v>
      </c>
      <c r="AX9" s="501">
        <f t="shared" si="32"/>
        <v>4.3127761136514092E-2</v>
      </c>
      <c r="AY9" s="506">
        <f t="shared" si="33"/>
        <v>24.857040619505607</v>
      </c>
      <c r="AZ9" s="507">
        <f t="shared" si="34"/>
        <v>1.7971401575834864</v>
      </c>
      <c r="BA9" s="508">
        <f t="shared" si="35"/>
        <v>7.2299039338305213E-2</v>
      </c>
      <c r="BB9" s="650">
        <f t="shared" si="36"/>
        <v>4.0822019907704107E-2</v>
      </c>
      <c r="BC9" s="501">
        <f t="shared" si="37"/>
        <v>6.7876272665764542E-2</v>
      </c>
      <c r="BD9" s="502">
        <f t="shared" si="38"/>
        <v>0.33570477461778514</v>
      </c>
      <c r="BE9" s="501">
        <f t="shared" si="39"/>
        <v>4.4952094236133937E-2</v>
      </c>
      <c r="BF9" s="501">
        <f>BD9/(IF(G9="Grey",STDs!$AC$9,IF(G9="Orange",STDs!$AC$8,IF(G9="Green",STDs!$AC$10,STDs!$AC$11))))</f>
        <v>1.9706990628521992</v>
      </c>
      <c r="BG9" s="501">
        <f>SQRT(((BE9/IF(G9="Grey",STDs!$AC$9,IF(G9="Orange",STDs!$AC$8,IF(G9="Green",STDs!$AC$10,STDs!$AC$11))))^2)+(((BD9*(IF(G9="Grey",STDs!$AD$9,IF(G9="Orange",STDs!$AC$8,IF(G9="Green",STDs!$AC$10,STDs!$AC$11)))))/(IF(G9="Grey",STDs!$AC$9,IF(G9="Orange",STDs!$AC$8,IF(G9="Green",STDs!$AC$10,STDs!$AC$11)))^2))^2))</f>
        <v>1.9882880711009445</v>
      </c>
      <c r="BH9" s="501">
        <f t="shared" si="40"/>
        <v>1.1821830011110974</v>
      </c>
      <c r="BI9" s="501">
        <f t="shared" si="41"/>
        <v>1.1932614555763466</v>
      </c>
      <c r="BJ9" s="517">
        <v>0.05</v>
      </c>
      <c r="BK9" s="504">
        <f t="shared" si="1"/>
        <v>1.241474780968159</v>
      </c>
      <c r="BL9" s="505">
        <f t="shared" si="42"/>
        <v>1.2531088696141506</v>
      </c>
      <c r="BM9" s="506">
        <f t="shared" si="43"/>
        <v>1.241474780968159</v>
      </c>
      <c r="BN9" s="507">
        <f t="shared" si="44"/>
        <v>1.2531088696141506</v>
      </c>
      <c r="BO9" s="508">
        <f t="shared" si="45"/>
        <v>1.0093711840339752</v>
      </c>
    </row>
    <row r="10" spans="1:67" s="520" customFormat="1" x14ac:dyDescent="0.35">
      <c r="A10" s="494">
        <f>Samples!A10</f>
        <v>8</v>
      </c>
      <c r="B10" s="494">
        <f>Samples!B10</f>
        <v>0</v>
      </c>
      <c r="C10" s="495">
        <f>Samples!C10</f>
        <v>44351</v>
      </c>
      <c r="D10" s="496">
        <f>Samples!D10</f>
        <v>0.84930555555555554</v>
      </c>
      <c r="E10" s="496" t="str">
        <f>Samples!E10</f>
        <v>SW</v>
      </c>
      <c r="F10" s="526">
        <f>Samples!G10</f>
        <v>187</v>
      </c>
      <c r="G10" s="529" t="str">
        <f>Samples!L10</f>
        <v>Blue</v>
      </c>
      <c r="H10" s="530">
        <f>Samples!H10</f>
        <v>44352</v>
      </c>
      <c r="I10" s="531">
        <f>Samples!J10</f>
        <v>0.7836574074074073</v>
      </c>
      <c r="J10" s="532">
        <f>Samples!K10</f>
        <v>180.92</v>
      </c>
      <c r="K10" s="533">
        <f>H10+I10+(Samples!K10/(60*24))</f>
        <v>44352.909296296297</v>
      </c>
      <c r="L10" s="533">
        <f>Samples!O10</f>
        <v>7.76</v>
      </c>
      <c r="M10" s="534">
        <f>Samples!M10</f>
        <v>0.26500000000000001</v>
      </c>
      <c r="N10" s="534">
        <f>Samples!N10</f>
        <v>2.2879999999999998</v>
      </c>
      <c r="O10" s="497">
        <f t="shared" si="2"/>
        <v>0.93776272844957642</v>
      </c>
      <c r="P10" s="497">
        <f t="shared" si="3"/>
        <v>0.81812037906407453</v>
      </c>
      <c r="Q10" s="537">
        <f t="shared" si="4"/>
        <v>0.20710356326347246</v>
      </c>
      <c r="R10" s="499">
        <f t="shared" si="5"/>
        <v>1403.9391999999998</v>
      </c>
      <c r="S10" s="520">
        <f t="shared" si="6"/>
        <v>0.1124565408479322</v>
      </c>
      <c r="T10" s="545">
        <f t="shared" si="7"/>
        <v>9.830117206987081E-2</v>
      </c>
      <c r="U10" s="545">
        <f t="shared" si="8"/>
        <v>5.2544470595680397E-2</v>
      </c>
      <c r="V10" s="521">
        <f t="shared" si="9"/>
        <v>413.94495999999992</v>
      </c>
      <c r="W10" s="498">
        <f t="shared" si="10"/>
        <v>3.8271866884520313E-2</v>
      </c>
      <c r="X10" s="540">
        <f t="shared" si="11"/>
        <v>0.28884427837373822</v>
      </c>
      <c r="Y10" s="541">
        <f t="shared" si="12"/>
        <v>5.2066342085501392E-2</v>
      </c>
      <c r="Z10" s="499">
        <f t="shared" si="13"/>
        <v>47.943799999999996</v>
      </c>
      <c r="AA10" s="500">
        <f t="shared" si="14"/>
        <v>0.28602163661873764</v>
      </c>
      <c r="AB10" s="500">
        <f t="shared" si="15"/>
        <v>2.6949927873723807E-2</v>
      </c>
      <c r="AC10" s="501">
        <f t="shared" si="16"/>
        <v>5.2069999999999999</v>
      </c>
      <c r="AD10" s="500">
        <f t="shared" si="17"/>
        <v>0.23875321001137603</v>
      </c>
      <c r="AE10" s="500">
        <f t="shared" si="18"/>
        <v>2.2531217523121534E-3</v>
      </c>
      <c r="AF10" s="500">
        <f t="shared" si="19"/>
        <v>6.2743084251697567E-4</v>
      </c>
      <c r="AG10" s="520">
        <f t="shared" si="20"/>
        <v>5.4930216366187379</v>
      </c>
      <c r="AH10" s="598">
        <f t="shared" si="21"/>
        <v>0.24026941940899416</v>
      </c>
      <c r="AI10" s="502">
        <f t="shared" si="22"/>
        <v>2.0019783633812622</v>
      </c>
      <c r="AJ10" s="500">
        <f t="shared" si="23"/>
        <v>0.11564070300669034</v>
      </c>
      <c r="AK10" s="522">
        <f t="shared" si="24"/>
        <v>0.26274687824768789</v>
      </c>
      <c r="AL10" s="520">
        <f t="shared" si="25"/>
        <v>3.8277009604834392E-2</v>
      </c>
      <c r="AM10" s="552">
        <f>((((IF(G10="Grey",STDs!$AC$9,IF(G10="Orange",STDs!$AC$8,IF(G10="Green",STDs!$AC$10,IF(G10="Blue",STDs!$AC$11)))))*2)*(M10-AE10))^2*0.01)/((1+(((IF(G10="Grey",STDs!$AC$9,IF(G10="Orange",STDs!$AC$8,IF(G10="Green",STDs!$AC$10,IF(G10="Blue",STDs!$AC$11)))))*2)*(M10-AE10))*0.01))</f>
        <v>6.2643895347747836E-5</v>
      </c>
      <c r="AN10" s="557">
        <f>AI10-AM10-IF(G10="Grey",Blanks!$O$7,IF(G10="Orange",Blanks!$O$6,IF(G10="Green",Blanks!$O$8,Blanks!$O$9)))</f>
        <v>1.9750585766287714</v>
      </c>
      <c r="AO10" s="501">
        <f t="shared" si="26"/>
        <v>0.11564070300669034</v>
      </c>
      <c r="AP10" s="501">
        <f>AN10/IF(G10="Grey",STDs!$AF$9,IF(G10="Orange",STDs!$AF$8,IF(G10="Green",STDs!$AF$10,STDs!$AF$11)))</f>
        <v>28.840278529267817</v>
      </c>
      <c r="AQ10" s="501">
        <f>SQRT(((AO10/IF(G10="Grey",STDs!$AF$9,IF(G10="Orange",STDs!$AF$8,IF(G10="Green",STDs!$AF$10,STDs!$AF$11))))^2)+(((AN10*(IF(G10="Grey",STDs!$AG$9,IF(G10="Orange",STDs!$AG$8,IF(G10="Green",STDs!$AG$10,STDs!$AG$11)))))/(IF(G10="Grey",STDs!$AF$9,IF(G10="Orange",STDs!$AF$8,IF(G10="Green",STDs!$AF$10,STDs!$AF$11))))))^2)</f>
        <v>1.6974446037906985</v>
      </c>
      <c r="AR10" s="501">
        <f t="shared" si="27"/>
        <v>15.422608839180651</v>
      </c>
      <c r="AS10" s="500">
        <f t="shared" si="28"/>
        <v>1.0188398990607024</v>
      </c>
      <c r="AT10" s="653">
        <f>'Count 2'!AU10</f>
        <v>2.5585632239129263</v>
      </c>
      <c r="AU10" s="567">
        <f t="shared" si="29"/>
        <v>15.723903162006703</v>
      </c>
      <c r="AV10" s="568">
        <f t="shared" si="30"/>
        <v>1.0387438388322803</v>
      </c>
      <c r="AW10" s="560">
        <f t="shared" si="31"/>
        <v>6.6061449764087357E-2</v>
      </c>
      <c r="AX10" s="501">
        <f t="shared" si="32"/>
        <v>5.2544470595680397E-2</v>
      </c>
      <c r="AY10" s="506">
        <f t="shared" si="33"/>
        <v>15.723903162006703</v>
      </c>
      <c r="AZ10" s="507">
        <f t="shared" si="34"/>
        <v>1.0387438388322803</v>
      </c>
      <c r="BA10" s="508">
        <f t="shared" si="35"/>
        <v>6.6061449764087357E-2</v>
      </c>
      <c r="BB10" s="650">
        <f t="shared" si="36"/>
        <v>4.9150586034935412E-2</v>
      </c>
      <c r="BC10" s="501">
        <f t="shared" si="37"/>
        <v>5.1050448266222181E-2</v>
      </c>
      <c r="BD10" s="502">
        <f t="shared" si="38"/>
        <v>0.21169642998146571</v>
      </c>
      <c r="BE10" s="501">
        <f t="shared" si="39"/>
        <v>3.8390429919530143E-2</v>
      </c>
      <c r="BF10" s="501">
        <f>BD10/(IF(G10="Grey",STDs!$AC$9,IF(G10="Orange",STDs!$AC$8,IF(G10="Green",STDs!$AC$10,STDs!$AC$11))))</f>
        <v>1.4049790535093196</v>
      </c>
      <c r="BG10" s="501">
        <f>SQRT(((BE10/IF(G10="Grey",STDs!$AC$9,IF(G10="Orange",STDs!$AC$8,IF(G10="Green",STDs!$AC$10,STDs!$AC$11))))^2)+(((BD10*(IF(G10="Grey",STDs!$AD$9,IF(G10="Orange",STDs!$AC$8,IF(G10="Green",STDs!$AC$10,STDs!$AC$11)))))/(IF(G10="Grey",STDs!$AC$9,IF(G10="Orange",STDs!$AC$8,IF(G10="Green",STDs!$AC$10,STDs!$AC$11)))^2))^2))</f>
        <v>1.4278946605977558</v>
      </c>
      <c r="BH10" s="501">
        <f t="shared" si="40"/>
        <v>0.75132569706380736</v>
      </c>
      <c r="BI10" s="501">
        <f t="shared" si="41"/>
        <v>0.7639126305806927</v>
      </c>
      <c r="BJ10" s="520">
        <v>0.05</v>
      </c>
      <c r="BK10" s="504">
        <f t="shared" si="1"/>
        <v>0.74787115736975851</v>
      </c>
      <c r="BL10" s="505">
        <f t="shared" si="42"/>
        <v>0.76040021710217143</v>
      </c>
      <c r="BM10" s="506">
        <f t="shared" si="43"/>
        <v>0.74787115736975851</v>
      </c>
      <c r="BN10" s="507">
        <f t="shared" si="44"/>
        <v>0.76040021710217143</v>
      </c>
      <c r="BO10" s="508">
        <f t="shared" si="45"/>
        <v>1.0167529655462009</v>
      </c>
    </row>
    <row r="11" spans="1:67" s="513" customFormat="1" x14ac:dyDescent="0.35">
      <c r="A11" s="494">
        <f>Samples!A11</f>
        <v>9</v>
      </c>
      <c r="B11" s="494">
        <f>Samples!B11</f>
        <v>0</v>
      </c>
      <c r="C11" s="495">
        <f>Samples!C11</f>
        <v>44352</v>
      </c>
      <c r="D11" s="496">
        <f>Samples!D11</f>
        <v>0.43333333333333335</v>
      </c>
      <c r="E11" s="496" t="str">
        <f>Samples!E11</f>
        <v>SW</v>
      </c>
      <c r="F11" s="526">
        <f>Samples!G11</f>
        <v>167.9</v>
      </c>
      <c r="G11" s="529" t="str">
        <f>Samples!L11</f>
        <v>Orange</v>
      </c>
      <c r="H11" s="530">
        <f>Samples!H11</f>
        <v>44353</v>
      </c>
      <c r="I11" s="531">
        <f>Samples!J11</f>
        <v>0.21736111111111112</v>
      </c>
      <c r="J11" s="532">
        <f>Samples!K11</f>
        <v>246.8</v>
      </c>
      <c r="K11" s="533">
        <f>H11+I11+(Samples!K11/(60*24))</f>
        <v>44353.388750000006</v>
      </c>
      <c r="L11" s="533">
        <f>Samples!O11</f>
        <v>6.4870000000000001</v>
      </c>
      <c r="M11" s="534">
        <f>Samples!M11</f>
        <v>0.158</v>
      </c>
      <c r="N11" s="534">
        <f>Samples!N11</f>
        <v>1.4179999999999999</v>
      </c>
      <c r="O11" s="497">
        <f t="shared" si="2"/>
        <v>0.94372650810470304</v>
      </c>
      <c r="P11" s="497">
        <f t="shared" si="3"/>
        <v>0.83448452143578189</v>
      </c>
      <c r="Q11" s="537">
        <f t="shared" si="4"/>
        <v>0.16212476936849496</v>
      </c>
      <c r="R11" s="499">
        <f t="shared" si="5"/>
        <v>1600.9916000000001</v>
      </c>
      <c r="S11" s="516">
        <f t="shared" si="6"/>
        <v>7.5799359824189061E-2</v>
      </c>
      <c r="T11" s="543">
        <f t="shared" si="7"/>
        <v>0.10691023952635977</v>
      </c>
      <c r="U11" s="543">
        <f t="shared" si="8"/>
        <v>5.8990611108526436E-2</v>
      </c>
      <c r="V11" s="514">
        <f t="shared" si="9"/>
        <v>349.9624</v>
      </c>
      <c r="W11" s="498">
        <f t="shared" si="10"/>
        <v>2.530206492492567E-2</v>
      </c>
      <c r="X11" s="540">
        <f t="shared" si="11"/>
        <v>0.32027930284716044</v>
      </c>
      <c r="Y11" s="541">
        <f t="shared" si="12"/>
        <v>6.3280285224541433E-2</v>
      </c>
      <c r="Z11" s="499">
        <f t="shared" si="13"/>
        <v>38.994399999999999</v>
      </c>
      <c r="AA11" s="500">
        <f t="shared" si="14"/>
        <v>0.25363523646268227</v>
      </c>
      <c r="AB11" s="500">
        <f t="shared" si="15"/>
        <v>1.9152166498058794E-2</v>
      </c>
      <c r="AC11" s="501">
        <f t="shared" si="16"/>
        <v>4.9109999999999996</v>
      </c>
      <c r="AD11" s="500">
        <f t="shared" si="17"/>
        <v>0.18074893715319523</v>
      </c>
      <c r="AE11" s="500">
        <f t="shared" si="18"/>
        <v>2.0181414558235176E-3</v>
      </c>
      <c r="AF11" s="500">
        <f t="shared" si="19"/>
        <v>4.2221364156940703E-4</v>
      </c>
      <c r="AG11" s="513">
        <f t="shared" si="20"/>
        <v>5.164635236462682</v>
      </c>
      <c r="AH11" s="598">
        <f t="shared" si="21"/>
        <v>0.18176078720004238</v>
      </c>
      <c r="AI11" s="502">
        <f t="shared" si="22"/>
        <v>1.1643647635373178</v>
      </c>
      <c r="AJ11" s="500">
        <f t="shared" si="23"/>
        <v>7.8181509523200257E-2</v>
      </c>
      <c r="AK11" s="515">
        <f t="shared" si="24"/>
        <v>0.15598185854417648</v>
      </c>
      <c r="AL11" s="513">
        <f t="shared" si="25"/>
        <v>2.530558740326494E-2</v>
      </c>
      <c r="AM11" s="552">
        <f>((((IF(G11="Grey",STDs!$AC$9,IF(G11="Orange",STDs!$AC$8,IF(G11="Green",STDs!$AC$10,IF(G11="Blue",STDs!$AC$11)))))*2)*(M11-AE11))^2*0.01)/((1+(((IF(G11="Grey",STDs!$AC$9,IF(G11="Orange",STDs!$AC$8,IF(G11="Green",STDs!$AC$10,IF(G11="Blue",STDs!$AC$11)))))*2)*(M11-AE11))*0.01))</f>
        <v>2.4213043829779002E-5</v>
      </c>
      <c r="AN11" s="557">
        <f>AI11-AM11-IF(G11="Grey",Blanks!$O$7,IF(G11="Orange",Blanks!$O$6,IF(G11="Green",Blanks!$O$8,Blanks!$O$9)))</f>
        <v>1.1554516616045991</v>
      </c>
      <c r="AO11" s="501">
        <f t="shared" si="26"/>
        <v>7.8181509523200257E-2</v>
      </c>
      <c r="AP11" s="501">
        <f>AN11/IF(G11="Grey",STDs!$AF$9,IF(G11="Orange",STDs!$AF$8,IF(G11="Green",STDs!$AF$10,STDs!$AF$11)))</f>
        <v>14.966052952254264</v>
      </c>
      <c r="AQ11" s="501">
        <f>SQRT(((AO11/IF(G11="Grey",STDs!$AF$9,IF(G11="Orange",STDs!$AF$8,IF(G11="Green",STDs!$AF$10,STDs!$AF$11))))^2)+(((AN11*(IF(G11="Grey",STDs!$AG$9,IF(G11="Orange",STDs!$AG$8,IF(G11="Green",STDs!$AG$10,STDs!$AG$11)))))/(IF(G11="Grey",STDs!$AF$9,IF(G11="Orange",STDs!$AF$8,IF(G11="Green",STDs!$AF$10,STDs!$AF$11))))))^2)</f>
        <v>1.0171394677169963</v>
      </c>
      <c r="AR11" s="501">
        <f t="shared" si="27"/>
        <v>8.9136706088470898</v>
      </c>
      <c r="AS11" s="500">
        <f t="shared" si="28"/>
        <v>0.66219538367557795</v>
      </c>
      <c r="AT11" s="653">
        <f>'Count 2'!AU11</f>
        <v>5.3314929710617056</v>
      </c>
      <c r="AU11" s="567">
        <f t="shared" si="29"/>
        <v>4.2926831424290857</v>
      </c>
      <c r="AV11" s="568">
        <f t="shared" si="30"/>
        <v>0.31890284992998863</v>
      </c>
      <c r="AW11" s="560">
        <f t="shared" si="31"/>
        <v>7.4289864718394327E-2</v>
      </c>
      <c r="AX11" s="501">
        <f t="shared" si="32"/>
        <v>5.8990611108526436E-2</v>
      </c>
      <c r="AY11" s="506">
        <f t="shared" si="33"/>
        <v>4.2926831424290857</v>
      </c>
      <c r="AZ11" s="507">
        <f t="shared" si="34"/>
        <v>0.31890284992998863</v>
      </c>
      <c r="BA11" s="508">
        <f t="shared" si="35"/>
        <v>7.4289864718394327E-2</v>
      </c>
      <c r="BB11" s="650">
        <f t="shared" si="36"/>
        <v>5.3455119763179876E-2</v>
      </c>
      <c r="BC11" s="501">
        <f t="shared" si="37"/>
        <v>2.96913014702016E-2</v>
      </c>
      <c r="BD11" s="502">
        <f t="shared" si="38"/>
        <v>0.12629055707397488</v>
      </c>
      <c r="BE11" s="501">
        <f t="shared" si="39"/>
        <v>2.5383997092494143E-2</v>
      </c>
      <c r="BF11" s="501">
        <f>BD11/(IF(G11="Grey",STDs!$AC$9,IF(G11="Orange",STDs!$AC$8,IF(G11="Green",STDs!$AC$10,STDs!$AC$11))))</f>
        <v>0.80046697733776107</v>
      </c>
      <c r="BG11" s="501">
        <f>SQRT(((BE11/IF(G11="Grey",STDs!$AC$9,IF(G11="Orange",STDs!$AC$8,IF(G11="Green",STDs!$AC$10,STDs!$AC$11))))^2)+(((BD11*(IF(G11="Grey",STDs!$AD$9,IF(G11="Orange",STDs!$AC$8,IF(G11="Green",STDs!$AC$10,STDs!$AC$11)))))/(IF(G11="Grey",STDs!$AC$9,IF(G11="Orange",STDs!$AC$8,IF(G11="Green",STDs!$AC$10,STDs!$AC$11)))^2))^2))</f>
        <v>0.81647620357300243</v>
      </c>
      <c r="BH11" s="501">
        <f t="shared" si="40"/>
        <v>0.47675221997484285</v>
      </c>
      <c r="BI11" s="501">
        <f t="shared" si="41"/>
        <v>0.48649748331043297</v>
      </c>
      <c r="BJ11" s="513">
        <v>0.05</v>
      </c>
      <c r="BK11" s="504">
        <f t="shared" si="1"/>
        <v>0.45219903892696023</v>
      </c>
      <c r="BL11" s="505">
        <f t="shared" si="42"/>
        <v>0.46144241217161247</v>
      </c>
      <c r="BM11" s="506">
        <f t="shared" si="43"/>
        <v>0.45219903892696023</v>
      </c>
      <c r="BN11" s="507">
        <f t="shared" si="44"/>
        <v>0.46144241217161247</v>
      </c>
      <c r="BO11" s="508">
        <f t="shared" si="45"/>
        <v>1.0204409396061216</v>
      </c>
    </row>
    <row r="12" spans="1:67" s="513" customFormat="1" x14ac:dyDescent="0.35">
      <c r="A12" s="494">
        <f>Samples!A12</f>
        <v>10</v>
      </c>
      <c r="B12" s="494">
        <f>Samples!B12</f>
        <v>0</v>
      </c>
      <c r="C12" s="495">
        <f>Samples!C12</f>
        <v>44352</v>
      </c>
      <c r="D12" s="496">
        <f>Samples!D12</f>
        <v>0.55763888888888891</v>
      </c>
      <c r="E12" s="496" t="str">
        <f>Samples!E12</f>
        <v>SW</v>
      </c>
      <c r="F12" s="526">
        <f>Samples!G12</f>
        <v>175.5</v>
      </c>
      <c r="G12" s="529" t="str">
        <f>Samples!L12</f>
        <v>Grey</v>
      </c>
      <c r="H12" s="530">
        <f>Samples!H12</f>
        <v>44352</v>
      </c>
      <c r="I12" s="531">
        <f>Samples!J12</f>
        <v>0.79891203703703706</v>
      </c>
      <c r="J12" s="532">
        <f>Samples!K12</f>
        <v>156.1</v>
      </c>
      <c r="K12" s="533">
        <f>H12+I12+(Samples!K12/(60*24))</f>
        <v>44352.907314814816</v>
      </c>
      <c r="L12" s="533">
        <f>Samples!O12</f>
        <v>8.5459999999999994</v>
      </c>
      <c r="M12" s="534">
        <f>Samples!M12</f>
        <v>0.40400000000000003</v>
      </c>
      <c r="N12" s="534">
        <f>Samples!N12</f>
        <v>2.8759999999999999</v>
      </c>
      <c r="O12" s="497">
        <f t="shared" si="2"/>
        <v>0.97902518829884855</v>
      </c>
      <c r="P12" s="497">
        <f t="shared" si="3"/>
        <v>0.93592195082813467</v>
      </c>
      <c r="Q12" s="537">
        <f t="shared" si="4"/>
        <v>0.23398067672095413</v>
      </c>
      <c r="R12" s="499">
        <f t="shared" si="5"/>
        <v>1334.0305999999998</v>
      </c>
      <c r="S12" s="516">
        <f t="shared" si="6"/>
        <v>0.13573535694003494</v>
      </c>
      <c r="T12" s="543">
        <f t="shared" si="7"/>
        <v>9.439176421421068E-2</v>
      </c>
      <c r="U12" s="543">
        <f t="shared" si="8"/>
        <v>4.9798126311947223E-2</v>
      </c>
      <c r="V12" s="514">
        <f t="shared" si="9"/>
        <v>448.94359999999995</v>
      </c>
      <c r="W12" s="498">
        <f t="shared" si="10"/>
        <v>5.0873220471862518E-2</v>
      </c>
      <c r="X12" s="540">
        <f t="shared" si="11"/>
        <v>0.25184762609832928</v>
      </c>
      <c r="Y12" s="541">
        <f t="shared" si="12"/>
        <v>4.3198322239327784E-2</v>
      </c>
      <c r="Z12" s="499">
        <f t="shared" si="13"/>
        <v>63.064399999999999</v>
      </c>
      <c r="AA12" s="500">
        <f t="shared" si="14"/>
        <v>0.2927223172250723</v>
      </c>
      <c r="AB12" s="500">
        <f t="shared" si="15"/>
        <v>3.1450559440016082E-2</v>
      </c>
      <c r="AC12" s="501">
        <f t="shared" si="16"/>
        <v>5.266</v>
      </c>
      <c r="AD12" s="500">
        <f t="shared" si="17"/>
        <v>0.27524376244269927</v>
      </c>
      <c r="AE12" s="500">
        <f t="shared" si="18"/>
        <v>2.3012790302956235E-3</v>
      </c>
      <c r="AF12" s="500">
        <f t="shared" si="19"/>
        <v>7.399258640581602E-4</v>
      </c>
      <c r="AG12" s="513">
        <f t="shared" si="20"/>
        <v>5.5587223172250724</v>
      </c>
      <c r="AH12" s="598">
        <f t="shared" si="21"/>
        <v>0.27703477480760974</v>
      </c>
      <c r="AI12" s="502">
        <f t="shared" si="22"/>
        <v>2.5832776827749275</v>
      </c>
      <c r="AJ12" s="500">
        <f t="shared" si="23"/>
        <v>0.13933134899486432</v>
      </c>
      <c r="AK12" s="515">
        <f t="shared" si="24"/>
        <v>0.40169872096970438</v>
      </c>
      <c r="AL12" s="513">
        <f t="shared" si="25"/>
        <v>5.0878601115429994E-2</v>
      </c>
      <c r="AM12" s="552">
        <f>((((IF(G12="Grey",STDs!$AC$9,IF(G12="Orange",STDs!$AC$8,IF(G12="Green",STDs!$AC$10,IF(G12="Blue",STDs!$AC$11)))))*2)*(M12-AE12))^2*0.01)/((1+(((IF(G12="Grey",STDs!$AC$9,IF(G12="Orange",STDs!$AC$8,IF(G12="Green",STDs!$AC$10,IF(G12="Blue",STDs!$AC$11)))))*2)*(M12-AE12))*0.01))</f>
        <v>1.4080581271433166E-4</v>
      </c>
      <c r="AN12" s="557">
        <f>AI12-AM12-IF(G12="Grey",Blanks!$O$7,IF(G12="Orange",Blanks!$O$6,IF(G12="Green",Blanks!$O$8,Blanks!$O$9)))</f>
        <v>2.552430994609272</v>
      </c>
      <c r="AO12" s="501">
        <f t="shared" si="26"/>
        <v>0.13933134899486432</v>
      </c>
      <c r="AP12" s="501">
        <f>AN12/IF(G12="Grey",STDs!$AF$9,IF(G12="Orange",STDs!$AF$8,IF(G12="Green",STDs!$AF$10,STDs!$AF$11)))</f>
        <v>33.864727433692238</v>
      </c>
      <c r="AQ12" s="501">
        <f>SQRT(((AO12/IF(G12="Grey",STDs!$AF$9,IF(G12="Orange",STDs!$AF$8,IF(G12="Green",STDs!$AF$10,STDs!$AF$11))))^2)+(((AN12*(IF(G12="Grey",STDs!$AG$9,IF(G12="Orange",STDs!$AG$8,IF(G12="Green",STDs!$AG$10,STDs!$AG$11)))))/(IF(G12="Grey",STDs!$AF$9,IF(G12="Orange",STDs!$AF$8,IF(G12="Green",STDs!$AF$10,STDs!$AF$11))))))^2)</f>
        <v>1.9188965747910867</v>
      </c>
      <c r="AR12" s="501">
        <f t="shared" si="27"/>
        <v>19.296140987858827</v>
      </c>
      <c r="AS12" s="500">
        <f t="shared" si="28"/>
        <v>1.2371762448541663</v>
      </c>
      <c r="AT12" s="653">
        <f>'Count 2'!AU12</f>
        <v>2.0577606543236788</v>
      </c>
      <c r="AU12" s="567">
        <f t="shared" si="29"/>
        <v>18.418608857589096</v>
      </c>
      <c r="AV12" s="568">
        <f t="shared" si="30"/>
        <v>1.1809130828908969</v>
      </c>
      <c r="AW12" s="560">
        <f t="shared" si="31"/>
        <v>6.4115215867908526E-2</v>
      </c>
      <c r="AX12" s="501">
        <f t="shared" si="32"/>
        <v>4.9798126311947223E-2</v>
      </c>
      <c r="AY12" s="506">
        <f t="shared" si="33"/>
        <v>18.418608857589096</v>
      </c>
      <c r="AZ12" s="507">
        <f t="shared" si="34"/>
        <v>1.1809130828908969</v>
      </c>
      <c r="BA12" s="508">
        <f t="shared" si="35"/>
        <v>6.4115215867908526E-2</v>
      </c>
      <c r="BB12" s="650">
        <f t="shared" si="36"/>
        <v>4.7195882107105333E-2</v>
      </c>
      <c r="BC12" s="501">
        <f t="shared" si="37"/>
        <v>6.5873580910760648E-2</v>
      </c>
      <c r="BD12" s="502">
        <f t="shared" si="38"/>
        <v>0.33582514005894371</v>
      </c>
      <c r="BE12" s="501">
        <f t="shared" si="39"/>
        <v>5.1002504849247468E-2</v>
      </c>
      <c r="BF12" s="501">
        <f>BD12/(IF(G12="Grey",STDs!$AC$9,IF(G12="Orange",STDs!$AC$8,IF(G12="Green",STDs!$AC$10,STDs!$AC$11))))</f>
        <v>2.2723524185782487</v>
      </c>
      <c r="BG12" s="501">
        <f>SQRT(((BE12/IF(G12="Grey",STDs!$AC$9,IF(G12="Orange",STDs!$AC$8,IF(G12="Green",STDs!$AC$10,STDs!$AC$11))))^2)+(((BD12*(IF(G12="Grey",STDs!$AD$9,IF(G12="Orange",STDs!$AC$8,IF(G12="Green",STDs!$AC$10,STDs!$AC$11)))))/(IF(G12="Grey",STDs!$AC$9,IF(G12="Orange",STDs!$AC$8,IF(G12="Green",STDs!$AC$10,STDs!$AC$11)))^2))^2))</f>
        <v>0.36230237233396778</v>
      </c>
      <c r="BH12" s="501">
        <f t="shared" si="40"/>
        <v>1.294787702893589</v>
      </c>
      <c r="BI12" s="501">
        <f t="shared" si="41"/>
        <v>0.21006270925411599</v>
      </c>
      <c r="BJ12" s="513">
        <v>0.05</v>
      </c>
      <c r="BK12" s="504">
        <f t="shared" si="1"/>
        <v>1.2714562585019173</v>
      </c>
      <c r="BL12" s="505">
        <f t="shared" si="42"/>
        <v>0.2062774814451297</v>
      </c>
      <c r="BM12" s="506">
        <f t="shared" si="43"/>
        <v>1.2714562585019173</v>
      </c>
      <c r="BN12" s="507">
        <f t="shared" si="44"/>
        <v>0.2062774814451297</v>
      </c>
      <c r="BO12" s="508">
        <f t="shared" si="45"/>
        <v>0.16223718280971333</v>
      </c>
    </row>
    <row r="13" spans="1:67" s="513" customFormat="1" x14ac:dyDescent="0.35">
      <c r="A13" s="494">
        <f>Samples!A13</f>
        <v>11</v>
      </c>
      <c r="B13" s="494">
        <f>Samples!B13</f>
        <v>0</v>
      </c>
      <c r="C13" s="495">
        <f>Samples!C13</f>
        <v>44352</v>
      </c>
      <c r="D13" s="496">
        <f>Samples!D13</f>
        <v>0.79791666666666661</v>
      </c>
      <c r="E13" s="496" t="str">
        <f>Samples!E13</f>
        <v>SW</v>
      </c>
      <c r="F13" s="526">
        <f>Samples!G13</f>
        <v>200.1</v>
      </c>
      <c r="G13" s="529" t="str">
        <f>Samples!L13</f>
        <v>Green</v>
      </c>
      <c r="H13" s="530">
        <f>Samples!H13</f>
        <v>44353</v>
      </c>
      <c r="I13" s="531">
        <f>Samples!J13</f>
        <v>0.37532407407407409</v>
      </c>
      <c r="J13" s="532">
        <f>Samples!K13</f>
        <v>198.72</v>
      </c>
      <c r="K13" s="533">
        <f>H13+I13+(Samples!K13/(60*24))</f>
        <v>44353.513324074076</v>
      </c>
      <c r="L13" s="533">
        <f>Samples!O13</f>
        <v>5.681</v>
      </c>
      <c r="M13" s="534">
        <f>Samples!M13</f>
        <v>0.247</v>
      </c>
      <c r="N13" s="534">
        <f>Samples!N13</f>
        <v>1.746</v>
      </c>
      <c r="O13" s="497">
        <f t="shared" si="2"/>
        <v>0.95755786190924552</v>
      </c>
      <c r="P13" s="497">
        <f t="shared" si="3"/>
        <v>0.87329046614551653</v>
      </c>
      <c r="Q13" s="537">
        <f t="shared" si="4"/>
        <v>0.16907975326148</v>
      </c>
      <c r="R13" s="499">
        <f t="shared" si="5"/>
        <v>1128.92832</v>
      </c>
      <c r="S13" s="516">
        <f t="shared" si="6"/>
        <v>9.3734902165938022E-2</v>
      </c>
      <c r="T13" s="543">
        <f t="shared" si="7"/>
        <v>0.10737102195410998</v>
      </c>
      <c r="U13" s="543">
        <f t="shared" si="8"/>
        <v>5.5997893295896606E-2</v>
      </c>
      <c r="V13" s="514">
        <f t="shared" si="9"/>
        <v>346.96512000000001</v>
      </c>
      <c r="W13" s="498">
        <f t="shared" si="10"/>
        <v>3.5255565680232283E-2</v>
      </c>
      <c r="X13" s="540">
        <f t="shared" si="11"/>
        <v>0.28547016745127352</v>
      </c>
      <c r="Y13" s="541">
        <f t="shared" si="12"/>
        <v>6.0027413921178878E-2</v>
      </c>
      <c r="Z13" s="499">
        <f t="shared" si="13"/>
        <v>49.083840000000002</v>
      </c>
      <c r="AA13" s="500">
        <f t="shared" si="14"/>
        <v>0.14122169615416563</v>
      </c>
      <c r="AB13" s="500">
        <f t="shared" si="15"/>
        <v>1.5337941085999968E-2</v>
      </c>
      <c r="AC13" s="501">
        <f t="shared" si="16"/>
        <v>3.6880000000000002</v>
      </c>
      <c r="AD13" s="500">
        <f t="shared" si="17"/>
        <v>0.19651246718326576</v>
      </c>
      <c r="AE13" s="500">
        <f t="shared" si="18"/>
        <v>1.1702922006364659E-3</v>
      </c>
      <c r="AF13" s="500">
        <f t="shared" si="19"/>
        <v>2.5821586434515102E-4</v>
      </c>
      <c r="AG13" s="513">
        <f t="shared" si="20"/>
        <v>3.8292216961541659</v>
      </c>
      <c r="AH13" s="598">
        <f t="shared" si="21"/>
        <v>0.19711012707421124</v>
      </c>
      <c r="AI13" s="502">
        <f t="shared" si="22"/>
        <v>1.6047783038458343</v>
      </c>
      <c r="AJ13" s="500">
        <f t="shared" si="23"/>
        <v>9.498149462298211E-2</v>
      </c>
      <c r="AK13" s="515">
        <f t="shared" si="24"/>
        <v>0.24582970779936353</v>
      </c>
      <c r="AL13" s="513">
        <f t="shared" si="25"/>
        <v>3.5256511269065913E-2</v>
      </c>
      <c r="AM13" s="552">
        <f>((((IF(G13="Grey",STDs!$AC$9,IF(G13="Orange",STDs!$AC$8,IF(G13="Green",STDs!$AC$10,IF(G13="Blue",STDs!$AC$11)))))*2)*(M13-AE13))^2*0.01)/((1+(((IF(G13="Grey",STDs!$AC$9,IF(G13="Orange",STDs!$AC$8,IF(G13="Green",STDs!$AC$10,IF(G13="Blue",STDs!$AC$11)))))*2)*(M13-AE13))*0.01))</f>
        <v>7.0087336161814566E-5</v>
      </c>
      <c r="AN13" s="557">
        <f>AI13-AM13-IF(G13="Grey",Blanks!$O$7,IF(G13="Orange",Blanks!$O$6,IF(G13="Green",Blanks!$O$8,Blanks!$O$9)))</f>
        <v>1.5764354892369452</v>
      </c>
      <c r="AO13" s="501">
        <f t="shared" si="26"/>
        <v>9.498149462298211E-2</v>
      </c>
      <c r="AP13" s="501">
        <f>AN13/IF(G13="Grey",STDs!$AF$9,IF(G13="Orange",STDs!$AF$8,IF(G13="Green",STDs!$AF$10,STDs!$AF$11)))</f>
        <v>19.93571018529439</v>
      </c>
      <c r="AQ13" s="501">
        <f>SQRT(((AO13/IF(G13="Grey",STDs!$AF$9,IF(G13="Orange",STDs!$AF$8,IF(G13="Green",STDs!$AF$10,STDs!$AF$11))))^2)+(((AN13*(IF(G13="Grey",STDs!$AG$9,IF(G13="Orange",STDs!$AG$8,IF(G13="Green",STDs!$AG$10,STDs!$AG$11)))))/(IF(G13="Grey",STDs!$AF$9,IF(G13="Orange",STDs!$AF$8,IF(G13="Green",STDs!$AF$10,STDs!$AF$11))))))^2)</f>
        <v>1.5072273980283499</v>
      </c>
      <c r="AR13" s="501">
        <f t="shared" si="27"/>
        <v>9.962873655819287</v>
      </c>
      <c r="AS13" s="500">
        <f t="shared" si="28"/>
        <v>0.81036970928986352</v>
      </c>
      <c r="AT13" s="653">
        <f>'Count 2'!AU13</f>
        <v>0.60682823647571194</v>
      </c>
      <c r="AU13" s="567">
        <f t="shared" si="29"/>
        <v>10.713554976317095</v>
      </c>
      <c r="AV13" s="568">
        <f t="shared" si="30"/>
        <v>0.8714293417289255</v>
      </c>
      <c r="AW13" s="560">
        <f t="shared" si="31"/>
        <v>8.1338952724400837E-2</v>
      </c>
      <c r="AX13" s="501">
        <f t="shared" si="32"/>
        <v>5.5997893295896606E-2</v>
      </c>
      <c r="AY13" s="506">
        <f t="shared" si="33"/>
        <v>10.713554976317095</v>
      </c>
      <c r="AZ13" s="507">
        <f t="shared" si="34"/>
        <v>0.8714293417289255</v>
      </c>
      <c r="BA13" s="508">
        <f t="shared" si="35"/>
        <v>8.1338952724400837E-2</v>
      </c>
      <c r="BB13" s="650">
        <f t="shared" si="36"/>
        <v>5.3685510977054991E-2</v>
      </c>
      <c r="BC13" s="501">
        <f t="shared" si="37"/>
        <v>4.0921846748068771E-2</v>
      </c>
      <c r="BD13" s="502">
        <f t="shared" si="38"/>
        <v>0.20490786105129477</v>
      </c>
      <c r="BE13" s="501">
        <f t="shared" si="39"/>
        <v>3.5339606775477594E-2</v>
      </c>
      <c r="BF13" s="501">
        <f>BD13/(IF(G13="Grey",STDs!$AC$9,IF(G13="Orange",STDs!$AC$8,IF(G13="Green",STDs!$AC$10,STDs!$AC$11))))</f>
        <v>1.2028775289377189</v>
      </c>
      <c r="BG13" s="501">
        <f>SQRT(((BE13/IF(G13="Grey",STDs!$AC$9,IF(G13="Orange",STDs!$AC$8,IF(G13="Green",STDs!$AC$10,STDs!$AC$11))))^2)+(((BD13*(IF(G13="Grey",STDs!$AD$9,IF(G13="Orange",STDs!$AC$8,IF(G13="Green",STDs!$AC$10,STDs!$AC$11)))))/(IF(G13="Grey",STDs!$AC$9,IF(G13="Orange",STDs!$AC$8,IF(G13="Green",STDs!$AC$10,STDs!$AC$11)))^2))^2))</f>
        <v>1.2206359183715871</v>
      </c>
      <c r="BH13" s="501">
        <f t="shared" si="40"/>
        <v>0.60113819537117386</v>
      </c>
      <c r="BI13" s="501">
        <f t="shared" si="41"/>
        <v>0.6102794711361581</v>
      </c>
      <c r="BJ13" s="513">
        <v>0.05</v>
      </c>
      <c r="BK13" s="504">
        <f t="shared" si="1"/>
        <v>0.5755664668370809</v>
      </c>
      <c r="BL13" s="505">
        <f t="shared" si="42"/>
        <v>0.58431888322810188</v>
      </c>
      <c r="BM13" s="506">
        <f t="shared" si="43"/>
        <v>0.5755664668370809</v>
      </c>
      <c r="BN13" s="507">
        <f t="shared" si="44"/>
        <v>0.58431888322810188</v>
      </c>
      <c r="BO13" s="508">
        <f t="shared" si="45"/>
        <v>1.0152066127811759</v>
      </c>
    </row>
    <row r="14" spans="1:67" s="659" customFormat="1" ht="17.5" customHeight="1" x14ac:dyDescent="0.35">
      <c r="A14" s="623">
        <f>Samples!A14</f>
        <v>11</v>
      </c>
      <c r="B14" s="623">
        <f>Samples!B14</f>
        <v>0</v>
      </c>
      <c r="C14" s="624">
        <f>Samples!C14</f>
        <v>44352</v>
      </c>
      <c r="D14" s="625">
        <f>Samples!D14</f>
        <v>0.79791666666666661</v>
      </c>
      <c r="E14" s="625" t="str">
        <f>Samples!E14</f>
        <v>eff</v>
      </c>
      <c r="F14" s="656">
        <f>Samples!G14</f>
        <v>200.1</v>
      </c>
      <c r="G14" s="657" t="str">
        <f>Samples!L14</f>
        <v>Blue</v>
      </c>
      <c r="H14" s="624">
        <f>Samples!H14</f>
        <v>44353</v>
      </c>
      <c r="I14" s="625">
        <f>Samples!J14</f>
        <v>0.37520833333333337</v>
      </c>
      <c r="J14" s="628">
        <f>Samples!K14</f>
        <v>201.68</v>
      </c>
      <c r="K14" s="630">
        <f>H14+I14+(Samples!K14/(60*24))</f>
        <v>44353.515263888883</v>
      </c>
      <c r="L14" s="630">
        <f>Samples!O14</f>
        <v>1.145</v>
      </c>
      <c r="M14" s="631">
        <f>Samples!M14</f>
        <v>5.0000000000000001E-3</v>
      </c>
      <c r="N14" s="631">
        <f>Samples!N14</f>
        <v>0.14399999999999999</v>
      </c>
      <c r="O14" s="632">
        <f t="shared" si="2"/>
        <v>0.95744526485350079</v>
      </c>
      <c r="P14" s="632">
        <f t="shared" si="3"/>
        <v>0.87296970364268167</v>
      </c>
      <c r="Q14" s="658">
        <f t="shared" si="4"/>
        <v>7.5347930237235475E-2</v>
      </c>
      <c r="R14" s="634">
        <f t="shared" si="5"/>
        <v>230.92360000000002</v>
      </c>
      <c r="S14" s="659">
        <f t="shared" si="6"/>
        <v>2.6720822966516827E-2</v>
      </c>
      <c r="T14" s="659">
        <f t="shared" si="7"/>
        <v>0.37112254120162269</v>
      </c>
      <c r="U14" s="659">
        <f t="shared" si="8"/>
        <v>0.19237495451120143</v>
      </c>
      <c r="V14" s="660">
        <f t="shared" si="9"/>
        <v>29.041919999999998</v>
      </c>
      <c r="W14" s="635">
        <f t="shared" si="10"/>
        <v>4.9791313806557677E-3</v>
      </c>
      <c r="X14" s="636">
        <f t="shared" si="11"/>
        <v>1.9916525522623076</v>
      </c>
      <c r="Y14" s="637">
        <f t="shared" si="12"/>
        <v>0.93916871953672398</v>
      </c>
      <c r="Z14" s="634">
        <f t="shared" si="13"/>
        <v>1.0084</v>
      </c>
      <c r="AA14" s="636">
        <f t="shared" si="14"/>
        <v>1.001995878954386E-2</v>
      </c>
      <c r="AB14" s="636">
        <f t="shared" si="15"/>
        <v>1.6197626602481349E-3</v>
      </c>
      <c r="AC14" s="640">
        <f t="shared" si="16"/>
        <v>0.99600000000000011</v>
      </c>
      <c r="AD14" s="636">
        <f t="shared" si="17"/>
        <v>8.0100591260920589E-2</v>
      </c>
      <c r="AE14" s="636">
        <f t="shared" si="18"/>
        <v>9.0418858735555471E-5</v>
      </c>
      <c r="AF14" s="636">
        <f t="shared" si="19"/>
        <v>7.6548253417588258E-6</v>
      </c>
      <c r="AG14" s="659">
        <f t="shared" si="20"/>
        <v>1.006019958789544</v>
      </c>
      <c r="AH14" s="641">
        <f t="shared" si="21"/>
        <v>8.0116966688864366E-2</v>
      </c>
      <c r="AI14" s="661">
        <f t="shared" si="22"/>
        <v>0.13398004121045612</v>
      </c>
      <c r="AJ14" s="636">
        <f t="shared" si="23"/>
        <v>2.6769871331096595E-2</v>
      </c>
      <c r="AK14" s="662">
        <f t="shared" si="24"/>
        <v>4.9095811412644443E-3</v>
      </c>
      <c r="AL14" s="659">
        <f t="shared" si="25"/>
        <v>4.9791372648463937E-3</v>
      </c>
      <c r="AM14" s="638">
        <f>((((IF(G14="Grey",STDs!$AC$9,IF(G14="Orange",STDs!$AC$8,IF(G14="Green",STDs!$AC$10,IF(G14="Blue",STDs!$AC$11)))))*2)*(M14-AE14))^2*0.01)/((1+(((IF(G14="Grey",STDs!$AC$9,IF(G14="Orange",STDs!$AC$8,IF(G14="Green",STDs!$AC$10,IF(G14="Blue",STDs!$AC$11)))))*2)*(M14-AE14))*0.01))</f>
        <v>2.1889196475867601E-8</v>
      </c>
      <c r="AN14" s="663">
        <f>AI14-AM14-IF(G14="Grey",Blanks!$O$7,IF(G14="Orange",Blanks!$O$6,IF(G14="Green",Blanks!$O$8,Blanks!$O$9)))</f>
        <v>0.10712287646411678</v>
      </c>
      <c r="AO14" s="640">
        <f t="shared" si="26"/>
        <v>2.6769871331096595E-2</v>
      </c>
      <c r="AP14" s="640">
        <f>AN14/IF(G14="Grey",STDs!$AF$9,IF(G14="Orange",STDs!$AF$8,IF(G14="Green",STDs!$AF$10,STDs!$AF$11)))</f>
        <v>1.5642339071051077</v>
      </c>
      <c r="AQ14" s="640">
        <f>SQRT(((AO14/IF(G14="Grey",STDs!$AF$9,IF(G14="Orange",STDs!$AF$8,IF(G14="Green",STDs!$AF$10,STDs!$AF$11))))^2)+(((AN14*(IF(G14="Grey",STDs!$AG$9,IF(G14="Orange",STDs!$AG$8,IF(G14="Green",STDs!$AG$10,STDs!$AG$11)))))/(IF(G14="Grey",STDs!$AF$9,IF(G14="Orange",STDs!$AF$8,IF(G14="Green",STDs!$AF$10,STDs!$AF$11))))))^2)</f>
        <v>0.39101257879400741</v>
      </c>
      <c r="AR14" s="640">
        <f t="shared" si="27"/>
        <v>0.78172609050730024</v>
      </c>
      <c r="AS14" s="636">
        <f t="shared" si="28"/>
        <v>0.19681082603618508</v>
      </c>
      <c r="AT14" s="664">
        <f>'Count 2'!AU14</f>
        <v>0.78172609050730024</v>
      </c>
      <c r="AU14" s="665">
        <f t="shared" si="29"/>
        <v>0</v>
      </c>
      <c r="AV14" s="666">
        <f t="shared" si="30"/>
        <v>0</v>
      </c>
      <c r="AW14" s="640" t="e">
        <f t="shared" si="31"/>
        <v>#DIV/0!</v>
      </c>
      <c r="AX14" s="640">
        <f t="shared" si="32"/>
        <v>0.19237495451120143</v>
      </c>
      <c r="AY14" s="667">
        <f t="shared" si="33"/>
        <v>0</v>
      </c>
      <c r="AZ14" s="668">
        <f t="shared" si="34"/>
        <v>0</v>
      </c>
      <c r="BA14" s="130" t="e">
        <f t="shared" si="35"/>
        <v>#DIV/0!</v>
      </c>
      <c r="BB14" s="669">
        <f t="shared" si="36"/>
        <v>0.18556127060081132</v>
      </c>
      <c r="BC14" s="640">
        <f t="shared" si="37"/>
        <v>3.416491050866631E-3</v>
      </c>
      <c r="BD14" s="661">
        <f t="shared" si="38"/>
        <v>1.4930900903978132E-3</v>
      </c>
      <c r="BE14" s="640">
        <f t="shared" si="39"/>
        <v>5.0257132793155891E-3</v>
      </c>
      <c r="BF14" s="640">
        <f>BD14/(IF(G14="Grey",STDs!$AC$9,IF(G14="Orange",STDs!$AC$8,IF(G14="Green",STDs!$AC$10,STDs!$AC$11))))</f>
        <v>9.9092852071002123E-3</v>
      </c>
      <c r="BG14" s="640">
        <f>SQRT(((BE14/IF(G14="Grey",STDs!$AC$9,IF(G14="Orange",STDs!$AC$8,IF(G14="Green",STDs!$AC$10,STDs!$AC$11))))^2)+(((BD14*(IF(G14="Grey",STDs!$AD$9,IF(G14="Orange",STDs!$AC$8,IF(G14="Green",STDs!$AC$10,STDs!$AC$11)))))/(IF(G14="Grey",STDs!$AC$9,IF(G14="Orange",STDs!$AC$8,IF(G14="Green",STDs!$AC$10,STDs!$AC$11)))^2))^2))</f>
        <v>3.4795322907638315E-2</v>
      </c>
      <c r="BH14" s="640">
        <f t="shared" si="40"/>
        <v>4.9521665202899613E-3</v>
      </c>
      <c r="BI14" s="640">
        <f t="shared" si="41"/>
        <v>1.7389601601338851E-2</v>
      </c>
      <c r="BJ14" s="659">
        <v>0.05</v>
      </c>
      <c r="BK14" s="665">
        <f t="shared" si="1"/>
        <v>-4.7050035269225375E-2</v>
      </c>
      <c r="BL14" s="666">
        <f t="shared" si="42"/>
        <v>-0.16521685313054951</v>
      </c>
      <c r="BM14" s="667">
        <f t="shared" si="43"/>
        <v>-4.7050035269225375E-2</v>
      </c>
      <c r="BN14" s="668">
        <f t="shared" si="44"/>
        <v>-0.16521685313054951</v>
      </c>
      <c r="BO14" s="130">
        <f t="shared" si="45"/>
        <v>3.5115139061035952</v>
      </c>
    </row>
    <row r="15" spans="1:67" s="520" customFormat="1" x14ac:dyDescent="0.35">
      <c r="A15" s="494">
        <f>Samples!A15</f>
        <v>12</v>
      </c>
      <c r="B15" s="494">
        <f>Samples!B15</f>
        <v>0</v>
      </c>
      <c r="C15" s="495">
        <f>Samples!C15</f>
        <v>44352</v>
      </c>
      <c r="D15" s="496">
        <f>Samples!D15</f>
        <v>0.875</v>
      </c>
      <c r="E15" s="496" t="str">
        <f>Samples!E15</f>
        <v>SW</v>
      </c>
      <c r="F15" s="526">
        <f>Samples!G15</f>
        <v>185.7</v>
      </c>
      <c r="G15" s="529" t="str">
        <f>Samples!L15</f>
        <v>Grey</v>
      </c>
      <c r="H15" s="530">
        <f>Samples!H15</f>
        <v>44353</v>
      </c>
      <c r="I15" s="531">
        <f>Samples!J15</f>
        <v>0.48388888888888887</v>
      </c>
      <c r="J15" s="532">
        <f>Samples!K15</f>
        <v>206.37</v>
      </c>
      <c r="K15" s="533">
        <f>H15+I15+(Samples!K15/(60*24))</f>
        <v>44353.627201388888</v>
      </c>
      <c r="L15" s="533">
        <f>Samples!O15</f>
        <v>6.2460000000000004</v>
      </c>
      <c r="M15" s="534">
        <f>Samples!M15</f>
        <v>0.23699999999999999</v>
      </c>
      <c r="N15" s="534">
        <f>Samples!N15</f>
        <v>2.1219999999999999</v>
      </c>
      <c r="O15" s="497">
        <f t="shared" si="2"/>
        <v>0.95542440033110432</v>
      </c>
      <c r="P15" s="497">
        <f t="shared" si="3"/>
        <v>0.86722634831629974</v>
      </c>
      <c r="Q15" s="537">
        <f t="shared" si="4"/>
        <v>0.17397133970517609</v>
      </c>
      <c r="R15" s="499">
        <f t="shared" si="5"/>
        <v>1288.98702</v>
      </c>
      <c r="S15" s="520">
        <f t="shared" si="6"/>
        <v>0.10140267403619659</v>
      </c>
      <c r="T15" s="545">
        <f t="shared" si="7"/>
        <v>9.5572737074643338E-2</v>
      </c>
      <c r="U15" s="545">
        <f t="shared" si="8"/>
        <v>4.9661212566535426E-2</v>
      </c>
      <c r="V15" s="521">
        <f t="shared" si="9"/>
        <v>437.91713999999996</v>
      </c>
      <c r="W15" s="498">
        <f t="shared" si="10"/>
        <v>3.3888386445252459E-2</v>
      </c>
      <c r="X15" s="540">
        <f t="shared" si="11"/>
        <v>0.28597794468567478</v>
      </c>
      <c r="Y15" s="541">
        <f t="shared" si="12"/>
        <v>5.7370760080261658E-2</v>
      </c>
      <c r="Z15" s="499">
        <f t="shared" si="13"/>
        <v>48.909689999999998</v>
      </c>
      <c r="AA15" s="500">
        <f t="shared" si="14"/>
        <v>0.15719797529990745</v>
      </c>
      <c r="AB15" s="500">
        <f t="shared" si="15"/>
        <v>1.6850345602637845E-2</v>
      </c>
      <c r="AC15" s="501">
        <f t="shared" si="16"/>
        <v>3.8870000000000005</v>
      </c>
      <c r="AD15" s="500">
        <f t="shared" si="17"/>
        <v>0.2041983155571262</v>
      </c>
      <c r="AE15" s="500">
        <f t="shared" si="18"/>
        <v>1.2942112774628985E-3</v>
      </c>
      <c r="AF15" s="500">
        <f t="shared" si="19"/>
        <v>2.9815839813307661E-4</v>
      </c>
      <c r="AG15" s="520">
        <f t="shared" si="20"/>
        <v>4.044197975299908</v>
      </c>
      <c r="AH15" s="598">
        <f t="shared" si="21"/>
        <v>0.20489237717225114</v>
      </c>
      <c r="AI15" s="502">
        <f t="shared" si="22"/>
        <v>1.9648020247000924</v>
      </c>
      <c r="AJ15" s="500">
        <f t="shared" si="23"/>
        <v>0.10279317316154549</v>
      </c>
      <c r="AK15" s="522">
        <f t="shared" si="24"/>
        <v>0.23570578872253709</v>
      </c>
      <c r="AL15" s="520">
        <f t="shared" si="25"/>
        <v>3.3889698055502765E-2</v>
      </c>
      <c r="AM15" s="552">
        <f>((((IF(G15="Grey",STDs!$AC$9,IF(G15="Orange",STDs!$AC$8,IF(G15="Green",STDs!$AC$10,IF(G15="Blue",STDs!$AC$11)))))*2)*(M15-AE15))^2*0.01)/((1+(((IF(G15="Grey",STDs!$AC$9,IF(G15="Orange",STDs!$AC$8,IF(G15="Green",STDs!$AC$10,IF(G15="Blue",STDs!$AC$11)))))*2)*(M15-AE15))*0.01))</f>
        <v>4.850349814674558E-5</v>
      </c>
      <c r="AN15" s="557">
        <f>AI15-AM15-IF(G15="Grey",Blanks!$O$7,IF(G15="Orange",Blanks!$O$6,IF(G15="Green",Blanks!$O$8,Blanks!$O$9)))</f>
        <v>1.9340476388490044</v>
      </c>
      <c r="AO15" s="501">
        <f t="shared" si="26"/>
        <v>0.10279317316154549</v>
      </c>
      <c r="AP15" s="501">
        <f>AN15/IF(G15="Grey",STDs!$AF$9,IF(G15="Orange",STDs!$AF$8,IF(G15="Green",STDs!$AF$10,STDs!$AF$11)))</f>
        <v>25.660241656571703</v>
      </c>
      <c r="AQ15" s="501">
        <f>SQRT(((AO15/IF(G15="Grey",STDs!$AF$9,IF(G15="Orange",STDs!$AF$8,IF(G15="Green",STDs!$AF$10,STDs!$AF$11))))^2)+(((AN15*(IF(G15="Grey",STDs!$AG$9,IF(G15="Orange",STDs!$AG$8,IF(G15="Green",STDs!$AG$10,STDs!$AG$11)))))/(IF(G15="Grey",STDs!$AF$9,IF(G15="Orange",STDs!$AF$8,IF(G15="Green",STDs!$AF$10,STDs!$AF$11))))))^2)</f>
        <v>1.4184766523091334</v>
      </c>
      <c r="AR15" s="501">
        <f t="shared" si="27"/>
        <v>13.818116131702588</v>
      </c>
      <c r="AS15" s="500">
        <f t="shared" si="28"/>
        <v>0.86909093179713626</v>
      </c>
      <c r="AT15" s="653">
        <f>'Count 2'!AU15</f>
        <v>2.3504197862875089</v>
      </c>
      <c r="AU15" s="567">
        <f t="shared" si="29"/>
        <v>13.223417816674219</v>
      </c>
      <c r="AV15" s="568">
        <f t="shared" si="30"/>
        <v>0.8316873589931415</v>
      </c>
      <c r="AW15" s="560">
        <f t="shared" si="31"/>
        <v>6.2895037464853892E-2</v>
      </c>
      <c r="AX15" s="501">
        <f t="shared" si="32"/>
        <v>4.9661212566535426E-2</v>
      </c>
      <c r="AY15" s="506">
        <f t="shared" si="33"/>
        <v>13.223417816674219</v>
      </c>
      <c r="AZ15" s="507">
        <f t="shared" si="34"/>
        <v>0.8316873589931415</v>
      </c>
      <c r="BA15" s="508">
        <f t="shared" si="35"/>
        <v>6.2895037464853892E-2</v>
      </c>
      <c r="BB15" s="650">
        <f t="shared" si="36"/>
        <v>4.7786368537321676E-2</v>
      </c>
      <c r="BC15" s="501">
        <f t="shared" si="37"/>
        <v>5.010245162985235E-2</v>
      </c>
      <c r="BD15" s="502">
        <f t="shared" si="38"/>
        <v>0.18560333709268473</v>
      </c>
      <c r="BE15" s="501">
        <f t="shared" si="39"/>
        <v>3.3990917310273677E-2</v>
      </c>
      <c r="BF15" s="501">
        <f>BD15/(IF(G15="Grey",STDs!$AC$9,IF(G15="Orange",STDs!$AC$8,IF(G15="Green",STDs!$AC$10,STDs!$AC$11))))</f>
        <v>1.2558803425637814</v>
      </c>
      <c r="BG15" s="501">
        <f>SQRT(((BE15/IF(G15="Grey",STDs!$AC$9,IF(G15="Orange",STDs!$AC$8,IF(G15="Green",STDs!$AC$10,STDs!$AC$11))))^2)+(((BD15*(IF(G15="Grey",STDs!$AD$9,IF(G15="Orange",STDs!$AC$8,IF(G15="Green",STDs!$AC$10,STDs!$AC$11)))))/(IF(G15="Grey",STDs!$AC$9,IF(G15="Orange",STDs!$AC$8,IF(G15="Green",STDs!$AC$10,STDs!$AC$11)))^2))^2))</f>
        <v>0.23793896220880706</v>
      </c>
      <c r="BH15" s="501">
        <f t="shared" si="40"/>
        <v>0.67629528409465889</v>
      </c>
      <c r="BI15" s="501">
        <f t="shared" si="41"/>
        <v>0.12972720948458979</v>
      </c>
      <c r="BJ15" s="520">
        <v>0.05</v>
      </c>
      <c r="BK15" s="504">
        <f t="shared" si="1"/>
        <v>0.65551527036321755</v>
      </c>
      <c r="BL15" s="505">
        <f t="shared" si="42"/>
        <v>0.12574117962776468</v>
      </c>
      <c r="BM15" s="506">
        <f t="shared" si="43"/>
        <v>0.65551527036321755</v>
      </c>
      <c r="BN15" s="507">
        <f t="shared" si="44"/>
        <v>0.12574117962776468</v>
      </c>
      <c r="BO15" s="508">
        <f t="shared" si="45"/>
        <v>0.19182036683614123</v>
      </c>
    </row>
    <row r="16" spans="1:67" s="500" customFormat="1" x14ac:dyDescent="0.35">
      <c r="A16" s="494">
        <f>Samples!A16</f>
        <v>13</v>
      </c>
      <c r="B16" s="494">
        <f>Samples!B16</f>
        <v>0</v>
      </c>
      <c r="C16" s="495">
        <f>Samples!C16</f>
        <v>44353</v>
      </c>
      <c r="D16" s="496">
        <f>Samples!D16</f>
        <v>0.22916666666666666</v>
      </c>
      <c r="E16" s="496" t="str">
        <f>Samples!E16</f>
        <v>SW</v>
      </c>
      <c r="F16" s="526">
        <f>Samples!G16</f>
        <v>179.5</v>
      </c>
      <c r="G16" s="529" t="str">
        <f>Samples!L16</f>
        <v>Orange</v>
      </c>
      <c r="H16" s="530">
        <f>Samples!H16</f>
        <v>44353</v>
      </c>
      <c r="I16" s="531">
        <f>Samples!J16</f>
        <v>0.48391203703703706</v>
      </c>
      <c r="J16" s="532">
        <f>Samples!K16</f>
        <v>278.27999999999997</v>
      </c>
      <c r="K16" s="533">
        <f>H16+I16+(Samples!K16/(60*24))</f>
        <v>44353.677162037035</v>
      </c>
      <c r="L16" s="533">
        <f>Samples!O16</f>
        <v>4.6639999999999997</v>
      </c>
      <c r="M16" s="534">
        <f>Samples!M16</f>
        <v>0.14000000000000001</v>
      </c>
      <c r="N16" s="534">
        <f>Samples!N16</f>
        <v>1.0740000000000001</v>
      </c>
      <c r="O16" s="497">
        <f t="shared" si="2"/>
        <v>0.97320727909931537</v>
      </c>
      <c r="P16" s="497">
        <f t="shared" si="3"/>
        <v>0.91865616383577509</v>
      </c>
      <c r="Q16" s="537">
        <f t="shared" si="4"/>
        <v>0.12946079616347239</v>
      </c>
      <c r="R16" s="499">
        <f t="shared" si="5"/>
        <v>1297.8979199999999</v>
      </c>
      <c r="S16" s="500">
        <f t="shared" si="6"/>
        <v>6.2124247800083472E-2</v>
      </c>
      <c r="T16" s="540">
        <f t="shared" si="7"/>
        <v>0.11568761229065821</v>
      </c>
      <c r="U16" s="540">
        <f t="shared" si="8"/>
        <v>6.1479772578102214E-2</v>
      </c>
      <c r="V16" s="499">
        <f t="shared" si="9"/>
        <v>298.87272000000002</v>
      </c>
      <c r="W16" s="498">
        <f t="shared" si="10"/>
        <v>2.242967704926084E-2</v>
      </c>
      <c r="X16" s="540">
        <f t="shared" si="11"/>
        <v>0.32042395784658334</v>
      </c>
      <c r="Y16" s="541">
        <f t="shared" si="12"/>
        <v>7.4459224823003059E-2</v>
      </c>
      <c r="Z16" s="499">
        <f t="shared" si="13"/>
        <v>38.959200000000003</v>
      </c>
      <c r="AA16" s="500">
        <f t="shared" si="14"/>
        <v>0.12327809425168304</v>
      </c>
      <c r="AB16" s="500">
        <f t="shared" si="15"/>
        <v>1.0572102875288064E-2</v>
      </c>
      <c r="AC16" s="501">
        <f t="shared" si="16"/>
        <v>3.4499999999999997</v>
      </c>
      <c r="AD16" s="500">
        <f t="shared" si="17"/>
        <v>0.14533619755773322</v>
      </c>
      <c r="AE16" s="500">
        <f t="shared" si="18"/>
        <v>1.0295568429364139E-3</v>
      </c>
      <c r="AF16" s="500">
        <f t="shared" si="19"/>
        <v>1.6705140450572027E-4</v>
      </c>
      <c r="AG16" s="500">
        <f t="shared" si="20"/>
        <v>3.5732780942516826</v>
      </c>
      <c r="AH16" s="598">
        <f t="shared" si="21"/>
        <v>0.14572021026524129</v>
      </c>
      <c r="AI16" s="502">
        <f t="shared" si="22"/>
        <v>0.95072190574831705</v>
      </c>
      <c r="AJ16" s="500">
        <f t="shared" si="23"/>
        <v>6.3017390646803603E-2</v>
      </c>
      <c r="AK16" s="509">
        <f t="shared" si="24"/>
        <v>0.13897044315706361</v>
      </c>
      <c r="AL16" s="500">
        <f t="shared" si="25"/>
        <v>2.2430299122077838E-2</v>
      </c>
      <c r="AM16" s="552">
        <f>((((IF(G16="Grey",STDs!$AC$9,IF(G16="Orange",STDs!$AC$8,IF(G16="Green",STDs!$AC$10,IF(G16="Blue",STDs!$AC$11)))))*2)*(M16-AE16))^2*0.01)/((1+(((IF(G16="Grey",STDs!$AC$9,IF(G16="Orange",STDs!$AC$8,IF(G16="Green",STDs!$AC$10,IF(G16="Blue",STDs!$AC$11)))))*2)*(M16-AE16))*0.01))</f>
        <v>1.922070852734077E-5</v>
      </c>
      <c r="AN16" s="557">
        <f>AI16-AM16-IF(G16="Grey",Blanks!$O$7,IF(G16="Orange",Blanks!$O$6,IF(G16="Green",Blanks!$O$8,Blanks!$O$9)))</f>
        <v>0.94181379615090088</v>
      </c>
      <c r="AO16" s="501">
        <f t="shared" si="26"/>
        <v>6.3017390646803603E-2</v>
      </c>
      <c r="AP16" s="501">
        <f>AN16/IF(G16="Grey",STDs!$AF$9,IF(G16="Orange",STDs!$AF$8,IF(G16="Green",STDs!$AF$10,STDs!$AF$11)))</f>
        <v>12.198896425302335</v>
      </c>
      <c r="AQ16" s="501">
        <f>SQRT(((AO16/IF(G16="Grey",STDs!$AF$9,IF(G16="Orange",STDs!$AF$8,IF(G16="Green",STDs!$AF$10,STDs!$AF$11))))^2)+(((AN16*(IF(G16="Grey",STDs!$AG$9,IF(G16="Orange",STDs!$AG$8,IF(G16="Green",STDs!$AG$10,STDs!$AG$11)))))/(IF(G16="Grey",STDs!$AF$9,IF(G16="Orange",STDs!$AF$8,IF(G16="Green",STDs!$AF$10,STDs!$AF$11))))))^2)</f>
        <v>0.8199363217774126</v>
      </c>
      <c r="AR16" s="501">
        <f t="shared" si="27"/>
        <v>6.7960425767701036</v>
      </c>
      <c r="AS16" s="500">
        <f t="shared" si="28"/>
        <v>0.50022374967866601</v>
      </c>
      <c r="AT16" s="653">
        <f>'Count 2'!AU16</f>
        <v>3.7487166517712049</v>
      </c>
      <c r="AU16" s="567">
        <f t="shared" si="29"/>
        <v>3.3171561297482985</v>
      </c>
      <c r="AV16" s="568">
        <f t="shared" si="30"/>
        <v>0.2441597825128512</v>
      </c>
      <c r="AW16" s="560">
        <f t="shared" si="31"/>
        <v>7.3605152414510475E-2</v>
      </c>
      <c r="AX16" s="501">
        <f t="shared" si="32"/>
        <v>6.1479772578102214E-2</v>
      </c>
      <c r="AY16" s="506">
        <f t="shared" si="33"/>
        <v>3.3171561297482985</v>
      </c>
      <c r="AZ16" s="507">
        <f t="shared" si="34"/>
        <v>0.2441597825128512</v>
      </c>
      <c r="BA16" s="508">
        <f t="shared" si="35"/>
        <v>7.3605152414510475E-2</v>
      </c>
      <c r="BB16" s="650">
        <f t="shared" si="36"/>
        <v>5.7843806145329107E-2</v>
      </c>
      <c r="BC16" s="501">
        <f t="shared" si="37"/>
        <v>2.4243408596582083E-2</v>
      </c>
      <c r="BD16" s="502">
        <f t="shared" si="38"/>
        <v>0.11472703456048153</v>
      </c>
      <c r="BE16" s="501">
        <f t="shared" si="39"/>
        <v>2.2487787485529175E-2</v>
      </c>
      <c r="BF16" s="501">
        <f>BD16/(IF(G16="Grey",STDs!$AC$9,IF(G16="Orange",STDs!$AC$8,IF(G16="Green",STDs!$AC$10,STDs!$AC$11))))</f>
        <v>0.72717394476105524</v>
      </c>
      <c r="BG16" s="501">
        <f>SQRT(((BE16/IF(G16="Grey",STDs!$AC$9,IF(G16="Orange",STDs!$AC$8,IF(G16="Green",STDs!$AC$10,STDs!$AC$11))))^2)+(((BD16*(IF(G16="Grey",STDs!$AD$9,IF(G16="Orange",STDs!$AC$8,IF(G16="Green",STDs!$AC$10,STDs!$AC$11)))))/(IF(G16="Grey",STDs!$AC$9,IF(G16="Orange",STDs!$AC$8,IF(G16="Green",STDs!$AC$10,STDs!$AC$11)))^2))^2))</f>
        <v>0.74101144499592986</v>
      </c>
      <c r="BH16" s="501">
        <f t="shared" si="40"/>
        <v>0.40511083273596393</v>
      </c>
      <c r="BI16" s="501">
        <f t="shared" si="41"/>
        <v>0.41299860341352373</v>
      </c>
      <c r="BJ16" s="500">
        <v>0.05</v>
      </c>
      <c r="BK16" s="504">
        <f t="shared" si="1"/>
        <v>0.36488715236964953</v>
      </c>
      <c r="BL16" s="505">
        <f t="shared" si="42"/>
        <v>0.37199174190047424</v>
      </c>
      <c r="BM16" s="506">
        <f t="shared" si="43"/>
        <v>0.36488715236964953</v>
      </c>
      <c r="BN16" s="507">
        <f t="shared" si="44"/>
        <v>0.37199174190047424</v>
      </c>
      <c r="BO16" s="508">
        <f t="shared" si="45"/>
        <v>1.0194706486229677</v>
      </c>
    </row>
    <row r="17" spans="1:67" s="510" customFormat="1" x14ac:dyDescent="0.35">
      <c r="A17" s="494">
        <f>Samples!A17</f>
        <v>13</v>
      </c>
      <c r="B17" s="494">
        <f>Samples!B17</f>
        <v>2</v>
      </c>
      <c r="C17" s="495">
        <f>Samples!C17</f>
        <v>44353</v>
      </c>
      <c r="D17" s="496">
        <f>Samples!D17</f>
        <v>0.25555555555555559</v>
      </c>
      <c r="E17" s="496" t="str">
        <f>Samples!E17</f>
        <v>BW</v>
      </c>
      <c r="F17" s="526">
        <f>Samples!G17</f>
        <v>66.599999999999994</v>
      </c>
      <c r="G17" s="529" t="str">
        <f>Samples!L17</f>
        <v>Green</v>
      </c>
      <c r="H17" s="530">
        <f>Samples!H17</f>
        <v>44353</v>
      </c>
      <c r="I17" s="531">
        <f>Samples!J17</f>
        <v>0.54380787037037037</v>
      </c>
      <c r="J17" s="532">
        <f>Samples!K17</f>
        <v>190.45</v>
      </c>
      <c r="K17" s="533">
        <f>H17+I17+(Samples!K17/(60*24))</f>
        <v>44353.676064814819</v>
      </c>
      <c r="L17" s="533">
        <f>Samples!O17</f>
        <v>7.43</v>
      </c>
      <c r="M17" s="534">
        <f>Samples!M17</f>
        <v>0.33100000000000002</v>
      </c>
      <c r="N17" s="534">
        <f>Samples!N17</f>
        <v>2.6040000000000001</v>
      </c>
      <c r="O17" s="497">
        <f t="shared" si="2"/>
        <v>0.97483023900732302</v>
      </c>
      <c r="P17" s="497">
        <f t="shared" si="3"/>
        <v>0.92345064376053476</v>
      </c>
      <c r="Q17" s="537">
        <f t="shared" si="4"/>
        <v>0.19751674427459806</v>
      </c>
      <c r="R17" s="499">
        <f t="shared" si="5"/>
        <v>1415.0434999999998</v>
      </c>
      <c r="S17" s="510">
        <f t="shared" si="6"/>
        <v>0.11693109090829047</v>
      </c>
      <c r="T17" s="542">
        <f t="shared" si="7"/>
        <v>8.9808825582404342E-2</v>
      </c>
      <c r="U17" s="542">
        <f t="shared" si="8"/>
        <v>4.6847775286644272E-2</v>
      </c>
      <c r="V17" s="511">
        <f t="shared" si="9"/>
        <v>495.93180000000001</v>
      </c>
      <c r="W17" s="498">
        <f t="shared" si="10"/>
        <v>4.1689194924870575E-2</v>
      </c>
      <c r="X17" s="540">
        <f t="shared" si="11"/>
        <v>0.25189845876054723</v>
      </c>
      <c r="Y17" s="541">
        <f t="shared" si="12"/>
        <v>4.6325901098333323E-2</v>
      </c>
      <c r="Z17" s="499">
        <f t="shared" si="13"/>
        <v>63.03895</v>
      </c>
      <c r="AA17" s="500">
        <f t="shared" si="14"/>
        <v>0.21155986597560331</v>
      </c>
      <c r="AB17" s="500">
        <f t="shared" si="15"/>
        <v>2.2476542811149049E-2</v>
      </c>
      <c r="AC17" s="501">
        <f t="shared" si="16"/>
        <v>4.4949999999999992</v>
      </c>
      <c r="AD17" s="500">
        <f t="shared" si="17"/>
        <v>0.23328894800938108</v>
      </c>
      <c r="AE17" s="500">
        <f t="shared" si="18"/>
        <v>1.7070309352327706E-3</v>
      </c>
      <c r="AF17" s="500">
        <f t="shared" si="19"/>
        <v>4.5609166741224764E-4</v>
      </c>
      <c r="AG17" s="510">
        <f t="shared" si="20"/>
        <v>4.7065598659756027</v>
      </c>
      <c r="AH17" s="598">
        <f t="shared" si="21"/>
        <v>0.23436921350737414</v>
      </c>
      <c r="AI17" s="502">
        <f t="shared" si="22"/>
        <v>2.3924401340243966</v>
      </c>
      <c r="AJ17" s="500">
        <f t="shared" si="23"/>
        <v>0.11907172207432085</v>
      </c>
      <c r="AK17" s="512">
        <f t="shared" si="24"/>
        <v>0.32929296906476724</v>
      </c>
      <c r="AL17" s="510">
        <f t="shared" si="25"/>
        <v>4.1691689736600236E-2</v>
      </c>
      <c r="AM17" s="552">
        <f>((((IF(G17="Grey",STDs!$AC$9,IF(G17="Orange",STDs!$AC$8,IF(G17="Green",STDs!$AC$10,IF(G17="Blue",STDs!$AC$11)))))*2)*(M17-AE17))^2*0.01)/((1+(((IF(G17="Grey",STDs!$AC$9,IF(G17="Orange",STDs!$AC$8,IF(G17="Green",STDs!$AC$10,IF(G17="Blue",STDs!$AC$11)))))*2)*(M17-AE17))*0.01))</f>
        <v>1.2572231416162885E-4</v>
      </c>
      <c r="AN17" s="557">
        <f>AI17-AM17-IF(G17="Grey",Blanks!$O$7,IF(G17="Orange",Blanks!$O$6,IF(G17="Green",Blanks!$O$8,Blanks!$O$9)))</f>
        <v>2.3640416844375078</v>
      </c>
      <c r="AO17" s="501">
        <f t="shared" si="26"/>
        <v>0.11907172207432085</v>
      </c>
      <c r="AP17" s="501">
        <f>AN17/IF(G17="Grey",STDs!$AF$9,IF(G17="Orange",STDs!$AF$8,IF(G17="Green",STDs!$AF$10,STDs!$AF$11)))</f>
        <v>29.895831582498495</v>
      </c>
      <c r="AQ17" s="501">
        <f>SQRT(((AO17/IF(G17="Grey",STDs!$AF$9,IF(G17="Orange",STDs!$AF$8,IF(G17="Green",STDs!$AF$10,STDs!$AF$11))))^2)+(((AN17*(IF(G17="Grey",STDs!$AG$9,IF(G17="Orange",STDs!$AG$8,IF(G17="Green",STDs!$AG$10,STDs!$AG$11)))))/(IF(G17="Grey",STDs!$AF$9,IF(G17="Orange",STDs!$AF$8,IF(G17="Green",STDs!$AF$10,STDs!$AF$11))))))^2)</f>
        <v>2.0326501224334734</v>
      </c>
      <c r="AR17" s="501">
        <f t="shared" si="27"/>
        <v>44.888636009757505</v>
      </c>
      <c r="AS17" s="500">
        <f t="shared" si="28"/>
        <v>3.3359197793668929</v>
      </c>
      <c r="AT17" s="653">
        <f>'Count 2'!AU17</f>
        <v>1.5673133765956404</v>
      </c>
      <c r="AU17" s="567">
        <f t="shared" si="29"/>
        <v>46.912439691141479</v>
      </c>
      <c r="AV17" s="568">
        <f t="shared" si="30"/>
        <v>3.4863196874598184</v>
      </c>
      <c r="AW17" s="560">
        <f t="shared" si="31"/>
        <v>7.4315463242005372E-2</v>
      </c>
      <c r="AX17" s="501">
        <f t="shared" si="32"/>
        <v>4.6847775286644272E-2</v>
      </c>
      <c r="AY17" s="506">
        <f t="shared" si="33"/>
        <v>46.912439691141479</v>
      </c>
      <c r="AZ17" s="507">
        <f t="shared" si="34"/>
        <v>3.4863196874598184</v>
      </c>
      <c r="BA17" s="508">
        <f t="shared" si="35"/>
        <v>7.4315463242005372E-2</v>
      </c>
      <c r="BB17" s="650">
        <f t="shared" si="36"/>
        <v>4.4904412791202171E-2</v>
      </c>
      <c r="BC17" s="501">
        <f t="shared" si="37"/>
        <v>6.100722341762211E-2</v>
      </c>
      <c r="BD17" s="502">
        <f t="shared" si="38"/>
        <v>0.26828574564714514</v>
      </c>
      <c r="BE17" s="501">
        <f t="shared" si="39"/>
        <v>4.1802108635333464E-2</v>
      </c>
      <c r="BF17" s="501">
        <f>BD17/(IF(G17="Grey",STDs!$AC$9,IF(G17="Orange",STDs!$AC$8,IF(G17="Green",STDs!$AC$10,STDs!$AC$11))))</f>
        <v>1.5749268628228266</v>
      </c>
      <c r="BG17" s="501">
        <f>SQRT(((BE17/IF(G17="Grey",STDs!$AC$9,IF(G17="Orange",STDs!$AC$8,IF(G17="Green",STDs!$AC$10,STDs!$AC$11))))^2)+(((BD17*(IF(G17="Grey",STDs!$AD$9,IF(G17="Orange",STDs!$AC$8,IF(G17="Green",STDs!$AC$10,STDs!$AC$11)))))/(IF(G17="Grey",STDs!$AC$9,IF(G17="Orange",STDs!$AC$8,IF(G17="Green",STDs!$AC$10,STDs!$AC$11)))^2))^2))</f>
        <v>1.5939297406409221</v>
      </c>
      <c r="BH17" s="501">
        <f t="shared" si="40"/>
        <v>2.3647550492835236</v>
      </c>
      <c r="BI17" s="501">
        <f t="shared" si="41"/>
        <v>2.3943391210581848</v>
      </c>
      <c r="BJ17" s="510">
        <v>0.05</v>
      </c>
      <c r="BK17" s="504">
        <f t="shared" si="1"/>
        <v>2.3745211798524597</v>
      </c>
      <c r="BL17" s="505">
        <f t="shared" si="42"/>
        <v>2.4042274299930368</v>
      </c>
      <c r="BM17" s="506">
        <f t="shared" si="43"/>
        <v>2.3745211798524597</v>
      </c>
      <c r="BN17" s="507">
        <f t="shared" si="44"/>
        <v>2.4042274299930368</v>
      </c>
      <c r="BO17" s="508">
        <f t="shared" si="45"/>
        <v>1.0125104170022281</v>
      </c>
    </row>
    <row r="18" spans="1:67" s="513" customFormat="1" x14ac:dyDescent="0.35">
      <c r="A18" s="494">
        <f>Samples!A18</f>
        <v>14</v>
      </c>
      <c r="B18" s="494">
        <f>Samples!B18</f>
        <v>0</v>
      </c>
      <c r="C18" s="495">
        <f>Samples!C18</f>
        <v>44353</v>
      </c>
      <c r="D18" s="496">
        <f>Samples!D18</f>
        <v>0.40625</v>
      </c>
      <c r="E18" s="496" t="str">
        <f>Samples!E18</f>
        <v>SW</v>
      </c>
      <c r="F18" s="526">
        <f>Samples!G18</f>
        <v>181.3</v>
      </c>
      <c r="G18" s="529" t="str">
        <f>Samples!L18</f>
        <v>Grey</v>
      </c>
      <c r="H18" s="530">
        <f>Samples!H18</f>
        <v>44353</v>
      </c>
      <c r="I18" s="531">
        <f>Samples!J18</f>
        <v>0.71143518518518523</v>
      </c>
      <c r="J18" s="532">
        <f>Samples!K18</f>
        <v>123.23</v>
      </c>
      <c r="K18" s="533">
        <f>H18+I18+(Samples!K18/(60*24))</f>
        <v>44353.797011574075</v>
      </c>
      <c r="L18" s="533">
        <f>Samples!O18</f>
        <v>9.3079999999999998</v>
      </c>
      <c r="M18" s="534">
        <f>Samples!M18</f>
        <v>0.51100000000000001</v>
      </c>
      <c r="N18" s="534">
        <f>Samples!N18</f>
        <v>3.3679999999999999</v>
      </c>
      <c r="O18" s="497">
        <f t="shared" si="2"/>
        <v>0.97658978690749143</v>
      </c>
      <c r="P18" s="497">
        <f t="shared" si="3"/>
        <v>0.92866781592405812</v>
      </c>
      <c r="Q18" s="537">
        <f t="shared" si="4"/>
        <v>0.27483368632828403</v>
      </c>
      <c r="R18" s="499">
        <f t="shared" si="5"/>
        <v>1147.02484</v>
      </c>
      <c r="S18" s="513">
        <f t="shared" si="6"/>
        <v>0.16532092142245386</v>
      </c>
      <c r="T18" s="543">
        <f t="shared" si="7"/>
        <v>9.8171568540649554E-2</v>
      </c>
      <c r="U18" s="543">
        <f t="shared" si="8"/>
        <v>5.1527725849018734E-2</v>
      </c>
      <c r="V18" s="514">
        <f t="shared" si="9"/>
        <v>415.03863999999999</v>
      </c>
      <c r="W18" s="498">
        <f t="shared" si="10"/>
        <v>6.4395011608698358E-2</v>
      </c>
      <c r="X18" s="540">
        <f t="shared" si="11"/>
        <v>0.25203527048414226</v>
      </c>
      <c r="Y18" s="541">
        <f t="shared" si="12"/>
        <v>4.1403878255944479E-2</v>
      </c>
      <c r="Z18" s="499">
        <f t="shared" si="13"/>
        <v>62.970530000000004</v>
      </c>
      <c r="AA18" s="500">
        <f t="shared" si="14"/>
        <v>0.31166045616520915</v>
      </c>
      <c r="AB18" s="500">
        <f t="shared" si="15"/>
        <v>3.8636410248342946E-2</v>
      </c>
      <c r="AC18" s="501">
        <f t="shared" si="16"/>
        <v>5.4289999999999994</v>
      </c>
      <c r="AD18" s="500">
        <f t="shared" si="17"/>
        <v>0.32712578577795909</v>
      </c>
      <c r="AE18" s="500">
        <f t="shared" si="18"/>
        <v>2.4365658449729752E-3</v>
      </c>
      <c r="AF18" s="500">
        <f t="shared" si="19"/>
        <v>9.3509315859414889E-4</v>
      </c>
      <c r="AG18" s="513">
        <f t="shared" si="20"/>
        <v>5.7406604561652088</v>
      </c>
      <c r="AH18" s="598">
        <f t="shared" si="21"/>
        <v>0.3293995323580855</v>
      </c>
      <c r="AI18" s="502">
        <f t="shared" si="22"/>
        <v>3.0563395438347909</v>
      </c>
      <c r="AJ18" s="500">
        <f t="shared" si="23"/>
        <v>0.16977567333645718</v>
      </c>
      <c r="AK18" s="515">
        <f t="shared" si="24"/>
        <v>0.50856343415502703</v>
      </c>
      <c r="AL18" s="513">
        <f t="shared" si="25"/>
        <v>6.4401800590508693E-2</v>
      </c>
      <c r="AM18" s="552">
        <f>((((IF(G18="Grey",STDs!$AC$9,IF(G18="Orange",STDs!$AC$8,IF(G18="Green",STDs!$AC$10,IF(G18="Blue",STDs!$AC$11)))))*2)*(M18-AE18))^2*0.01)/((1+(((IF(G18="Grey",STDs!$AC$9,IF(G18="Orange",STDs!$AC$8,IF(G18="Green",STDs!$AC$10,IF(G18="Blue",STDs!$AC$11)))))*2)*(M18-AE18))*0.01))</f>
        <v>2.2561758887201298E-4</v>
      </c>
      <c r="AN18" s="557">
        <f>AI18-AM18-IF(G18="Grey",Blanks!$O$7,IF(G18="Orange",Blanks!$O$6,IF(G18="Green",Blanks!$O$8,Blanks!$O$9)))</f>
        <v>3.0254080438929778</v>
      </c>
      <c r="AO18" s="501">
        <f t="shared" si="26"/>
        <v>0.16977567333645718</v>
      </c>
      <c r="AP18" s="501">
        <f>AN18/IF(G18="Grey",STDs!$AF$9,IF(G18="Orange",STDs!$AF$8,IF(G18="Green",STDs!$AF$10,STDs!$AF$11)))</f>
        <v>40.140015145764806</v>
      </c>
      <c r="AQ18" s="501">
        <f>SQRT(((AO18/IF(G18="Grey",STDs!$AF$9,IF(G18="Orange",STDs!$AF$8,IF(G18="Green",STDs!$AF$10,STDs!$AF$11))))^2)+(((AN18*(IF(G18="Grey",STDs!$AG$9,IF(G18="Orange",STDs!$AG$8,IF(G18="Green",STDs!$AG$10,STDs!$AG$11)))))/(IF(G18="Grey",STDs!$AF$9,IF(G18="Orange",STDs!$AF$8,IF(G18="Green",STDs!$AF$10,STDs!$AF$11))))))^2)</f>
        <v>2.3336572342155479</v>
      </c>
      <c r="AR18" s="501">
        <f t="shared" si="27"/>
        <v>22.140107636935909</v>
      </c>
      <c r="AS18" s="500">
        <f t="shared" si="28"/>
        <v>1.448446799765015</v>
      </c>
      <c r="AT18" s="653">
        <f>'Count 2'!AU18</f>
        <v>1.9232387611759107</v>
      </c>
      <c r="AU18" s="567">
        <f t="shared" si="29"/>
        <v>21.769752896673268</v>
      </c>
      <c r="AV18" s="568">
        <f t="shared" si="30"/>
        <v>1.4242175075182015</v>
      </c>
      <c r="AW18" s="560">
        <f t="shared" si="31"/>
        <v>6.5421849952915292E-2</v>
      </c>
      <c r="AX18" s="501">
        <f t="shared" si="32"/>
        <v>5.1527725849018734E-2</v>
      </c>
      <c r="AY18" s="506">
        <f t="shared" si="33"/>
        <v>21.769752896673268</v>
      </c>
      <c r="AZ18" s="507">
        <f t="shared" si="34"/>
        <v>1.4242175075182015</v>
      </c>
      <c r="BA18" s="508">
        <f t="shared" si="35"/>
        <v>6.5421849952915292E-2</v>
      </c>
      <c r="BB18" s="650">
        <f t="shared" si="36"/>
        <v>4.9085784270324784E-2</v>
      </c>
      <c r="BC18" s="501">
        <f t="shared" si="37"/>
        <v>7.7936658367787168E-2</v>
      </c>
      <c r="BD18" s="502">
        <f t="shared" si="38"/>
        <v>0.43062677578723985</v>
      </c>
      <c r="BE18" s="501">
        <f t="shared" si="39"/>
        <v>6.4547150066919384E-2</v>
      </c>
      <c r="BF18" s="501">
        <f>BD18/(IF(G18="Grey",STDs!$AC$9,IF(G18="Orange",STDs!$AC$8,IF(G18="Green",STDs!$AC$10,STDs!$AC$11))))</f>
        <v>2.913825317821459</v>
      </c>
      <c r="BG18" s="501">
        <f>SQRT(((BE18/IF(G18="Grey",STDs!$AC$9,IF(G18="Orange",STDs!$AC$8,IF(G18="Green",STDs!$AC$10,STDs!$AC$11))))^2)+(((BD18*(IF(G18="Grey",STDs!$AD$9,IF(G18="Orange",STDs!$AC$8,IF(G18="Green",STDs!$AC$10,STDs!$AC$11)))))/(IF(G18="Grey",STDs!$AC$9,IF(G18="Orange",STDs!$AC$8,IF(G18="Green",STDs!$AC$10,STDs!$AC$11)))^2))^2))</f>
        <v>0.45908331420353349</v>
      </c>
      <c r="BH18" s="501">
        <f t="shared" si="40"/>
        <v>1.6071844003427793</v>
      </c>
      <c r="BI18" s="501">
        <f t="shared" si="41"/>
        <v>0.25776701906782318</v>
      </c>
      <c r="BJ18" s="513">
        <v>0.05</v>
      </c>
      <c r="BK18" s="504">
        <f t="shared" si="1"/>
        <v>1.5945122724187215</v>
      </c>
      <c r="BL18" s="505">
        <f t="shared" si="42"/>
        <v>0.255734609694304</v>
      </c>
      <c r="BM18" s="506">
        <f t="shared" si="43"/>
        <v>1.5945122724187215</v>
      </c>
      <c r="BN18" s="507">
        <f t="shared" si="44"/>
        <v>0.255734609694304</v>
      </c>
      <c r="BO18" s="508">
        <f t="shared" si="45"/>
        <v>0.16038422163184685</v>
      </c>
    </row>
    <row r="19" spans="1:67" s="513" customFormat="1" x14ac:dyDescent="0.35">
      <c r="A19" s="494">
        <f>Samples!A19</f>
        <v>14</v>
      </c>
      <c r="B19" s="494">
        <f>Samples!B19</f>
        <v>2</v>
      </c>
      <c r="C19" s="495">
        <f>Samples!C19</f>
        <v>44353</v>
      </c>
      <c r="D19" s="496">
        <f>Samples!D19</f>
        <v>0.4291666666666667</v>
      </c>
      <c r="E19" s="496" t="str">
        <f>Samples!E19</f>
        <v>BW</v>
      </c>
      <c r="F19" s="526">
        <f>Samples!G19</f>
        <v>70.614000000000004</v>
      </c>
      <c r="G19" s="529" t="str">
        <f>Samples!L19</f>
        <v>Orange</v>
      </c>
      <c r="H19" s="530">
        <f>Samples!H19</f>
        <v>44353</v>
      </c>
      <c r="I19" s="531">
        <f>Samples!J19</f>
        <v>0.7430092592592592</v>
      </c>
      <c r="J19" s="532">
        <f>Samples!K19</f>
        <v>146.22</v>
      </c>
      <c r="K19" s="533">
        <f>H19+I19+(Samples!K19/(60*24))</f>
        <v>44353.844550925925</v>
      </c>
      <c r="L19" s="533">
        <f>Samples!O19</f>
        <v>6.867</v>
      </c>
      <c r="M19" s="534">
        <f>Samples!M19</f>
        <v>0.27400000000000002</v>
      </c>
      <c r="N19" s="534">
        <f>Samples!N19</f>
        <v>2.1339999999999999</v>
      </c>
      <c r="O19" s="497">
        <f t="shared" si="2"/>
        <v>0.97513315179099025</v>
      </c>
      <c r="P19" s="497">
        <f t="shared" si="3"/>
        <v>0.92434737585440829</v>
      </c>
      <c r="Q19" s="537">
        <f t="shared" si="4"/>
        <v>0.21671058970004478</v>
      </c>
      <c r="R19" s="499">
        <f t="shared" si="5"/>
        <v>1004.0927399999999</v>
      </c>
      <c r="S19" s="523">
        <f t="shared" si="6"/>
        <v>0.12080747793127025</v>
      </c>
      <c r="T19" s="546">
        <f t="shared" si="7"/>
        <v>0.11322162880156536</v>
      </c>
      <c r="U19" s="543">
        <f t="shared" si="8"/>
        <v>5.9590969402727179E-2</v>
      </c>
      <c r="V19" s="514">
        <f t="shared" si="9"/>
        <v>312.03348</v>
      </c>
      <c r="W19" s="498">
        <f t="shared" si="10"/>
        <v>4.3288435648818478E-2</v>
      </c>
      <c r="X19" s="540">
        <f t="shared" si="11"/>
        <v>0.31597398283809108</v>
      </c>
      <c r="Y19" s="541">
        <f t="shared" si="12"/>
        <v>6.0474774996739651E-2</v>
      </c>
      <c r="Z19" s="499">
        <f t="shared" si="13"/>
        <v>40.064280000000004</v>
      </c>
      <c r="AA19" s="500">
        <f t="shared" si="14"/>
        <v>0.20810626851299446</v>
      </c>
      <c r="AB19" s="500">
        <f t="shared" si="15"/>
        <v>2.4057434295361887E-2</v>
      </c>
      <c r="AC19" s="501">
        <f t="shared" si="16"/>
        <v>4.4590000000000005</v>
      </c>
      <c r="AD19" s="500">
        <f t="shared" si="17"/>
        <v>0.25185673521503732</v>
      </c>
      <c r="AE19" s="500">
        <f t="shared" si="18"/>
        <v>1.6811836966158637E-3</v>
      </c>
      <c r="AF19" s="500">
        <f t="shared" si="19"/>
        <v>4.8449911894495528E-4</v>
      </c>
      <c r="AG19" s="513">
        <f t="shared" si="20"/>
        <v>4.6671062685129945</v>
      </c>
      <c r="AH19" s="598">
        <f t="shared" si="21"/>
        <v>0.25300311306000378</v>
      </c>
      <c r="AI19" s="502">
        <f t="shared" si="22"/>
        <v>1.9258937314870055</v>
      </c>
      <c r="AJ19" s="500">
        <f t="shared" si="23"/>
        <v>0.12317957163827939</v>
      </c>
      <c r="AK19" s="515">
        <f t="shared" si="24"/>
        <v>0.27231881630338417</v>
      </c>
      <c r="AL19" s="513">
        <f t="shared" si="25"/>
        <v>4.3291146904628861E-2</v>
      </c>
      <c r="AM19" s="552">
        <f>((((IF(G19="Grey",STDs!$AC$9,IF(G19="Orange",STDs!$AC$8,IF(G19="Green",STDs!$AC$10,IF(G19="Blue",STDs!$AC$11)))))*2)*(M19-AE19))^2*0.01)/((1+(((IF(G19="Grey",STDs!$AC$9,IF(G19="Orange",STDs!$AC$8,IF(G19="Green",STDs!$AC$10,IF(G19="Blue",STDs!$AC$11)))))*2)*(M19-AE19))*0.01))</f>
        <v>7.377295669391144E-5</v>
      </c>
      <c r="AN19" s="557">
        <f>AI19-AM19-IF(G19="Grey",Blanks!$O$7,IF(G19="Orange",Blanks!$O$6,IF(G19="Green",Blanks!$O$8,Blanks!$O$9)))</f>
        <v>1.9169310696414226</v>
      </c>
      <c r="AO19" s="501">
        <f t="shared" si="26"/>
        <v>0.12317957163827939</v>
      </c>
      <c r="AP19" s="501">
        <f>AN19/IF(G19="Grey",STDs!$AF$9,IF(G19="Orange",STDs!$AF$8,IF(G19="Green",STDs!$AF$10,STDs!$AF$11)))</f>
        <v>24.829158023135381</v>
      </c>
      <c r="AQ19" s="501">
        <f>SQRT(((AO19/IF(G19="Grey",STDs!$AF$9,IF(G19="Orange",STDs!$AF$8,IF(G19="Green",STDs!$AF$10,STDs!$AF$11))))^2)+(((AN19*(IF(G19="Grey",STDs!$AG$9,IF(G19="Orange",STDs!$AG$8,IF(G19="Green",STDs!$AG$10,STDs!$AG$11)))))/(IF(G19="Grey",STDs!$AF$9,IF(G19="Orange",STDs!$AF$8,IF(G19="Green",STDs!$AF$10,STDs!$AF$11))))))^2)</f>
        <v>1.6033305201415313</v>
      </c>
      <c r="AR19" s="501">
        <f t="shared" si="27"/>
        <v>35.161806473412327</v>
      </c>
      <c r="AS19" s="500">
        <f t="shared" si="28"/>
        <v>2.5036258913376632</v>
      </c>
      <c r="AT19" s="653">
        <f>'Count 2'!AU19</f>
        <v>2.7141953433331696</v>
      </c>
      <c r="AU19" s="567">
        <f t="shared" si="29"/>
        <v>35.10326526332878</v>
      </c>
      <c r="AV19" s="568">
        <f t="shared" si="30"/>
        <v>2.499457581914021</v>
      </c>
      <c r="AW19" s="560">
        <f t="shared" si="31"/>
        <v>7.1202993885731813E-2</v>
      </c>
      <c r="AX19" s="501">
        <f t="shared" si="32"/>
        <v>5.9590969402727179E-2</v>
      </c>
      <c r="AY19" s="506">
        <f t="shared" si="33"/>
        <v>35.10326526332878</v>
      </c>
      <c r="AZ19" s="507">
        <f t="shared" si="34"/>
        <v>2.499457581914021</v>
      </c>
      <c r="BA19" s="508">
        <f t="shared" si="35"/>
        <v>7.1202993885731813E-2</v>
      </c>
      <c r="BB19" s="650">
        <f t="shared" si="36"/>
        <v>5.6610814400782687E-2</v>
      </c>
      <c r="BC19" s="501">
        <f t="shared" si="37"/>
        <v>4.9110290152918637E-2</v>
      </c>
      <c r="BD19" s="502">
        <f t="shared" si="38"/>
        <v>0.22320852615046555</v>
      </c>
      <c r="BE19" s="501">
        <f t="shared" si="39"/>
        <v>4.3404951078013183E-2</v>
      </c>
      <c r="BF19" s="501">
        <f>BD19/(IF(G19="Grey",STDs!$AC$9,IF(G19="Orange",STDs!$AC$8,IF(G19="Green",STDs!$AC$10,STDs!$AC$11))))</f>
        <v>1.4147617872888385</v>
      </c>
      <c r="BG19" s="501">
        <f>SQRT(((BE19/IF(G19="Grey",STDs!$AC$9,IF(G19="Orange",STDs!$AC$8,IF(G19="Green",STDs!$AC$10,STDs!$AC$11))))^2)+(((BD19*(IF(G19="Grey",STDs!$AD$9,IF(G19="Orange",STDs!$AC$8,IF(G19="Green",STDs!$AC$10,STDs!$AC$11)))))/(IF(G19="Grey",STDs!$AC$9,IF(G19="Orange",STDs!$AC$8,IF(G19="Green",STDs!$AC$10,STDs!$AC$11)))^2))^2))</f>
        <v>1.4412627523672783</v>
      </c>
      <c r="BH19" s="501">
        <f t="shared" si="40"/>
        <v>2.0035145825032408</v>
      </c>
      <c r="BI19" s="501">
        <f t="shared" si="41"/>
        <v>2.0419287302594915</v>
      </c>
      <c r="BJ19" s="513">
        <v>0.05</v>
      </c>
      <c r="BK19" s="504">
        <f t="shared" si="1"/>
        <v>2.0033311132077647</v>
      </c>
      <c r="BL19" s="505">
        <f t="shared" si="42"/>
        <v>2.041741743237373</v>
      </c>
      <c r="BM19" s="506">
        <f t="shared" si="43"/>
        <v>2.0033311132077647</v>
      </c>
      <c r="BN19" s="507">
        <f t="shared" si="44"/>
        <v>2.041741743237373</v>
      </c>
      <c r="BO19" s="508">
        <f t="shared" si="45"/>
        <v>1.0191733806640204</v>
      </c>
    </row>
    <row r="20" spans="1:67" s="513" customFormat="1" x14ac:dyDescent="0.35">
      <c r="A20" s="494">
        <f>Samples!A20</f>
        <v>15</v>
      </c>
      <c r="B20" s="494">
        <f>Samples!B20</f>
        <v>0</v>
      </c>
      <c r="C20" s="495">
        <f>Samples!C20</f>
        <v>44353</v>
      </c>
      <c r="D20" s="496">
        <f>Samples!D20</f>
        <v>0.55555555555555558</v>
      </c>
      <c r="E20" s="496" t="str">
        <f>Samples!E20</f>
        <v>SW</v>
      </c>
      <c r="F20" s="526">
        <f>Samples!G20</f>
        <v>194.1</v>
      </c>
      <c r="G20" s="529" t="str">
        <f>Samples!L20</f>
        <v>Grey</v>
      </c>
      <c r="H20" s="530">
        <f>Samples!H20</f>
        <v>44353</v>
      </c>
      <c r="I20" s="531">
        <f>Samples!J20</f>
        <v>0.84423611111111108</v>
      </c>
      <c r="J20" s="532">
        <f>Samples!K20</f>
        <v>109.48</v>
      </c>
      <c r="K20" s="533">
        <f>H20+I20+(Samples!K20/(60*24))</f>
        <v>44353.920263888889</v>
      </c>
      <c r="L20" s="533">
        <f>Samples!O20</f>
        <v>11.91</v>
      </c>
      <c r="M20" s="534">
        <f>Samples!M20</f>
        <v>0.46600000000000003</v>
      </c>
      <c r="N20" s="534">
        <f>Samples!N20</f>
        <v>4.7679999999999998</v>
      </c>
      <c r="O20" s="497">
        <f t="shared" si="2"/>
        <v>0.97813342045661911</v>
      </c>
      <c r="P20" s="497">
        <f t="shared" si="3"/>
        <v>0.93326125949181349</v>
      </c>
      <c r="Q20" s="537">
        <f t="shared" si="4"/>
        <v>0.32982873291769593</v>
      </c>
      <c r="R20" s="499">
        <f t="shared" si="5"/>
        <v>1303.9068</v>
      </c>
      <c r="S20" s="513">
        <f t="shared" si="6"/>
        <v>0.20868956269279262</v>
      </c>
      <c r="T20" s="543">
        <f t="shared" si="7"/>
        <v>8.7537568243621078E-2</v>
      </c>
      <c r="U20" s="543">
        <f t="shared" si="8"/>
        <v>4.6140502698055648E-2</v>
      </c>
      <c r="V20" s="514">
        <f t="shared" si="9"/>
        <v>522.00063999999998</v>
      </c>
      <c r="W20" s="498">
        <f t="shared" si="10"/>
        <v>6.5241744326594783E-2</v>
      </c>
      <c r="X20" s="540">
        <f t="shared" si="11"/>
        <v>0.28000748638023515</v>
      </c>
      <c r="Y20" s="541">
        <f t="shared" si="12"/>
        <v>4.0724536583364293E-2</v>
      </c>
      <c r="Z20" s="499">
        <f t="shared" si="13"/>
        <v>51.017680000000006</v>
      </c>
      <c r="AA20" s="500">
        <f t="shared" si="14"/>
        <v>0.47757250010715357</v>
      </c>
      <c r="AB20" s="500">
        <f t="shared" si="15"/>
        <v>5.8641368265785247E-2</v>
      </c>
      <c r="AC20" s="501">
        <f t="shared" si="16"/>
        <v>6.6760000000000002</v>
      </c>
      <c r="AD20" s="500">
        <f t="shared" si="17"/>
        <v>0.39572062346784326</v>
      </c>
      <c r="AE20" s="500">
        <f t="shared" si="18"/>
        <v>3.5751677417211656E-3</v>
      </c>
      <c r="AF20" s="500">
        <f t="shared" si="19"/>
        <v>1.7172382280753707E-3</v>
      </c>
      <c r="AG20" s="513">
        <f t="shared" si="20"/>
        <v>7.1535725001071535</v>
      </c>
      <c r="AH20" s="598">
        <f t="shared" si="21"/>
        <v>0.4000420251796829</v>
      </c>
      <c r="AI20" s="502">
        <f t="shared" si="22"/>
        <v>4.2904274998928464</v>
      </c>
      <c r="AJ20" s="500">
        <f t="shared" si="23"/>
        <v>0.21677210071638017</v>
      </c>
      <c r="AK20" s="515">
        <f t="shared" si="24"/>
        <v>0.46242483225827885</v>
      </c>
      <c r="AL20" s="513">
        <f t="shared" si="25"/>
        <v>6.5264340262571607E-2</v>
      </c>
      <c r="AM20" s="552">
        <f>((((IF(G20="Grey",STDs!$AC$9,IF(G20="Orange",STDs!$AC$8,IF(G20="Green",STDs!$AC$10,IF(G20="Blue",STDs!$AC$11)))))*2)*(M20-AE20))^2*0.01)/((1+(((IF(G20="Grey",STDs!$AC$9,IF(G20="Orange",STDs!$AC$8,IF(G20="Green",STDs!$AC$10,IF(G20="Blue",STDs!$AC$11)))))*2)*(M20-AE20))*0.01))</f>
        <v>1.8656240368342955E-4</v>
      </c>
      <c r="AN20" s="557">
        <f>AI20-AM20-IF(G20="Grey",Blanks!$O$7,IF(G20="Orange",Blanks!$O$6,IF(G20="Green",Blanks!$O$8,Blanks!$O$9)))</f>
        <v>4.2595350551362214</v>
      </c>
      <c r="AO20" s="501">
        <f t="shared" si="26"/>
        <v>0.21677210071638017</v>
      </c>
      <c r="AP20" s="501">
        <f>AN20/IF(G20="Grey",STDs!$AF$9,IF(G20="Orange",STDs!$AF$8,IF(G20="Green",STDs!$AF$10,STDs!$AF$11)))</f>
        <v>56.513964115424393</v>
      </c>
      <c r="AQ20" s="501">
        <f>SQRT(((AO20/IF(G20="Grey",STDs!$AF$9,IF(G20="Orange",STDs!$AF$8,IF(G20="Green",STDs!$AF$10,STDs!$AF$11))))^2)+(((AN20*(IF(G20="Grey",STDs!$AG$9,IF(G20="Orange",STDs!$AG$8,IF(G20="Green",STDs!$AG$10,STDs!$AG$11)))))/(IF(G20="Grey",STDs!$AF$9,IF(G20="Orange",STDs!$AF$8,IF(G20="Green",STDs!$AF$10,STDs!$AF$11))))))^2)</f>
        <v>3.0015458263876904</v>
      </c>
      <c r="AR20" s="501">
        <f t="shared" si="27"/>
        <v>29.115901141382995</v>
      </c>
      <c r="AS20" s="500">
        <f t="shared" si="28"/>
        <v>1.7760317229531273</v>
      </c>
      <c r="AT20" s="653">
        <f>'Count 2'!AU20</f>
        <v>1.4922005685447524</v>
      </c>
      <c r="AU20" s="567">
        <f t="shared" si="29"/>
        <v>29.599107743827393</v>
      </c>
      <c r="AV20" s="568">
        <f t="shared" si="30"/>
        <v>1.8055066909616526</v>
      </c>
      <c r="AW20" s="560">
        <f t="shared" si="31"/>
        <v>6.0998686399193015E-2</v>
      </c>
      <c r="AX20" s="501">
        <f t="shared" si="32"/>
        <v>4.6140502698055648E-2</v>
      </c>
      <c r="AY20" s="506">
        <f t="shared" si="33"/>
        <v>29.599107743827393</v>
      </c>
      <c r="AZ20" s="507">
        <f t="shared" si="34"/>
        <v>1.8055066909616526</v>
      </c>
      <c r="BA20" s="508">
        <f t="shared" si="35"/>
        <v>6.0998686399193015E-2</v>
      </c>
      <c r="BB20" s="650">
        <f t="shared" si="36"/>
        <v>4.3768784121810532E-2</v>
      </c>
      <c r="BC20" s="501">
        <f t="shared" si="37"/>
        <v>0.10940590124726758</v>
      </c>
      <c r="BD20" s="502">
        <f t="shared" si="38"/>
        <v>0.35301893101101128</v>
      </c>
      <c r="BE20" s="501">
        <f t="shared" si="39"/>
        <v>6.5498011044736945E-2</v>
      </c>
      <c r="BF20" s="501">
        <f>BD20/(IF(G20="Grey",STDs!$AC$9,IF(G20="Orange",STDs!$AC$8,IF(G20="Green",STDs!$AC$10,STDs!$AC$11))))</f>
        <v>2.3886937754153275</v>
      </c>
      <c r="BG20" s="501">
        <f>SQRT(((BE20/IF(G20="Grey",STDs!$AC$9,IF(G20="Orange",STDs!$AC$8,IF(G20="Green",STDs!$AC$10,STDs!$AC$11))))^2)+(((BD20*(IF(G20="Grey",STDs!$AD$9,IF(G20="Orange",STDs!$AC$8,IF(G20="Green",STDs!$AC$10,STDs!$AC$11)))))/(IF(G20="Grey",STDs!$AC$9,IF(G20="Orange",STDs!$AC$8,IF(G20="Green",STDs!$AC$10,STDs!$AC$11)))^2))^2))</f>
        <v>0.45810419640426137</v>
      </c>
      <c r="BH20" s="501">
        <f t="shared" si="40"/>
        <v>1.2306510950104728</v>
      </c>
      <c r="BI20" s="501">
        <f t="shared" si="41"/>
        <v>0.23888471851221221</v>
      </c>
      <c r="BJ20" s="513">
        <v>0.05</v>
      </c>
      <c r="BK20" s="504">
        <f t="shared" si="1"/>
        <v>1.2070450414211518</v>
      </c>
      <c r="BL20" s="505">
        <f t="shared" si="42"/>
        <v>0.23430248924371175</v>
      </c>
      <c r="BM20" s="506">
        <f t="shared" si="43"/>
        <v>1.2070450414211518</v>
      </c>
      <c r="BN20" s="507">
        <f t="shared" si="44"/>
        <v>0.23430248924371175</v>
      </c>
      <c r="BO20" s="508">
        <f t="shared" si="45"/>
        <v>0.19411246573520444</v>
      </c>
    </row>
    <row r="21" spans="1:67" s="517" customFormat="1" x14ac:dyDescent="0.35">
      <c r="A21" s="494">
        <f>Samples!A21</f>
        <v>15</v>
      </c>
      <c r="B21" s="494">
        <f>Samples!B21</f>
        <v>11</v>
      </c>
      <c r="C21" s="495">
        <f>Samples!C21</f>
        <v>44353</v>
      </c>
      <c r="D21" s="496">
        <f>Samples!D21</f>
        <v>0.79166666666666663</v>
      </c>
      <c r="E21" s="496" t="str">
        <f>Samples!E21</f>
        <v>BW</v>
      </c>
      <c r="F21" s="526">
        <f>Samples!G21</f>
        <v>56</v>
      </c>
      <c r="G21" s="529" t="str">
        <f>Samples!L21</f>
        <v>Orange</v>
      </c>
      <c r="H21" s="530">
        <f>Samples!H21</f>
        <v>44353</v>
      </c>
      <c r="I21" s="531">
        <f>Samples!J21</f>
        <v>0.88232638888888881</v>
      </c>
      <c r="J21" s="532">
        <f>Samples!K21</f>
        <v>161.38</v>
      </c>
      <c r="K21" s="533">
        <f>H21+I21+(Samples!K21/(60*24))</f>
        <v>44353.994395833339</v>
      </c>
      <c r="L21" s="533">
        <f>Samples!O21</f>
        <v>4.9390000000000001</v>
      </c>
      <c r="M21" s="534">
        <f>Samples!M21</f>
        <v>0.192</v>
      </c>
      <c r="N21" s="534">
        <f>Samples!N21</f>
        <v>1.419</v>
      </c>
      <c r="O21" s="497">
        <f t="shared" si="2"/>
        <v>0.9877854477014153</v>
      </c>
      <c r="P21" s="497">
        <f t="shared" si="3"/>
        <v>0.96233394063882582</v>
      </c>
      <c r="Q21" s="537">
        <f t="shared" si="4"/>
        <v>0.17494222972238702</v>
      </c>
      <c r="R21" s="499">
        <f t="shared" si="5"/>
        <v>797.05582000000004</v>
      </c>
      <c r="S21" s="517">
        <f t="shared" si="6"/>
        <v>9.3770523840945766E-2</v>
      </c>
      <c r="T21" s="544">
        <f t="shared" si="7"/>
        <v>0.13216423374340489</v>
      </c>
      <c r="U21" s="544">
        <f t="shared" si="8"/>
        <v>6.8923057739357016E-2</v>
      </c>
      <c r="V21" s="518">
        <f t="shared" si="9"/>
        <v>228.99822</v>
      </c>
      <c r="W21" s="498">
        <f t="shared" si="10"/>
        <v>3.4492586238074448E-2</v>
      </c>
      <c r="X21" s="540">
        <f t="shared" si="11"/>
        <v>0.35929777331327545</v>
      </c>
      <c r="Y21" s="541">
        <f t="shared" si="12"/>
        <v>8.1039019775661081E-2</v>
      </c>
      <c r="Z21" s="499">
        <f t="shared" si="13"/>
        <v>30.984960000000001</v>
      </c>
      <c r="AA21" s="500">
        <f t="shared" si="14"/>
        <v>0.11456868586560741</v>
      </c>
      <c r="AB21" s="500">
        <f t="shared" si="15"/>
        <v>1.4109779896853364E-2</v>
      </c>
      <c r="AC21" s="501">
        <f t="shared" si="16"/>
        <v>3.3279999999999998</v>
      </c>
      <c r="AD21" s="500">
        <f t="shared" si="17"/>
        <v>0.20146323085624535</v>
      </c>
      <c r="AE21" s="500">
        <f t="shared" si="18"/>
        <v>9.6061817528019216E-4</v>
      </c>
      <c r="AF21" s="500">
        <f t="shared" si="19"/>
        <v>2.1543541925662336E-4</v>
      </c>
      <c r="AG21" s="517">
        <f t="shared" si="20"/>
        <v>3.4425686858656075</v>
      </c>
      <c r="AH21" s="598">
        <f t="shared" si="21"/>
        <v>0.2019567262454372</v>
      </c>
      <c r="AI21" s="502">
        <f t="shared" si="22"/>
        <v>1.3044313141343926</v>
      </c>
      <c r="AJ21" s="500">
        <f t="shared" si="23"/>
        <v>9.4826141069554365E-2</v>
      </c>
      <c r="AK21" s="519">
        <f t="shared" si="24"/>
        <v>0.1910393818247198</v>
      </c>
      <c r="AL21" s="517">
        <f t="shared" si="25"/>
        <v>3.4493259019855935E-2</v>
      </c>
      <c r="AM21" s="552">
        <f>((((IF(G21="Grey",STDs!$AC$9,IF(G21="Orange",STDs!$AC$8,IF(G21="Green",STDs!$AC$10,IF(G21="Blue",STDs!$AC$11)))))*2)*(M21-AE21))^2*0.01)/((1+(((IF(G21="Grey",STDs!$AC$9,IF(G21="Orange",STDs!$AC$8,IF(G21="Green",STDs!$AC$10,IF(G21="Blue",STDs!$AC$11)))))*2)*(M21-AE21))*0.01))</f>
        <v>3.6316082925185411E-5</v>
      </c>
      <c r="AN21" s="557">
        <f>AI21-AM21-IF(G21="Grey",Blanks!$O$7,IF(G21="Orange",Blanks!$O$6,IF(G21="Green",Blanks!$O$8,Blanks!$O$9)))</f>
        <v>1.2955061091625786</v>
      </c>
      <c r="AO21" s="501">
        <f t="shared" si="26"/>
        <v>9.4826141069554365E-2</v>
      </c>
      <c r="AP21" s="501">
        <f>AN21/IF(G21="Grey",STDs!$AF$9,IF(G21="Orange",STDs!$AF$8,IF(G21="Green",STDs!$AF$10,STDs!$AF$11)))</f>
        <v>16.780116100028525</v>
      </c>
      <c r="AQ21" s="501">
        <f>SQRT(((AO21/IF(G21="Grey",STDs!$AF$9,IF(G21="Orange",STDs!$AF$8,IF(G21="Green",STDs!$AF$10,STDs!$AF$11))))^2)+(((AN21*(IF(G21="Grey",STDs!$AG$9,IF(G21="Orange",STDs!$AG$8,IF(G21="Green",STDs!$AG$10,STDs!$AG$11)))))/(IF(G21="Grey",STDs!$AF$9,IF(G21="Orange",STDs!$AF$8,IF(G21="Green",STDs!$AF$10,STDs!$AF$11))))))^2)</f>
        <v>1.2328951508290749</v>
      </c>
      <c r="AR21" s="501">
        <f t="shared" si="27"/>
        <v>29.964493035765223</v>
      </c>
      <c r="AS21" s="500">
        <f t="shared" si="28"/>
        <v>2.3780495456768778</v>
      </c>
      <c r="AT21" s="653">
        <f>'Count 2'!AU21</f>
        <v>2.1286946835856626</v>
      </c>
      <c r="AU21" s="567">
        <f t="shared" si="29"/>
        <v>28.925300435419881</v>
      </c>
      <c r="AV21" s="568">
        <f t="shared" si="30"/>
        <v>2.2955768841780713</v>
      </c>
      <c r="AW21" s="560">
        <f t="shared" si="31"/>
        <v>7.9362248606658192E-2</v>
      </c>
      <c r="AX21" s="501">
        <f t="shared" si="32"/>
        <v>6.8923057739357016E-2</v>
      </c>
      <c r="AY21" s="506">
        <f t="shared" si="33"/>
        <v>28.925300435419881</v>
      </c>
      <c r="AZ21" s="507">
        <f t="shared" si="34"/>
        <v>2.2955768841780713</v>
      </c>
      <c r="BA21" s="508">
        <f t="shared" si="35"/>
        <v>7.9362248606658192E-2</v>
      </c>
      <c r="BB21" s="650">
        <f t="shared" si="36"/>
        <v>6.6082116871702443E-2</v>
      </c>
      <c r="BC21" s="501">
        <f t="shared" si="37"/>
        <v>3.3262998510427008E-2</v>
      </c>
      <c r="BD21" s="502">
        <f t="shared" si="38"/>
        <v>0.15777638331429278</v>
      </c>
      <c r="BE21" s="501">
        <f t="shared" si="39"/>
        <v>3.457791150257232E-2</v>
      </c>
      <c r="BF21" s="501">
        <f>BD21/(IF(G21="Grey",STDs!$AC$9,IF(G21="Orange",STDs!$AC$8,IF(G21="Green",STDs!$AC$10,STDs!$AC$11))))</f>
        <v>1.0000334749723097</v>
      </c>
      <c r="BG21" s="501">
        <f>SQRT(((BE21/IF(G21="Grey",STDs!$AC$9,IF(G21="Orange",STDs!$AC$8,IF(G21="Green",STDs!$AC$10,STDs!$AC$11))))^2)+(((BD21*(IF(G21="Grey",STDs!$AD$9,IF(G21="Orange",STDs!$AC$8,IF(G21="Green",STDs!$AC$10,STDs!$AC$11)))))/(IF(G21="Grey",STDs!$AC$9,IF(G21="Orange",STDs!$AC$8,IF(G21="Green",STDs!$AC$10,STDs!$AC$11)))^2))^2))</f>
        <v>1.0237676837893739</v>
      </c>
      <c r="BH21" s="501">
        <f t="shared" si="40"/>
        <v>1.7857740624505529</v>
      </c>
      <c r="BI21" s="501">
        <f t="shared" si="41"/>
        <v>1.8289413780929928</v>
      </c>
      <c r="BJ21" s="517">
        <v>0.05</v>
      </c>
      <c r="BK21" s="504">
        <f t="shared" si="1"/>
        <v>1.7572379371347422</v>
      </c>
      <c r="BL21" s="505">
        <f t="shared" si="42"/>
        <v>1.7997154522281533</v>
      </c>
      <c r="BM21" s="506">
        <f t="shared" si="43"/>
        <v>1.7572379371347422</v>
      </c>
      <c r="BN21" s="507">
        <f t="shared" si="44"/>
        <v>1.7997154522281533</v>
      </c>
      <c r="BO21" s="508">
        <f t="shared" si="45"/>
        <v>1.0241728875730243</v>
      </c>
    </row>
    <row r="22" spans="1:67" s="520" customFormat="1" x14ac:dyDescent="0.35">
      <c r="A22" s="494">
        <f>Samples!A22</f>
        <v>16</v>
      </c>
      <c r="B22" s="494">
        <f>Samples!B22</f>
        <v>0</v>
      </c>
      <c r="C22" s="495">
        <f>Samples!C22</f>
        <v>44353</v>
      </c>
      <c r="D22" s="496">
        <f>Samples!D22</f>
        <v>0.71250000000000002</v>
      </c>
      <c r="E22" s="496" t="str">
        <f>Samples!E22</f>
        <v>SW</v>
      </c>
      <c r="F22" s="526">
        <f>Samples!G22</f>
        <v>199.9</v>
      </c>
      <c r="G22" s="529" t="str">
        <f>Samples!L22</f>
        <v>Green</v>
      </c>
      <c r="H22" s="530">
        <f>Samples!H22</f>
        <v>44354</v>
      </c>
      <c r="I22" s="531">
        <f>Samples!J22</f>
        <v>0.32663194444444449</v>
      </c>
      <c r="J22" s="532">
        <f>Samples!K22</f>
        <v>63.28</v>
      </c>
      <c r="K22" s="533">
        <f>H22+I22+(Samples!K22/(60*24))</f>
        <v>44354.370576388887</v>
      </c>
      <c r="L22" s="533">
        <f>Samples!O22</f>
        <v>15.423</v>
      </c>
      <c r="M22" s="534">
        <f>Samples!M22</f>
        <v>0.66400000000000003</v>
      </c>
      <c r="N22" s="534">
        <f>Samples!N22</f>
        <v>6.3520000000000003</v>
      </c>
      <c r="O22" s="497">
        <f t="shared" si="2"/>
        <v>0.96089164139664829</v>
      </c>
      <c r="P22" s="497">
        <f t="shared" si="3"/>
        <v>0.88282397082610253</v>
      </c>
      <c r="Q22" s="537">
        <f t="shared" si="4"/>
        <v>0.49368643472154039</v>
      </c>
      <c r="R22" s="499">
        <f t="shared" si="5"/>
        <v>975.96744000000001</v>
      </c>
      <c r="S22" s="520">
        <f t="shared" si="6"/>
        <v>0.31682687188896741</v>
      </c>
      <c r="T22" s="545">
        <f t="shared" si="7"/>
        <v>9.9756571753453219E-2</v>
      </c>
      <c r="U22" s="545">
        <f t="shared" si="8"/>
        <v>5.3215237820252982E-2</v>
      </c>
      <c r="V22" s="521">
        <f t="shared" si="9"/>
        <v>401.95456000000001</v>
      </c>
      <c r="W22" s="498">
        <f t="shared" si="10"/>
        <v>0.10243557378290326</v>
      </c>
      <c r="X22" s="540">
        <f t="shared" si="11"/>
        <v>0.30854088488826281</v>
      </c>
      <c r="Y22" s="541">
        <f t="shared" si="12"/>
        <v>3.9443906436567963E-2</v>
      </c>
      <c r="Z22" s="499">
        <f t="shared" si="13"/>
        <v>42.017920000000004</v>
      </c>
      <c r="AA22" s="500">
        <f t="shared" si="14"/>
        <v>0.7716490233969846</v>
      </c>
      <c r="AB22" s="500">
        <f t="shared" si="15"/>
        <v>0.11433116564295101</v>
      </c>
      <c r="AC22" s="501">
        <f t="shared" si="16"/>
        <v>8.407</v>
      </c>
      <c r="AD22" s="500">
        <f t="shared" si="17"/>
        <v>0.59548182957605567</v>
      </c>
      <c r="AE22" s="500">
        <f t="shared" si="18"/>
        <v>5.4256210282758481E-3</v>
      </c>
      <c r="AF22" s="500">
        <f t="shared" si="19"/>
        <v>4.1276579199737524E-3</v>
      </c>
      <c r="AG22" s="520">
        <f t="shared" si="20"/>
        <v>9.178649023396984</v>
      </c>
      <c r="AH22" s="598">
        <f t="shared" si="21"/>
        <v>0.60635816543732834</v>
      </c>
      <c r="AI22" s="502">
        <f t="shared" si="22"/>
        <v>5.5803509766030155</v>
      </c>
      <c r="AJ22" s="500">
        <f t="shared" si="23"/>
        <v>0.33682470543032333</v>
      </c>
      <c r="AK22" s="522">
        <f t="shared" si="24"/>
        <v>0.65857437897172422</v>
      </c>
      <c r="AL22" s="520">
        <f t="shared" si="25"/>
        <v>0.10251870237247904</v>
      </c>
      <c r="AM22" s="552">
        <f>((((IF(G22="Grey",STDs!$AC$9,IF(G22="Orange",STDs!$AC$8,IF(G22="Green",STDs!$AC$10,IF(G22="Blue",STDs!$AC$11)))))*2)*(M22-AE22))^2*0.01)/((1+(((IF(G22="Grey",STDs!$AC$9,IF(G22="Orange",STDs!$AC$8,IF(G22="Green",STDs!$AC$10,IF(G22="Blue",STDs!$AC$11)))))*2)*(M22-AE22))*0.01))</f>
        <v>5.0230872084142326E-4</v>
      </c>
      <c r="AN22" s="557">
        <f>AI22-AM22-IF(G22="Grey",Blanks!$O$7,IF(G22="Orange",Blanks!$O$6,IF(G22="Green",Blanks!$O$8,Blanks!$O$9)))</f>
        <v>5.551575940609446</v>
      </c>
      <c r="AO22" s="501">
        <f t="shared" si="26"/>
        <v>0.33682470543032333</v>
      </c>
      <c r="AP22" s="501">
        <f>AN22/IF(G22="Grey",STDs!$AF$9,IF(G22="Orange",STDs!$AF$8,IF(G22="Green",STDs!$AF$10,STDs!$AF$11)))</f>
        <v>70.205606115359501</v>
      </c>
      <c r="AQ22" s="501">
        <f>SQRT(((AO22/IF(G22="Grey",STDs!$AF$9,IF(G22="Orange",STDs!$AF$8,IF(G22="Green",STDs!$AF$10,STDs!$AF$11))))^2)+(((AN22*(IF(G22="Grey",STDs!$AG$9,IF(G22="Orange",STDs!$AG$8,IF(G22="Green",STDs!$AG$10,STDs!$AG$11)))))/(IF(G22="Grey",STDs!$AF$9,IF(G22="Orange",STDs!$AF$8,IF(G22="Green",STDs!$AF$10,STDs!$AF$11))))))^2)</f>
        <v>5.3314430940760484</v>
      </c>
      <c r="AR22" s="501">
        <f t="shared" si="27"/>
        <v>35.120363239299401</v>
      </c>
      <c r="AS22" s="500">
        <f t="shared" si="28"/>
        <v>2.8676259681960303</v>
      </c>
      <c r="AT22" s="653">
        <f>'Count 2'!AU22</f>
        <v>0.92864993038239907</v>
      </c>
      <c r="AU22" s="567">
        <f t="shared" si="29"/>
        <v>38.729933077057375</v>
      </c>
      <c r="AV22" s="568">
        <f t="shared" si="30"/>
        <v>3.1623523105816163</v>
      </c>
      <c r="AW22" s="560">
        <f t="shared" si="31"/>
        <v>8.1651375546912916E-2</v>
      </c>
      <c r="AX22" s="501">
        <f t="shared" si="32"/>
        <v>5.3215237820252982E-2</v>
      </c>
      <c r="AY22" s="506">
        <f t="shared" si="33"/>
        <v>38.729933077057375</v>
      </c>
      <c r="AZ22" s="507">
        <f t="shared" si="34"/>
        <v>3.1623523105816163</v>
      </c>
      <c r="BA22" s="508">
        <f t="shared" si="35"/>
        <v>8.1651375546912916E-2</v>
      </c>
      <c r="BB22" s="650">
        <f t="shared" si="36"/>
        <v>4.9878285876726609E-2</v>
      </c>
      <c r="BC22" s="501">
        <f t="shared" si="37"/>
        <v>0.14229894990337688</v>
      </c>
      <c r="BD22" s="502">
        <f t="shared" si="38"/>
        <v>0.51627542906834734</v>
      </c>
      <c r="BE22" s="501">
        <f t="shared" si="39"/>
        <v>0.10287786823355076</v>
      </c>
      <c r="BF22" s="501">
        <f>BD22/(IF(G22="Grey",STDs!$AC$9,IF(G22="Orange",STDs!$AC$8,IF(G22="Green",STDs!$AC$10,STDs!$AC$11))))</f>
        <v>3.0307090669085395</v>
      </c>
      <c r="BG22" s="501">
        <f>SQRT(((BE22/IF(G22="Grey",STDs!$AC$9,IF(G22="Orange",STDs!$AC$8,IF(G22="Green",STDs!$AC$10,STDs!$AC$11))))^2)+(((BD22*(IF(G22="Grey",STDs!$AD$9,IF(G22="Orange",STDs!$AC$8,IF(G22="Green",STDs!$AC$10,STDs!$AC$11)))))/(IF(G22="Grey",STDs!$AC$9,IF(G22="Orange",STDs!$AC$8,IF(G22="Green",STDs!$AC$10,STDs!$AC$11)))^2))^2))</f>
        <v>3.090295419086571</v>
      </c>
      <c r="BH22" s="501">
        <f t="shared" si="40"/>
        <v>1.5161125897491443</v>
      </c>
      <c r="BI22" s="501">
        <f t="shared" si="41"/>
        <v>1.5465896208118866</v>
      </c>
      <c r="BJ22" s="520">
        <v>0.05</v>
      </c>
      <c r="BK22" s="504">
        <f t="shared" si="1"/>
        <v>1.5257834771235614</v>
      </c>
      <c r="BL22" s="505">
        <f t="shared" si="42"/>
        <v>1.5564549132304324</v>
      </c>
      <c r="BM22" s="506">
        <f t="shared" si="43"/>
        <v>1.5257834771235614</v>
      </c>
      <c r="BN22" s="507">
        <f t="shared" si="44"/>
        <v>1.5564549132304324</v>
      </c>
      <c r="BO22" s="508">
        <f t="shared" si="45"/>
        <v>1.0201020895603703</v>
      </c>
    </row>
    <row r="23" spans="1:67" s="500" customFormat="1" x14ac:dyDescent="0.35">
      <c r="A23" s="494">
        <f>Samples!A23</f>
        <v>17</v>
      </c>
      <c r="B23" s="494">
        <f>Samples!B23</f>
        <v>0</v>
      </c>
      <c r="C23" s="495">
        <f>Samples!C23</f>
        <v>44353</v>
      </c>
      <c r="D23" s="496">
        <f>Samples!D23</f>
        <v>0.89583333333333337</v>
      </c>
      <c r="E23" s="496" t="str">
        <f>Samples!E23</f>
        <v>SW</v>
      </c>
      <c r="F23" s="526">
        <f>Samples!G23</f>
        <v>199.9</v>
      </c>
      <c r="G23" s="529" t="str">
        <f>Samples!L23</f>
        <v>Blue</v>
      </c>
      <c r="H23" s="530">
        <f>Samples!H23</f>
        <v>44354</v>
      </c>
      <c r="I23" s="531">
        <f>Samples!J23</f>
        <v>0.32658564814814817</v>
      </c>
      <c r="J23" s="532">
        <f>Samples!K23</f>
        <v>155.41999999999999</v>
      </c>
      <c r="K23" s="533">
        <f>H23+I23+(Samples!K23/(60*24))</f>
        <v>44354.434516203699</v>
      </c>
      <c r="L23" s="533">
        <f>Samples!O23</f>
        <v>7.3739999999999997</v>
      </c>
      <c r="M23" s="534">
        <f>Samples!M23</f>
        <v>0.40500000000000003</v>
      </c>
      <c r="N23" s="534">
        <f>Samples!N23</f>
        <v>2.6960000000000002</v>
      </c>
      <c r="O23" s="497">
        <f t="shared" si="2"/>
        <v>0.96787163558849321</v>
      </c>
      <c r="P23" s="497">
        <f t="shared" si="3"/>
        <v>0.90301314115328368</v>
      </c>
      <c r="Q23" s="537">
        <f t="shared" si="4"/>
        <v>0.21782018086691751</v>
      </c>
      <c r="R23" s="499">
        <f t="shared" si="5"/>
        <v>1146.0670799999998</v>
      </c>
      <c r="S23" s="500">
        <f t="shared" si="6"/>
        <v>0.13170628248577643</v>
      </c>
      <c r="T23" s="540">
        <f t="shared" si="7"/>
        <v>9.7704957333662037E-2</v>
      </c>
      <c r="U23" s="540">
        <f t="shared" si="8"/>
        <v>5.0678032773988489E-2</v>
      </c>
      <c r="V23" s="499">
        <f t="shared" si="9"/>
        <v>419.01231999999999</v>
      </c>
      <c r="W23" s="498">
        <f t="shared" si="10"/>
        <v>5.1047450807525395E-2</v>
      </c>
      <c r="X23" s="540">
        <f t="shared" si="11"/>
        <v>0.2520861768272859</v>
      </c>
      <c r="Y23" s="541">
        <f t="shared" si="12"/>
        <v>4.650507496013917E-2</v>
      </c>
      <c r="Z23" s="499">
        <f t="shared" si="13"/>
        <v>62.945099999999996</v>
      </c>
      <c r="AA23" s="500">
        <f t="shared" si="14"/>
        <v>0.19073541425094268</v>
      </c>
      <c r="AB23" s="500">
        <f t="shared" si="15"/>
        <v>2.3693995323470298E-2</v>
      </c>
      <c r="AC23" s="501">
        <f t="shared" si="16"/>
        <v>4.2729999999999988</v>
      </c>
      <c r="AD23" s="500">
        <f t="shared" si="17"/>
        <v>0.25961128302342046</v>
      </c>
      <c r="AE23" s="500">
        <f t="shared" si="18"/>
        <v>1.5504228447429636E-3</v>
      </c>
      <c r="AF23" s="500">
        <f t="shared" si="19"/>
        <v>4.5844031804521604E-4</v>
      </c>
      <c r="AG23" s="500">
        <f t="shared" si="20"/>
        <v>4.4637354142509418</v>
      </c>
      <c r="AH23" s="598">
        <f t="shared" si="21"/>
        <v>0.26069028307064912</v>
      </c>
      <c r="AI23" s="502">
        <f t="shared" si="22"/>
        <v>2.5052645857490576</v>
      </c>
      <c r="AJ23" s="500">
        <f t="shared" si="23"/>
        <v>0.13382058982313511</v>
      </c>
      <c r="AK23" s="509">
        <f t="shared" si="24"/>
        <v>0.40344957715525709</v>
      </c>
      <c r="AL23" s="500">
        <f t="shared" si="25"/>
        <v>5.1049509316661745E-2</v>
      </c>
      <c r="AM23" s="552">
        <f>((((IF(G23="Grey",STDs!$AC$9,IF(G23="Orange",STDs!$AC$8,IF(G23="Green",STDs!$AC$10,IF(G23="Blue",STDs!$AC$11)))))*2)*(M23-AE23))^2*0.01)/((1+(((IF(G23="Grey",STDs!$AC$9,IF(G23="Orange",STDs!$AC$8,IF(G23="Green",STDs!$AC$10,IF(G23="Blue",STDs!$AC$11)))))*2)*(M23-AE23))*0.01))</f>
        <v>1.4763801399720361E-4</v>
      </c>
      <c r="AN23" s="557">
        <f>AI23-AM23-IF(G23="Grey",Blanks!$O$7,IF(G23="Orange",Blanks!$O$6,IF(G23="Green",Blanks!$O$8,Blanks!$O$9)))</f>
        <v>2.4782598048779176</v>
      </c>
      <c r="AO23" s="501">
        <f t="shared" si="26"/>
        <v>0.13382058982313511</v>
      </c>
      <c r="AP23" s="501">
        <f>AN23/IF(G23="Grey",STDs!$AF$9,IF(G23="Orange",STDs!$AF$8,IF(G23="Green",STDs!$AF$10,STDs!$AF$11)))</f>
        <v>36.18814342335434</v>
      </c>
      <c r="AQ23" s="501">
        <f>SQRT(((AO23/IF(G23="Grey",STDs!$AF$9,IF(G23="Orange",STDs!$AF$8,IF(G23="Green",STDs!$AF$10,STDs!$AF$11))))^2)+(((AN23*(IF(G23="Grey",STDs!$AG$9,IF(G23="Orange",STDs!$AG$8,IF(G23="Green",STDs!$AG$10,STDs!$AG$11)))))/(IF(G23="Grey",STDs!$AF$9,IF(G23="Orange",STDs!$AF$8,IF(G23="Green",STDs!$AF$10,STDs!$AF$11))))))^2)</f>
        <v>1.9660905161489799</v>
      </c>
      <c r="AR23" s="501">
        <f t="shared" si="27"/>
        <v>18.103123273313827</v>
      </c>
      <c r="AS23" s="500">
        <f t="shared" si="28"/>
        <v>1.1235194024550961</v>
      </c>
      <c r="AT23" s="653">
        <f>'Count 2'!AU23</f>
        <v>1.6301445616424426</v>
      </c>
      <c r="AU23" s="567">
        <f t="shared" si="29"/>
        <v>18.242235866726048</v>
      </c>
      <c r="AV23" s="568">
        <f t="shared" si="30"/>
        <v>1.1321530340922885</v>
      </c>
      <c r="AW23" s="560">
        <f t="shared" si="31"/>
        <v>6.2062185927402827E-2</v>
      </c>
      <c r="AX23" s="501">
        <f t="shared" si="32"/>
        <v>5.0678032773988489E-2</v>
      </c>
      <c r="AY23" s="506">
        <f t="shared" si="33"/>
        <v>18.242235866726048</v>
      </c>
      <c r="AZ23" s="507">
        <f t="shared" si="34"/>
        <v>1.1321530340922885</v>
      </c>
      <c r="BA23" s="508">
        <f t="shared" si="35"/>
        <v>6.2062185927402827E-2</v>
      </c>
      <c r="BB23" s="650">
        <f t="shared" si="36"/>
        <v>4.8852478666831019E-2</v>
      </c>
      <c r="BC23" s="501">
        <f t="shared" si="37"/>
        <v>6.3884246936600969E-2</v>
      </c>
      <c r="BD23" s="502">
        <f t="shared" si="38"/>
        <v>0.33956533021865609</v>
      </c>
      <c r="BE23" s="501">
        <f t="shared" si="39"/>
        <v>5.1163434659226084E-2</v>
      </c>
      <c r="BF23" s="501">
        <f>BD23/(IF(G23="Grey",STDs!$AC$9,IF(G23="Orange",STDs!$AC$8,IF(G23="Green",STDs!$AC$10,STDs!$AC$11))))</f>
        <v>2.2536146513994408</v>
      </c>
      <c r="BG23" s="501">
        <f>SQRT(((BE23/IF(G23="Grey",STDs!$AC$9,IF(G23="Orange",STDs!$AC$8,IF(G23="Green",STDs!$AC$10,STDs!$AC$11))))^2)+(((BD23*(IF(G23="Grey",STDs!$AD$9,IF(G23="Orange",STDs!$AC$8,IF(G23="Green",STDs!$AC$10,STDs!$AC$11)))))/(IF(G23="Grey",STDs!$AC$9,IF(G23="Orange",STDs!$AC$8,IF(G23="Green",STDs!$AC$10,STDs!$AC$11)))^2))^2))</f>
        <v>2.2790523722539842</v>
      </c>
      <c r="BH23" s="501">
        <f t="shared" si="40"/>
        <v>1.127371011205323</v>
      </c>
      <c r="BI23" s="501">
        <f t="shared" si="41"/>
        <v>1.1405977784455066</v>
      </c>
      <c r="BJ23" s="500">
        <v>0.05</v>
      </c>
      <c r="BK23" s="504">
        <f t="shared" si="1"/>
        <v>1.113134192170278</v>
      </c>
      <c r="BL23" s="505">
        <f t="shared" si="42"/>
        <v>1.1261939273600134</v>
      </c>
      <c r="BM23" s="506">
        <f t="shared" si="43"/>
        <v>1.113134192170278</v>
      </c>
      <c r="BN23" s="507">
        <f t="shared" si="44"/>
        <v>1.1261939273600134</v>
      </c>
      <c r="BO23" s="508">
        <f t="shared" si="45"/>
        <v>1.0117323996348302</v>
      </c>
    </row>
    <row r="24" spans="1:67" s="510" customFormat="1" x14ac:dyDescent="0.35">
      <c r="A24" s="494">
        <f>Samples!A24</f>
        <v>17</v>
      </c>
      <c r="B24" s="494">
        <f>Samples!B24</f>
        <v>2</v>
      </c>
      <c r="C24" s="495">
        <f>Samples!C24</f>
        <v>44353</v>
      </c>
      <c r="D24" s="496">
        <f>Samples!D24</f>
        <v>0.92569444444444438</v>
      </c>
      <c r="E24" s="496" t="str">
        <f>Samples!E24</f>
        <v>BW</v>
      </c>
      <c r="F24" s="526">
        <f>Samples!G24</f>
        <v>58</v>
      </c>
      <c r="G24" s="529" t="str">
        <f>Samples!L24</f>
        <v>Blue</v>
      </c>
      <c r="H24" s="530">
        <f>Samples!H24</f>
        <v>44354</v>
      </c>
      <c r="I24" s="531">
        <f>Samples!J24</f>
        <v>0.57060185185185186</v>
      </c>
      <c r="J24" s="532">
        <f>Samples!K24</f>
        <v>241.02</v>
      </c>
      <c r="K24" s="533">
        <f>H24+I24+(Samples!K24/(60*24))</f>
        <v>44354.737976851851</v>
      </c>
      <c r="L24" s="533">
        <f>Samples!O24</f>
        <v>3.1989999999999998</v>
      </c>
      <c r="M24" s="534">
        <f>Samples!M24</f>
        <v>9.5000000000000001E-2</v>
      </c>
      <c r="N24" s="534">
        <f>Samples!N24</f>
        <v>0.72199999999999998</v>
      </c>
      <c r="O24" s="497">
        <f t="shared" si="2"/>
        <v>0.95195087689883973</v>
      </c>
      <c r="P24" s="497">
        <f t="shared" si="3"/>
        <v>0.85741461629321036</v>
      </c>
      <c r="Q24" s="537">
        <f t="shared" si="4"/>
        <v>0.11520745395813035</v>
      </c>
      <c r="R24" s="499">
        <f t="shared" si="5"/>
        <v>771.02297999999996</v>
      </c>
      <c r="S24" s="510">
        <f t="shared" si="6"/>
        <v>5.4732093187893315E-2</v>
      </c>
      <c r="T24" s="542">
        <f t="shared" si="7"/>
        <v>0.15161244650385963</v>
      </c>
      <c r="U24" s="542">
        <f t="shared" si="8"/>
        <v>7.9055099952743166E-2</v>
      </c>
      <c r="V24" s="511">
        <f t="shared" si="9"/>
        <v>174.01643999999999</v>
      </c>
      <c r="W24" s="498">
        <f t="shared" si="10"/>
        <v>1.9853416863312282E-2</v>
      </c>
      <c r="X24" s="540">
        <f t="shared" si="11"/>
        <v>0.41796667080657429</v>
      </c>
      <c r="Y24" s="541">
        <f t="shared" si="12"/>
        <v>0.11715365033589484</v>
      </c>
      <c r="Z24" s="499">
        <f t="shared" si="13"/>
        <v>22.896900000000002</v>
      </c>
      <c r="AA24" s="500">
        <f t="shared" si="14"/>
        <v>5.812374766948717E-2</v>
      </c>
      <c r="AB24" s="500">
        <f t="shared" si="15"/>
        <v>6.3764470358613577E-3</v>
      </c>
      <c r="AC24" s="501">
        <f t="shared" si="16"/>
        <v>2.3819999999999997</v>
      </c>
      <c r="AD24" s="500">
        <f t="shared" si="17"/>
        <v>0.12908337473660741</v>
      </c>
      <c r="AE24" s="500">
        <f t="shared" si="18"/>
        <v>5.0234584499245672E-4</v>
      </c>
      <c r="AF24" s="500">
        <f t="shared" si="19"/>
        <v>7.0627719048998471E-5</v>
      </c>
      <c r="AG24" s="510">
        <f t="shared" si="20"/>
        <v>2.4401237476694866</v>
      </c>
      <c r="AH24" s="598">
        <f t="shared" si="21"/>
        <v>0.12924077030949854</v>
      </c>
      <c r="AI24" s="502">
        <f t="shared" si="22"/>
        <v>0.66387625233051284</v>
      </c>
      <c r="AJ24" s="500">
        <f t="shared" si="23"/>
        <v>5.5102278551157777E-2</v>
      </c>
      <c r="AK24" s="512">
        <f t="shared" si="24"/>
        <v>9.4497654155007549E-2</v>
      </c>
      <c r="AL24" s="510">
        <f t="shared" si="25"/>
        <v>1.9853542490526736E-2</v>
      </c>
      <c r="AM24" s="552">
        <f>((((IF(G24="Grey",STDs!$AC$9,IF(G24="Orange",STDs!$AC$8,IF(G24="Green",STDs!$AC$10,IF(G24="Blue",STDs!$AC$11)))))*2)*(M24-AE24))^2*0.01)/((1+(((IF(G24="Grey",STDs!$AC$9,IF(G24="Orange",STDs!$AC$8,IF(G24="Green",STDs!$AC$10,IF(G24="Blue",STDs!$AC$11)))))*2)*(M24-AE24))*0.01))</f>
        <v>8.1071042796411021E-6</v>
      </c>
      <c r="AN24" s="557">
        <f>AI24-AM24-IF(G24="Grey",Blanks!$O$7,IF(G24="Orange",Blanks!$O$6,IF(G24="Green",Blanks!$O$8,Blanks!$O$9)))</f>
        <v>0.63701100236909025</v>
      </c>
      <c r="AO24" s="501">
        <f t="shared" si="26"/>
        <v>5.5102278551157777E-2</v>
      </c>
      <c r="AP24" s="501">
        <f>AN24/IF(G24="Grey",STDs!$AF$9,IF(G24="Orange",STDs!$AF$8,IF(G24="Green",STDs!$AF$10,STDs!$AF$11)))</f>
        <v>9.3017872745278751</v>
      </c>
      <c r="AQ24" s="501">
        <f>SQRT(((AO24/IF(G24="Grey",STDs!$AF$9,IF(G24="Orange",STDs!$AF$8,IF(G24="Green",STDs!$AF$10,STDs!$AF$11))))^2)+(((AN24*(IF(G24="Grey",STDs!$AG$9,IF(G24="Orange",STDs!$AG$8,IF(G24="Green",STDs!$AG$10,STDs!$AG$11)))))/(IF(G24="Grey",STDs!$AF$9,IF(G24="Orange",STDs!$AF$8,IF(G24="Green",STDs!$AF$10,STDs!$AF$11))))))^2)</f>
        <v>0.80654737729360138</v>
      </c>
      <c r="AR24" s="501">
        <f t="shared" si="27"/>
        <v>16.037564266427371</v>
      </c>
      <c r="AS24" s="500">
        <f t="shared" si="28"/>
        <v>1.4714783365229736</v>
      </c>
      <c r="AT24" s="653">
        <f>'Count 2'!AU24</f>
        <v>3.8598170229081421</v>
      </c>
      <c r="AU24" s="567">
        <f t="shared" si="29"/>
        <v>14.202868731310266</v>
      </c>
      <c r="AV24" s="568">
        <f t="shared" si="30"/>
        <v>1.3031413815346304</v>
      </c>
      <c r="AW24" s="560">
        <f t="shared" si="31"/>
        <v>9.1751983784927299E-2</v>
      </c>
      <c r="AX24" s="501">
        <f t="shared" si="32"/>
        <v>7.9055099952743166E-2</v>
      </c>
      <c r="AY24" s="506">
        <f t="shared" si="33"/>
        <v>14.202868731310266</v>
      </c>
      <c r="AZ24" s="507">
        <f t="shared" si="34"/>
        <v>1.3031413815346304</v>
      </c>
      <c r="BA24" s="508">
        <f t="shared" si="35"/>
        <v>9.1751983784927299E-2</v>
      </c>
      <c r="BB24" s="650">
        <f t="shared" si="36"/>
        <v>7.5806223251929802E-2</v>
      </c>
      <c r="BC24" s="501">
        <f t="shared" si="37"/>
        <v>1.6928844434428075E-2</v>
      </c>
      <c r="BD24" s="502">
        <f t="shared" si="38"/>
        <v>7.7568809720579474E-2</v>
      </c>
      <c r="BE24" s="501">
        <f t="shared" si="39"/>
        <v>1.9903202712237545E-2</v>
      </c>
      <c r="BF24" s="501">
        <f>BD24/(IF(G24="Grey",STDs!$AC$9,IF(G24="Orange",STDs!$AC$8,IF(G24="Green",STDs!$AC$10,STDs!$AC$11))))</f>
        <v>0.51480581355389798</v>
      </c>
      <c r="BG24" s="501">
        <f>SQRT(((BE24/IF(G24="Grey",STDs!$AC$9,IF(G24="Orange",STDs!$AC$8,IF(G24="Green",STDs!$AC$10,STDs!$AC$11))))^2)+(((BD24*(IF(G24="Grey",STDs!$AD$9,IF(G24="Orange",STDs!$AC$8,IF(G24="Green",STDs!$AC$10,STDs!$AC$11)))))/(IF(G24="Grey",STDs!$AC$9,IF(G24="Orange",STDs!$AC$8,IF(G24="Green",STDs!$AC$10,STDs!$AC$11)))^2))^2))</f>
        <v>0.5314824026866245</v>
      </c>
      <c r="BH24" s="501">
        <f t="shared" si="40"/>
        <v>0.8875962302653414</v>
      </c>
      <c r="BI24" s="501">
        <f t="shared" si="41"/>
        <v>0.91673577406740392</v>
      </c>
      <c r="BJ24" s="510">
        <v>0.05</v>
      </c>
      <c r="BK24" s="504">
        <f t="shared" si="1"/>
        <v>0.8798733743425603</v>
      </c>
      <c r="BL24" s="505">
        <f t="shared" si="42"/>
        <v>0.90875937887669278</v>
      </c>
      <c r="BM24" s="506">
        <f t="shared" si="43"/>
        <v>0.8798733743425603</v>
      </c>
      <c r="BN24" s="507">
        <f t="shared" si="44"/>
        <v>0.90875937887669278</v>
      </c>
      <c r="BO24" s="508">
        <f t="shared" si="45"/>
        <v>1.032829729113824</v>
      </c>
    </row>
    <row r="25" spans="1:67" s="513" customFormat="1" x14ac:dyDescent="0.35">
      <c r="A25" s="494">
        <f>Samples!A25</f>
        <v>18</v>
      </c>
      <c r="B25" s="494">
        <f>Samples!B25</f>
        <v>0</v>
      </c>
      <c r="C25" s="495">
        <f>Samples!C25</f>
        <v>44354</v>
      </c>
      <c r="D25" s="496">
        <f>Samples!D25</f>
        <v>5.319444444444444E-2</v>
      </c>
      <c r="E25" s="496" t="str">
        <f>Samples!E25</f>
        <v>SW</v>
      </c>
      <c r="F25" s="526">
        <f>Samples!G25</f>
        <v>193.8</v>
      </c>
      <c r="G25" s="529" t="str">
        <f>Samples!L25</f>
        <v>Orange</v>
      </c>
      <c r="H25" s="530">
        <f>Samples!H25</f>
        <v>44355</v>
      </c>
      <c r="I25" s="531">
        <f>Samples!J25</f>
        <v>0.33410879629629631</v>
      </c>
      <c r="J25" s="532">
        <f>Samples!K25</f>
        <v>254.03</v>
      </c>
      <c r="K25" s="533">
        <f>H25+I25+(Samples!K25/(60*24))</f>
        <v>44355.510518518524</v>
      </c>
      <c r="L25" s="533">
        <f>Samples!O25</f>
        <v>5.0069999999999997</v>
      </c>
      <c r="M25" s="534">
        <f>Samples!M25</f>
        <v>0.28699999999999998</v>
      </c>
      <c r="N25" s="534">
        <f>Samples!N25</f>
        <v>1.35</v>
      </c>
      <c r="O25" s="497">
        <f t="shared" si="2"/>
        <v>0.91544472605304716</v>
      </c>
      <c r="P25" s="497">
        <f t="shared" si="3"/>
        <v>0.75881706213357303</v>
      </c>
      <c r="Q25" s="537">
        <f t="shared" si="4"/>
        <v>0.14039327063822951</v>
      </c>
      <c r="R25" s="499">
        <f t="shared" si="5"/>
        <v>1271.92821</v>
      </c>
      <c r="S25" s="513">
        <f t="shared" si="6"/>
        <v>7.2899471553646067E-2</v>
      </c>
      <c r="T25" s="543">
        <f t="shared" si="7"/>
        <v>0.10799921711651266</v>
      </c>
      <c r="U25" s="543">
        <f t="shared" si="8"/>
        <v>5.6515721188232913E-2</v>
      </c>
      <c r="V25" s="514">
        <f t="shared" si="9"/>
        <v>342.94050000000004</v>
      </c>
      <c r="W25" s="498">
        <f t="shared" si="10"/>
        <v>3.3612316497620053E-2</v>
      </c>
      <c r="X25" s="540">
        <f t="shared" si="11"/>
        <v>0.23423217071512226</v>
      </c>
      <c r="Y25" s="541">
        <f t="shared" si="12"/>
        <v>5.2429246336405715E-2</v>
      </c>
      <c r="Z25" s="499">
        <f t="shared" si="13"/>
        <v>72.906610000000001</v>
      </c>
      <c r="AA25" s="500">
        <f t="shared" si="14"/>
        <v>0.11752975266480387</v>
      </c>
      <c r="AB25" s="500">
        <f t="shared" si="15"/>
        <v>1.1476990675311828E-2</v>
      </c>
      <c r="AC25" s="501">
        <f t="shared" si="16"/>
        <v>3.3699999999999997</v>
      </c>
      <c r="AD25" s="500">
        <f t="shared" si="17"/>
        <v>0.16172319318402104</v>
      </c>
      <c r="AE25" s="500">
        <f t="shared" si="18"/>
        <v>9.8410400352769547E-4</v>
      </c>
      <c r="AF25" s="500">
        <f t="shared" si="19"/>
        <v>1.7734344190815959E-4</v>
      </c>
      <c r="AG25" s="513">
        <f t="shared" si="20"/>
        <v>3.4875297526648037</v>
      </c>
      <c r="AH25" s="598">
        <f t="shared" si="21"/>
        <v>0.16212992483991776</v>
      </c>
      <c r="AI25" s="502">
        <f t="shared" si="22"/>
        <v>1.2324702473351963</v>
      </c>
      <c r="AJ25" s="500">
        <f t="shared" si="23"/>
        <v>7.3797386591681183E-2</v>
      </c>
      <c r="AK25" s="515">
        <f t="shared" si="24"/>
        <v>0.28601589599647226</v>
      </c>
      <c r="AL25" s="513">
        <f t="shared" si="25"/>
        <v>3.3612784339185131E-2</v>
      </c>
      <c r="AM25" s="552">
        <f>((((IF(G25="Grey",STDs!$AC$9,IF(G25="Orange",STDs!$AC$8,IF(G25="Green",STDs!$AC$10,IF(G25="Blue",STDs!$AC$11)))))*2)*(M25-AE25))^2*0.01)/((1+(((IF(G25="Grey",STDs!$AC$9,IF(G25="Orange",STDs!$AC$8,IF(G25="Green",STDs!$AC$10,IF(G25="Blue",STDs!$AC$11)))))*2)*(M25-AE25))*0.01))</f>
        <v>8.1377337405910018E-5</v>
      </c>
      <c r="AN25" s="557">
        <f>AI25-AM25-IF(G25="Grey",Blanks!$O$7,IF(G25="Orange",Blanks!$O$6,IF(G25="Green",Blanks!$O$8,Blanks!$O$9)))</f>
        <v>1.2234999811089013</v>
      </c>
      <c r="AO25" s="501">
        <f t="shared" si="26"/>
        <v>7.3797386591681183E-2</v>
      </c>
      <c r="AP25" s="501">
        <f>AN25/IF(G25="Grey",STDs!$AF$9,IF(G25="Orange",STDs!$AF$8,IF(G25="Green",STDs!$AF$10,STDs!$AF$11)))</f>
        <v>15.847452656677218</v>
      </c>
      <c r="AQ25" s="501">
        <f>SQRT(((AO25/IF(G25="Grey",STDs!$AF$9,IF(G25="Orange",STDs!$AF$8,IF(G25="Green",STDs!$AF$10,STDs!$AF$11))))^2)+(((AN25*(IF(G25="Grey",STDs!$AG$9,IF(G25="Orange",STDs!$AG$8,IF(G25="Green",STDs!$AG$10,STDs!$AG$11)))))/(IF(G25="Grey",STDs!$AF$9,IF(G25="Orange",STDs!$AF$8,IF(G25="Green",STDs!$AF$10,STDs!$AF$11))))))^2)</f>
        <v>0.96119416926167933</v>
      </c>
      <c r="AR25" s="501">
        <f t="shared" si="27"/>
        <v>8.1772201530842192</v>
      </c>
      <c r="AS25" s="500">
        <f t="shared" si="28"/>
        <v>0.55332511512950933</v>
      </c>
      <c r="AT25" s="653">
        <f>'Count 2'!AU25</f>
        <v>1.1961726522048501</v>
      </c>
      <c r="AU25" s="567">
        <f t="shared" si="29"/>
        <v>9.1999084486196097</v>
      </c>
      <c r="AV25" s="568">
        <f t="shared" si="30"/>
        <v>0.62252700871620559</v>
      </c>
      <c r="AW25" s="560">
        <f t="shared" si="31"/>
        <v>6.7666652575179911E-2</v>
      </c>
      <c r="AX25" s="501">
        <f t="shared" si="32"/>
        <v>5.6515721188232913E-2</v>
      </c>
      <c r="AY25" s="506">
        <f t="shared" si="33"/>
        <v>9.1999084486196097</v>
      </c>
      <c r="AZ25" s="507">
        <f t="shared" si="34"/>
        <v>0.62252700871620559</v>
      </c>
      <c r="BA25" s="508">
        <f t="shared" si="35"/>
        <v>6.7666652575179911E-2</v>
      </c>
      <c r="BB25" s="650">
        <f t="shared" si="36"/>
        <v>5.3999608558256335E-2</v>
      </c>
      <c r="BC25" s="501">
        <f t="shared" si="37"/>
        <v>3.1427991307047501E-2</v>
      </c>
      <c r="BD25" s="502">
        <f t="shared" si="38"/>
        <v>0.25458790468942477</v>
      </c>
      <c r="BE25" s="501">
        <f t="shared" si="39"/>
        <v>3.3665420951180476E-2</v>
      </c>
      <c r="BF25" s="501">
        <f>BD25/(IF(G25="Grey",STDs!$AC$9,IF(G25="Orange",STDs!$AC$8,IF(G25="Green",STDs!$AC$10,STDs!$AC$11))))</f>
        <v>1.6136535878460654</v>
      </c>
      <c r="BG25" s="501">
        <f>SQRT(((BE25/IF(G25="Grey",STDs!$AC$9,IF(G25="Orange",STDs!$AC$8,IF(G25="Green",STDs!$AC$10,STDs!$AC$11))))^2)+(((BD25*(IF(G25="Grey",STDs!$AD$9,IF(G25="Orange",STDs!$AC$8,IF(G25="Green",STDs!$AC$10,STDs!$AC$11)))))/(IF(G25="Grey",STDs!$AC$9,IF(G25="Orange",STDs!$AC$8,IF(G25="Green",STDs!$AC$10,STDs!$AC$11)))^2))^2))</f>
        <v>1.6277006880161775</v>
      </c>
      <c r="BH25" s="501">
        <f t="shared" si="40"/>
        <v>0.83263859021984798</v>
      </c>
      <c r="BI25" s="501">
        <f t="shared" si="41"/>
        <v>0.84025820762086489</v>
      </c>
      <c r="BJ25" s="513">
        <v>0.05</v>
      </c>
      <c r="BK25" s="504">
        <f t="shared" si="1"/>
        <v>0.85492719324978284</v>
      </c>
      <c r="BL25" s="505">
        <f t="shared" si="42"/>
        <v>0.86275077744922346</v>
      </c>
      <c r="BM25" s="506">
        <f t="shared" si="43"/>
        <v>0.85492719324978284</v>
      </c>
      <c r="BN25" s="507">
        <f t="shared" si="44"/>
        <v>0.86275077744922346</v>
      </c>
      <c r="BO25" s="508">
        <f t="shared" si="45"/>
        <v>1.0091511701361391</v>
      </c>
    </row>
    <row r="26" spans="1:67" s="513" customFormat="1" x14ac:dyDescent="0.35">
      <c r="A26" s="494">
        <f>Samples!A26</f>
        <v>18</v>
      </c>
      <c r="B26" s="494">
        <f>Samples!B26</f>
        <v>2</v>
      </c>
      <c r="C26" s="495">
        <f>Samples!C26</f>
        <v>44354</v>
      </c>
      <c r="D26" s="496">
        <f>Samples!D26</f>
        <v>8.1932870370370378E-2</v>
      </c>
      <c r="E26" s="496" t="str">
        <f>Samples!E26</f>
        <v>BW</v>
      </c>
      <c r="F26" s="526">
        <f>Samples!G26</f>
        <v>60.04</v>
      </c>
      <c r="G26" s="529" t="str">
        <f>Samples!L26</f>
        <v>Green</v>
      </c>
      <c r="H26" s="530">
        <f>Samples!H26</f>
        <v>44354</v>
      </c>
      <c r="I26" s="531">
        <f>Samples!J26</f>
        <v>0.57013888888888886</v>
      </c>
      <c r="J26" s="532">
        <f>Samples!K26</f>
        <v>240.9</v>
      </c>
      <c r="K26" s="533">
        <f>H26+I26+(Samples!K26/(60*24))</f>
        <v>44354.737430555557</v>
      </c>
      <c r="L26" s="533">
        <f>Samples!O26</f>
        <v>4.0060000000000002</v>
      </c>
      <c r="M26" s="534">
        <f>Samples!M26</f>
        <v>0.11600000000000001</v>
      </c>
      <c r="N26" s="534">
        <f>Samples!N26</f>
        <v>0.91300000000000003</v>
      </c>
      <c r="O26" s="497">
        <f t="shared" si="2"/>
        <v>0.96104186462059449</v>
      </c>
      <c r="P26" s="497">
        <f t="shared" si="3"/>
        <v>0.88325521772752735</v>
      </c>
      <c r="Q26" s="537">
        <f t="shared" si="4"/>
        <v>0.1289546694241549</v>
      </c>
      <c r="R26" s="499">
        <f t="shared" si="5"/>
        <v>965.04540000000009</v>
      </c>
      <c r="S26" s="513">
        <f t="shared" si="6"/>
        <v>6.1562605028536138E-2</v>
      </c>
      <c r="T26" s="543">
        <f t="shared" si="7"/>
        <v>0.13485784234071443</v>
      </c>
      <c r="U26" s="543">
        <f t="shared" si="8"/>
        <v>7.1078253533096922E-2</v>
      </c>
      <c r="V26" s="514">
        <f t="shared" si="9"/>
        <v>219.94170000000003</v>
      </c>
      <c r="W26" s="498">
        <f t="shared" si="10"/>
        <v>2.1943737257251236E-2</v>
      </c>
      <c r="X26" s="540">
        <f t="shared" si="11"/>
        <v>0.37834029753881443</v>
      </c>
      <c r="Y26" s="541">
        <f t="shared" si="12"/>
        <v>9.4831375979892704E-2</v>
      </c>
      <c r="Z26" s="499">
        <f t="shared" si="13"/>
        <v>27.944400000000002</v>
      </c>
      <c r="AA26" s="500">
        <f t="shared" si="14"/>
        <v>9.1344619317069123E-2</v>
      </c>
      <c r="AB26" s="500">
        <f t="shared" si="15"/>
        <v>9.0079859789544813E-3</v>
      </c>
      <c r="AC26" s="501">
        <f t="shared" si="16"/>
        <v>2.9769999999999999</v>
      </c>
      <c r="AD26" s="500">
        <f t="shared" si="17"/>
        <v>0.14457105072941778</v>
      </c>
      <c r="AE26" s="500">
        <f t="shared" si="18"/>
        <v>7.7461953028042931E-4</v>
      </c>
      <c r="AF26" s="500">
        <f t="shared" si="19"/>
        <v>1.2364385947250656E-4</v>
      </c>
      <c r="AG26" s="513">
        <f t="shared" si="20"/>
        <v>3.0683446193170694</v>
      </c>
      <c r="AH26" s="598">
        <f t="shared" si="21"/>
        <v>0.14485141532068277</v>
      </c>
      <c r="AI26" s="502">
        <f t="shared" si="22"/>
        <v>0.82165538068293087</v>
      </c>
      <c r="AJ26" s="500">
        <f t="shared" si="23"/>
        <v>6.2218149677538491E-2</v>
      </c>
      <c r="AK26" s="515">
        <f t="shared" si="24"/>
        <v>0.11522538046971957</v>
      </c>
      <c r="AL26" s="513">
        <f t="shared" si="25"/>
        <v>2.194408559542323E-2</v>
      </c>
      <c r="AM26" s="552">
        <f>((((IF(G26="Grey",STDs!$AC$9,IF(G26="Orange",STDs!$AC$8,IF(G26="Green",STDs!$AC$10,IF(G26="Blue",STDs!$AC$11)))))*2)*(M26-AE26))^2*0.01)/((1+(((IF(G26="Grey",STDs!$AC$9,IF(G26="Orange",STDs!$AC$8,IF(G26="Green",STDs!$AC$10,IF(G26="Blue",STDs!$AC$11)))))*2)*(M26-AE26))*0.01))</f>
        <v>1.5404948552146775E-5</v>
      </c>
      <c r="AN26" s="557">
        <f>AI26-AM26-IF(G26="Grey",Blanks!$O$7,IF(G26="Orange",Blanks!$O$6,IF(G26="Green",Blanks!$O$8,Blanks!$O$9)))</f>
        <v>0.79336724846165152</v>
      </c>
      <c r="AO26" s="501">
        <f t="shared" si="26"/>
        <v>6.2218149677538491E-2</v>
      </c>
      <c r="AP26" s="501">
        <f>AN26/IF(G26="Grey",STDs!$AF$9,IF(G26="Orange",STDs!$AF$8,IF(G26="Green",STDs!$AF$10,STDs!$AF$11)))</f>
        <v>10.032976067730905</v>
      </c>
      <c r="AQ26" s="501">
        <f>SQRT(((AO26/IF(G26="Grey",STDs!$AF$9,IF(G26="Orange",STDs!$AF$8,IF(G26="Green",STDs!$AF$10,STDs!$AF$11))))^2)+(((AN26*(IF(G26="Grey",STDs!$AG$9,IF(G26="Orange",STDs!$AG$8,IF(G26="Green",STDs!$AG$10,STDs!$AG$11)))))/(IF(G26="Grey",STDs!$AF$9,IF(G26="Orange",STDs!$AF$8,IF(G26="Green",STDs!$AF$10,STDs!$AF$11))))))^2)</f>
        <v>0.91051763645103212</v>
      </c>
      <c r="AR26" s="501">
        <f t="shared" si="27"/>
        <v>16.710486455248009</v>
      </c>
      <c r="AS26" s="500">
        <f t="shared" si="28"/>
        <v>1.5972302038978985</v>
      </c>
      <c r="AT26" s="653">
        <f>'Count 2'!AU26</f>
        <v>2.3296967144286223</v>
      </c>
      <c r="AU26" s="567">
        <f t="shared" si="29"/>
        <v>16.281579154232261</v>
      </c>
      <c r="AV26" s="568">
        <f t="shared" si="30"/>
        <v>1.5562341684031011</v>
      </c>
      <c r="AW26" s="560">
        <f t="shared" si="31"/>
        <v>9.5582507916535289E-2</v>
      </c>
      <c r="AX26" s="501">
        <f t="shared" si="32"/>
        <v>7.1078253533096922E-2</v>
      </c>
      <c r="AY26" s="506">
        <f t="shared" si="33"/>
        <v>16.281579154232261</v>
      </c>
      <c r="AZ26" s="507">
        <f t="shared" si="34"/>
        <v>1.5562341684031011</v>
      </c>
      <c r="BA26" s="508">
        <f t="shared" si="35"/>
        <v>9.5582507916535289E-2</v>
      </c>
      <c r="BB26" s="650">
        <f t="shared" si="36"/>
        <v>6.7428921170357217E-2</v>
      </c>
      <c r="BC26" s="501">
        <f t="shared" si="37"/>
        <v>2.0952212207414736E-2</v>
      </c>
      <c r="BD26" s="502">
        <f t="shared" si="38"/>
        <v>9.4273168262304835E-2</v>
      </c>
      <c r="BE26" s="501">
        <f t="shared" si="39"/>
        <v>2.2001365280155716E-2</v>
      </c>
      <c r="BF26" s="501">
        <f>BD26/(IF(G26="Grey",STDs!$AC$9,IF(G26="Orange",STDs!$AC$8,IF(G26="Green",STDs!$AC$10,STDs!$AC$11))))</f>
        <v>0.55341495979065314</v>
      </c>
      <c r="BG26" s="501">
        <f>SQRT(((BE26/IF(G26="Grey",STDs!$AC$9,IF(G26="Orange",STDs!$AC$8,IF(G26="Green",STDs!$AC$10,STDs!$AC$11))))^2)+(((BD26*(IF(G26="Grey",STDs!$AD$9,IF(G26="Orange",STDs!$AC$8,IF(G26="Green",STDs!$AC$10,STDs!$AC$11)))))/(IF(G26="Grey",STDs!$AC$9,IF(G26="Orange",STDs!$AC$8,IF(G26="Green",STDs!$AC$10,STDs!$AC$11)))^2))^2))</f>
        <v>0.56828621653660738</v>
      </c>
      <c r="BH26" s="501">
        <f t="shared" si="40"/>
        <v>0.92174377047077471</v>
      </c>
      <c r="BI26" s="501">
        <f t="shared" si="41"/>
        <v>0.94691652997771891</v>
      </c>
      <c r="BJ26" s="513">
        <v>0.05</v>
      </c>
      <c r="BK26" s="504">
        <f t="shared" si="1"/>
        <v>0.90708199357675912</v>
      </c>
      <c r="BL26" s="505">
        <f t="shared" si="42"/>
        <v>0.93185434095668784</v>
      </c>
      <c r="BM26" s="506">
        <f t="shared" si="43"/>
        <v>0.90708199357675912</v>
      </c>
      <c r="BN26" s="507">
        <f t="shared" si="44"/>
        <v>0.93185434095668784</v>
      </c>
      <c r="BO26" s="508">
        <f t="shared" si="45"/>
        <v>1.0273099317981693</v>
      </c>
    </row>
    <row r="27" spans="1:67" s="520" customFormat="1" x14ac:dyDescent="0.35">
      <c r="A27" s="494">
        <f>Samples!A27</f>
        <v>19</v>
      </c>
      <c r="B27" s="494">
        <f>Samples!B27</f>
        <v>0</v>
      </c>
      <c r="C27" s="495">
        <f>Samples!C27</f>
        <v>44354</v>
      </c>
      <c r="D27" s="496">
        <f>Samples!D27</f>
        <v>0.25</v>
      </c>
      <c r="E27" s="496" t="str">
        <f>Samples!E27</f>
        <v>SW</v>
      </c>
      <c r="F27" s="526">
        <f>Samples!G27</f>
        <v>200.2</v>
      </c>
      <c r="G27" s="529" t="str">
        <f>Samples!L27</f>
        <v>Grey</v>
      </c>
      <c r="H27" s="530">
        <f>Samples!H27</f>
        <v>44354</v>
      </c>
      <c r="I27" s="531">
        <f>Samples!J27</f>
        <v>0.74142361111111099</v>
      </c>
      <c r="J27" s="532">
        <f>Samples!K27</f>
        <v>151.63</v>
      </c>
      <c r="K27" s="533">
        <f>H27+I27+(Samples!K27/(60*24))</f>
        <v>44354.846722222224</v>
      </c>
      <c r="L27" s="533">
        <f>Samples!O27</f>
        <v>7.67</v>
      </c>
      <c r="M27" s="534">
        <f>Samples!M27</f>
        <v>0.33</v>
      </c>
      <c r="N27" s="534">
        <f>Samples!N27</f>
        <v>2.9540000000000002</v>
      </c>
      <c r="O27" s="497">
        <f t="shared" si="2"/>
        <v>0.96447222365428575</v>
      </c>
      <c r="P27" s="497">
        <f t="shared" si="3"/>
        <v>0.89314179553909878</v>
      </c>
      <c r="Q27" s="537">
        <f t="shared" si="4"/>
        <v>0.22490810920806886</v>
      </c>
      <c r="R27" s="499">
        <f t="shared" si="5"/>
        <v>1163.0020999999999</v>
      </c>
      <c r="S27" s="520">
        <f t="shared" si="6"/>
        <v>0.13957662025656353</v>
      </c>
      <c r="T27" s="545">
        <f t="shared" si="7"/>
        <v>9.4500081419474274E-2</v>
      </c>
      <c r="U27" s="545">
        <f t="shared" si="8"/>
        <v>4.894627619787114E-2</v>
      </c>
      <c r="V27" s="521">
        <f t="shared" si="9"/>
        <v>447.91502000000003</v>
      </c>
      <c r="W27" s="498">
        <f t="shared" si="10"/>
        <v>4.6651370038323085E-2</v>
      </c>
      <c r="X27" s="540">
        <f t="shared" si="11"/>
        <v>0.2827355759898369</v>
      </c>
      <c r="Y27" s="541">
        <f t="shared" si="12"/>
        <v>5.1171430157714685E-2</v>
      </c>
      <c r="Z27" s="499">
        <f t="shared" si="13"/>
        <v>50.0379</v>
      </c>
      <c r="AA27" s="500">
        <f t="shared" si="14"/>
        <v>0.20119434392452984</v>
      </c>
      <c r="AB27" s="500">
        <f t="shared" si="15"/>
        <v>2.5224315364792433E-2</v>
      </c>
      <c r="AC27" s="501">
        <f t="shared" si="16"/>
        <v>4.3859999999999992</v>
      </c>
      <c r="AD27" s="500">
        <f t="shared" si="17"/>
        <v>0.26877805125464788</v>
      </c>
      <c r="AE27" s="500">
        <f t="shared" si="18"/>
        <v>1.6293057537561182E-3</v>
      </c>
      <c r="AF27" s="500">
        <f t="shared" si="19"/>
        <v>5.0018121798568987E-4</v>
      </c>
      <c r="AG27" s="520">
        <f t="shared" si="20"/>
        <v>4.58719434392453</v>
      </c>
      <c r="AH27" s="598">
        <f t="shared" si="21"/>
        <v>0.26995908379209732</v>
      </c>
      <c r="AI27" s="502">
        <f t="shared" si="22"/>
        <v>2.7528056560754703</v>
      </c>
      <c r="AJ27" s="500">
        <f t="shared" si="23"/>
        <v>0.14183757967431426</v>
      </c>
      <c r="AK27" s="522">
        <f t="shared" si="24"/>
        <v>0.32837069424624388</v>
      </c>
      <c r="AL27" s="520">
        <f t="shared" si="25"/>
        <v>4.665405135358959E-2</v>
      </c>
      <c r="AM27" s="552">
        <f>((((IF(G27="Grey",STDs!$AC$9,IF(G27="Orange",STDs!$AC$8,IF(G27="Green",STDs!$AC$10,IF(G27="Blue",STDs!$AC$11)))))*2)*(M27-AE27))^2*0.01)/((1+(((IF(G27="Grey",STDs!$AC$9,IF(G27="Orange",STDs!$AC$8,IF(G27="Green",STDs!$AC$10,IF(G27="Blue",STDs!$AC$11)))))*2)*(M27-AE27))*0.01))</f>
        <v>9.4111456617691568E-5</v>
      </c>
      <c r="AN27" s="557">
        <f>AI27-AM27-IF(G27="Grey",Blanks!$O$7,IF(G27="Orange",Blanks!$O$6,IF(G27="Green",Blanks!$O$8,Blanks!$O$9)))</f>
        <v>2.7220056622659117</v>
      </c>
      <c r="AO27" s="501">
        <f t="shared" si="26"/>
        <v>0.14183757967431426</v>
      </c>
      <c r="AP27" s="501">
        <f>AN27/IF(G27="Grey",STDs!$AF$9,IF(G27="Orange",STDs!$AF$8,IF(G27="Green",STDs!$AF$10,STDs!$AF$11)))</f>
        <v>36.114582537308912</v>
      </c>
      <c r="AQ27" s="501">
        <f>SQRT(((AO27/IF(G27="Grey",STDs!$AF$9,IF(G27="Orange",STDs!$AF$8,IF(G27="Green",STDs!$AF$10,STDs!$AF$11))))^2)+(((AN27*(IF(G27="Grey",STDs!$AG$9,IF(G27="Orange",STDs!$AG$8,IF(G27="Green",STDs!$AG$10,STDs!$AG$11)))))/(IF(G27="Grey",STDs!$AF$9,IF(G27="Orange",STDs!$AF$8,IF(G27="Green",STDs!$AF$10,STDs!$AF$11))))))^2)</f>
        <v>1.9602470483575172</v>
      </c>
      <c r="AR27" s="501">
        <f t="shared" si="27"/>
        <v>18.039252016637818</v>
      </c>
      <c r="AS27" s="500">
        <f t="shared" si="28"/>
        <v>1.118747902111858</v>
      </c>
      <c r="AT27" s="653">
        <f>'Count 2'!AU27</f>
        <v>1.9673539368192567</v>
      </c>
      <c r="AU27" s="567">
        <f t="shared" si="29"/>
        <v>17.994788912680534</v>
      </c>
      <c r="AV27" s="568">
        <f t="shared" si="30"/>
        <v>1.1159904150371327</v>
      </c>
      <c r="AW27" s="560">
        <f t="shared" si="31"/>
        <v>6.2017421846539064E-2</v>
      </c>
      <c r="AX27" s="501">
        <f t="shared" si="32"/>
        <v>4.894627619787114E-2</v>
      </c>
      <c r="AY27" s="506">
        <f t="shared" si="33"/>
        <v>17.994788912680534</v>
      </c>
      <c r="AZ27" s="507">
        <f t="shared" si="34"/>
        <v>1.1159904150371327</v>
      </c>
      <c r="BA27" s="508">
        <f t="shared" si="35"/>
        <v>6.2017421846539064E-2</v>
      </c>
      <c r="BB27" s="650">
        <f t="shared" si="36"/>
        <v>4.7250040709737144E-2</v>
      </c>
      <c r="BC27" s="501">
        <f t="shared" si="37"/>
        <v>7.0196544229924496E-2</v>
      </c>
      <c r="BD27" s="502">
        <f t="shared" si="38"/>
        <v>0.25817415001631938</v>
      </c>
      <c r="BE27" s="501">
        <f t="shared" si="39"/>
        <v>4.6794039914643405E-2</v>
      </c>
      <c r="BF27" s="501">
        <f>BD27/(IF(G27="Grey",STDs!$AC$9,IF(G27="Orange",STDs!$AC$8,IF(G27="Green",STDs!$AC$10,STDs!$AC$11))))</f>
        <v>1.7469289348051682</v>
      </c>
      <c r="BG27" s="501">
        <f>SQRT(((BE27/IF(G27="Grey",STDs!$AC$9,IF(G27="Orange",STDs!$AC$8,IF(G27="Green",STDs!$AC$10,STDs!$AC$11))))^2)+(((BD27*(IF(G27="Grey",STDs!$AD$9,IF(G27="Orange",STDs!$AC$8,IF(G27="Green",STDs!$AC$10,STDs!$AC$11)))))/(IF(G27="Grey",STDs!$AC$9,IF(G27="Orange",STDs!$AC$8,IF(G27="Green",STDs!$AC$10,STDs!$AC$11)))^2))^2))</f>
        <v>0.32778673782148632</v>
      </c>
      <c r="BH27" s="501">
        <f t="shared" si="40"/>
        <v>0.87259187552705719</v>
      </c>
      <c r="BI27" s="501">
        <f t="shared" si="41"/>
        <v>0.165809136355867</v>
      </c>
      <c r="BJ27" s="520">
        <v>0.05</v>
      </c>
      <c r="BK27" s="504">
        <f t="shared" si="1"/>
        <v>0.85289327712346286</v>
      </c>
      <c r="BL27" s="505">
        <f t="shared" si="42"/>
        <v>0.16206602611117418</v>
      </c>
      <c r="BM27" s="506">
        <f t="shared" si="43"/>
        <v>0.85289327712346286</v>
      </c>
      <c r="BN27" s="507">
        <f t="shared" si="44"/>
        <v>0.16206602611117418</v>
      </c>
      <c r="BO27" s="508">
        <f t="shared" si="45"/>
        <v>0.19001911547218572</v>
      </c>
    </row>
    <row r="28" spans="1:67" s="510" customFormat="1" x14ac:dyDescent="0.35">
      <c r="A28" s="494">
        <f>Samples!A28</f>
        <v>20</v>
      </c>
      <c r="B28" s="494">
        <f>Samples!B28</f>
        <v>0</v>
      </c>
      <c r="C28" s="495">
        <f>Samples!C28</f>
        <v>44354</v>
      </c>
      <c r="D28" s="496">
        <f>Samples!D28</f>
        <v>0.45833333333333331</v>
      </c>
      <c r="E28" s="496" t="str">
        <f>Samples!E28</f>
        <v>SW</v>
      </c>
      <c r="F28" s="526">
        <f>Samples!G28</f>
        <v>200.1</v>
      </c>
      <c r="G28" s="529" t="str">
        <f>Samples!L28</f>
        <v>Green</v>
      </c>
      <c r="H28" s="530">
        <f>Samples!H28</f>
        <v>44355</v>
      </c>
      <c r="I28" s="531">
        <f>Samples!J28</f>
        <v>0.62348379629629624</v>
      </c>
      <c r="J28" s="532">
        <f>Samples!K28</f>
        <v>116.27</v>
      </c>
      <c r="K28" s="533">
        <f>H28+I28+(Samples!K28/(60*24))</f>
        <v>44355.704226851856</v>
      </c>
      <c r="L28" s="533">
        <f>Samples!O28</f>
        <v>10.416</v>
      </c>
      <c r="M28" s="534">
        <f>Samples!M28</f>
        <v>0.39600000000000002</v>
      </c>
      <c r="N28" s="534">
        <f>Samples!N28</f>
        <v>3.7069999999999999</v>
      </c>
      <c r="O28" s="497">
        <f t="shared" si="2"/>
        <v>0.92725373238489661</v>
      </c>
      <c r="P28" s="497">
        <f t="shared" si="3"/>
        <v>0.78981788089293825</v>
      </c>
      <c r="Q28" s="537">
        <f t="shared" si="4"/>
        <v>0.29930684522381484</v>
      </c>
      <c r="R28" s="499">
        <f t="shared" si="5"/>
        <v>1211.0683200000001</v>
      </c>
      <c r="S28" s="510">
        <f t="shared" si="6"/>
        <v>0.17855723690059236</v>
      </c>
      <c r="T28" s="542">
        <f t="shared" si="7"/>
        <v>9.6335169625353323E-2</v>
      </c>
      <c r="U28" s="542">
        <f t="shared" si="8"/>
        <v>5.1194464273484168E-2</v>
      </c>
      <c r="V28" s="511">
        <f t="shared" si="9"/>
        <v>431.01288999999997</v>
      </c>
      <c r="W28" s="498">
        <f t="shared" si="10"/>
        <v>5.835979487216595E-2</v>
      </c>
      <c r="X28" s="540">
        <f t="shared" si="11"/>
        <v>0.29474643874831286</v>
      </c>
      <c r="Y28" s="541">
        <f t="shared" si="12"/>
        <v>4.5850496251699548E-2</v>
      </c>
      <c r="Z28" s="499">
        <f t="shared" si="13"/>
        <v>46.042920000000002</v>
      </c>
      <c r="AA28" s="500">
        <f t="shared" si="14"/>
        <v>0.42539486801797483</v>
      </c>
      <c r="AB28" s="500">
        <f t="shared" si="15"/>
        <v>4.9227991095648169E-2</v>
      </c>
      <c r="AC28" s="501">
        <f t="shared" si="16"/>
        <v>6.3130000000000006</v>
      </c>
      <c r="AD28" s="500">
        <f t="shared" si="17"/>
        <v>0.35337393806692674</v>
      </c>
      <c r="AE28" s="500">
        <f t="shared" si="18"/>
        <v>3.2255082779585431E-3</v>
      </c>
      <c r="AF28" s="500">
        <f t="shared" si="19"/>
        <v>1.3695318199567145E-3</v>
      </c>
      <c r="AG28" s="510">
        <f t="shared" si="20"/>
        <v>6.7383948680179753</v>
      </c>
      <c r="AH28" s="598">
        <f t="shared" si="21"/>
        <v>0.35678639998217621</v>
      </c>
      <c r="AI28" s="502">
        <f t="shared" si="22"/>
        <v>3.2816051319820252</v>
      </c>
      <c r="AJ28" s="500">
        <f t="shared" si="23"/>
        <v>0.18521901078692618</v>
      </c>
      <c r="AK28" s="512">
        <f t="shared" si="24"/>
        <v>0.39277449172204149</v>
      </c>
      <c r="AL28" s="510">
        <f t="shared" si="25"/>
        <v>5.8375862091511431E-2</v>
      </c>
      <c r="AM28" s="552">
        <f>((((IF(G28="Grey",STDs!$AC$9,IF(G28="Orange",STDs!$AC$8,IF(G28="Green",STDs!$AC$10,IF(G28="Blue",STDs!$AC$11)))))*2)*(M28-AE28))^2*0.01)/((1+(((IF(G28="Grey",STDs!$AC$9,IF(G28="Orange",STDs!$AC$8,IF(G28="Green",STDs!$AC$10,IF(G28="Blue",STDs!$AC$11)))))*2)*(M28-AE28))*0.01))</f>
        <v>1.7882992225625553E-4</v>
      </c>
      <c r="AN28" s="557">
        <f>AI28-AM28-IF(G28="Grey",Blanks!$O$7,IF(G28="Orange",Blanks!$O$6,IF(G28="Green",Blanks!$O$8,Blanks!$O$9)))</f>
        <v>3.2531535747870417</v>
      </c>
      <c r="AO28" s="501">
        <f t="shared" si="26"/>
        <v>0.18521901078692618</v>
      </c>
      <c r="AP28" s="501">
        <f>AN28/IF(G28="Grey",STDs!$AF$9,IF(G28="Orange",STDs!$AF$8,IF(G28="Green",STDs!$AF$10,STDs!$AF$11)))</f>
        <v>41.139600889472902</v>
      </c>
      <c r="AQ28" s="501">
        <f>SQRT(((AO28/IF(G28="Grey",STDs!$AF$9,IF(G28="Orange",STDs!$AF$8,IF(G28="Green",STDs!$AF$10,STDs!$AF$11))))^2)+(((AN28*(IF(G28="Grey",STDs!$AG$9,IF(G28="Orange",STDs!$AG$8,IF(G28="Green",STDs!$AG$10,STDs!$AG$11)))))/(IF(G28="Grey",STDs!$AF$9,IF(G28="Orange",STDs!$AF$8,IF(G28="Green",STDs!$AF$10,STDs!$AF$11))))))^2)</f>
        <v>3.0027641775877543</v>
      </c>
      <c r="AR28" s="501">
        <f t="shared" si="27"/>
        <v>20.559520684394254</v>
      </c>
      <c r="AS28" s="500">
        <f t="shared" si="28"/>
        <v>1.6224426706525283</v>
      </c>
      <c r="AT28" s="653">
        <f>'Count 2'!AU28</f>
        <v>1.2561628197618107</v>
      </c>
      <c r="AU28" s="567">
        <f t="shared" si="29"/>
        <v>24.440264435149018</v>
      </c>
      <c r="AV28" s="568">
        <f t="shared" si="30"/>
        <v>1.9286893167560963</v>
      </c>
      <c r="AW28" s="560">
        <f t="shared" si="31"/>
        <v>7.8914420990565545E-2</v>
      </c>
      <c r="AX28" s="501">
        <f t="shared" si="32"/>
        <v>5.1194464273484168E-2</v>
      </c>
      <c r="AY28" s="506">
        <f t="shared" si="33"/>
        <v>24.440264435149018</v>
      </c>
      <c r="AZ28" s="507">
        <f t="shared" si="34"/>
        <v>1.9286893167560963</v>
      </c>
      <c r="BA28" s="508">
        <f t="shared" si="35"/>
        <v>7.8914420990565545E-2</v>
      </c>
      <c r="BB28" s="650">
        <f t="shared" si="36"/>
        <v>4.8167584812676661E-2</v>
      </c>
      <c r="BC28" s="501">
        <f t="shared" si="37"/>
        <v>8.3680930865541639E-2</v>
      </c>
      <c r="BD28" s="502">
        <f t="shared" si="38"/>
        <v>0.30909356085649986</v>
      </c>
      <c r="BE28" s="501">
        <f t="shared" si="39"/>
        <v>5.8566618518740073E-2</v>
      </c>
      <c r="BF28" s="501">
        <f>BD28/(IF(G28="Grey",STDs!$AC$9,IF(G28="Orange",STDs!$AC$8,IF(G28="Green",STDs!$AC$10,STDs!$AC$11))))</f>
        <v>1.8144823570265736</v>
      </c>
      <c r="BG28" s="501">
        <f>SQRT(((BE28/IF(G28="Grey",STDs!$AC$9,IF(G28="Orange",STDs!$AC$8,IF(G28="Green",STDs!$AC$10,STDs!$AC$11))))^2)+(((BD28*(IF(G28="Grey",STDs!$AD$9,IF(G28="Orange",STDs!$AC$8,IF(G28="Green",STDs!$AC$10,STDs!$AC$11)))))/(IF(G28="Grey",STDs!$AC$9,IF(G28="Orange",STDs!$AC$8,IF(G28="Green",STDs!$AC$10,STDs!$AC$11)))^2))^2))</f>
        <v>1.8467670432489856</v>
      </c>
      <c r="BH28" s="501">
        <f t="shared" si="40"/>
        <v>0.90678778462097642</v>
      </c>
      <c r="BI28" s="501">
        <f t="shared" si="41"/>
        <v>0.92332289455484651</v>
      </c>
      <c r="BJ28" s="510">
        <v>0.05</v>
      </c>
      <c r="BK28" s="504">
        <f t="shared" si="1"/>
        <v>0.92400575451696287</v>
      </c>
      <c r="BL28" s="505">
        <f t="shared" si="42"/>
        <v>0.94085483099283618</v>
      </c>
      <c r="BM28" s="506">
        <f t="shared" si="43"/>
        <v>0.92400575451696287</v>
      </c>
      <c r="BN28" s="507">
        <f t="shared" si="44"/>
        <v>0.94085483099283618</v>
      </c>
      <c r="BO28" s="508">
        <f t="shared" si="45"/>
        <v>1.0182348176875602</v>
      </c>
    </row>
    <row r="29" spans="1:67" s="500" customFormat="1" x14ac:dyDescent="0.35">
      <c r="A29" s="494">
        <f>Samples!A29</f>
        <v>21</v>
      </c>
      <c r="B29" s="494">
        <f>Samples!B29</f>
        <v>0</v>
      </c>
      <c r="C29" s="495">
        <f>Samples!C29</f>
        <v>44354</v>
      </c>
      <c r="D29" s="496">
        <f>Samples!D29</f>
        <v>0.65277777777777779</v>
      </c>
      <c r="E29" s="496" t="str">
        <f>Samples!E29</f>
        <v>SW</v>
      </c>
      <c r="F29" s="526">
        <f>Samples!G29</f>
        <v>201.1</v>
      </c>
      <c r="G29" s="529" t="str">
        <f>Samples!L29</f>
        <v>Grey</v>
      </c>
      <c r="H29" s="530">
        <f>Samples!H29</f>
        <v>44355</v>
      </c>
      <c r="I29" s="531">
        <f>Samples!J29</f>
        <v>0.31285879629629632</v>
      </c>
      <c r="J29" s="532">
        <f>Samples!K29</f>
        <v>135.69999999999999</v>
      </c>
      <c r="K29" s="533">
        <f>H29+I29+(Samples!K29/(60*24))</f>
        <v>44355.407094907401</v>
      </c>
      <c r="L29" s="533">
        <f>Samples!O29</f>
        <v>10.951000000000001</v>
      </c>
      <c r="M29" s="534">
        <f>Samples!M29</f>
        <v>0.45700000000000002</v>
      </c>
      <c r="N29" s="534">
        <f>Samples!N29</f>
        <v>4.4290000000000003</v>
      </c>
      <c r="O29" s="497">
        <f t="shared" si="2"/>
        <v>0.95530186588317656</v>
      </c>
      <c r="P29" s="497">
        <f t="shared" si="3"/>
        <v>0.86687893034322894</v>
      </c>
      <c r="Q29" s="537">
        <f t="shared" si="4"/>
        <v>0.28407758393081206</v>
      </c>
      <c r="R29" s="499">
        <f t="shared" si="5"/>
        <v>1486.0507</v>
      </c>
      <c r="S29" s="500">
        <f t="shared" si="6"/>
        <v>0.18066037871986246</v>
      </c>
      <c r="T29" s="540">
        <f t="shared" si="7"/>
        <v>8.1580663228657674E-2</v>
      </c>
      <c r="U29" s="540">
        <f t="shared" si="8"/>
        <v>4.27227081125377E-2</v>
      </c>
      <c r="V29" s="499">
        <f t="shared" si="9"/>
        <v>601.01530000000002</v>
      </c>
      <c r="W29" s="498">
        <f t="shared" si="10"/>
        <v>5.8032085247748215E-2</v>
      </c>
      <c r="X29" s="540">
        <f t="shared" si="11"/>
        <v>0.25396973850218041</v>
      </c>
      <c r="Y29" s="541">
        <f t="shared" si="12"/>
        <v>3.8499304125139772E-2</v>
      </c>
      <c r="Z29" s="499">
        <f t="shared" si="13"/>
        <v>62.014899999999997</v>
      </c>
      <c r="AA29" s="500">
        <f t="shared" si="14"/>
        <v>0.3915923244796935</v>
      </c>
      <c r="AB29" s="500">
        <f t="shared" si="15"/>
        <v>4.5538493038617844E-2</v>
      </c>
      <c r="AC29" s="501">
        <f t="shared" si="16"/>
        <v>6.0650000000000004</v>
      </c>
      <c r="AD29" s="500">
        <f t="shared" si="17"/>
        <v>0.34162255348465159</v>
      </c>
      <c r="AE29" s="500">
        <f t="shared" si="18"/>
        <v>2.9950228373532067E-3</v>
      </c>
      <c r="AF29" s="500">
        <f t="shared" si="19"/>
        <v>1.2210262781776992E-3</v>
      </c>
      <c r="AG29" s="500">
        <f t="shared" si="20"/>
        <v>6.4565923244796943</v>
      </c>
      <c r="AH29" s="598">
        <f t="shared" si="21"/>
        <v>0.34464434334194705</v>
      </c>
      <c r="AI29" s="502">
        <f t="shared" si="22"/>
        <v>4.0374076755203063</v>
      </c>
      <c r="AJ29" s="500">
        <f t="shared" si="23"/>
        <v>0.18631137052641844</v>
      </c>
      <c r="AK29" s="509">
        <f t="shared" si="24"/>
        <v>0.45400497716264682</v>
      </c>
      <c r="AL29" s="500">
        <f t="shared" si="25"/>
        <v>5.8044929351097646E-2</v>
      </c>
      <c r="AM29" s="552">
        <f>((((IF(G29="Grey",STDs!$AC$9,IF(G29="Orange",STDs!$AC$8,IF(G29="Green",STDs!$AC$10,IF(G29="Blue",STDs!$AC$11)))))*2)*(M29-AE29))^2*0.01)/((1+(((IF(G29="Grey",STDs!$AC$9,IF(G29="Orange",STDs!$AC$8,IF(G29="Green",STDs!$AC$10,IF(G29="Blue",STDs!$AC$11)))))*2)*(M29-AE29))*0.01))</f>
        <v>1.7983484908256885E-4</v>
      </c>
      <c r="AN29" s="557">
        <f>AI29-AM29-IF(G29="Grey",Blanks!$O$7,IF(G29="Orange",Blanks!$O$6,IF(G29="Green",Blanks!$O$8,Blanks!$O$9)))</f>
        <v>4.0065219583182827</v>
      </c>
      <c r="AO29" s="501">
        <f t="shared" si="26"/>
        <v>0.18631137052641844</v>
      </c>
      <c r="AP29" s="501">
        <f>AN29/IF(G29="Grey",STDs!$AF$9,IF(G29="Orange",STDs!$AF$8,IF(G29="Green",STDs!$AF$10,STDs!$AF$11)))</f>
        <v>53.15707823722046</v>
      </c>
      <c r="AQ29" s="501">
        <f>SQRT(((AO29/IF(G29="Grey",STDs!$AF$9,IF(G29="Orange",STDs!$AF$8,IF(G29="Green",STDs!$AF$10,STDs!$AF$11))))^2)+(((AN29*(IF(G29="Grey",STDs!$AG$9,IF(G29="Orange",STDs!$AG$8,IF(G29="Green",STDs!$AG$10,STDs!$AG$11)))))/(IF(G29="Grey",STDs!$AF$9,IF(G29="Orange",STDs!$AF$8,IF(G29="Green",STDs!$AF$10,STDs!$AF$11))))))^2)</f>
        <v>2.6005610912402033</v>
      </c>
      <c r="AR29" s="501">
        <f t="shared" si="27"/>
        <v>26.433156756449755</v>
      </c>
      <c r="AS29" s="500">
        <f t="shared" si="28"/>
        <v>1.5169457431147095</v>
      </c>
      <c r="AT29" s="653">
        <f>'Count 2'!AU29</f>
        <v>2.9069887325446366</v>
      </c>
      <c r="AU29" s="567">
        <f t="shared" si="29"/>
        <v>27.138931632114129</v>
      </c>
      <c r="AV29" s="568">
        <f t="shared" si="30"/>
        <v>1.5574487448220313</v>
      </c>
      <c r="AW29" s="560">
        <f t="shared" si="31"/>
        <v>5.7387990284004618E-2</v>
      </c>
      <c r="AX29" s="501">
        <f t="shared" si="32"/>
        <v>4.27227081125377E-2</v>
      </c>
      <c r="AY29" s="506">
        <f t="shared" si="33"/>
        <v>27.138931632114129</v>
      </c>
      <c r="AZ29" s="507">
        <f t="shared" si="34"/>
        <v>1.5574487448220313</v>
      </c>
      <c r="BA29" s="508">
        <f t="shared" si="35"/>
        <v>5.7387990284004618E-2</v>
      </c>
      <c r="BB29" s="650">
        <f t="shared" si="36"/>
        <v>4.0790331614328844E-2</v>
      </c>
      <c r="BC29" s="501">
        <f t="shared" si="37"/>
        <v>0.10295389572576781</v>
      </c>
      <c r="BD29" s="502">
        <f t="shared" si="38"/>
        <v>0.35105108143687902</v>
      </c>
      <c r="BE29" s="501">
        <f t="shared" si="39"/>
        <v>5.8239035481088157E-2</v>
      </c>
      <c r="BF29" s="501">
        <f>BD29/(IF(G29="Grey",STDs!$AC$9,IF(G29="Orange",STDs!$AC$8,IF(G29="Green",STDs!$AC$10,STDs!$AC$11))))</f>
        <v>2.3753783704447744</v>
      </c>
      <c r="BG29" s="501">
        <f>SQRT(((BE29/IF(G29="Grey",STDs!$AC$9,IF(G29="Orange",STDs!$AC$8,IF(G29="Green",STDs!$AC$10,STDs!$AC$11))))^2)+(((BD29*(IF(G29="Grey",STDs!$AD$9,IF(G29="Orange",STDs!$AC$8,IF(G29="Green",STDs!$AC$10,STDs!$AC$11)))))/(IF(G29="Grey",STDs!$AC$9,IF(G29="Orange",STDs!$AC$8,IF(G29="Green",STDs!$AC$10,STDs!$AC$11)))^2))^2))</f>
        <v>0.41059173495262774</v>
      </c>
      <c r="BH29" s="501">
        <f t="shared" si="40"/>
        <v>1.181192625780594</v>
      </c>
      <c r="BI29" s="501">
        <f t="shared" si="41"/>
        <v>0.20722517758039513</v>
      </c>
      <c r="BJ29" s="500">
        <v>0.05</v>
      </c>
      <c r="BK29" s="504">
        <f t="shared" si="1"/>
        <v>1.1841206075053632</v>
      </c>
      <c r="BL29" s="505">
        <f t="shared" si="42"/>
        <v>0.20773885462139977</v>
      </c>
      <c r="BM29" s="506">
        <f t="shared" si="43"/>
        <v>1.1841206075053632</v>
      </c>
      <c r="BN29" s="507">
        <f t="shared" si="44"/>
        <v>0.20773885462139977</v>
      </c>
      <c r="BO29" s="508">
        <f t="shared" si="45"/>
        <v>0.17543724288276002</v>
      </c>
    </row>
    <row r="30" spans="1:67" s="510" customFormat="1" x14ac:dyDescent="0.35">
      <c r="A30" s="494">
        <f>Samples!A30</f>
        <v>22</v>
      </c>
      <c r="B30" s="494">
        <f>Samples!B30</f>
        <v>0</v>
      </c>
      <c r="C30" s="495">
        <f>Samples!C30</f>
        <v>44355</v>
      </c>
      <c r="D30" s="496">
        <f>Samples!D30</f>
        <v>5.9722222222222225E-2</v>
      </c>
      <c r="E30" s="496" t="str">
        <f>Samples!E30</f>
        <v>SW</v>
      </c>
      <c r="F30" s="526">
        <f>Samples!G30</f>
        <v>200.2</v>
      </c>
      <c r="G30" s="529" t="str">
        <f>Samples!L30</f>
        <v>Green</v>
      </c>
      <c r="H30" s="530">
        <f>Samples!H30</f>
        <v>44355</v>
      </c>
      <c r="I30" s="531">
        <f>Samples!J30</f>
        <v>0.47615740740740736</v>
      </c>
      <c r="J30" s="532">
        <f>Samples!K30</f>
        <v>117.3</v>
      </c>
      <c r="K30" s="533">
        <f>H30+I30+(Samples!K30/(60*24))</f>
        <v>44355.557615740741</v>
      </c>
      <c r="L30" s="533">
        <f>Samples!O30</f>
        <v>9.8290000000000006</v>
      </c>
      <c r="M30" s="534">
        <f>Samples!M30</f>
        <v>0.443</v>
      </c>
      <c r="N30" s="534">
        <f>Samples!N30</f>
        <v>3.504</v>
      </c>
      <c r="O30" s="497">
        <f t="shared" si="2"/>
        <v>0.97026786775646445</v>
      </c>
      <c r="P30" s="497">
        <f t="shared" si="3"/>
        <v>0.91001581282552546</v>
      </c>
      <c r="Q30" s="537">
        <f t="shared" si="4"/>
        <v>0.28947139995101301</v>
      </c>
      <c r="R30" s="499">
        <f t="shared" si="5"/>
        <v>1152.9417000000001</v>
      </c>
      <c r="S30" s="510">
        <f t="shared" si="6"/>
        <v>0.17283553674562516</v>
      </c>
      <c r="T30" s="542">
        <f t="shared" si="7"/>
        <v>9.8650420516909323E-2</v>
      </c>
      <c r="U30" s="542">
        <f t="shared" si="8"/>
        <v>5.2135720487380334E-2</v>
      </c>
      <c r="V30" s="511">
        <f t="shared" si="9"/>
        <v>411.01920000000001</v>
      </c>
      <c r="W30" s="498">
        <f t="shared" si="10"/>
        <v>6.1454382197033731E-2</v>
      </c>
      <c r="X30" s="540">
        <f t="shared" si="11"/>
        <v>0.27744642075410264</v>
      </c>
      <c r="Y30" s="541">
        <f t="shared" si="12"/>
        <v>4.4390070544908539E-2</v>
      </c>
      <c r="Z30" s="499">
        <f t="shared" si="13"/>
        <v>51.963900000000002</v>
      </c>
      <c r="AA30" s="500">
        <f t="shared" si="14"/>
        <v>0.36760156399413524</v>
      </c>
      <c r="AB30" s="500">
        <f t="shared" si="15"/>
        <v>4.417311333356834E-2</v>
      </c>
      <c r="AC30" s="501">
        <f t="shared" si="16"/>
        <v>5.8820000000000014</v>
      </c>
      <c r="AD30" s="500">
        <f t="shared" si="17"/>
        <v>0.34269878208561927</v>
      </c>
      <c r="AE30" s="500">
        <f t="shared" si="18"/>
        <v>2.8294499327536321E-3</v>
      </c>
      <c r="AF30" s="500">
        <f t="shared" si="19"/>
        <v>1.1514180095554825E-3</v>
      </c>
      <c r="AG30" s="510">
        <f t="shared" si="20"/>
        <v>6.249601563994136</v>
      </c>
      <c r="AH30" s="598">
        <f t="shared" si="21"/>
        <v>0.34553396241838086</v>
      </c>
      <c r="AI30" s="502">
        <f t="shared" si="22"/>
        <v>3.136398436005865</v>
      </c>
      <c r="AJ30" s="500">
        <f t="shared" si="23"/>
        <v>0.17839110601072189</v>
      </c>
      <c r="AK30" s="512">
        <f t="shared" si="24"/>
        <v>0.44017055006724637</v>
      </c>
      <c r="AL30" s="510">
        <f t="shared" si="25"/>
        <v>6.1465167816022639E-2</v>
      </c>
      <c r="AM30" s="552">
        <f>((((IF(G30="Grey",STDs!$AC$9,IF(G30="Orange",STDs!$AC$8,IF(G30="Green",STDs!$AC$10,IF(G30="Blue",STDs!$AC$11)))))*2)*(M30-AE30))^2*0.01)/((1+(((IF(G30="Grey",STDs!$AC$9,IF(G30="Orange",STDs!$AC$8,IF(G30="Green",STDs!$AC$10,IF(G30="Blue",STDs!$AC$11)))))*2)*(M30-AE30))*0.01))</f>
        <v>2.2455647017757417E-4</v>
      </c>
      <c r="AN30" s="557">
        <f>AI30-AM30-IF(G30="Grey",Blanks!$O$7,IF(G30="Orange",Blanks!$O$6,IF(G30="Green",Blanks!$O$8,Blanks!$O$9)))</f>
        <v>3.10790115226296</v>
      </c>
      <c r="AO30" s="501">
        <f t="shared" si="26"/>
        <v>0.17839110601072189</v>
      </c>
      <c r="AP30" s="501">
        <f>AN30/IF(G30="Grey",STDs!$AF$9,IF(G30="Orange",STDs!$AF$8,IF(G30="Green",STDs!$AF$10,STDs!$AF$11)))</f>
        <v>39.302728896345137</v>
      </c>
      <c r="AQ30" s="501">
        <f>SQRT(((AO30/IF(G30="Grey",STDs!$AF$9,IF(G30="Orange",STDs!$AF$8,IF(G30="Green",STDs!$AF$10,STDs!$AF$11))))^2)+(((AN30*(IF(G30="Grey",STDs!$AG$9,IF(G30="Orange",STDs!$AG$8,IF(G30="Green",STDs!$AG$10,STDs!$AG$11)))))/(IF(G30="Grey",STDs!$AF$9,IF(G30="Orange",STDs!$AF$8,IF(G30="Green",STDs!$AF$10,STDs!$AF$11))))))^2)</f>
        <v>2.8829395016920167</v>
      </c>
      <c r="AR30" s="501">
        <f t="shared" si="27"/>
        <v>19.631732715457112</v>
      </c>
      <c r="AS30" s="500">
        <f t="shared" si="28"/>
        <v>1.5558116962515238</v>
      </c>
      <c r="AT30" s="653">
        <f>'Count 2'!AU30</f>
        <v>0.41209084559447184</v>
      </c>
      <c r="AU30" s="567">
        <f t="shared" si="29"/>
        <v>21.120118572651183</v>
      </c>
      <c r="AV30" s="568">
        <f t="shared" si="30"/>
        <v>1.6737660387805791</v>
      </c>
      <c r="AW30" s="560">
        <f t="shared" si="31"/>
        <v>7.9249840999849705E-2</v>
      </c>
      <c r="AX30" s="501">
        <f t="shared" si="32"/>
        <v>5.2135720487380334E-2</v>
      </c>
      <c r="AY30" s="506">
        <f t="shared" si="33"/>
        <v>21.120118572651183</v>
      </c>
      <c r="AZ30" s="507">
        <f t="shared" si="34"/>
        <v>1.6737660387805791</v>
      </c>
      <c r="BA30" s="508">
        <f t="shared" si="35"/>
        <v>7.9249840999849705E-2</v>
      </c>
      <c r="BB30" s="650">
        <f t="shared" si="36"/>
        <v>4.9325210258454662E-2</v>
      </c>
      <c r="BC30" s="501">
        <f t="shared" si="37"/>
        <v>7.9978160118149552E-2</v>
      </c>
      <c r="BD30" s="502">
        <f t="shared" si="38"/>
        <v>0.3601923899490968</v>
      </c>
      <c r="BE30" s="501">
        <f t="shared" si="39"/>
        <v>6.1633270332312605E-2</v>
      </c>
      <c r="BF30" s="501">
        <f>BD30/(IF(G30="Grey",STDs!$AC$9,IF(G30="Orange",STDs!$AC$8,IF(G30="Green",STDs!$AC$10,STDs!$AC$11))))</f>
        <v>2.1144495371784715</v>
      </c>
      <c r="BG30" s="501">
        <f>SQRT(((BE30/IF(G30="Grey",STDs!$AC$9,IF(G30="Orange",STDs!$AC$8,IF(G30="Green",STDs!$AC$10,STDs!$AC$11))))^2)+(((BD30*(IF(G30="Grey",STDs!$AD$9,IF(G30="Orange",STDs!$AC$8,IF(G30="Green",STDs!$AC$10,STDs!$AC$11)))))/(IF(G30="Grey",STDs!$AC$9,IF(G30="Orange",STDs!$AC$8,IF(G30="Green",STDs!$AC$10,STDs!$AC$11)))^2))^2))</f>
        <v>2.1451810592855649</v>
      </c>
      <c r="BH30" s="501">
        <f t="shared" si="40"/>
        <v>1.0561685999892465</v>
      </c>
      <c r="BI30" s="501">
        <f t="shared" si="41"/>
        <v>1.0719873754137896</v>
      </c>
      <c r="BJ30" s="510">
        <v>0.05</v>
      </c>
      <c r="BK30" s="504">
        <f t="shared" si="1"/>
        <v>1.0370008462877316</v>
      </c>
      <c r="BL30" s="505">
        <f t="shared" si="42"/>
        <v>1.0525325364957663</v>
      </c>
      <c r="BM30" s="506">
        <f t="shared" si="43"/>
        <v>1.0370008462877316</v>
      </c>
      <c r="BN30" s="507">
        <f t="shared" si="44"/>
        <v>1.0525325364957663</v>
      </c>
      <c r="BO30" s="508">
        <f t="shared" si="45"/>
        <v>1.0149775096747851</v>
      </c>
    </row>
    <row r="31" spans="1:67" s="513" customFormat="1" x14ac:dyDescent="0.35">
      <c r="A31" s="494">
        <f>Samples!A31</f>
        <v>23</v>
      </c>
      <c r="B31" s="494">
        <f>Samples!B31</f>
        <v>0</v>
      </c>
      <c r="C31" s="495">
        <f>Samples!C31</f>
        <v>44355</v>
      </c>
      <c r="D31" s="496">
        <f>Samples!D31</f>
        <v>0.20138888888888887</v>
      </c>
      <c r="E31" s="496" t="str">
        <f>Samples!E31</f>
        <v>SW</v>
      </c>
      <c r="F31" s="526">
        <f>Samples!G31</f>
        <v>190.8</v>
      </c>
      <c r="G31" s="529" t="str">
        <f>Samples!L31</f>
        <v>Grey</v>
      </c>
      <c r="H31" s="530">
        <f>Samples!H31</f>
        <v>44355</v>
      </c>
      <c r="I31" s="531">
        <f>Samples!J31</f>
        <v>0.45418981481481485</v>
      </c>
      <c r="J31" s="532">
        <f>Samples!K31</f>
        <v>150.15</v>
      </c>
      <c r="K31" s="533">
        <f>H31+I31+(Samples!K31/(60*24))</f>
        <v>44355.55846064815</v>
      </c>
      <c r="L31" s="533">
        <f>Samples!O31</f>
        <v>10.45</v>
      </c>
      <c r="M31" s="534">
        <f>Samples!M31</f>
        <v>0.42</v>
      </c>
      <c r="N31" s="534">
        <f>Samples!N31</f>
        <v>3.9430000000000001</v>
      </c>
      <c r="O31" s="497">
        <f t="shared" si="2"/>
        <v>0.97858634355548024</v>
      </c>
      <c r="P31" s="497">
        <f t="shared" si="3"/>
        <v>0.93461196375088229</v>
      </c>
      <c r="Q31" s="537">
        <f t="shared" si="4"/>
        <v>0.2638125652751771</v>
      </c>
      <c r="R31" s="499">
        <f t="shared" si="5"/>
        <v>1569.0674999999999</v>
      </c>
      <c r="S31" s="513">
        <f t="shared" si="6"/>
        <v>0.16205062869488121</v>
      </c>
      <c r="T31" s="543">
        <f t="shared" si="7"/>
        <v>8.2196616127253971E-2</v>
      </c>
      <c r="U31" s="543">
        <f t="shared" si="8"/>
        <v>4.3322829191301135E-2</v>
      </c>
      <c r="V31" s="514">
        <f t="shared" si="9"/>
        <v>592.04145000000005</v>
      </c>
      <c r="W31" s="498">
        <f t="shared" si="10"/>
        <v>5.2888588534794508E-2</v>
      </c>
      <c r="X31" s="540">
        <f t="shared" si="11"/>
        <v>0.25185042159425958</v>
      </c>
      <c r="Y31" s="541">
        <f t="shared" si="12"/>
        <v>3.9094806488011745E-2</v>
      </c>
      <c r="Z31" s="499">
        <f t="shared" si="13"/>
        <v>63.063000000000002</v>
      </c>
      <c r="AA31" s="500">
        <f t="shared" si="14"/>
        <v>0.39453077848647145</v>
      </c>
      <c r="AB31" s="500">
        <f t="shared" si="15"/>
        <v>4.2035637877123111E-2</v>
      </c>
      <c r="AC31" s="501">
        <f t="shared" si="16"/>
        <v>6.0869999999999997</v>
      </c>
      <c r="AD31" s="500">
        <f t="shared" si="17"/>
        <v>0.31409342345021907</v>
      </c>
      <c r="AE31" s="500">
        <f t="shared" si="18"/>
        <v>3.0151873820300763E-3</v>
      </c>
      <c r="AF31" s="500">
        <f t="shared" si="19"/>
        <v>1.1308697241981336E-3</v>
      </c>
      <c r="AG31" s="513">
        <f t="shared" si="20"/>
        <v>6.4815307784864711</v>
      </c>
      <c r="AH31" s="598">
        <f t="shared" si="21"/>
        <v>0.31689378899942999</v>
      </c>
      <c r="AI31" s="502">
        <f t="shared" si="22"/>
        <v>3.5484692215135287</v>
      </c>
      <c r="AJ31" s="500">
        <f t="shared" si="23"/>
        <v>0.16741386176820272</v>
      </c>
      <c r="AK31" s="515">
        <f t="shared" si="24"/>
        <v>0.41698481261796994</v>
      </c>
      <c r="AL31" s="513">
        <f t="shared" si="25"/>
        <v>5.2900677344774188E-2</v>
      </c>
      <c r="AM31" s="552">
        <f>((((IF(G31="Grey",STDs!$AC$9,IF(G31="Orange",STDs!$AC$8,IF(G31="Green",STDs!$AC$10,IF(G31="Blue",STDs!$AC$11)))))*2)*(M31-AE31))^2*0.01)/((1+(((IF(G31="Grey",STDs!$AC$9,IF(G31="Orange",STDs!$AC$8,IF(G31="Green",STDs!$AC$10,IF(G31="Blue",STDs!$AC$11)))))*2)*(M31-AE31))*0.01))</f>
        <v>1.5171920631901914E-4</v>
      </c>
      <c r="AN31" s="557">
        <f>AI31-AM31-IF(G31="Grey",Blanks!$O$7,IF(G31="Orange",Blanks!$O$6,IF(G31="Green",Blanks!$O$8,Blanks!$O$9)))</f>
        <v>3.5176116199542684</v>
      </c>
      <c r="AO31" s="501">
        <f t="shared" si="26"/>
        <v>0.16741386176820272</v>
      </c>
      <c r="AP31" s="501">
        <f>AN31/IF(G31="Grey",STDs!$AF$9,IF(G31="Orange",STDs!$AF$8,IF(G31="Green",STDs!$AF$10,STDs!$AF$11)))</f>
        <v>46.670393432350302</v>
      </c>
      <c r="AQ31" s="501">
        <f>SQRT(((AO31/IF(G31="Grey",STDs!$AF$9,IF(G31="Orange",STDs!$AF$8,IF(G31="Green",STDs!$AF$10,STDs!$AF$11))))^2)+(((AN31*(IF(G31="Grey",STDs!$AG$9,IF(G31="Orange",STDs!$AG$8,IF(G31="Green",STDs!$AG$10,STDs!$AG$11)))))/(IF(G31="Grey",STDs!$AF$9,IF(G31="Orange",STDs!$AF$8,IF(G31="Green",STDs!$AF$10,STDs!$AF$11))))))^2)</f>
        <v>2.3316715951463358</v>
      </c>
      <c r="AR31" s="501">
        <f t="shared" si="27"/>
        <v>24.460373916326152</v>
      </c>
      <c r="AS31" s="500">
        <f t="shared" si="28"/>
        <v>1.4254421613630617</v>
      </c>
      <c r="AT31" s="653">
        <f>'Count 2'!AU31</f>
        <v>1.1423199118786174</v>
      </c>
      <c r="AU31" s="567">
        <f t="shared" si="29"/>
        <v>24.949449513641028</v>
      </c>
      <c r="AV31" s="568">
        <f t="shared" si="30"/>
        <v>1.4539433191495799</v>
      </c>
      <c r="AW31" s="560">
        <f t="shared" si="31"/>
        <v>5.8275567096365839E-2</v>
      </c>
      <c r="AX31" s="501">
        <f t="shared" si="32"/>
        <v>4.3322829191301135E-2</v>
      </c>
      <c r="AY31" s="506">
        <f t="shared" si="33"/>
        <v>24.949449513641028</v>
      </c>
      <c r="AZ31" s="507">
        <f t="shared" si="34"/>
        <v>1.4539433191495799</v>
      </c>
      <c r="BA31" s="508">
        <f t="shared" si="35"/>
        <v>5.8275567096365839E-2</v>
      </c>
      <c r="BB31" s="650">
        <f t="shared" si="36"/>
        <v>4.1098308063626986E-2</v>
      </c>
      <c r="BC31" s="501">
        <f t="shared" si="37"/>
        <v>9.0485965148594971E-2</v>
      </c>
      <c r="BD31" s="502">
        <f t="shared" si="38"/>
        <v>0.32649884746937496</v>
      </c>
      <c r="BE31" s="501">
        <f t="shared" si="39"/>
        <v>5.3072652855393199E-2</v>
      </c>
      <c r="BF31" s="501">
        <f>BD31/(IF(G31="Grey",STDs!$AC$9,IF(G31="Orange",STDs!$AC$8,IF(G31="Green",STDs!$AC$10,STDs!$AC$11))))</f>
        <v>2.2092462928172196</v>
      </c>
      <c r="BG31" s="501">
        <f>SQRT(((BE31/IF(G31="Grey",STDs!$AC$9,IF(G31="Orange",STDs!$AC$8,IF(G31="Green",STDs!$AC$10,STDs!$AC$11))))^2)+(((BD31*(IF(G31="Grey",STDs!$AD$9,IF(G31="Orange",STDs!$AC$8,IF(G31="Green",STDs!$AC$10,STDs!$AC$11)))))/(IF(G31="Grey",STDs!$AC$9,IF(G31="Orange",STDs!$AC$8,IF(G31="Green",STDs!$AC$10,STDs!$AC$11)))^2))^2))</f>
        <v>0.3747815777549634</v>
      </c>
      <c r="BH31" s="501">
        <f t="shared" si="40"/>
        <v>1.1578858977029451</v>
      </c>
      <c r="BI31" s="501">
        <f t="shared" si="41"/>
        <v>0.19947421322943296</v>
      </c>
      <c r="BJ31" s="513">
        <v>0.05</v>
      </c>
      <c r="BK31" s="504">
        <f t="shared" si="1"/>
        <v>1.1321289173908591</v>
      </c>
      <c r="BL31" s="505">
        <f t="shared" si="42"/>
        <v>0.19503694234366431</v>
      </c>
      <c r="BM31" s="506">
        <f t="shared" si="43"/>
        <v>1.1321289173908591</v>
      </c>
      <c r="BN31" s="507">
        <f t="shared" si="44"/>
        <v>0.19503694234366431</v>
      </c>
      <c r="BO31" s="508">
        <f t="shared" si="45"/>
        <v>0.17227449926210944</v>
      </c>
    </row>
    <row r="32" spans="1:67" s="513" customFormat="1" x14ac:dyDescent="0.35">
      <c r="A32" s="494">
        <f>Samples!A32</f>
        <v>24</v>
      </c>
      <c r="B32" s="494">
        <f>Samples!B32</f>
        <v>0</v>
      </c>
      <c r="C32" s="495">
        <f>Samples!C32</f>
        <v>44355</v>
      </c>
      <c r="D32" s="496">
        <f>Samples!D32</f>
        <v>0.37152777777777773</v>
      </c>
      <c r="E32" s="496" t="str">
        <f>Samples!E32</f>
        <v>SW</v>
      </c>
      <c r="F32" s="526">
        <f>Samples!G32</f>
        <v>200.7</v>
      </c>
      <c r="G32" s="529" t="str">
        <f>Samples!L32</f>
        <v>Orange</v>
      </c>
      <c r="H32" s="530">
        <f>Samples!H32</f>
        <v>44355</v>
      </c>
      <c r="I32" s="531">
        <f>Samples!J32</f>
        <v>0.62374999999999992</v>
      </c>
      <c r="J32" s="532">
        <f>Samples!K32</f>
        <v>126.77</v>
      </c>
      <c r="K32" s="533">
        <f>H32+I32+(Samples!K32/(60*24))</f>
        <v>44355.711784722218</v>
      </c>
      <c r="L32" s="533">
        <f>Samples!O32</f>
        <v>9.23</v>
      </c>
      <c r="M32" s="534">
        <f>Samples!M32</f>
        <v>0.45800000000000002</v>
      </c>
      <c r="N32" s="534">
        <f>Samples!N32</f>
        <v>3.1949999999999998</v>
      </c>
      <c r="O32" s="497">
        <f t="shared" si="2"/>
        <v>0.97958436501267598</v>
      </c>
      <c r="P32" s="497">
        <f t="shared" si="3"/>
        <v>0.93759294663046844</v>
      </c>
      <c r="Q32" s="537">
        <f t="shared" si="4"/>
        <v>0.26983147373330274</v>
      </c>
      <c r="R32" s="499">
        <f t="shared" si="5"/>
        <v>1170.0871</v>
      </c>
      <c r="S32" s="513">
        <f t="shared" si="6"/>
        <v>0.15875491730164729</v>
      </c>
      <c r="T32" s="543">
        <f t="shared" si="7"/>
        <v>9.9377100032330079E-2</v>
      </c>
      <c r="U32" s="543">
        <f t="shared" si="8"/>
        <v>5.246672604452008E-2</v>
      </c>
      <c r="V32" s="514">
        <f t="shared" si="9"/>
        <v>405.03014999999999</v>
      </c>
      <c r="W32" s="498">
        <f t="shared" si="10"/>
        <v>6.0106922688522413E-2</v>
      </c>
      <c r="X32" s="540">
        <f t="shared" si="11"/>
        <v>0.26247564492804548</v>
      </c>
      <c r="Y32" s="541">
        <f t="shared" si="12"/>
        <v>4.3318795999378573E-2</v>
      </c>
      <c r="Z32" s="499">
        <f t="shared" si="13"/>
        <v>58.060659999999999</v>
      </c>
      <c r="AA32" s="500">
        <f t="shared" si="14"/>
        <v>0.32939992374739208</v>
      </c>
      <c r="AB32" s="500">
        <f t="shared" si="15"/>
        <v>3.8769745798951392E-2</v>
      </c>
      <c r="AC32" s="501">
        <f t="shared" si="16"/>
        <v>5.577</v>
      </c>
      <c r="AD32" s="500">
        <f t="shared" si="17"/>
        <v>0.31878674712042676</v>
      </c>
      <c r="AE32" s="500">
        <f t="shared" si="18"/>
        <v>2.5622199421240538E-3</v>
      </c>
      <c r="AF32" s="500">
        <f t="shared" si="19"/>
        <v>9.6201531572019541E-4</v>
      </c>
      <c r="AG32" s="513">
        <f t="shared" si="20"/>
        <v>5.9063999237473919</v>
      </c>
      <c r="AH32" s="598">
        <f t="shared" si="21"/>
        <v>0.32113561516739036</v>
      </c>
      <c r="AI32" s="502">
        <f t="shared" si="22"/>
        <v>2.8656000762526079</v>
      </c>
      <c r="AJ32" s="500">
        <f t="shared" si="23"/>
        <v>0.16342036885519559</v>
      </c>
      <c r="AK32" s="515">
        <f t="shared" si="24"/>
        <v>0.45543778005787594</v>
      </c>
      <c r="AL32" s="513">
        <f t="shared" si="25"/>
        <v>6.0114620755284572E-2</v>
      </c>
      <c r="AM32" s="552">
        <f>((((IF(G32="Grey",STDs!$AC$9,IF(G32="Orange",STDs!$AC$8,IF(G32="Green",STDs!$AC$10,IF(G32="Blue",STDs!$AC$11)))))*2)*(M32-AE32))^2*0.01)/((1+(((IF(G32="Grey",STDs!$AC$9,IF(G32="Orange",STDs!$AC$8,IF(G32="Green",STDs!$AC$10,IF(G32="Blue",STDs!$AC$11)))))*2)*(M32-AE32))*0.01))</f>
        <v>2.0622881244875666E-4</v>
      </c>
      <c r="AN32" s="557">
        <f>AI32-AM32-IF(G32="Grey",Blanks!$O$7,IF(G32="Orange",Blanks!$O$6,IF(G32="Green",Blanks!$O$8,Blanks!$O$9)))</f>
        <v>2.8565049585512701</v>
      </c>
      <c r="AO32" s="501">
        <f t="shared" si="26"/>
        <v>0.16342036885519559</v>
      </c>
      <c r="AP32" s="501">
        <f>AN32/IF(G32="Grey",STDs!$AF$9,IF(G32="Orange",STDs!$AF$8,IF(G32="Green",STDs!$AF$10,STDs!$AF$11)))</f>
        <v>36.999041923299977</v>
      </c>
      <c r="AQ32" s="501">
        <f>SQRT(((AO32/IF(G32="Grey",STDs!$AF$9,IF(G32="Orange",STDs!$AF$8,IF(G32="Green",STDs!$AF$10,STDs!$AF$11))))^2)+(((AN32*(IF(G32="Grey",STDs!$AG$9,IF(G32="Orange",STDs!$AG$8,IF(G32="Green",STDs!$AG$10,STDs!$AG$11)))))/(IF(G32="Grey",STDs!$AF$9,IF(G32="Orange",STDs!$AF$8,IF(G32="Green",STDs!$AF$10,STDs!$AF$11))))))^2)</f>
        <v>2.1298256097528712</v>
      </c>
      <c r="AR32" s="501">
        <f t="shared" si="27"/>
        <v>18.434998467015433</v>
      </c>
      <c r="AS32" s="500">
        <f t="shared" si="28"/>
        <v>1.1966648406926834</v>
      </c>
      <c r="AT32" s="653">
        <f>'Count 2'!AU32</f>
        <v>2.088864055141666</v>
      </c>
      <c r="AU32" s="567">
        <f t="shared" si="29"/>
        <v>17.43414823097665</v>
      </c>
      <c r="AV32" s="568">
        <f t="shared" si="30"/>
        <v>1.1316969867267868</v>
      </c>
      <c r="AW32" s="560">
        <f t="shared" si="31"/>
        <v>6.4912662880542107E-2</v>
      </c>
      <c r="AX32" s="501">
        <f t="shared" si="32"/>
        <v>5.246672604452008E-2</v>
      </c>
      <c r="AY32" s="506">
        <f t="shared" si="33"/>
        <v>17.43414823097665</v>
      </c>
      <c r="AZ32" s="507">
        <f t="shared" si="34"/>
        <v>1.1316969867267868</v>
      </c>
      <c r="BA32" s="508">
        <f t="shared" si="35"/>
        <v>6.4912662880542107E-2</v>
      </c>
      <c r="BB32" s="650">
        <f t="shared" si="36"/>
        <v>4.9688550016165033E-2</v>
      </c>
      <c r="BC32" s="501">
        <f t="shared" si="37"/>
        <v>7.3072801944441504E-2</v>
      </c>
      <c r="BD32" s="502">
        <f t="shared" si="38"/>
        <v>0.38236497811343445</v>
      </c>
      <c r="BE32" s="501">
        <f t="shared" si="39"/>
        <v>6.0258886034574431E-2</v>
      </c>
      <c r="BF32" s="501">
        <f>BD32/(IF(G32="Grey",STDs!$AC$9,IF(G32="Orange",STDs!$AC$8,IF(G32="Green",STDs!$AC$10,STDs!$AC$11))))</f>
        <v>2.4235425463441325</v>
      </c>
      <c r="BG32" s="501">
        <f>SQRT(((BE32/IF(G32="Grey",STDs!$AC$9,IF(G32="Orange",STDs!$AC$8,IF(G32="Green",STDs!$AC$10,STDs!$AC$11))))^2)+(((BD32*(IF(G32="Grey",STDs!$AD$9,IF(G32="Orange",STDs!$AC$8,IF(G32="Green",STDs!$AC$10,STDs!$AC$11)))))/(IF(G32="Grey",STDs!$AC$9,IF(G32="Orange",STDs!$AC$8,IF(G32="Green",STDs!$AC$10,STDs!$AC$11)))^2))^2))</f>
        <v>2.4534538160285049</v>
      </c>
      <c r="BH32" s="501">
        <f t="shared" si="40"/>
        <v>1.2075448661405743</v>
      </c>
      <c r="BI32" s="501">
        <f t="shared" si="41"/>
        <v>1.2229849914236759</v>
      </c>
      <c r="BJ32" s="513">
        <v>0.05</v>
      </c>
      <c r="BK32" s="504">
        <f t="shared" si="1"/>
        <v>1.1816693972301155</v>
      </c>
      <c r="BL32" s="505">
        <f t="shared" si="42"/>
        <v>1.1967786689831006</v>
      </c>
      <c r="BM32" s="506">
        <f t="shared" si="43"/>
        <v>1.1816693972301155</v>
      </c>
      <c r="BN32" s="507">
        <f t="shared" si="44"/>
        <v>1.1967786689831006</v>
      </c>
      <c r="BO32" s="508">
        <f t="shared" si="45"/>
        <v>1.0127863781429916</v>
      </c>
    </row>
    <row r="33" spans="1:67" s="500" customFormat="1" x14ac:dyDescent="0.35">
      <c r="A33" s="494">
        <f>Samples!A33</f>
        <v>25</v>
      </c>
      <c r="B33" s="494">
        <f>Samples!B33</f>
        <v>0</v>
      </c>
      <c r="C33" s="495">
        <f>Samples!C33</f>
        <v>44355</v>
      </c>
      <c r="D33" s="496">
        <f>Samples!D33</f>
        <v>0.52777777777777779</v>
      </c>
      <c r="E33" s="496" t="str">
        <f>Samples!E33</f>
        <v>SW</v>
      </c>
      <c r="F33" s="526">
        <f>Samples!G33</f>
        <v>199.9</v>
      </c>
      <c r="G33" s="529" t="str">
        <f>Samples!L33</f>
        <v>Grey</v>
      </c>
      <c r="H33" s="530">
        <f>Samples!H33</f>
        <v>44356</v>
      </c>
      <c r="I33" s="531">
        <f>Samples!J33</f>
        <v>0.3082523148148148</v>
      </c>
      <c r="J33" s="532">
        <f>Samples!K33</f>
        <v>292.77999999999997</v>
      </c>
      <c r="K33" s="533">
        <f>H33+I33+(Samples!K33/(60*24))</f>
        <v>44356.511571759256</v>
      </c>
      <c r="L33" s="533">
        <f>Samples!O33</f>
        <v>3.931</v>
      </c>
      <c r="M33" s="534">
        <f>Samples!M33</f>
        <v>0.14699999999999999</v>
      </c>
      <c r="N33" s="534">
        <f>Samples!N33</f>
        <v>0.82</v>
      </c>
      <c r="O33" s="497">
        <f t="shared" si="2"/>
        <v>0.94210443200506666</v>
      </c>
      <c r="P33" s="497">
        <f t="shared" si="3"/>
        <v>0.8300118449708116</v>
      </c>
      <c r="Q33" s="537">
        <f t="shared" si="4"/>
        <v>0.11587261780185104</v>
      </c>
      <c r="R33" s="499">
        <f t="shared" si="5"/>
        <v>1150.9181799999999</v>
      </c>
      <c r="S33" s="500">
        <f t="shared" si="6"/>
        <v>5.2921996894591525E-2</v>
      </c>
      <c r="T33" s="540">
        <f t="shared" si="7"/>
        <v>0.1290780412063208</v>
      </c>
      <c r="U33" s="540">
        <f t="shared" si="8"/>
        <v>6.8427000332384386E-2</v>
      </c>
      <c r="V33" s="499">
        <f t="shared" si="9"/>
        <v>240.07959999999997</v>
      </c>
      <c r="W33" s="498">
        <f t="shared" si="10"/>
        <v>2.2407219275207797E-2</v>
      </c>
      <c r="X33" s="540">
        <f t="shared" si="11"/>
        <v>0.30486012619330333</v>
      </c>
      <c r="Y33" s="541">
        <f t="shared" si="12"/>
        <v>7.7082660187047666E-2</v>
      </c>
      <c r="Z33" s="499">
        <f t="shared" si="13"/>
        <v>43.038659999999993</v>
      </c>
      <c r="AA33" s="500">
        <f t="shared" si="14"/>
        <v>9.0536460694999821E-2</v>
      </c>
      <c r="AB33" s="500">
        <f t="shared" si="15"/>
        <v>8.0222593336277039E-3</v>
      </c>
      <c r="AC33" s="501">
        <f t="shared" si="16"/>
        <v>2.9640000000000004</v>
      </c>
      <c r="AD33" s="500">
        <f t="shared" si="17"/>
        <v>0.12934173644733646</v>
      </c>
      <c r="AE33" s="500">
        <f t="shared" si="18"/>
        <v>7.6808697969311371E-4</v>
      </c>
      <c r="AF33" s="500">
        <f t="shared" si="19"/>
        <v>1.0965311587187076E-4</v>
      </c>
      <c r="AG33" s="500">
        <f t="shared" si="20"/>
        <v>3.0545364606950001</v>
      </c>
      <c r="AH33" s="598">
        <f t="shared" si="21"/>
        <v>0.12959028293829836</v>
      </c>
      <c r="AI33" s="502">
        <f t="shared" si="22"/>
        <v>0.72946353930500019</v>
      </c>
      <c r="AJ33" s="500">
        <f t="shared" si="23"/>
        <v>5.352657657768832E-2</v>
      </c>
      <c r="AK33" s="509">
        <f t="shared" si="24"/>
        <v>0.14623191302030689</v>
      </c>
      <c r="AL33" s="500">
        <f t="shared" si="25"/>
        <v>2.2407487575653463E-2</v>
      </c>
      <c r="AM33" s="552">
        <f>((((IF(G33="Grey",STDs!$AC$9,IF(G33="Orange",STDs!$AC$8,IF(G33="Green",STDs!$AC$10,IF(G33="Blue",STDs!$AC$11)))))*2)*(M33-AE33))^2*0.01)/((1+(((IF(G33="Grey",STDs!$AC$9,IF(G33="Orange",STDs!$AC$8,IF(G33="Green",STDs!$AC$10,IF(G33="Blue",STDs!$AC$11)))))*2)*(M33-AE33))*0.01))</f>
        <v>1.8673755895926739E-5</v>
      </c>
      <c r="AN33" s="557">
        <f>AI33-AM33-IF(G33="Grey",Blanks!$O$7,IF(G33="Orange",Blanks!$O$6,IF(G33="Green",Blanks!$O$8,Blanks!$O$9)))</f>
        <v>0.69873898319616312</v>
      </c>
      <c r="AO33" s="501">
        <f t="shared" si="26"/>
        <v>5.352657657768832E-2</v>
      </c>
      <c r="AP33" s="501">
        <f>AN33/IF(G33="Grey",STDs!$AF$9,IF(G33="Orange",STDs!$AF$8,IF(G33="Green",STDs!$AF$10,STDs!$AF$11)))</f>
        <v>9.2706150580402333</v>
      </c>
      <c r="AQ33" s="501">
        <f>SQRT(((AO33/IF(G33="Grey",STDs!$AF$9,IF(G33="Orange",STDs!$AF$8,IF(G33="Green",STDs!$AF$10,STDs!$AF$11))))^2)+(((AN33*(IF(G33="Grey",STDs!$AG$9,IF(G33="Orange",STDs!$AG$8,IF(G33="Green",STDs!$AG$10,STDs!$AG$11)))))/(IF(G33="Grey",STDs!$AF$9,IF(G33="Orange",STDs!$AF$8,IF(G33="Green",STDs!$AF$10,STDs!$AF$11))))))^2)</f>
        <v>0.72401061689557022</v>
      </c>
      <c r="AR33" s="501">
        <f t="shared" si="27"/>
        <v>4.6376263421912123</v>
      </c>
      <c r="AS33" s="500">
        <f t="shared" si="28"/>
        <v>0.38798944550074432</v>
      </c>
      <c r="AT33" s="653">
        <f>'Count 2'!AU33</f>
        <v>4.1607647313336766</v>
      </c>
      <c r="AU33" s="567">
        <f t="shared" si="29"/>
        <v>0.57452386221585194</v>
      </c>
      <c r="AV33" s="568">
        <f t="shared" si="30"/>
        <v>4.806536324415326E-2</v>
      </c>
      <c r="AW33" s="560">
        <f t="shared" si="31"/>
        <v>8.3661213058709868E-2</v>
      </c>
      <c r="AX33" s="501">
        <f t="shared" si="32"/>
        <v>6.8427000332384386E-2</v>
      </c>
      <c r="AY33" s="506">
        <f t="shared" si="33"/>
        <v>0.57452386221585194</v>
      </c>
      <c r="AZ33" s="507">
        <f t="shared" si="34"/>
        <v>4.806536324415326E-2</v>
      </c>
      <c r="BA33" s="508">
        <f t="shared" si="35"/>
        <v>8.3661213058709868E-2</v>
      </c>
      <c r="BB33" s="650">
        <f t="shared" si="36"/>
        <v>6.4539020603160399E-2</v>
      </c>
      <c r="BC33" s="501">
        <f t="shared" si="37"/>
        <v>1.8601320252277502E-2</v>
      </c>
      <c r="BD33" s="502">
        <f t="shared" si="38"/>
        <v>0.12763059276802938</v>
      </c>
      <c r="BE33" s="501">
        <f t="shared" si="39"/>
        <v>2.244902062644932E-2</v>
      </c>
      <c r="BF33" s="501">
        <f>BD33/(IF(G33="Grey",STDs!$AC$9,IF(G33="Orange",STDs!$AC$8,IF(G33="Green",STDs!$AC$10,STDs!$AC$11))))</f>
        <v>0.86360921671945934</v>
      </c>
      <c r="BG33" s="501">
        <f>SQRT(((BE33/IF(G33="Grey",STDs!$AC$9,IF(G33="Orange",STDs!$AC$8,IF(G33="Green",STDs!$AC$10,STDs!$AC$11))))^2)+(((BD33*(IF(G33="Grey",STDs!$AD$9,IF(G33="Orange",STDs!$AC$8,IF(G33="Green",STDs!$AC$10,STDs!$AC$11)))))/(IF(G33="Grey",STDs!$AC$9,IF(G33="Orange",STDs!$AC$8,IF(G33="Green",STDs!$AC$10,STDs!$AC$11)))^2))^2))</f>
        <v>0.15757789003045503</v>
      </c>
      <c r="BH33" s="501">
        <f t="shared" si="40"/>
        <v>0.43202061866906416</v>
      </c>
      <c r="BI33" s="501">
        <f t="shared" si="41"/>
        <v>7.988671883866566E-2</v>
      </c>
      <c r="BJ33" s="500">
        <v>0.05</v>
      </c>
      <c r="BK33" s="504">
        <f t="shared" si="1"/>
        <v>0.40549710381471771</v>
      </c>
      <c r="BL33" s="505">
        <f t="shared" si="42"/>
        <v>7.4982146042325476E-2</v>
      </c>
      <c r="BM33" s="506">
        <f t="shared" si="43"/>
        <v>0.40549710381471771</v>
      </c>
      <c r="BN33" s="507">
        <f t="shared" si="44"/>
        <v>7.4982146042325476E-2</v>
      </c>
      <c r="BO33" s="508">
        <f t="shared" si="45"/>
        <v>0.18491413461879322</v>
      </c>
    </row>
    <row r="34" spans="1:67" s="674" customFormat="1" x14ac:dyDescent="0.35">
      <c r="A34" s="623">
        <f>Samples!A34</f>
        <v>25</v>
      </c>
      <c r="B34" s="623">
        <f>Samples!B34</f>
        <v>0</v>
      </c>
      <c r="C34" s="624">
        <f>Samples!C34</f>
        <v>44356</v>
      </c>
      <c r="D34" s="625">
        <f>Samples!D34</f>
        <v>0.56944444444444398</v>
      </c>
      <c r="E34" s="625" t="str">
        <f>Samples!E34</f>
        <v>eff</v>
      </c>
      <c r="F34" s="656">
        <f>Samples!G34</f>
        <v>199.9</v>
      </c>
      <c r="G34" s="657" t="str">
        <f>Samples!L34</f>
        <v>Orange</v>
      </c>
      <c r="H34" s="624">
        <f>Samples!H34</f>
        <v>44356</v>
      </c>
      <c r="I34" s="625">
        <f>Samples!J34</f>
        <v>0.35828703703703701</v>
      </c>
      <c r="J34" s="628">
        <f>Samples!K34</f>
        <v>255.88</v>
      </c>
      <c r="K34" s="630">
        <f>H34+I34+(Samples!K34/(60*24))</f>
        <v>44356.53598148148</v>
      </c>
      <c r="L34" s="630">
        <f>Samples!O34</f>
        <v>1.9890000000000001</v>
      </c>
      <c r="M34" s="631">
        <f>Samples!M34</f>
        <v>4.7E-2</v>
      </c>
      <c r="N34" s="631">
        <f>Samples!N34</f>
        <v>0.5</v>
      </c>
      <c r="O34" s="632">
        <f t="shared" si="2"/>
        <v>1.0020306367442791</v>
      </c>
      <c r="P34" s="632">
        <f t="shared" si="3"/>
        <v>1.0063574892814549</v>
      </c>
      <c r="Q34" s="658">
        <f t="shared" si="4"/>
        <v>8.8165610788710838E-2</v>
      </c>
      <c r="R34" s="634">
        <f t="shared" si="5"/>
        <v>508.94532000000004</v>
      </c>
      <c r="S34" s="674">
        <f t="shared" si="6"/>
        <v>4.420453547656001E-2</v>
      </c>
      <c r="T34" s="674">
        <f t="shared" si="7"/>
        <v>0.17681814190624004</v>
      </c>
      <c r="U34" s="674">
        <f t="shared" si="8"/>
        <v>9.0335498452051258E-2</v>
      </c>
      <c r="V34" s="675">
        <f t="shared" si="9"/>
        <v>127.94</v>
      </c>
      <c r="W34" s="635">
        <f t="shared" si="10"/>
        <v>1.3552853940394051E-2</v>
      </c>
      <c r="X34" s="636">
        <f t="shared" si="11"/>
        <v>0.57671718895293822</v>
      </c>
      <c r="Y34" s="637">
        <f t="shared" si="12"/>
        <v>0.2048730615864906</v>
      </c>
      <c r="Z34" s="634">
        <f t="shared" si="13"/>
        <v>12.02636</v>
      </c>
      <c r="AA34" s="636">
        <f t="shared" si="14"/>
        <v>2.1097871304206664E-2</v>
      </c>
      <c r="AB34" s="636">
        <f t="shared" si="15"/>
        <v>2.9344407147941834E-3</v>
      </c>
      <c r="AC34" s="640">
        <f t="shared" si="16"/>
        <v>1.4420000000000002</v>
      </c>
      <c r="AD34" s="636">
        <f t="shared" si="17"/>
        <v>9.9553481769220672E-2</v>
      </c>
      <c r="AE34" s="636">
        <f t="shared" si="18"/>
        <v>1.8778836100391425E-4</v>
      </c>
      <c r="AF34" s="636">
        <f t="shared" si="19"/>
        <v>1.9946544621344044E-5</v>
      </c>
      <c r="AG34" s="674">
        <f t="shared" si="20"/>
        <v>1.4630978713042069</v>
      </c>
      <c r="AH34" s="641">
        <f t="shared" si="21"/>
        <v>9.9596720200432268E-2</v>
      </c>
      <c r="AI34" s="661">
        <f t="shared" si="22"/>
        <v>0.47890212869579335</v>
      </c>
      <c r="AJ34" s="636">
        <f t="shared" si="23"/>
        <v>4.4301827264878073E-2</v>
      </c>
      <c r="AK34" s="676">
        <f t="shared" si="24"/>
        <v>4.6812211638996085E-2</v>
      </c>
      <c r="AL34" s="674">
        <f t="shared" si="25"/>
        <v>1.355286861864664E-2</v>
      </c>
      <c r="AM34" s="638">
        <f>((((IF(G34="Grey",STDs!$AC$9,IF(G34="Orange",STDs!$AC$8,IF(G34="Green",STDs!$AC$10,IF(G34="Blue",STDs!$AC$11)))))*2)*(M34-AE34))^2*0.01)/((1+(((IF(G34="Grey",STDs!$AC$9,IF(G34="Orange",STDs!$AC$8,IF(G34="Green",STDs!$AC$10,IF(G34="Blue",STDs!$AC$11)))))*2)*(M34-AE34))*0.01))</f>
        <v>2.1815696481521144E-6</v>
      </c>
      <c r="AN34" s="663">
        <f>AI34-AM34-IF(G34="Grey",Blanks!$O$7,IF(G34="Orange",Blanks!$O$6,IF(G34="Green",Blanks!$O$8,Blanks!$O$9)))</f>
        <v>0.47001105823725631</v>
      </c>
      <c r="AO34" s="640">
        <f t="shared" si="26"/>
        <v>4.4301827264878073E-2</v>
      </c>
      <c r="AP34" s="640">
        <f>AN34/IF(G34="Grey",STDs!$AF$9,IF(G34="Orange",STDs!$AF$8,IF(G34="Green",STDs!$AF$10,STDs!$AF$11)))</f>
        <v>6.087844796514716</v>
      </c>
      <c r="AQ34" s="640">
        <f>SQRT(((AO34/IF(G34="Grey",STDs!$AF$9,IF(G34="Orange",STDs!$AF$8,IF(G34="Green",STDs!$AF$10,STDs!$AF$11))))^2)+(((AN34*(IF(G34="Grey",STDs!$AG$9,IF(G34="Orange",STDs!$AG$8,IF(G34="Green",STDs!$AG$10,STDs!$AG$11)))))/(IF(G34="Grey",STDs!$AF$9,IF(G34="Orange",STDs!$AF$8,IF(G34="Green",STDs!$AF$10,STDs!$AF$11))))))^2)</f>
        <v>0.57513416491069858</v>
      </c>
      <c r="AR34" s="640">
        <f t="shared" si="27"/>
        <v>3.0454451208177669</v>
      </c>
      <c r="AS34" s="636">
        <f t="shared" si="28"/>
        <v>0.30186892219439959</v>
      </c>
      <c r="AT34" s="664">
        <f>'Count 2'!AU34</f>
        <v>3.0454451208177669</v>
      </c>
      <c r="AU34" s="665">
        <f t="shared" si="29"/>
        <v>0</v>
      </c>
      <c r="AV34" s="666">
        <f t="shared" si="30"/>
        <v>0</v>
      </c>
      <c r="AW34" s="640" t="e">
        <f t="shared" si="31"/>
        <v>#DIV/0!</v>
      </c>
      <c r="AX34" s="640">
        <f t="shared" si="32"/>
        <v>9.0335498452051258E-2</v>
      </c>
      <c r="AY34" s="667">
        <f t="shared" si="33"/>
        <v>0</v>
      </c>
      <c r="AZ34" s="668">
        <f t="shared" si="34"/>
        <v>0</v>
      </c>
      <c r="BA34" s="130" t="e">
        <f t="shared" si="35"/>
        <v>#DIV/0!</v>
      </c>
      <c r="BB34" s="669">
        <f t="shared" si="36"/>
        <v>8.840907095312002E-2</v>
      </c>
      <c r="BC34" s="640">
        <f t="shared" si="37"/>
        <v>1.221200428174273E-2</v>
      </c>
      <c r="BD34" s="661">
        <f t="shared" si="38"/>
        <v>3.4600207357253353E-2</v>
      </c>
      <c r="BE34" s="640">
        <f t="shared" si="39"/>
        <v>1.3599869932893706E-2</v>
      </c>
      <c r="BF34" s="640">
        <f>BD34/(IF(G34="Grey",STDs!$AC$9,IF(G34="Orange",STDs!$AC$8,IF(G34="Green",STDs!$AC$10,STDs!$AC$11))))</f>
        <v>0.21930636811030291</v>
      </c>
      <c r="BG34" s="640">
        <f>SQRT(((BE34/IF(G34="Grey",STDs!$AC$9,IF(G34="Orange",STDs!$AC$8,IF(G34="Green",STDs!$AC$10,STDs!$AC$11))))^2)+(((BD34*(IF(G34="Grey",STDs!$AD$9,IF(G34="Orange",STDs!$AC$8,IF(G34="Green",STDs!$AC$10,STDs!$AC$11)))))/(IF(G34="Grey",STDs!$AC$9,IF(G34="Orange",STDs!$AC$8,IF(G34="Green",STDs!$AC$10,STDs!$AC$11)))^2))^2))</f>
        <v>0.23563896988386104</v>
      </c>
      <c r="BH34" s="640">
        <f t="shared" si="40"/>
        <v>0.10970803807418854</v>
      </c>
      <c r="BI34" s="640">
        <f t="shared" si="41"/>
        <v>0.11792436198380886</v>
      </c>
      <c r="BJ34" s="674">
        <v>0.05</v>
      </c>
      <c r="BK34" s="665">
        <f t="shared" si="1"/>
        <v>5.9587038444440486E-2</v>
      </c>
      <c r="BL34" s="666">
        <f t="shared" si="42"/>
        <v>6.4049668688027986E-2</v>
      </c>
      <c r="BM34" s="667">
        <f t="shared" si="43"/>
        <v>5.9587038444440486E-2</v>
      </c>
      <c r="BN34" s="668">
        <f t="shared" si="44"/>
        <v>6.4049668688027986E-2</v>
      </c>
      <c r="BO34" s="130">
        <f t="shared" si="45"/>
        <v>1.0748926337016815</v>
      </c>
    </row>
    <row r="35" spans="1:67" s="513" customFormat="1" x14ac:dyDescent="0.35">
      <c r="A35" s="494">
        <f>Samples!A35</f>
        <v>26</v>
      </c>
      <c r="B35" s="494">
        <f>Samples!B35</f>
        <v>0</v>
      </c>
      <c r="C35" s="495">
        <f>Samples!C35</f>
        <v>44355</v>
      </c>
      <c r="D35" s="496">
        <f>Samples!D35</f>
        <v>0.75902777777777775</v>
      </c>
      <c r="E35" s="496" t="str">
        <f>Samples!E35</f>
        <v>SW</v>
      </c>
      <c r="F35" s="526">
        <f>Samples!G35</f>
        <v>200</v>
      </c>
      <c r="G35" s="529" t="str">
        <f>Samples!L35</f>
        <v>Blue</v>
      </c>
      <c r="H35" s="530">
        <f>Samples!H35</f>
        <v>44356</v>
      </c>
      <c r="I35" s="531">
        <f>Samples!J35</f>
        <v>0.53577546296296297</v>
      </c>
      <c r="J35" s="532">
        <f>Samples!K35</f>
        <v>157.83000000000001</v>
      </c>
      <c r="K35" s="533">
        <f>H35+I35+(Samples!K35/(60*24))</f>
        <v>44356.645379629634</v>
      </c>
      <c r="L35" s="533">
        <f>Samples!O35</f>
        <v>12.241</v>
      </c>
      <c r="M35" s="534">
        <f>Samples!M35</f>
        <v>0.46899999999999997</v>
      </c>
      <c r="N35" s="534">
        <f>Samples!N35</f>
        <v>4.9800000000000004</v>
      </c>
      <c r="O35" s="497">
        <f t="shared" si="2"/>
        <v>0.94768600267842773</v>
      </c>
      <c r="P35" s="497">
        <f t="shared" si="3"/>
        <v>0.84547110977180884</v>
      </c>
      <c r="Q35" s="537">
        <f t="shared" si="4"/>
        <v>0.27849260702489392</v>
      </c>
      <c r="R35" s="499">
        <f t="shared" si="5"/>
        <v>1931.99703</v>
      </c>
      <c r="S35" s="513">
        <f t="shared" si="6"/>
        <v>0.17763146315911679</v>
      </c>
      <c r="T35" s="543">
        <f t="shared" si="7"/>
        <v>7.133793701169347E-2</v>
      </c>
      <c r="U35" s="543">
        <f t="shared" si="8"/>
        <v>3.7585516256539574E-2</v>
      </c>
      <c r="V35" s="514">
        <f t="shared" si="9"/>
        <v>785.99340000000018</v>
      </c>
      <c r="W35" s="498">
        <f t="shared" si="10"/>
        <v>5.4511940614124496E-2</v>
      </c>
      <c r="X35" s="540">
        <f t="shared" si="11"/>
        <v>0.23246030112633045</v>
      </c>
      <c r="Y35" s="541">
        <f t="shared" si="12"/>
        <v>3.3352280396277897E-2</v>
      </c>
      <c r="Z35" s="499">
        <f t="shared" si="13"/>
        <v>74.022270000000006</v>
      </c>
      <c r="AA35" s="500">
        <f t="shared" si="14"/>
        <v>0.49492816067290346</v>
      </c>
      <c r="AB35" s="500">
        <f t="shared" si="15"/>
        <v>5.0569136966246049E-2</v>
      </c>
      <c r="AC35" s="501">
        <f t="shared" si="16"/>
        <v>6.7919999999999989</v>
      </c>
      <c r="AD35" s="500">
        <f t="shared" si="17"/>
        <v>0.33478742590050853</v>
      </c>
      <c r="AE35" s="500">
        <f t="shared" si="18"/>
        <v>3.6899004865823988E-3</v>
      </c>
      <c r="AF35" s="500">
        <f t="shared" si="19"/>
        <v>1.5043727395553134E-3</v>
      </c>
      <c r="AG35" s="513">
        <f t="shared" si="20"/>
        <v>7.2869281606729022</v>
      </c>
      <c r="AH35" s="598">
        <f t="shared" si="21"/>
        <v>0.33858508259313413</v>
      </c>
      <c r="AI35" s="502">
        <f t="shared" si="22"/>
        <v>4.4850718393270972</v>
      </c>
      <c r="AJ35" s="500">
        <f t="shared" si="23"/>
        <v>0.18468939958091699</v>
      </c>
      <c r="AK35" s="515">
        <f t="shared" si="24"/>
        <v>0.46531009951341756</v>
      </c>
      <c r="AL35" s="513">
        <f t="shared" si="25"/>
        <v>5.4532694843161318E-2</v>
      </c>
      <c r="AM35" s="552">
        <f>((((IF(G35="Grey",STDs!$AC$9,IF(G35="Orange",STDs!$AC$8,IF(G35="Green",STDs!$AC$10,IF(G35="Blue",STDs!$AC$11)))))*2)*(M35-AE35))^2*0.01)/((1+(((IF(G35="Grey",STDs!$AC$9,IF(G35="Orange",STDs!$AC$8,IF(G35="Green",STDs!$AC$10,IF(G35="Blue",STDs!$AC$11)))))*2)*(M35-AE35))*0.01))</f>
        <v>1.9634677338518065E-4</v>
      </c>
      <c r="AN35" s="557">
        <f>AI35-AM35-IF(G35="Grey",Blanks!$O$7,IF(G35="Orange",Blanks!$O$6,IF(G35="Green",Blanks!$O$8,Blanks!$O$9)))</f>
        <v>4.4580183496965695</v>
      </c>
      <c r="AO35" s="501">
        <f t="shared" si="26"/>
        <v>0.18468939958091699</v>
      </c>
      <c r="AP35" s="501">
        <f>AN35/IF(G35="Grey",STDs!$AF$9,IF(G35="Orange",STDs!$AF$8,IF(G35="Green",STDs!$AF$10,STDs!$AF$11)))</f>
        <v>65.097052014170117</v>
      </c>
      <c r="AQ35" s="501">
        <f>SQRT(((AO35/IF(G35="Grey",STDs!$AF$9,IF(G35="Orange",STDs!$AF$8,IF(G35="Green",STDs!$AF$10,STDs!$AF$11))))^2)+(((AN35*(IF(G35="Grey",STDs!$AG$9,IF(G35="Orange",STDs!$AG$8,IF(G35="Green",STDs!$AG$10,STDs!$AG$11)))))/(IF(G35="Grey",STDs!$AF$9,IF(G35="Orange",STDs!$AF$8,IF(G35="Green",STDs!$AF$10,STDs!$AF$11))))))^2)</f>
        <v>2.7249782764808024</v>
      </c>
      <c r="AR35" s="501">
        <f t="shared" si="27"/>
        <v>32.548526007085059</v>
      </c>
      <c r="AS35" s="500">
        <f t="shared" si="28"/>
        <v>1.6762584951413591</v>
      </c>
      <c r="AT35" s="653">
        <f>'Count 2'!AU35</f>
        <v>0.38444103253082595</v>
      </c>
      <c r="AU35" s="567">
        <f t="shared" si="29"/>
        <v>38.042796025561728</v>
      </c>
      <c r="AV35" s="568">
        <f t="shared" si="30"/>
        <v>1.9592149888107568</v>
      </c>
      <c r="AW35" s="560">
        <f t="shared" si="31"/>
        <v>5.150028897703314E-2</v>
      </c>
      <c r="AX35" s="501">
        <f t="shared" si="32"/>
        <v>3.7585516256539574E-2</v>
      </c>
      <c r="AY35" s="506">
        <f t="shared" si="33"/>
        <v>38.042796025561728</v>
      </c>
      <c r="AZ35" s="507">
        <f t="shared" si="34"/>
        <v>1.9592149888107568</v>
      </c>
      <c r="BA35" s="508">
        <f t="shared" si="35"/>
        <v>5.150028897703314E-2</v>
      </c>
      <c r="BB35" s="650">
        <f t="shared" si="36"/>
        <v>3.5668968505846742E-2</v>
      </c>
      <c r="BC35" s="501">
        <f t="shared" si="37"/>
        <v>0.11436933190284097</v>
      </c>
      <c r="BD35" s="502">
        <f t="shared" si="38"/>
        <v>0.35094076761057658</v>
      </c>
      <c r="BE35" s="501">
        <f t="shared" si="39"/>
        <v>5.4735682581907627E-2</v>
      </c>
      <c r="BF35" s="501">
        <f>BD35/(IF(G35="Grey",STDs!$AC$9,IF(G35="Orange",STDs!$AC$8,IF(G35="Green",STDs!$AC$10,STDs!$AC$11))))</f>
        <v>2.329110734453625</v>
      </c>
      <c r="BG35" s="501">
        <f>SQRT(((BE35/IF(G35="Grey",STDs!$AC$9,IF(G35="Orange",STDs!$AC$8,IF(G35="Green",STDs!$AC$10,STDs!$AC$11))))^2)+(((BD35*(IF(G35="Grey",STDs!$AD$9,IF(G35="Orange",STDs!$AC$8,IF(G35="Green",STDs!$AC$10,STDs!$AC$11)))))/(IF(G35="Grey",STDs!$AC$9,IF(G35="Orange",STDs!$AC$8,IF(G35="Green",STDs!$AC$10,STDs!$AC$11)))^2))^2))</f>
        <v>2.3572696658184222</v>
      </c>
      <c r="BH35" s="501">
        <f t="shared" si="40"/>
        <v>1.1645553672268125</v>
      </c>
      <c r="BI35" s="501">
        <f t="shared" si="41"/>
        <v>1.1791525090631523</v>
      </c>
      <c r="BJ35" s="513">
        <v>0.05</v>
      </c>
      <c r="BK35" s="504">
        <f t="shared" si="1"/>
        <v>1.1760808580867133</v>
      </c>
      <c r="BL35" s="505">
        <f t="shared" si="42"/>
        <v>1.1908224664117661</v>
      </c>
      <c r="BM35" s="506">
        <f t="shared" si="43"/>
        <v>1.1760808580867133</v>
      </c>
      <c r="BN35" s="507">
        <f t="shared" si="44"/>
        <v>1.1908224664117661</v>
      </c>
      <c r="BO35" s="508">
        <f t="shared" si="45"/>
        <v>1.0125345193943851</v>
      </c>
    </row>
    <row r="36" spans="1:67" s="513" customFormat="1" x14ac:dyDescent="0.35">
      <c r="A36" s="494">
        <f>Samples!A36</f>
        <v>27</v>
      </c>
      <c r="B36" s="494">
        <f>Samples!B36</f>
        <v>0</v>
      </c>
      <c r="C36" s="495">
        <f>Samples!C36</f>
        <v>44355</v>
      </c>
      <c r="D36" s="496">
        <f>Samples!D36</f>
        <v>0.90763888888888899</v>
      </c>
      <c r="E36" s="496" t="str">
        <f>Samples!E36</f>
        <v>SW</v>
      </c>
      <c r="F36" s="526">
        <f>Samples!G36</f>
        <v>200.3</v>
      </c>
      <c r="G36" s="529" t="str">
        <f>Samples!L36</f>
        <v>Grey</v>
      </c>
      <c r="H36" s="530">
        <f>Samples!H36</f>
        <v>44356</v>
      </c>
      <c r="I36" s="531">
        <f>Samples!J36</f>
        <v>0.65915509259259253</v>
      </c>
      <c r="J36" s="532">
        <f>Samples!K36</f>
        <v>101.38</v>
      </c>
      <c r="K36" s="533">
        <f>H36+I36+(Samples!K36/(60*24))</f>
        <v>44356.729557870371</v>
      </c>
      <c r="L36" s="533">
        <f>Samples!O36</f>
        <v>11.747</v>
      </c>
      <c r="M36" s="534">
        <f>Samples!M36</f>
        <v>0.375</v>
      </c>
      <c r="N36" s="534">
        <f>Samples!N36</f>
        <v>4.6749999999999998</v>
      </c>
      <c r="O36" s="497">
        <f t="shared" si="2"/>
        <v>0.95139492447541463</v>
      </c>
      <c r="P36" s="497">
        <f t="shared" si="3"/>
        <v>0.85585124661268619</v>
      </c>
      <c r="Q36" s="537">
        <f t="shared" si="4"/>
        <v>0.34039826743025681</v>
      </c>
      <c r="R36" s="499">
        <f t="shared" si="5"/>
        <v>1190.91086</v>
      </c>
      <c r="S36" s="513">
        <f t="shared" si="6"/>
        <v>0.21474084818696054</v>
      </c>
      <c r="T36" s="543">
        <f t="shared" si="7"/>
        <v>9.1867742539876174E-2</v>
      </c>
      <c r="U36" s="543">
        <f t="shared" si="8"/>
        <v>4.8494623065156679E-2</v>
      </c>
      <c r="V36" s="514">
        <f t="shared" si="9"/>
        <v>473.95149999999995</v>
      </c>
      <c r="W36" s="498">
        <f t="shared" si="10"/>
        <v>6.0819030154068025E-2</v>
      </c>
      <c r="X36" s="540">
        <f t="shared" si="11"/>
        <v>0.32436816082169617</v>
      </c>
      <c r="Y36" s="541">
        <f t="shared" si="12"/>
        <v>4.754851805149863E-2</v>
      </c>
      <c r="Z36" s="499">
        <f t="shared" si="13"/>
        <v>38.017499999999998</v>
      </c>
      <c r="AA36" s="500">
        <f t="shared" si="14"/>
        <v>0.4806898920720663</v>
      </c>
      <c r="AB36" s="500">
        <f t="shared" si="15"/>
        <v>6.0529542979552917E-2</v>
      </c>
      <c r="AC36" s="501">
        <f t="shared" si="16"/>
        <v>6.6970000000000001</v>
      </c>
      <c r="AD36" s="500">
        <f t="shared" si="17"/>
        <v>0.40704246311466979</v>
      </c>
      <c r="AE36" s="500">
        <f t="shared" si="18"/>
        <v>3.5958323675328334E-3</v>
      </c>
      <c r="AF36" s="500">
        <f t="shared" si="19"/>
        <v>1.7776331086461776E-3</v>
      </c>
      <c r="AG36" s="513">
        <f t="shared" si="20"/>
        <v>7.177689892072066</v>
      </c>
      <c r="AH36" s="598">
        <f t="shared" si="21"/>
        <v>0.41151839855803635</v>
      </c>
      <c r="AI36" s="502">
        <f t="shared" si="22"/>
        <v>4.1943101079279339</v>
      </c>
      <c r="AJ36" s="500">
        <f t="shared" si="23"/>
        <v>0.22310862254374836</v>
      </c>
      <c r="AK36" s="515">
        <f t="shared" si="24"/>
        <v>0.37140416763246714</v>
      </c>
      <c r="AL36" s="513">
        <f t="shared" si="25"/>
        <v>6.0845003150220893E-2</v>
      </c>
      <c r="AM36" s="552">
        <f>((((IF(G36="Grey",STDs!$AC$9,IF(G36="Orange",STDs!$AC$8,IF(G36="Green",STDs!$AC$10,IF(G36="Blue",STDs!$AC$11)))))*2)*(M36-AE36))^2*0.01)/((1+(((IF(G36="Grey",STDs!$AC$9,IF(G36="Orange",STDs!$AC$8,IF(G36="Green",STDs!$AC$10,IF(G36="Blue",STDs!$AC$11)))))*2)*(M36-AE36))*0.01))</f>
        <v>1.2037937246482907E-4</v>
      </c>
      <c r="AN36" s="557">
        <f>AI36-AM36-IF(G36="Grey",Blanks!$O$7,IF(G36="Orange",Blanks!$O$6,IF(G36="Green",Blanks!$O$8,Blanks!$O$9)))</f>
        <v>4.1634838462025279</v>
      </c>
      <c r="AO36" s="501">
        <f t="shared" si="26"/>
        <v>0.22310862254374836</v>
      </c>
      <c r="AP36" s="501">
        <f>AN36/IF(G36="Grey",STDs!$AF$9,IF(G36="Orange",STDs!$AF$8,IF(G36="Green",STDs!$AF$10,STDs!$AF$11)))</f>
        <v>55.239591559580198</v>
      </c>
      <c r="AQ36" s="501">
        <f>SQRT(((AO36/IF(G36="Grey",STDs!$AF$9,IF(G36="Orange",STDs!$AF$8,IF(G36="Green",STDs!$AF$10,STDs!$AF$11))))^2)+(((AN36*(IF(G36="Grey",STDs!$AG$9,IF(G36="Orange",STDs!$AG$8,IF(G36="Green",STDs!$AG$10,STDs!$AG$11)))))/(IF(G36="Grey",STDs!$AF$9,IF(G36="Orange",STDs!$AF$8,IF(G36="Green",STDs!$AF$10,STDs!$AF$11))))))^2)</f>
        <v>3.0768553356954276</v>
      </c>
      <c r="AR36" s="501">
        <f t="shared" si="27"/>
        <v>27.578428137583721</v>
      </c>
      <c r="AS36" s="500">
        <f t="shared" si="28"/>
        <v>1.7447601790945617</v>
      </c>
      <c r="AT36" s="653">
        <f>'Count 2'!AU36</f>
        <v>0.62980264602437475</v>
      </c>
      <c r="AU36" s="567">
        <f t="shared" si="29"/>
        <v>31.487510940969507</v>
      </c>
      <c r="AV36" s="568">
        <f t="shared" si="30"/>
        <v>1.9920698509186798</v>
      </c>
      <c r="AW36" s="560">
        <f t="shared" si="31"/>
        <v>6.3265396069358021E-2</v>
      </c>
      <c r="AX36" s="501">
        <f t="shared" si="32"/>
        <v>4.8494623065156679E-2</v>
      </c>
      <c r="AY36" s="506">
        <f t="shared" si="33"/>
        <v>31.487510940969507</v>
      </c>
      <c r="AZ36" s="507">
        <f t="shared" si="34"/>
        <v>1.9920698509186798</v>
      </c>
      <c r="BA36" s="508">
        <f t="shared" si="35"/>
        <v>6.3265396069358021E-2</v>
      </c>
      <c r="BB36" s="650">
        <f t="shared" si="36"/>
        <v>4.5933871269938087E-2</v>
      </c>
      <c r="BC36" s="501">
        <f t="shared" si="37"/>
        <v>0.10695490775216231</v>
      </c>
      <c r="BD36" s="502">
        <f t="shared" si="38"/>
        <v>0.26444925988030482</v>
      </c>
      <c r="BE36" s="501">
        <f t="shared" si="39"/>
        <v>6.1110409915655479E-2</v>
      </c>
      <c r="BF36" s="501">
        <f>BD36/(IF(G36="Grey",STDs!$AC$9,IF(G36="Orange",STDs!$AC$8,IF(G36="Green",STDs!$AC$10,STDs!$AC$11))))</f>
        <v>1.7893893088967825</v>
      </c>
      <c r="BG36" s="501">
        <f>SQRT(((BE36/IF(G36="Grey",STDs!$AC$9,IF(G36="Orange",STDs!$AC$8,IF(G36="Green",STDs!$AC$10,STDs!$AC$11))))^2)+(((BD36*(IF(G36="Grey",STDs!$AD$9,IF(G36="Orange",STDs!$AC$8,IF(G36="Green",STDs!$AC$10,STDs!$AC$11)))))/(IF(G36="Grey",STDs!$AC$9,IF(G36="Orange",STDs!$AC$8,IF(G36="Green",STDs!$AC$10,STDs!$AC$11)))^2))^2))</f>
        <v>0.42252434369421166</v>
      </c>
      <c r="BH36" s="501">
        <f t="shared" si="40"/>
        <v>0.89335462251461928</v>
      </c>
      <c r="BI36" s="501">
        <f t="shared" si="41"/>
        <v>0.21264144712124436</v>
      </c>
      <c r="BJ36" s="513">
        <v>0.05</v>
      </c>
      <c r="BK36" s="504">
        <f t="shared" si="1"/>
        <v>0.88644011106074883</v>
      </c>
      <c r="BL36" s="505">
        <f t="shared" si="42"/>
        <v>0.21099561501310707</v>
      </c>
      <c r="BM36" s="506">
        <f t="shared" si="43"/>
        <v>0.88644011106074883</v>
      </c>
      <c r="BN36" s="507">
        <f t="shared" si="44"/>
        <v>0.21099561501310707</v>
      </c>
      <c r="BO36" s="508">
        <f t="shared" si="45"/>
        <v>0.23802579822411407</v>
      </c>
    </row>
    <row r="37" spans="1:67" s="520" customFormat="1" x14ac:dyDescent="0.35">
      <c r="A37" s="494">
        <f>Samples!A37</f>
        <v>32</v>
      </c>
      <c r="B37" s="494">
        <f>Samples!B37</f>
        <v>2</v>
      </c>
      <c r="C37" s="495">
        <f>Samples!C37</f>
        <v>44357</v>
      </c>
      <c r="D37" s="496">
        <f>Samples!D37</f>
        <v>0.24944444444444444</v>
      </c>
      <c r="E37" s="496" t="str">
        <f>Samples!E37</f>
        <v>BW</v>
      </c>
      <c r="F37" s="526">
        <f>Samples!G37</f>
        <v>79.599999999999994</v>
      </c>
      <c r="G37" s="529" t="str">
        <f>Samples!L37</f>
        <v>Grey</v>
      </c>
      <c r="H37" s="530">
        <f>Samples!H37</f>
        <v>44357</v>
      </c>
      <c r="I37" s="531">
        <f>Samples!J37</f>
        <v>0.55289351851851842</v>
      </c>
      <c r="J37" s="532">
        <f>Samples!K37</f>
        <v>242.53</v>
      </c>
      <c r="K37" s="533">
        <f>H37+I37+(Samples!K37/(60*24))</f>
        <v>44357.721317129632</v>
      </c>
      <c r="L37" s="533">
        <f>Samples!O37</f>
        <v>2.4780000000000002</v>
      </c>
      <c r="M37" s="534">
        <f>Samples!M37</f>
        <v>9.0999999999999998E-2</v>
      </c>
      <c r="N37" s="534">
        <f>Samples!N37</f>
        <v>0.70899999999999996</v>
      </c>
      <c r="O37" s="497">
        <f t="shared" si="2"/>
        <v>0.97179959946068672</v>
      </c>
      <c r="P37" s="497">
        <f t="shared" si="3"/>
        <v>0.91451138571898327</v>
      </c>
      <c r="Q37" s="537">
        <f t="shared" si="4"/>
        <v>0.10108062478070159</v>
      </c>
      <c r="R37" s="499">
        <f t="shared" si="5"/>
        <v>600.98934000000008</v>
      </c>
      <c r="S37" s="520">
        <f t="shared" si="6"/>
        <v>5.4068009845918183E-2</v>
      </c>
      <c r="T37" s="545">
        <f t="shared" si="7"/>
        <v>0.15251906867677906</v>
      </c>
      <c r="U37" s="545">
        <f t="shared" si="8"/>
        <v>7.7847925265135232E-2</v>
      </c>
      <c r="V37" s="521">
        <f t="shared" si="9"/>
        <v>171.95376999999999</v>
      </c>
      <c r="W37" s="498">
        <f t="shared" si="10"/>
        <v>1.9370372068296452E-2</v>
      </c>
      <c r="X37" s="540">
        <f t="shared" si="11"/>
        <v>0.42572246303948258</v>
      </c>
      <c r="Y37" s="541">
        <f t="shared" si="12"/>
        <v>0.13540994534761266</v>
      </c>
      <c r="Z37" s="499">
        <f t="shared" si="13"/>
        <v>22.070229999999999</v>
      </c>
      <c r="AA37" s="500">
        <f t="shared" si="14"/>
        <v>2.8637375155102628E-2</v>
      </c>
      <c r="AB37" s="500">
        <f t="shared" si="15"/>
        <v>4.002056199667166E-3</v>
      </c>
      <c r="AC37" s="501">
        <f t="shared" si="16"/>
        <v>1.6780000000000002</v>
      </c>
      <c r="AD37" s="500">
        <f t="shared" si="17"/>
        <v>0.1162577038686879</v>
      </c>
      <c r="AE37" s="500">
        <f t="shared" si="18"/>
        <v>2.5303574068136724E-4</v>
      </c>
      <c r="AF37" s="500">
        <f t="shared" si="19"/>
        <v>3.1546773083284888E-5</v>
      </c>
      <c r="AG37" s="520">
        <f t="shared" si="20"/>
        <v>1.7066373751551029</v>
      </c>
      <c r="AH37" s="598">
        <f t="shared" si="21"/>
        <v>0.11632656688239718</v>
      </c>
      <c r="AI37" s="502">
        <f t="shared" si="22"/>
        <v>0.68036262484489729</v>
      </c>
      <c r="AJ37" s="500">
        <f t="shared" si="23"/>
        <v>5.421592148551567E-2</v>
      </c>
      <c r="AK37" s="522">
        <f t="shared" si="24"/>
        <v>9.0746964259318635E-2</v>
      </c>
      <c r="AL37" s="520">
        <f t="shared" si="25"/>
        <v>1.9370397756967497E-2</v>
      </c>
      <c r="AM37" s="552">
        <f>((((IF(G37="Grey",STDs!$AC$9,IF(G37="Orange",STDs!$AC$8,IF(G37="Green",STDs!$AC$10,IF(G37="Blue",STDs!$AC$11)))))*2)*(M37-AE37))^2*0.01)/((1+(((IF(G37="Grey",STDs!$AC$9,IF(G37="Orange",STDs!$AC$8,IF(G37="Green",STDs!$AC$10,IF(G37="Blue",STDs!$AC$11)))))*2)*(M37-AE37))*0.01))</f>
        <v>7.1925479309394775E-6</v>
      </c>
      <c r="AN37" s="557">
        <f>AI37-AM37-IF(G37="Grey",Blanks!$O$7,IF(G37="Orange",Blanks!$O$6,IF(G37="Green",Blanks!$O$8,Blanks!$O$9)))</f>
        <v>0.64964954994402524</v>
      </c>
      <c r="AO37" s="501">
        <f t="shared" si="26"/>
        <v>5.421592148551567E-2</v>
      </c>
      <c r="AP37" s="501">
        <f>AN37/IF(G37="Grey",STDs!$AF$9,IF(G37="Orange",STDs!$AF$8,IF(G37="Green",STDs!$AF$10,STDs!$AF$11)))</f>
        <v>8.6193142861607726</v>
      </c>
      <c r="AQ37" s="501">
        <f>SQRT(((AO37/IF(G37="Grey",STDs!$AF$9,IF(G37="Orange",STDs!$AF$8,IF(G37="Green",STDs!$AF$10,STDs!$AF$11))))^2)+(((AN37*(IF(G37="Grey",STDs!$AG$9,IF(G37="Orange",STDs!$AG$8,IF(G37="Green",STDs!$AG$10,STDs!$AG$11)))))/(IF(G37="Grey",STDs!$AF$9,IF(G37="Orange",STDs!$AF$8,IF(G37="Green",STDs!$AF$10,STDs!$AF$11))))))^2)</f>
        <v>0.73114605442331393</v>
      </c>
      <c r="AR37" s="501">
        <f t="shared" si="27"/>
        <v>10.828284279096449</v>
      </c>
      <c r="AS37" s="500">
        <f t="shared" si="28"/>
        <v>0.97427670525225485</v>
      </c>
      <c r="AT37" s="653">
        <f>'Count 2'!AU37</f>
        <v>1.1947849573459739</v>
      </c>
      <c r="AU37" s="567">
        <f t="shared" si="29"/>
        <v>10.534039785821449</v>
      </c>
      <c r="AV37" s="568">
        <f t="shared" si="30"/>
        <v>0.94780200731695941</v>
      </c>
      <c r="AW37" s="560">
        <f t="shared" si="31"/>
        <v>8.9975168747005965E-2</v>
      </c>
      <c r="AX37" s="501">
        <f t="shared" si="32"/>
        <v>7.7847925265135232E-2</v>
      </c>
      <c r="AY37" s="506">
        <f t="shared" si="33"/>
        <v>10.534039785821449</v>
      </c>
      <c r="AZ37" s="507">
        <f t="shared" si="34"/>
        <v>0.94780200731695941</v>
      </c>
      <c r="BA37" s="508">
        <f t="shared" si="35"/>
        <v>8.9975168747005965E-2</v>
      </c>
      <c r="BB37" s="650">
        <f t="shared" si="36"/>
        <v>7.6259534338389542E-2</v>
      </c>
      <c r="BC37" s="501">
        <f t="shared" si="37"/>
        <v>1.7349246933544879E-2</v>
      </c>
      <c r="BD37" s="502">
        <f t="shared" si="38"/>
        <v>7.3397717325773756E-2</v>
      </c>
      <c r="BE37" s="501">
        <f t="shared" si="39"/>
        <v>1.9419671266458334E-2</v>
      </c>
      <c r="BF37" s="501">
        <f>BD37/(IF(G37="Grey",STDs!$AC$9,IF(G37="Orange",STDs!$AC$8,IF(G37="Green",STDs!$AC$10,STDs!$AC$11))))</f>
        <v>0.49664382021569498</v>
      </c>
      <c r="BG37" s="501">
        <f>SQRT(((BE37/IF(G37="Grey",STDs!$AC$9,IF(G37="Orange",STDs!$AC$8,IF(G37="Green",STDs!$AC$10,STDs!$AC$11))))^2)+(((BD37*(IF(G37="Grey",STDs!$AD$9,IF(G37="Orange",STDs!$AC$8,IF(G37="Green",STDs!$AC$10,STDs!$AC$11)))))/(IF(G37="Grey",STDs!$AC$9,IF(G37="Orange",STDs!$AC$8,IF(G37="Green",STDs!$AC$10,STDs!$AC$11)))^2))^2))</f>
        <v>0.13359539405109203</v>
      </c>
      <c r="BH37" s="501">
        <f t="shared" si="40"/>
        <v>0.62392439725589821</v>
      </c>
      <c r="BI37" s="501">
        <f t="shared" si="41"/>
        <v>0.16887393780600402</v>
      </c>
      <c r="BJ37" s="520">
        <v>0.05</v>
      </c>
      <c r="BK37" s="504">
        <f t="shared" si="1"/>
        <v>0.59057896049185987</v>
      </c>
      <c r="BL37" s="505">
        <f t="shared" si="42"/>
        <v>0.1598485250493128</v>
      </c>
      <c r="BM37" s="506">
        <f t="shared" si="43"/>
        <v>0.59057896049185987</v>
      </c>
      <c r="BN37" s="507">
        <f t="shared" si="44"/>
        <v>0.1598485250493128</v>
      </c>
      <c r="BO37" s="508">
        <f t="shared" si="45"/>
        <v>0.27066410377400507</v>
      </c>
    </row>
    <row r="38" spans="1:67" s="673" customFormat="1" x14ac:dyDescent="0.35">
      <c r="A38" s="623">
        <f>Samples!A38</f>
        <v>32</v>
      </c>
      <c r="B38" s="623">
        <f>Samples!B38</f>
        <v>2</v>
      </c>
      <c r="C38" s="624">
        <f>Samples!C38</f>
        <v>44357</v>
      </c>
      <c r="D38" s="625">
        <f>Samples!D38</f>
        <v>0.24944444444444444</v>
      </c>
      <c r="E38" s="625" t="str">
        <f>Samples!E38</f>
        <v>BW-eff</v>
      </c>
      <c r="F38" s="656">
        <f>Samples!G38</f>
        <v>79.599999999999994</v>
      </c>
      <c r="G38" s="657" t="str">
        <f>Samples!L38</f>
        <v>Grey</v>
      </c>
      <c r="H38" s="624">
        <f>Samples!H38</f>
        <v>44359</v>
      </c>
      <c r="I38" s="625">
        <f>Samples!J38</f>
        <v>0.34417824074074077</v>
      </c>
      <c r="J38" s="628">
        <f>Samples!K38</f>
        <v>243.63</v>
      </c>
      <c r="K38" s="630">
        <f>H38+I38+(Samples!K38/(60*24))</f>
        <v>44359.513365740742</v>
      </c>
      <c r="L38" s="630">
        <f>Samples!O38</f>
        <v>0.50900000000000001</v>
      </c>
      <c r="M38" s="631">
        <f>Samples!M38</f>
        <v>8.0000000000000002E-3</v>
      </c>
      <c r="N38" s="631">
        <f>Samples!N38</f>
        <v>2.9000000000000001E-2</v>
      </c>
      <c r="O38" s="632">
        <f t="shared" si="2"/>
        <v>0.87175880519969451</v>
      </c>
      <c r="P38" s="632">
        <f t="shared" si="3"/>
        <v>0.65132173164804963</v>
      </c>
      <c r="Q38" s="658">
        <f t="shared" si="4"/>
        <v>4.5708135752991215E-2</v>
      </c>
      <c r="R38" s="634">
        <f t="shared" si="5"/>
        <v>124.00767</v>
      </c>
      <c r="S38" s="670">
        <f t="shared" ref="S38:S43" si="46">SQRT(V38)/J38</f>
        <v>1.0910222720738317E-2</v>
      </c>
      <c r="T38" s="670">
        <f t="shared" ref="T38:T43" si="47">2/SQRT(V38)</f>
        <v>0.75242915315436665</v>
      </c>
      <c r="U38" s="670">
        <f t="shared" ref="U38:U43" si="48">SQRT((N38*J38)-(AA38*J38))/((N38*J38)-(AA38*J38))</f>
        <v>0.39163240770903701</v>
      </c>
      <c r="V38" s="671">
        <f t="shared" ref="V38:V43" si="49">J38*N38</f>
        <v>7.0652699999999999</v>
      </c>
      <c r="W38" s="635">
        <f t="shared" si="10"/>
        <v>5.7303297086609816E-3</v>
      </c>
      <c r="X38" s="636">
        <f t="shared" si="11"/>
        <v>1.4325824271652452</v>
      </c>
      <c r="Y38" s="637">
        <f t="shared" si="12"/>
        <v>1.0052834511074984</v>
      </c>
      <c r="Z38" s="634">
        <f t="shared" si="13"/>
        <v>1.9490400000000001</v>
      </c>
      <c r="AA38" s="636">
        <f t="shared" si="14"/>
        <v>2.2384052728880314E-3</v>
      </c>
      <c r="AB38" s="636">
        <f t="shared" si="15"/>
        <v>4.5007639121036932E-4</v>
      </c>
      <c r="AC38" s="640">
        <f t="shared" si="16"/>
        <v>0.47199999999999998</v>
      </c>
      <c r="AD38" s="636">
        <f t="shared" si="17"/>
        <v>4.7340292694489659E-2</v>
      </c>
      <c r="AE38" s="636">
        <f t="shared" si="18"/>
        <v>2.0523760535418558E-5</v>
      </c>
      <c r="AF38" s="636">
        <f t="shared" si="19"/>
        <v>1.015843183512663E-6</v>
      </c>
      <c r="AG38" s="670">
        <f t="shared" ref="AG38:AG43" si="50">L38-AI38-M38</f>
        <v>0.47423840527288802</v>
      </c>
      <c r="AH38" s="641">
        <f t="shared" si="21"/>
        <v>4.7342432142401344E-2</v>
      </c>
      <c r="AI38" s="661">
        <f t="shared" si="22"/>
        <v>2.6761594727111971E-2</v>
      </c>
      <c r="AJ38" s="636">
        <f t="shared" si="23"/>
        <v>1.0919502212740266E-2</v>
      </c>
      <c r="AK38" s="672">
        <f t="shared" ref="AK38:AK43" si="51">M38-AE38</f>
        <v>7.9794762394645811E-3</v>
      </c>
      <c r="AL38" s="670">
        <f t="shared" ref="AL38:AL43" si="52">SQRT((W38^2)+(AF38^2))</f>
        <v>5.7303297987026909E-3</v>
      </c>
      <c r="AM38" s="638">
        <f>((((IF(G38="Grey",STDs!$AC$9,IF(G38="Orange",STDs!$AC$8,IF(G38="Green",STDs!$AC$10,IF(G38="Blue",STDs!$AC$11)))))*2)*(M38-AE38))^2*0.01)/((1+(((IF(G38="Grey",STDs!$AC$9,IF(G38="Orange",STDs!$AC$8,IF(G38="Green",STDs!$AC$10,IF(G38="Blue",STDs!$AC$11)))))*2)*(M38-AE38))*0.01))</f>
        <v>5.5625452325439265E-8</v>
      </c>
      <c r="AN38" s="663">
        <f>AI38-AM38-IF(G38="Grey",Blanks!$O$7,IF(G38="Orange",Blanks!$O$6,IF(G38="Green",Blanks!$O$8,Blanks!$O$9)))</f>
        <v>-3.9443432512815367E-3</v>
      </c>
      <c r="AO38" s="640">
        <f t="shared" si="26"/>
        <v>1.0919502212740266E-2</v>
      </c>
      <c r="AP38" s="640">
        <f>AN38/IF(G38="Grey",STDs!$AF$9,IF(G38="Orange",STDs!$AF$8,IF(G38="Green",STDs!$AF$10,STDs!$AF$11)))</f>
        <v>-5.2332113734585142E-2</v>
      </c>
      <c r="AQ38" s="640">
        <f>SQRT(((AO38/IF(G38="Grey",STDs!$AF$9,IF(G38="Orange",STDs!$AF$8,IF(G38="Green",STDs!$AF$10,STDs!$AF$11))))^2)+(((AN38*(IF(G38="Grey",STDs!$AG$9,IF(G38="Orange",STDs!$AG$8,IF(G38="Green",STDs!$AG$10,STDs!$AG$11)))))/(IF(G38="Grey",STDs!$AF$9,IF(G38="Orange",STDs!$AF$8,IF(G38="Green",STDs!$AF$10,STDs!$AF$11))))))^2)</f>
        <v>0.14487817235975539</v>
      </c>
      <c r="AR38" s="640">
        <f t="shared" si="27"/>
        <v>-6.5743861475609483E-2</v>
      </c>
      <c r="AS38" s="636">
        <f t="shared" si="28"/>
        <v>0.18201844034681774</v>
      </c>
      <c r="AT38" s="664">
        <f>'Count 2'!AU38</f>
        <v>-6.5743861475609483E-2</v>
      </c>
      <c r="AU38" s="665">
        <f t="shared" si="29"/>
        <v>0</v>
      </c>
      <c r="AV38" s="666">
        <f t="shared" si="30"/>
        <v>0</v>
      </c>
      <c r="AW38" s="640" t="e">
        <f t="shared" si="31"/>
        <v>#DIV/0!</v>
      </c>
      <c r="AX38" s="640">
        <f t="shared" si="32"/>
        <v>0.39163240770903701</v>
      </c>
      <c r="AY38" s="667">
        <f t="shared" si="33"/>
        <v>0</v>
      </c>
      <c r="AZ38" s="668">
        <f t="shared" si="34"/>
        <v>0</v>
      </c>
      <c r="BA38" s="130" t="e">
        <f t="shared" si="35"/>
        <v>#DIV/0!</v>
      </c>
      <c r="BB38" s="669">
        <f t="shared" si="36"/>
        <v>0.37621457657718332</v>
      </c>
      <c r="BC38" s="640">
        <f t="shared" si="37"/>
        <v>6.824206655413552E-4</v>
      </c>
      <c r="BD38" s="661">
        <f t="shared" si="38"/>
        <v>7.297055573923226E-3</v>
      </c>
      <c r="BE38" s="640">
        <f t="shared" si="39"/>
        <v>5.7370909444033821E-3</v>
      </c>
      <c r="BF38" s="640">
        <f>BD38/(IF(G38="Grey",STDs!$AC$9,IF(G38="Orange",STDs!$AC$8,IF(G38="Green",STDs!$AC$10,STDs!$AC$11))))</f>
        <v>4.9375344201431637E-2</v>
      </c>
      <c r="BG38" s="640">
        <f>SQRT(((BE38/IF(G38="Grey",STDs!$AC$9,IF(G38="Orange",STDs!$AC$8,IF(G38="Green",STDs!$AC$10,STDs!$AC$11))))^2)+(((BD38*(IF(G38="Grey",STDs!$AD$9,IF(G38="Orange",STDs!$AC$8,IF(G38="Green",STDs!$AC$10,STDs!$AC$11)))))/(IF(G38="Grey",STDs!$AC$9,IF(G38="Orange",STDs!$AC$8,IF(G38="Green",STDs!$AC$10,STDs!$AC$11)))^2))^2))</f>
        <v>3.8893783393497694E-2</v>
      </c>
      <c r="BH38" s="640">
        <f t="shared" si="40"/>
        <v>6.2029326886220662E-2</v>
      </c>
      <c r="BI38" s="640">
        <f t="shared" si="41"/>
        <v>4.889695966493969E-2</v>
      </c>
      <c r="BJ38" s="670">
        <v>0.05</v>
      </c>
      <c r="BK38" s="665">
        <f t="shared" si="1"/>
        <v>1.3798916414116506E-2</v>
      </c>
      <c r="BL38" s="666">
        <f t="shared" si="42"/>
        <v>1.0877517026076484E-2</v>
      </c>
      <c r="BM38" s="667">
        <f t="shared" si="43"/>
        <v>1.3798916414116506E-2</v>
      </c>
      <c r="BN38" s="668">
        <f t="shared" si="44"/>
        <v>1.0877517026076484E-2</v>
      </c>
      <c r="BO38" s="130">
        <f t="shared" si="45"/>
        <v>0.7882877683749584</v>
      </c>
    </row>
    <row r="39" spans="1:67" x14ac:dyDescent="0.35">
      <c r="A39" s="494">
        <f>Samples!A39</f>
        <v>43</v>
      </c>
      <c r="B39" s="494">
        <f>Samples!B39</f>
        <v>0</v>
      </c>
      <c r="C39" s="495">
        <f>Samples!C39</f>
        <v>44361</v>
      </c>
      <c r="D39" s="496">
        <f>Samples!D39</f>
        <v>0.19027777777777777</v>
      </c>
      <c r="E39" s="496" t="str">
        <f>Samples!E39</f>
        <v>SW</v>
      </c>
      <c r="F39" s="526">
        <f>Samples!G39</f>
        <v>200.1</v>
      </c>
      <c r="G39" s="529" t="str">
        <f>Samples!L39</f>
        <v>Grey</v>
      </c>
      <c r="H39" s="530">
        <f>Samples!H39</f>
        <v>44361</v>
      </c>
      <c r="I39" s="531">
        <f>Samples!J39</f>
        <v>0.62496527777777777</v>
      </c>
      <c r="J39" s="532">
        <f>Samples!K39</f>
        <v>243.08</v>
      </c>
      <c r="K39" s="533">
        <f>H39+I39+(Samples!K39/(60*24))</f>
        <v>44361.793770833334</v>
      </c>
      <c r="L39" s="533">
        <f>Samples!O39</f>
        <v>1.3740000000000001</v>
      </c>
      <c r="M39" s="534">
        <f>Samples!M39</f>
        <v>3.3000000000000002E-2</v>
      </c>
      <c r="N39" s="534">
        <f>Samples!N39</f>
        <v>0.21</v>
      </c>
      <c r="O39" s="497">
        <f t="shared" si="2"/>
        <v>0.96407642893599377</v>
      </c>
      <c r="P39" s="497">
        <f t="shared" si="3"/>
        <v>0.89199726207249519</v>
      </c>
      <c r="Q39" s="537">
        <f t="shared" si="4"/>
        <v>7.5182844422393522E-2</v>
      </c>
      <c r="R39" s="499">
        <f t="shared" si="5"/>
        <v>333.99192000000005</v>
      </c>
      <c r="S39" s="520">
        <f t="shared" si="46"/>
        <v>2.9392398932782952E-2</v>
      </c>
      <c r="T39" s="545">
        <f t="shared" si="47"/>
        <v>0.27992760888364715</v>
      </c>
      <c r="U39" s="545">
        <f t="shared" si="48"/>
        <v>0.14448537013883447</v>
      </c>
      <c r="V39" s="521">
        <f t="shared" si="49"/>
        <v>51.046799999999998</v>
      </c>
      <c r="W39" s="498">
        <f t="shared" si="10"/>
        <v>1.1651513859496337E-2</v>
      </c>
      <c r="X39" s="540">
        <f t="shared" si="11"/>
        <v>0.70615235512099006</v>
      </c>
      <c r="Y39" s="541">
        <f t="shared" si="12"/>
        <v>0.30174596356601263</v>
      </c>
      <c r="Z39" s="499">
        <f t="shared" si="13"/>
        <v>8.0216400000000014</v>
      </c>
      <c r="AA39" s="500">
        <f t="shared" si="14"/>
        <v>1.29379380796812E-2</v>
      </c>
      <c r="AB39" s="500">
        <f t="shared" si="15"/>
        <v>1.8766781944310755E-3</v>
      </c>
      <c r="AC39" s="501">
        <f t="shared" si="16"/>
        <v>1.1310000000000002</v>
      </c>
      <c r="AD39" s="500">
        <f t="shared" si="17"/>
        <v>8.1560597016474348E-2</v>
      </c>
      <c r="AE39" s="500">
        <f t="shared" si="18"/>
        <v>1.1626792752297959E-4</v>
      </c>
      <c r="AF39" s="500">
        <f t="shared" si="19"/>
        <v>1.0051078262411384E-5</v>
      </c>
      <c r="AG39" s="520">
        <f t="shared" si="50"/>
        <v>1.1439379380796815</v>
      </c>
      <c r="AH39" s="598">
        <f t="shared" si="21"/>
        <v>8.1582184983789066E-2</v>
      </c>
      <c r="AI39" s="502">
        <f t="shared" si="22"/>
        <v>0.1970620619203188</v>
      </c>
      <c r="AJ39" s="500">
        <f t="shared" si="23"/>
        <v>2.9452250101975459E-2</v>
      </c>
      <c r="AK39" s="522">
        <f t="shared" si="51"/>
        <v>3.2883732072477023E-2</v>
      </c>
      <c r="AL39" s="520">
        <f t="shared" si="52"/>
        <v>1.1651518194733658E-2</v>
      </c>
      <c r="AM39" s="552">
        <f>((((IF(G39="Grey",STDs!$AC$9,IF(G39="Orange",STDs!$AC$8,IF(G39="Green",STDs!$AC$10,IF(G39="Blue",STDs!$AC$11)))))*2)*(M39-AE39))^2*0.01)/((1+(((IF(G39="Grey",STDs!$AC$9,IF(G39="Orange",STDs!$AC$8,IF(G39="Green",STDs!$AC$10,IF(G39="Blue",STDs!$AC$11)))))*2)*(M39-AE39))*0.01))</f>
        <v>9.4461539455247138E-7</v>
      </c>
      <c r="AN39" s="557">
        <f>AI39-AM39-IF(G39="Grey",Blanks!$O$7,IF(G39="Orange",Blanks!$O$6,IF(G39="Green",Blanks!$O$8,Blanks!$O$9)))</f>
        <v>0.16635523495198307</v>
      </c>
      <c r="AO39" s="501">
        <f t="shared" si="26"/>
        <v>2.9452250101975459E-2</v>
      </c>
      <c r="AP39" s="501">
        <f>AN39/IF(G39="Grey",STDs!$AF$9,IF(G39="Orange",STDs!$AF$8,IF(G39="Green",STDs!$AF$10,STDs!$AF$11)))</f>
        <v>2.2071408397386003</v>
      </c>
      <c r="AQ39" s="501">
        <f>SQRT(((AO39/IF(G39="Grey",STDs!$AF$9,IF(G39="Orange",STDs!$AF$8,IF(G39="Green",STDs!$AF$10,STDs!$AF$11))))^2)+(((AN39*(IF(G39="Grey",STDs!$AG$9,IF(G39="Orange",STDs!$AG$8,IF(G39="Green",STDs!$AG$10,STDs!$AG$11)))))/(IF(G39="Grey",STDs!$AF$9,IF(G39="Orange",STDs!$AF$8,IF(G39="Green",STDs!$AF$10,STDs!$AF$11))))))^2)</f>
        <v>0.392198655558125</v>
      </c>
      <c r="AR39" s="501">
        <f t="shared" si="27"/>
        <v>1.1030189104140931</v>
      </c>
      <c r="AS39" s="500">
        <f t="shared" si="28"/>
        <v>0.19877501320864524</v>
      </c>
      <c r="AT39" s="653">
        <f>'Count 2'!AU39</f>
        <v>2.5771430750739328</v>
      </c>
      <c r="AU39" s="567">
        <f t="shared" si="29"/>
        <v>-1.6526106383273107</v>
      </c>
      <c r="AV39" s="568">
        <f t="shared" si="30"/>
        <v>-0.29781692622018141</v>
      </c>
      <c r="AW39" s="560">
        <f t="shared" si="31"/>
        <v>0.18020997766395641</v>
      </c>
      <c r="AX39" s="501">
        <f t="shared" si="32"/>
        <v>0.14448537013883447</v>
      </c>
      <c r="AY39" s="506">
        <f t="shared" si="33"/>
        <v>-1.6526106383273107</v>
      </c>
      <c r="AZ39" s="507">
        <f t="shared" si="34"/>
        <v>-0.29781692622018141</v>
      </c>
      <c r="BA39" s="508">
        <f t="shared" si="35"/>
        <v>0.18020997766395641</v>
      </c>
      <c r="BB39" s="650">
        <f t="shared" si="36"/>
        <v>0.1399638044418236</v>
      </c>
      <c r="BC39" s="501">
        <f t="shared" si="37"/>
        <v>5.0250825789681288E-3</v>
      </c>
      <c r="BD39" s="502">
        <f t="shared" si="38"/>
        <v>2.7858649493508893E-2</v>
      </c>
      <c r="BE39" s="501">
        <f t="shared" si="39"/>
        <v>1.1675698089382645E-2</v>
      </c>
      <c r="BF39" s="501">
        <f>BD39/(IF(G39="Grey",STDs!$AC$9,IF(G39="Orange",STDs!$AC$8,IF(G39="Green",STDs!$AC$10,STDs!$AC$11))))</f>
        <v>0.18850485566324027</v>
      </c>
      <c r="BG39" s="501">
        <f>SQRT(((BE39/IF(G39="Grey",STDs!$AC$9,IF(G39="Orange",STDs!$AC$8,IF(G39="Green",STDs!$AC$10,STDs!$AC$11))))^2)+(((BD39*(IF(G39="Grey",STDs!$AD$9,IF(G39="Orange",STDs!$AC$8,IF(G39="Green",STDs!$AC$10,STDs!$AC$11)))))/(IF(G39="Grey",STDs!$AC$9,IF(G39="Orange",STDs!$AC$8,IF(G39="Green",STDs!$AC$10,STDs!$AC$11)))^2))^2))</f>
        <v>7.9531335981799595E-2</v>
      </c>
      <c r="BH39" s="501">
        <f t="shared" si="40"/>
        <v>9.4205325169035611E-2</v>
      </c>
      <c r="BI39" s="501">
        <f t="shared" si="41"/>
        <v>3.9846146696562723E-2</v>
      </c>
      <c r="BJ39" s="520">
        <v>0.05</v>
      </c>
      <c r="BK39" s="504">
        <f t="shared" si="1"/>
        <v>4.5852511110372203E-2</v>
      </c>
      <c r="BL39" s="505">
        <f t="shared" si="42"/>
        <v>1.9394295182690962E-2</v>
      </c>
      <c r="BM39" s="506">
        <f t="shared" si="43"/>
        <v>4.5852511110372203E-2</v>
      </c>
      <c r="BN39" s="507">
        <f t="shared" si="44"/>
        <v>1.9394295182690962E-2</v>
      </c>
      <c r="BO39" s="508">
        <f t="shared" si="45"/>
        <v>0.4229712771020695</v>
      </c>
    </row>
    <row r="40" spans="1:67" x14ac:dyDescent="0.35">
      <c r="A40" s="494">
        <f>Samples!A40</f>
        <v>43</v>
      </c>
      <c r="B40" s="494">
        <f>Samples!B40</f>
        <v>1</v>
      </c>
      <c r="C40" s="495">
        <f>Samples!C40</f>
        <v>44361</v>
      </c>
      <c r="D40" s="496">
        <f>Samples!D40</f>
        <v>0.1933449074074074</v>
      </c>
      <c r="E40" s="496" t="str">
        <f>Samples!E40</f>
        <v>BW</v>
      </c>
      <c r="F40" s="526">
        <f>Samples!G40</f>
        <v>76.3</v>
      </c>
      <c r="G40" s="529" t="str">
        <f>Samples!L40</f>
        <v>Blue</v>
      </c>
      <c r="H40" s="530">
        <f>Samples!H40</f>
        <v>44362</v>
      </c>
      <c r="I40" s="531">
        <f>Samples!J40</f>
        <v>0.31127314814814822</v>
      </c>
      <c r="J40" s="532">
        <f>Samples!K40</f>
        <v>246.65</v>
      </c>
      <c r="K40" s="533">
        <f>H40+I40+(Samples!K40/(60*24))</f>
        <v>44362.482557870368</v>
      </c>
      <c r="L40" s="533">
        <f>Samples!O40</f>
        <v>4.1719999999999997</v>
      </c>
      <c r="M40" s="534">
        <f>Samples!M40</f>
        <v>0.105</v>
      </c>
      <c r="N40" s="534">
        <f>Samples!N40</f>
        <v>1.3580000000000001</v>
      </c>
      <c r="O40" s="497">
        <f t="shared" si="2"/>
        <v>0.92482187211582467</v>
      </c>
      <c r="P40" s="497">
        <f t="shared" si="3"/>
        <v>0.7833646983404563</v>
      </c>
      <c r="Q40" s="537">
        <f t="shared" si="4"/>
        <v>0.13005635853622233</v>
      </c>
      <c r="R40" s="499">
        <f t="shared" si="5"/>
        <v>1029.0237999999999</v>
      </c>
      <c r="S40" s="520">
        <f t="shared" si="46"/>
        <v>7.4200925987436758E-2</v>
      </c>
      <c r="T40" s="545">
        <f t="shared" si="47"/>
        <v>0.10927971426721171</v>
      </c>
      <c r="U40" s="545">
        <f t="shared" si="48"/>
        <v>5.6223637245501272E-2</v>
      </c>
      <c r="V40" s="521">
        <f t="shared" si="49"/>
        <v>334.95070000000004</v>
      </c>
      <c r="W40" s="498">
        <f t="shared" si="10"/>
        <v>2.0632606221443639E-2</v>
      </c>
      <c r="X40" s="540">
        <f t="shared" si="11"/>
        <v>0.39300202326559308</v>
      </c>
      <c r="Y40" s="541">
        <f t="shared" si="12"/>
        <v>9.6500825327828318E-2</v>
      </c>
      <c r="Z40" s="499">
        <f t="shared" si="13"/>
        <v>25.898250000000001</v>
      </c>
      <c r="AA40" s="500">
        <f t="shared" si="14"/>
        <v>7.5430214511105834E-2</v>
      </c>
      <c r="AB40" s="500">
        <f t="shared" si="15"/>
        <v>8.5344854997016582E-3</v>
      </c>
      <c r="AC40" s="501">
        <f t="shared" si="16"/>
        <v>2.7089999999999996</v>
      </c>
      <c r="AD40" s="500">
        <f t="shared" si="17"/>
        <v>0.15114939051344084</v>
      </c>
      <c r="AE40" s="500">
        <f t="shared" si="18"/>
        <v>6.4517717087534765E-4</v>
      </c>
      <c r="AF40" s="500">
        <f t="shared" si="19"/>
        <v>1.0700590562877607E-4</v>
      </c>
      <c r="AG40" s="520">
        <f t="shared" si="50"/>
        <v>2.7844302145111057</v>
      </c>
      <c r="AH40" s="598">
        <f t="shared" si="21"/>
        <v>0.15139014398344844</v>
      </c>
      <c r="AI40" s="502">
        <f t="shared" si="22"/>
        <v>1.2825697854888942</v>
      </c>
      <c r="AJ40" s="500">
        <f t="shared" si="23"/>
        <v>7.469012558657058E-2</v>
      </c>
      <c r="AK40" s="522">
        <f t="shared" si="51"/>
        <v>0.10435482282912464</v>
      </c>
      <c r="AL40" s="520">
        <f t="shared" si="52"/>
        <v>2.0632883699400677E-2</v>
      </c>
      <c r="AM40" s="552">
        <f>((((IF(G40="Grey",STDs!$AC$9,IF(G40="Orange",STDs!$AC$8,IF(G40="Green",STDs!$AC$10,IF(G40="Blue",STDs!$AC$11)))))*2)*(M40-AE40))^2*0.01)/((1+(((IF(G40="Grey",STDs!$AC$9,IF(G40="Orange",STDs!$AC$8,IF(G40="Green",STDs!$AC$10,IF(G40="Blue",STDs!$AC$11)))))*2)*(M40-AE40))*0.01))</f>
        <v>9.8863471804131515E-6</v>
      </c>
      <c r="AN40" s="557">
        <f>AI40-AM40-IF(G40="Grey",Blanks!$O$7,IF(G40="Orange",Blanks!$O$6,IF(G40="Green",Blanks!$O$8,Blanks!$O$9)))</f>
        <v>1.2557027562845708</v>
      </c>
      <c r="AO40" s="501">
        <f t="shared" si="26"/>
        <v>7.469012558657058E-2</v>
      </c>
      <c r="AP40" s="501">
        <f>AN40/IF(G40="Grey",STDs!$AF$9,IF(G40="Orange",STDs!$AF$8,IF(G40="Green",STDs!$AF$10,STDs!$AF$11)))</f>
        <v>18.336072494128967</v>
      </c>
      <c r="AQ40" s="501">
        <f>SQRT(((AO40/IF(G40="Grey",STDs!$AF$9,IF(G40="Orange",STDs!$AF$8,IF(G40="Green",STDs!$AF$10,STDs!$AF$11))))^2)+(((AN40*(IF(G40="Grey",STDs!$AG$9,IF(G40="Orange",STDs!$AG$8,IF(G40="Green",STDs!$AG$10,STDs!$AG$11)))))/(IF(G40="Grey",STDs!$AF$9,IF(G40="Orange",STDs!$AF$8,IF(G40="Green",STDs!$AF$10,STDs!$AF$11))))))^2)</f>
        <v>1.0961705424032537</v>
      </c>
      <c r="AR40" s="501">
        <f t="shared" si="27"/>
        <v>24.031549795712934</v>
      </c>
      <c r="AS40" s="500">
        <f t="shared" si="28"/>
        <v>1.607405330097426</v>
      </c>
      <c r="AT40" s="653">
        <f>'Count 2'!AU40</f>
        <v>2.1899317424280422</v>
      </c>
      <c r="AU40" s="567">
        <f t="shared" si="29"/>
        <v>27.881800264367229</v>
      </c>
      <c r="AV40" s="568">
        <f t="shared" si="30"/>
        <v>1.8649381641483154</v>
      </c>
      <c r="AW40" s="560">
        <f t="shared" si="31"/>
        <v>6.6887293735178752E-2</v>
      </c>
      <c r="AX40" s="501">
        <f t="shared" si="32"/>
        <v>5.6223637245501272E-2</v>
      </c>
      <c r="AY40" s="506">
        <f t="shared" si="33"/>
        <v>27.881800264367229</v>
      </c>
      <c r="AZ40" s="507">
        <f t="shared" si="34"/>
        <v>1.8649381641483154</v>
      </c>
      <c r="BA40" s="508">
        <f t="shared" si="35"/>
        <v>6.6887293735178752E-2</v>
      </c>
      <c r="BB40" s="650">
        <f t="shared" si="36"/>
        <v>5.4639857133605849E-2</v>
      </c>
      <c r="BC40" s="501">
        <f t="shared" si="37"/>
        <v>3.2705529529966804E-2</v>
      </c>
      <c r="BD40" s="502">
        <f t="shared" si="38"/>
        <v>7.164929329915784E-2</v>
      </c>
      <c r="BE40" s="501">
        <f t="shared" si="39"/>
        <v>2.0720602888569598E-2</v>
      </c>
      <c r="BF40" s="501">
        <f>BD40/(IF(G40="Grey",STDs!$AC$9,IF(G40="Orange",STDs!$AC$8,IF(G40="Green",STDs!$AC$10,STDs!$AC$11))))</f>
        <v>0.47551938543732564</v>
      </c>
      <c r="BG40" s="501">
        <f>SQRT(((BE40/IF(G40="Grey",STDs!$AC$9,IF(G40="Orange",STDs!$AC$8,IF(G40="Green",STDs!$AC$10,STDs!$AC$11))))^2)+(((BD40*(IF(G40="Grey",STDs!$AD$9,IF(G40="Orange",STDs!$AC$8,IF(G40="Green",STDs!$AC$10,STDs!$AC$11)))))/(IF(G40="Grey",STDs!$AC$9,IF(G40="Orange",STDs!$AC$8,IF(G40="Green",STDs!$AC$10,STDs!$AC$11)))^2))^2))</f>
        <v>0.49500486127440885</v>
      </c>
      <c r="BH40" s="501">
        <f t="shared" si="40"/>
        <v>0.62322330987853947</v>
      </c>
      <c r="BI40" s="501">
        <f t="shared" si="41"/>
        <v>0.64903064093529395</v>
      </c>
      <c r="BJ40" s="520">
        <v>0.05</v>
      </c>
      <c r="BK40" s="504">
        <f t="shared" si="1"/>
        <v>0.61982023475191872</v>
      </c>
      <c r="BL40" s="505">
        <f t="shared" si="42"/>
        <v>0.64548664635811415</v>
      </c>
      <c r="BM40" s="506">
        <f t="shared" si="43"/>
        <v>0.61982023475191872</v>
      </c>
      <c r="BN40" s="507">
        <f t="shared" si="44"/>
        <v>0.64548664635811415</v>
      </c>
      <c r="BO40" s="508">
        <f t="shared" si="45"/>
        <v>1.0414094444923507</v>
      </c>
    </row>
    <row r="41" spans="1:67" x14ac:dyDescent="0.35">
      <c r="A41" s="494">
        <f>Samples!A41</f>
        <v>44</v>
      </c>
      <c r="B41" s="494">
        <f>Samples!B41</f>
        <v>0</v>
      </c>
      <c r="C41" s="495">
        <f>Samples!C41</f>
        <v>44361</v>
      </c>
      <c r="D41" s="496">
        <f>Samples!D41</f>
        <v>0.53125</v>
      </c>
      <c r="E41" s="496" t="str">
        <f>Samples!E41</f>
        <v>SW</v>
      </c>
      <c r="F41" s="526">
        <f>Samples!G41</f>
        <v>200.4</v>
      </c>
      <c r="G41" s="529" t="str">
        <f>Samples!L41</f>
        <v>Grey</v>
      </c>
      <c r="H41" s="530">
        <f>Samples!H41</f>
        <v>44362</v>
      </c>
      <c r="I41" s="531">
        <f>Samples!J41</f>
        <v>0.58133101851851854</v>
      </c>
      <c r="J41" s="532">
        <f>Samples!K41</f>
        <v>97</v>
      </c>
      <c r="K41" s="533">
        <f>H41+I41+(Samples!K41/(60*24))</f>
        <v>44362.648692129631</v>
      </c>
      <c r="L41" s="533">
        <f>Samples!O41</f>
        <v>12.66</v>
      </c>
      <c r="M41" s="534">
        <f>Samples!M41</f>
        <v>0.54600000000000004</v>
      </c>
      <c r="N41" s="534">
        <f>Samples!N41</f>
        <v>4.742</v>
      </c>
      <c r="O41" s="497">
        <f t="shared" si="2"/>
        <v>0.93450237477761844</v>
      </c>
      <c r="P41" s="497">
        <f t="shared" si="3"/>
        <v>0.80926715181779163</v>
      </c>
      <c r="Q41" s="537">
        <f t="shared" si="4"/>
        <v>0.36126924020393125</v>
      </c>
      <c r="R41" s="499">
        <f t="shared" si="5"/>
        <v>1228.02</v>
      </c>
      <c r="S41" s="520">
        <f t="shared" si="46"/>
        <v>0.2211031386890388</v>
      </c>
      <c r="T41" s="545">
        <f t="shared" si="47"/>
        <v>9.3253116275427581E-2</v>
      </c>
      <c r="U41" s="545">
        <f t="shared" si="48"/>
        <v>4.980968642580258E-2</v>
      </c>
      <c r="V41" s="521">
        <f t="shared" si="49"/>
        <v>459.97399999999999</v>
      </c>
      <c r="W41" s="498">
        <f t="shared" si="10"/>
        <v>7.5025768769013249E-2</v>
      </c>
      <c r="X41" s="540">
        <f t="shared" si="11"/>
        <v>0.27481966582056133</v>
      </c>
      <c r="Y41" s="541">
        <f t="shared" si="12"/>
        <v>3.8771412293852003E-2</v>
      </c>
      <c r="Z41" s="499">
        <f t="shared" si="13"/>
        <v>52.962000000000003</v>
      </c>
      <c r="AA41" s="500">
        <f t="shared" si="14"/>
        <v>0.58671658677721639</v>
      </c>
      <c r="AB41" s="500">
        <f t="shared" si="15"/>
        <v>7.119382576718955E-2</v>
      </c>
      <c r="AC41" s="501">
        <f t="shared" si="16"/>
        <v>7.3719999999999999</v>
      </c>
      <c r="AD41" s="500">
        <f t="shared" si="17"/>
        <v>0.43015221472759096</v>
      </c>
      <c r="AE41" s="500">
        <f t="shared" si="18"/>
        <v>4.2844302126042021E-3</v>
      </c>
      <c r="AF41" s="500">
        <f t="shared" si="19"/>
        <v>2.2821986223023221E-3</v>
      </c>
      <c r="AG41" s="520">
        <f t="shared" si="50"/>
        <v>7.9587165867772169</v>
      </c>
      <c r="AH41" s="598">
        <f t="shared" si="21"/>
        <v>0.43600400074130108</v>
      </c>
      <c r="AI41" s="502">
        <f t="shared" si="22"/>
        <v>4.1552834132227838</v>
      </c>
      <c r="AJ41" s="500">
        <f t="shared" si="23"/>
        <v>0.23228249775976079</v>
      </c>
      <c r="AK41" s="522">
        <f t="shared" si="51"/>
        <v>0.54171556978739588</v>
      </c>
      <c r="AL41" s="520">
        <f t="shared" si="52"/>
        <v>7.5060471687387373E-2</v>
      </c>
      <c r="AM41" s="552">
        <f>((((IF(G41="Grey",STDs!$AC$9,IF(G41="Orange",STDs!$AC$8,IF(G41="Green",STDs!$AC$10,IF(G41="Blue",STDs!$AC$11)))))*2)*(M41-AE41))^2*0.01)/((1+(((IF(G41="Grey",STDs!$AC$9,IF(G41="Orange",STDs!$AC$8,IF(G41="Green",STDs!$AC$10,IF(G41="Blue",STDs!$AC$11)))))*2)*(M41-AE41))*0.01))</f>
        <v>2.559663275224375E-4</v>
      </c>
      <c r="AN41" s="557">
        <f>AI41-AM41-IF(G41="Grey",Blanks!$O$7,IF(G41="Orange",Blanks!$O$6,IF(G41="Green",Blanks!$O$8,Blanks!$O$9)))</f>
        <v>4.1243215645423206</v>
      </c>
      <c r="AO41" s="501">
        <f t="shared" si="26"/>
        <v>0.23228249775976079</v>
      </c>
      <c r="AP41" s="501">
        <f>AN41/IF(G41="Grey",STDs!$AF$9,IF(G41="Orange",STDs!$AF$8,IF(G41="Green",STDs!$AF$10,STDs!$AF$11)))</f>
        <v>54.720000629637184</v>
      </c>
      <c r="AQ41" s="501">
        <f>SQRT(((AO41/IF(G41="Grey",STDs!$AF$9,IF(G41="Orange",STDs!$AF$8,IF(G41="Green",STDs!$AF$10,STDs!$AF$11))))^2)+(((AN41*(IF(G41="Grey",STDs!$AG$9,IF(G41="Orange",STDs!$AG$8,IF(G41="Green",STDs!$AG$10,STDs!$AG$11)))))/(IF(G41="Grey",STDs!$AF$9,IF(G41="Orange",STDs!$AF$8,IF(G41="Green",STDs!$AF$10,STDs!$AF$11))))))^2)</f>
        <v>3.1920597700850184</v>
      </c>
      <c r="AR41" s="501">
        <f t="shared" si="27"/>
        <v>27.3053895357471</v>
      </c>
      <c r="AS41" s="500">
        <f t="shared" si="28"/>
        <v>1.7911388842655578</v>
      </c>
      <c r="AT41" s="653">
        <f>'Count 2'!AU41</f>
        <v>3.5767168924696873</v>
      </c>
      <c r="AU41" s="567">
        <f t="shared" si="29"/>
        <v>29.321185951978414</v>
      </c>
      <c r="AV41" s="568">
        <f t="shared" si="30"/>
        <v>1.9233681402938685</v>
      </c>
      <c r="AW41" s="560">
        <f t="shared" si="31"/>
        <v>6.5596532945288027E-2</v>
      </c>
      <c r="AX41" s="501">
        <f t="shared" si="32"/>
        <v>4.980968642580258E-2</v>
      </c>
      <c r="AY41" s="506">
        <f t="shared" si="33"/>
        <v>29.321185951978414</v>
      </c>
      <c r="AZ41" s="507">
        <f t="shared" si="34"/>
        <v>1.9233681402938685</v>
      </c>
      <c r="BA41" s="508">
        <f t="shared" si="35"/>
        <v>6.5596532945288027E-2</v>
      </c>
      <c r="BB41" s="650">
        <f t="shared" si="36"/>
        <v>4.6626558137713797E-2</v>
      </c>
      <c r="BC41" s="501">
        <f t="shared" si="37"/>
        <v>0.10595972703718098</v>
      </c>
      <c r="BD41" s="502">
        <f t="shared" si="38"/>
        <v>0.43575584275021489</v>
      </c>
      <c r="BE41" s="501">
        <f t="shared" si="39"/>
        <v>7.5293816159896929E-2</v>
      </c>
      <c r="BF41" s="501">
        <f>BD41/(IF(G41="Grey",STDs!$AC$9,IF(G41="Orange",STDs!$AC$8,IF(G41="Green",STDs!$AC$10,STDs!$AC$11))))</f>
        <v>2.9485310212608158</v>
      </c>
      <c r="BG41" s="501">
        <f>SQRT(((BE41/IF(G41="Grey",STDs!$AC$9,IF(G41="Orange",STDs!$AC$8,IF(G41="Green",STDs!$AC$10,STDs!$AC$11))))^2)+(((BD41*(IF(G41="Grey",STDs!$AD$9,IF(G41="Orange",STDs!$AC$8,IF(G41="Green",STDs!$AC$10,STDs!$AC$11)))))/(IF(G41="Grey",STDs!$AC$9,IF(G41="Orange",STDs!$AC$8,IF(G41="Green",STDs!$AC$10,STDs!$AC$11)))^2))^2))</f>
        <v>0.52919170649296776</v>
      </c>
      <c r="BH41" s="501">
        <f t="shared" si="40"/>
        <v>1.4713228649006067</v>
      </c>
      <c r="BI41" s="501">
        <f t="shared" si="41"/>
        <v>0.26773134195558518</v>
      </c>
      <c r="BJ41" s="520">
        <v>0.05</v>
      </c>
      <c r="BK41" s="504">
        <f t="shared" si="1"/>
        <v>1.5209408806894</v>
      </c>
      <c r="BL41" s="505">
        <f t="shared" si="42"/>
        <v>0.27676015423684097</v>
      </c>
      <c r="BM41" s="506">
        <f t="shared" si="43"/>
        <v>1.5209408806894</v>
      </c>
      <c r="BN41" s="507">
        <f t="shared" si="44"/>
        <v>0.27676015423684097</v>
      </c>
      <c r="BO41" s="508">
        <f t="shared" si="45"/>
        <v>0.18196641154874693</v>
      </c>
    </row>
    <row r="42" spans="1:67" x14ac:dyDescent="0.35">
      <c r="A42" s="494">
        <f>Samples!A42</f>
        <v>44</v>
      </c>
      <c r="B42" s="494">
        <f>Samples!B42</f>
        <v>1</v>
      </c>
      <c r="C42" s="495">
        <f>Samples!C42</f>
        <v>44361</v>
      </c>
      <c r="D42" s="496">
        <f>Samples!D42</f>
        <v>0.53125</v>
      </c>
      <c r="E42" s="496" t="str">
        <f>Samples!E42</f>
        <v>BW</v>
      </c>
      <c r="F42" s="526">
        <f>Samples!G42</f>
        <v>90.5</v>
      </c>
      <c r="G42" s="529" t="str">
        <f>Samples!L42</f>
        <v>Green</v>
      </c>
      <c r="H42" s="530">
        <f>Samples!H42</f>
        <v>44362</v>
      </c>
      <c r="I42" s="531">
        <f>Samples!J42</f>
        <v>0.58140046296296299</v>
      </c>
      <c r="J42" s="532">
        <f>Samples!K42</f>
        <v>238.73</v>
      </c>
      <c r="K42" s="533">
        <f>H42+I42+(Samples!K42/(60*24))</f>
        <v>44362.747185185188</v>
      </c>
      <c r="L42" s="533">
        <f>Samples!O42</f>
        <v>8.3149999999999995</v>
      </c>
      <c r="M42" s="534">
        <f>Samples!M42</f>
        <v>0.33100000000000002</v>
      </c>
      <c r="N42" s="534">
        <f>Samples!N42</f>
        <v>2.58</v>
      </c>
      <c r="O42" s="497">
        <f t="shared" si="2"/>
        <v>0.92893926801529181</v>
      </c>
      <c r="P42" s="497">
        <f t="shared" si="3"/>
        <v>0.79431176206390186</v>
      </c>
      <c r="Q42" s="537">
        <f t="shared" si="4"/>
        <v>0.18662835486385962</v>
      </c>
      <c r="R42" s="499">
        <f t="shared" si="5"/>
        <v>1985.0399499999999</v>
      </c>
      <c r="S42" s="520">
        <f t="shared" si="46"/>
        <v>0.10395762615938368</v>
      </c>
      <c r="T42" s="545">
        <f t="shared" si="47"/>
        <v>8.058730710029742E-2</v>
      </c>
      <c r="U42" s="545">
        <f t="shared" si="48"/>
        <v>4.2944811082860516E-2</v>
      </c>
      <c r="V42" s="521">
        <f t="shared" si="49"/>
        <v>615.92340000000002</v>
      </c>
      <c r="W42" s="498">
        <f t="shared" si="10"/>
        <v>3.7235783615386014E-2</v>
      </c>
      <c r="X42" s="540">
        <f t="shared" si="11"/>
        <v>0.22498962909598796</v>
      </c>
      <c r="Y42" s="541">
        <f t="shared" si="12"/>
        <v>3.9155421767981757E-2</v>
      </c>
      <c r="Z42" s="499">
        <f t="shared" si="13"/>
        <v>79.019630000000006</v>
      </c>
      <c r="AA42" s="500">
        <f t="shared" si="14"/>
        <v>0.30871512537528006</v>
      </c>
      <c r="AB42" s="500">
        <f t="shared" si="15"/>
        <v>2.5483714091540152E-2</v>
      </c>
      <c r="AC42" s="501">
        <f t="shared" si="16"/>
        <v>5.403999999999999</v>
      </c>
      <c r="AD42" s="500">
        <f t="shared" si="17"/>
        <v>0.2168497969963005</v>
      </c>
      <c r="AE42" s="500">
        <f t="shared" si="18"/>
        <v>2.4156039613833472E-3</v>
      </c>
      <c r="AF42" s="500">
        <f t="shared" si="19"/>
        <v>6.1412997660378215E-4</v>
      </c>
      <c r="AG42" s="520">
        <f t="shared" si="50"/>
        <v>5.7127151253752793</v>
      </c>
      <c r="AH42" s="598">
        <f t="shared" si="21"/>
        <v>0.21834205765549636</v>
      </c>
      <c r="AI42" s="502">
        <f t="shared" si="22"/>
        <v>2.2712848746247198</v>
      </c>
      <c r="AJ42" s="500">
        <f t="shared" si="23"/>
        <v>0.10703554419254165</v>
      </c>
      <c r="AK42" s="522">
        <f t="shared" si="51"/>
        <v>0.32858439603861667</v>
      </c>
      <c r="AL42" s="520">
        <f t="shared" si="52"/>
        <v>3.724084769550786E-2</v>
      </c>
      <c r="AM42" s="552">
        <f>((((IF(G42="Grey",STDs!$AC$9,IF(G42="Orange",STDs!$AC$8,IF(G42="Green",STDs!$AC$10,IF(G42="Blue",STDs!$AC$11)))))*2)*(M42-AE42))^2*0.01)/((1+(((IF(G42="Grey",STDs!$AC$9,IF(G42="Orange",STDs!$AC$8,IF(G42="Green",STDs!$AC$10,IF(G42="Blue",STDs!$AC$11)))))*2)*(M42-AE42))*0.01))</f>
        <v>1.2518213928000538E-4</v>
      </c>
      <c r="AN42" s="557">
        <f>AI42-AM42-IF(G42="Grey",Blanks!$O$7,IF(G42="Orange",Blanks!$O$6,IF(G42="Green",Blanks!$O$8,Blanks!$O$9)))</f>
        <v>2.2428869652127128</v>
      </c>
      <c r="AO42" s="501">
        <f t="shared" si="26"/>
        <v>0.10703554419254165</v>
      </c>
      <c r="AP42" s="501">
        <f>AN42/IF(G42="Grey",STDs!$AF$9,IF(G42="Orange",STDs!$AF$8,IF(G42="Green",STDs!$AF$10,STDs!$AF$11)))</f>
        <v>28.363700780739315</v>
      </c>
      <c r="AQ42" s="501">
        <f>SQRT(((AO42/IF(G42="Grey",STDs!$AF$9,IF(G42="Orange",STDs!$AF$8,IF(G42="Green",STDs!$AF$10,STDs!$AF$11))))^2)+(((AN42*(IF(G42="Grey",STDs!$AG$9,IF(G42="Orange",STDs!$AG$8,IF(G42="Green",STDs!$AG$10,STDs!$AG$11)))))/(IF(G42="Grey",STDs!$AF$9,IF(G42="Orange",STDs!$AF$8,IF(G42="Green",STDs!$AF$10,STDs!$AF$11))))))^2)</f>
        <v>1.8735672409164368</v>
      </c>
      <c r="AR42" s="501">
        <f t="shared" si="27"/>
        <v>31.341105835071065</v>
      </c>
      <c r="AS42" s="500">
        <f t="shared" si="28"/>
        <v>2.273748505940369</v>
      </c>
      <c r="AT42" s="653">
        <f>'Count 2'!AU42</f>
        <v>1.7138070208635869</v>
      </c>
      <c r="AU42" s="567">
        <f t="shared" si="29"/>
        <v>37.29933286802315</v>
      </c>
      <c r="AV42" s="568">
        <f t="shared" si="30"/>
        <v>2.7060086146142788</v>
      </c>
      <c r="AW42" s="560">
        <f t="shared" si="31"/>
        <v>7.2548445415605525E-2</v>
      </c>
      <c r="AX42" s="501">
        <f t="shared" si="32"/>
        <v>4.2944811082860516E-2</v>
      </c>
      <c r="AY42" s="506">
        <f t="shared" si="33"/>
        <v>37.29933286802315</v>
      </c>
      <c r="AZ42" s="507">
        <f t="shared" si="34"/>
        <v>2.7060086146142788</v>
      </c>
      <c r="BA42" s="508">
        <f t="shared" si="35"/>
        <v>7.2548445415605525E-2</v>
      </c>
      <c r="BB42" s="650">
        <f t="shared" si="36"/>
        <v>4.029365355014871E-2</v>
      </c>
      <c r="BC42" s="501">
        <f t="shared" si="37"/>
        <v>5.7917764302930351E-2</v>
      </c>
      <c r="BD42" s="502">
        <f t="shared" si="38"/>
        <v>0.27066663173568634</v>
      </c>
      <c r="BE42" s="501">
        <f t="shared" si="39"/>
        <v>3.7340733740117225E-2</v>
      </c>
      <c r="BF42" s="501">
        <f>BD42/(IF(G42="Grey",STDs!$AC$9,IF(G42="Orange",STDs!$AC$8,IF(G42="Green",STDs!$AC$10,STDs!$AC$11))))</f>
        <v>1.5889034587434179</v>
      </c>
      <c r="BG42" s="501">
        <f>SQRT(((BE42/IF(G42="Grey",STDs!$AC$9,IF(G42="Orange",STDs!$AC$8,IF(G42="Green",STDs!$AC$10,STDs!$AC$11))))^2)+(((BD42*(IF(G42="Grey",STDs!$AD$9,IF(G42="Orange",STDs!$AC$8,IF(G42="Green",STDs!$AC$10,STDs!$AC$11)))))/(IF(G42="Grey",STDs!$AC$9,IF(G42="Orange",STDs!$AC$8,IF(G42="Green",STDs!$AC$10,STDs!$AC$11)))^2))^2))</f>
        <v>1.6039526075974615</v>
      </c>
      <c r="BH42" s="501">
        <f t="shared" si="40"/>
        <v>1.755694429550738</v>
      </c>
      <c r="BI42" s="501">
        <f t="shared" si="41"/>
        <v>1.7731058002818247</v>
      </c>
      <c r="BJ42" s="520">
        <v>0.05</v>
      </c>
      <c r="BK42" s="504">
        <f t="shared" si="1"/>
        <v>1.8361743208412409</v>
      </c>
      <c r="BL42" s="505">
        <f t="shared" si="42"/>
        <v>1.8543838174876759</v>
      </c>
      <c r="BM42" s="506">
        <f t="shared" si="43"/>
        <v>1.8361743208412409</v>
      </c>
      <c r="BN42" s="507">
        <f t="shared" si="44"/>
        <v>1.8543838174876759</v>
      </c>
      <c r="BO42" s="508">
        <f t="shared" si="45"/>
        <v>1.0099170849084156</v>
      </c>
    </row>
    <row r="43" spans="1:67" s="673" customFormat="1" x14ac:dyDescent="0.35">
      <c r="A43" s="623">
        <f>Samples!A43</f>
        <v>44</v>
      </c>
      <c r="B43" s="623">
        <f>Samples!B43</f>
        <v>0</v>
      </c>
      <c r="C43" s="624">
        <f>Samples!C43</f>
        <v>44361</v>
      </c>
      <c r="D43" s="625">
        <f>Samples!D43</f>
        <v>0.53125</v>
      </c>
      <c r="E43" s="625" t="str">
        <f>Samples!E43</f>
        <v>BW-eff</v>
      </c>
      <c r="F43" s="656">
        <f>Samples!G43</f>
        <v>90.5</v>
      </c>
      <c r="G43" s="657" t="str">
        <f>Samples!L43</f>
        <v>Green</v>
      </c>
      <c r="H43" s="624">
        <f>Samples!H43</f>
        <v>44362</v>
      </c>
      <c r="I43" s="625">
        <f>Samples!J43</f>
        <v>0.8932754629629629</v>
      </c>
      <c r="J43" s="628">
        <f>Samples!K43</f>
        <v>462.6</v>
      </c>
      <c r="K43" s="630">
        <f>H43+I43+(Samples!K43/(60*24))</f>
        <v>44363.214525462965</v>
      </c>
      <c r="L43" s="630">
        <f>Samples!O43</f>
        <v>1.36</v>
      </c>
      <c r="M43" s="631">
        <f>Samples!M43</f>
        <v>8.9999999999999993E-3</v>
      </c>
      <c r="N43" s="631">
        <f>Samples!N43</f>
        <v>0.106</v>
      </c>
      <c r="O43" s="632">
        <f t="shared" si="2"/>
        <v>0.90299088181929155</v>
      </c>
      <c r="P43" s="632">
        <f t="shared" si="3"/>
        <v>0.72703094226352971</v>
      </c>
      <c r="Q43" s="658">
        <f t="shared" si="4"/>
        <v>5.42208897513696E-2</v>
      </c>
      <c r="R43" s="634">
        <f t="shared" si="5"/>
        <v>629.13600000000008</v>
      </c>
      <c r="S43" s="670">
        <f t="shared" si="46"/>
        <v>1.5137359263823327E-2</v>
      </c>
      <c r="T43" s="670">
        <f t="shared" si="47"/>
        <v>0.28561055214760994</v>
      </c>
      <c r="U43" s="670">
        <f t="shared" si="48"/>
        <v>0.15471872459405464</v>
      </c>
      <c r="V43" s="671">
        <f t="shared" si="49"/>
        <v>49.035600000000002</v>
      </c>
      <c r="W43" s="635">
        <f t="shared" si="10"/>
        <v>4.4108109139123081E-3</v>
      </c>
      <c r="X43" s="636">
        <f t="shared" si="11"/>
        <v>0.98018020309162424</v>
      </c>
      <c r="Y43" s="637">
        <f t="shared" si="12"/>
        <v>0.4235693379435726</v>
      </c>
      <c r="Z43" s="634">
        <f t="shared" si="13"/>
        <v>4.1634000000000002</v>
      </c>
      <c r="AA43" s="636">
        <f t="shared" si="14"/>
        <v>1.569566097919093E-2</v>
      </c>
      <c r="AB43" s="636">
        <f t="shared" si="15"/>
        <v>1.4327236291542E-3</v>
      </c>
      <c r="AC43" s="640">
        <f t="shared" si="16"/>
        <v>1.2450000000000001</v>
      </c>
      <c r="AD43" s="636">
        <f t="shared" si="17"/>
        <v>5.646680249341663E-2</v>
      </c>
      <c r="AE43" s="636">
        <f t="shared" si="18"/>
        <v>1.405566608709082E-4</v>
      </c>
      <c r="AF43" s="636">
        <f t="shared" si="19"/>
        <v>8.4326439252130114E-6</v>
      </c>
      <c r="AG43" s="670">
        <f t="shared" si="50"/>
        <v>1.2606956609791911</v>
      </c>
      <c r="AH43" s="641">
        <f t="shared" si="21"/>
        <v>5.6484975708838356E-2</v>
      </c>
      <c r="AI43" s="661">
        <f t="shared" si="22"/>
        <v>9.030433902080906E-2</v>
      </c>
      <c r="AJ43" s="636">
        <f t="shared" si="23"/>
        <v>1.5205010439969935E-2</v>
      </c>
      <c r="AK43" s="672">
        <f t="shared" si="51"/>
        <v>8.859443339129091E-3</v>
      </c>
      <c r="AL43" s="670">
        <f t="shared" si="52"/>
        <v>4.4108189747224377E-3</v>
      </c>
      <c r="AM43" s="638">
        <f>((((IF(G43="Grey",STDs!$AC$9,IF(G43="Orange",STDs!$AC$8,IF(G43="Green",STDs!$AC$10,IF(G43="Blue",STDs!$AC$11)))))*2)*(M43-AE43))^2*0.01)/((1+(((IF(G43="Grey",STDs!$AC$9,IF(G43="Orange",STDs!$AC$8,IF(G43="Green",STDs!$AC$10,IF(G43="Blue",STDs!$AC$11)))))*2)*(M43-AE43))*0.01))</f>
        <v>9.110331265551427E-8</v>
      </c>
      <c r="AN43" s="663">
        <f>AI43-AM43-IF(G43="Grey",Blanks!$O$7,IF(G43="Orange",Blanks!$O$6,IF(G43="Green",Blanks!$O$8,Blanks!$O$9)))</f>
        <v>6.2031520644769134E-2</v>
      </c>
      <c r="AO43" s="640">
        <f t="shared" si="26"/>
        <v>1.5205010439969935E-2</v>
      </c>
      <c r="AP43" s="640">
        <f>AN43/IF(G43="Grey",STDs!$AF$9,IF(G43="Orange",STDs!$AF$8,IF(G43="Green",STDs!$AF$10,STDs!$AF$11)))</f>
        <v>0.78445481998493027</v>
      </c>
      <c r="AQ43" s="640">
        <f>SQRT(((AO43/IF(G43="Grey",STDs!$AF$9,IF(G43="Orange",STDs!$AF$8,IF(G43="Green",STDs!$AF$10,STDs!$AF$11))))^2)+(((AN43*(IF(G43="Grey",STDs!$AG$9,IF(G43="Orange",STDs!$AG$8,IF(G43="Green",STDs!$AG$10,STDs!$AG$11)))))/(IF(G43="Grey",STDs!$AF$9,IF(G43="Orange",STDs!$AF$8,IF(G43="Green",STDs!$AF$10,STDs!$AF$11))))))^2)</f>
        <v>0.19559283975264927</v>
      </c>
      <c r="AR43" s="640">
        <f t="shared" si="27"/>
        <v>0.86680090606069649</v>
      </c>
      <c r="AS43" s="636">
        <f t="shared" si="28"/>
        <v>0.2176834601289297</v>
      </c>
      <c r="AT43" s="664">
        <f>'Count 2'!AU43</f>
        <v>0.86680090606069649</v>
      </c>
      <c r="AU43" s="665">
        <f t="shared" si="29"/>
        <v>0</v>
      </c>
      <c r="AV43" s="666">
        <f t="shared" si="30"/>
        <v>0</v>
      </c>
      <c r="AW43" s="640" t="e">
        <f t="shared" si="31"/>
        <v>#DIV/0!</v>
      </c>
      <c r="AX43" s="640">
        <f t="shared" si="32"/>
        <v>0.15471872459405464</v>
      </c>
      <c r="AY43" s="667">
        <f t="shared" si="33"/>
        <v>0</v>
      </c>
      <c r="AZ43" s="668">
        <f t="shared" si="34"/>
        <v>0</v>
      </c>
      <c r="BA43" s="130" t="e">
        <f t="shared" si="35"/>
        <v>#DIV/0!</v>
      </c>
      <c r="BB43" s="669">
        <f t="shared" si="36"/>
        <v>0.14280527607380497</v>
      </c>
      <c r="BC43" s="640">
        <f t="shared" si="37"/>
        <v>2.302760645030631E-3</v>
      </c>
      <c r="BD43" s="661">
        <f t="shared" si="38"/>
        <v>6.5566826940984604E-3</v>
      </c>
      <c r="BE43" s="640">
        <f t="shared" si="39"/>
        <v>4.4278275540572771E-3</v>
      </c>
      <c r="BF43" s="640">
        <f>BD43/(IF(G43="Grey",STDs!$AC$9,IF(G43="Orange",STDs!$AC$8,IF(G43="Green",STDs!$AC$10,STDs!$AC$11))))</f>
        <v>3.8489915597389061E-2</v>
      </c>
      <c r="BG43" s="640">
        <f>SQRT(((BE43/IF(G43="Grey",STDs!$AC$9,IF(G43="Orange",STDs!$AC$8,IF(G43="Green",STDs!$AC$10,STDs!$AC$11))))^2)+(((BD43*(IF(G43="Grey",STDs!$AD$9,IF(G43="Orange",STDs!$AC$8,IF(G43="Green",STDs!$AC$10,STDs!$AC$11)))))/(IF(G43="Grey",STDs!$AC$9,IF(G43="Orange",STDs!$AC$8,IF(G43="Green",STDs!$AC$10,STDs!$AC$11)))^2))^2))</f>
        <v>4.6444596863999703E-2</v>
      </c>
      <c r="BH43" s="640">
        <f t="shared" si="40"/>
        <v>4.2530293477777967E-2</v>
      </c>
      <c r="BI43" s="640">
        <f t="shared" si="41"/>
        <v>5.1335854795741986E-2</v>
      </c>
      <c r="BJ43" s="670">
        <v>0.05</v>
      </c>
      <c r="BK43" s="665">
        <f t="shared" si="1"/>
        <v>-8.2721837757348364E-3</v>
      </c>
      <c r="BL43" s="666">
        <f t="shared" si="42"/>
        <v>-9.9848740845557629E-3</v>
      </c>
      <c r="BM43" s="667">
        <f t="shared" si="43"/>
        <v>-8.2721837757348364E-3</v>
      </c>
      <c r="BN43" s="668">
        <f t="shared" si="44"/>
        <v>-9.9848740845557629E-3</v>
      </c>
      <c r="BO43" s="130">
        <f t="shared" si="45"/>
        <v>1.2070421010041916</v>
      </c>
    </row>
    <row r="44" spans="1:67" x14ac:dyDescent="0.35">
      <c r="A44" s="494">
        <f>Samples!A44</f>
        <v>45</v>
      </c>
      <c r="B44" s="494">
        <f>Samples!B44</f>
        <v>0</v>
      </c>
      <c r="C44" s="495">
        <f>Samples!C44</f>
        <v>44361</v>
      </c>
      <c r="D44" s="496">
        <f>Samples!D44</f>
        <v>0.79861111111111116</v>
      </c>
      <c r="E44" s="496" t="str">
        <f>Samples!E44</f>
        <v>SW</v>
      </c>
      <c r="F44" s="526">
        <f>Samples!G44</f>
        <v>200.1</v>
      </c>
      <c r="G44" s="529" t="str">
        <f>Samples!L44</f>
        <v>Green</v>
      </c>
      <c r="H44" s="530">
        <f>Samples!H44</f>
        <v>44362</v>
      </c>
      <c r="I44" s="531">
        <f>Samples!J44</f>
        <v>0.31128472222222225</v>
      </c>
      <c r="J44" s="532">
        <f>Samples!K44</f>
        <v>246.88</v>
      </c>
      <c r="K44" s="533">
        <f>H44+I44+(Samples!K44/(60*24))</f>
        <v>44362.482729166666</v>
      </c>
      <c r="L44" s="533">
        <f>Samples!O44</f>
        <v>3.3210000000000002</v>
      </c>
      <c r="M44" s="534">
        <f>Samples!M44</f>
        <v>7.2999999999999995E-2</v>
      </c>
      <c r="N44" s="534">
        <f>Samples!N44</f>
        <v>0.82199999999999995</v>
      </c>
      <c r="O44" s="497">
        <f t="shared" si="2"/>
        <v>0.95937589096023645</v>
      </c>
      <c r="P44" s="497">
        <f t="shared" si="3"/>
        <v>0.8784807014826681</v>
      </c>
      <c r="Q44" s="537">
        <f t="shared" si="4"/>
        <v>0.1159822376728694</v>
      </c>
      <c r="R44" s="499">
        <f t="shared" si="5"/>
        <v>819.88848000000007</v>
      </c>
      <c r="S44" s="520">
        <f t="shared" ref="S44:S50" si="53">SQRT(V44)/J44</f>
        <v>5.7702277417649717E-2</v>
      </c>
      <c r="T44" s="545">
        <f t="shared" ref="T44:T50" si="54">2/SQRT(V44)</f>
        <v>0.14039483556605772</v>
      </c>
      <c r="U44" s="545">
        <f t="shared" ref="U44:U50" si="55">SQRT((N44*J44)-(AA44*J44))/((N44*J44)-(AA44*J44))</f>
        <v>7.2923956142952329E-2</v>
      </c>
      <c r="V44" s="521">
        <f t="shared" ref="V44:V50" si="56">J44*N44</f>
        <v>202.93535999999997</v>
      </c>
      <c r="W44" s="498">
        <f t="shared" si="10"/>
        <v>1.7195645200721203E-2</v>
      </c>
      <c r="X44" s="540">
        <f t="shared" si="11"/>
        <v>0.47111356714304675</v>
      </c>
      <c r="Y44" s="541">
        <f t="shared" si="12"/>
        <v>0.12972248709812201</v>
      </c>
      <c r="Z44" s="499">
        <f t="shared" si="13"/>
        <v>18.02224</v>
      </c>
      <c r="AA44" s="500">
        <f t="shared" si="14"/>
        <v>6.0318076536782339E-2</v>
      </c>
      <c r="AB44" s="500">
        <f t="shared" si="15"/>
        <v>6.5789974437076388E-3</v>
      </c>
      <c r="AC44" s="501">
        <f t="shared" si="16"/>
        <v>2.4260000000000002</v>
      </c>
      <c r="AD44" s="500">
        <f t="shared" si="17"/>
        <v>0.13067946467849667</v>
      </c>
      <c r="AE44" s="500">
        <f t="shared" si="18"/>
        <v>5.2058447252575349E-4</v>
      </c>
      <c r="AF44" s="500">
        <f t="shared" si="19"/>
        <v>7.4170421721308661E-5</v>
      </c>
      <c r="AG44" s="520">
        <f t="shared" ref="AG44:AG50" si="57">L44-AI44-M44</f>
        <v>2.4863180765367825</v>
      </c>
      <c r="AH44" s="598">
        <f t="shared" si="21"/>
        <v>0.13084496817234803</v>
      </c>
      <c r="AI44" s="502">
        <f t="shared" si="22"/>
        <v>0.76168192346321761</v>
      </c>
      <c r="AJ44" s="500">
        <f t="shared" si="23"/>
        <v>5.8076122688655106E-2</v>
      </c>
      <c r="AK44" s="522">
        <f t="shared" ref="AK44:AK50" si="58">M44-AE44</f>
        <v>7.2479415527474236E-2</v>
      </c>
      <c r="AL44" s="520">
        <f t="shared" ref="AL44:AL50" si="59">SQRT((W44^2)+(AF44^2))</f>
        <v>1.7195805160577518E-2</v>
      </c>
      <c r="AM44" s="552">
        <f>((((IF(G44="Grey",STDs!$AC$9,IF(G44="Orange",STDs!$AC$8,IF(G44="Green",STDs!$AC$10,IF(G44="Blue",STDs!$AC$11)))))*2)*(M44-AE44))^2*0.01)/((1+(((IF(G44="Grey",STDs!$AC$9,IF(G44="Orange",STDs!$AC$8,IF(G44="Green",STDs!$AC$10,IF(G44="Blue",STDs!$AC$11)))))*2)*(M44-AE44))*0.01))</f>
        <v>6.0961626172386536E-6</v>
      </c>
      <c r="AN44" s="557">
        <f>AI44-AM44-IF(G44="Grey",Blanks!$O$7,IF(G44="Orange",Blanks!$O$6,IF(G44="Green",Blanks!$O$8,Blanks!$O$9)))</f>
        <v>0.73340310002787312</v>
      </c>
      <c r="AO44" s="501">
        <f t="shared" si="26"/>
        <v>5.8076122688655106E-2</v>
      </c>
      <c r="AP44" s="501">
        <f>AN44/IF(G44="Grey",STDs!$AF$9,IF(G44="Orange",STDs!$AF$8,IF(G44="Green",STDs!$AF$10,STDs!$AF$11)))</f>
        <v>9.2746653770331129</v>
      </c>
      <c r="AQ44" s="501">
        <f>SQRT(((AO44/IF(G44="Grey",STDs!$AF$9,IF(G44="Orange",STDs!$AF$8,IF(G44="Green",STDs!$AF$10,STDs!$AF$11))))^2)+(((AN44*(IF(G44="Grey",STDs!$AG$9,IF(G44="Orange",STDs!$AG$8,IF(G44="Green",STDs!$AG$10,STDs!$AG$11)))))/(IF(G44="Grey",STDs!$AF$9,IF(G44="Orange",STDs!$AF$8,IF(G44="Green",STDs!$AF$10,STDs!$AF$11))))))^2)</f>
        <v>0.84783206129082611</v>
      </c>
      <c r="AR44" s="501">
        <f t="shared" si="27"/>
        <v>4.6350151809260938</v>
      </c>
      <c r="AS44" s="500">
        <f t="shared" si="28"/>
        <v>0.44593750692289047</v>
      </c>
      <c r="AT44" s="653">
        <f>'Count 2'!AU44</f>
        <v>5.3522105827857231</v>
      </c>
      <c r="AU44" s="567">
        <f t="shared" si="29"/>
        <v>-0.81640427689438455</v>
      </c>
      <c r="AV44" s="568">
        <f t="shared" si="30"/>
        <v>-7.8546730413669399E-2</v>
      </c>
      <c r="AW44" s="560">
        <f t="shared" si="31"/>
        <v>9.6210581738330025E-2</v>
      </c>
      <c r="AX44" s="501">
        <f t="shared" si="32"/>
        <v>7.2923956142952329E-2</v>
      </c>
      <c r="AY44" s="506">
        <f t="shared" si="33"/>
        <v>-0.81640427689438455</v>
      </c>
      <c r="AZ44" s="507">
        <f t="shared" si="34"/>
        <v>-7.8546730413669399E-2</v>
      </c>
      <c r="BA44" s="508">
        <f t="shared" si="35"/>
        <v>9.6210581738330025E-2</v>
      </c>
      <c r="BB44" s="650">
        <f t="shared" si="36"/>
        <v>7.0197417783028862E-2</v>
      </c>
      <c r="BC44" s="501">
        <f t="shared" si="37"/>
        <v>1.9422889048312048E-2</v>
      </c>
      <c r="BD44" s="502">
        <f t="shared" si="38"/>
        <v>5.3056526479162189E-2</v>
      </c>
      <c r="BE44" s="501">
        <f t="shared" si="39"/>
        <v>1.7259458327155204E-2</v>
      </c>
      <c r="BF44" s="501">
        <f>BD44/(IF(G44="Grey",STDs!$AC$9,IF(G44="Orange",STDs!$AC$8,IF(G44="Green",STDs!$AC$10,STDs!$AC$11))))</f>
        <v>0.31145951715974929</v>
      </c>
      <c r="BG44" s="501">
        <f>SQRT(((BE44/IF(G44="Grey",STDs!$AC$9,IF(G44="Orange",STDs!$AC$8,IF(G44="Green",STDs!$AC$10,STDs!$AC$11))))^2)+(((BD44*(IF(G44="Grey",STDs!$AD$9,IF(G44="Orange",STDs!$AC$8,IF(G44="Green",STDs!$AC$10,STDs!$AC$11)))))/(IF(G44="Grey",STDs!$AC$9,IF(G44="Orange",STDs!$AC$8,IF(G44="Green",STDs!$AC$10,STDs!$AC$11)))^2))^2))</f>
        <v>0.32752484806244708</v>
      </c>
      <c r="BH44" s="501">
        <f t="shared" si="40"/>
        <v>0.15565193261356786</v>
      </c>
      <c r="BI44" s="501">
        <f t="shared" si="41"/>
        <v>0.16374717788398474</v>
      </c>
      <c r="BJ44" s="520">
        <v>0.05</v>
      </c>
      <c r="BK44" s="504">
        <f t="shared" si="1"/>
        <v>0.11012569067982431</v>
      </c>
      <c r="BL44" s="505">
        <f t="shared" si="42"/>
        <v>0.11585317803997502</v>
      </c>
      <c r="BM44" s="506">
        <f t="shared" si="43"/>
        <v>0.11012569067982431</v>
      </c>
      <c r="BN44" s="507">
        <f t="shared" si="44"/>
        <v>0.11585317803997502</v>
      </c>
      <c r="BO44" s="508">
        <f t="shared" si="45"/>
        <v>1.0520086396261761</v>
      </c>
    </row>
    <row r="45" spans="1:67" x14ac:dyDescent="0.35">
      <c r="A45" s="494">
        <f>Samples!A45</f>
        <v>45</v>
      </c>
      <c r="B45" s="494">
        <f>Samples!B45</f>
        <v>1</v>
      </c>
      <c r="C45" s="495">
        <f>Samples!C45</f>
        <v>44361</v>
      </c>
      <c r="D45" s="496">
        <f>Samples!D45</f>
        <v>0.79861111111111116</v>
      </c>
      <c r="E45" s="496" t="str">
        <f>Samples!E45</f>
        <v>BW</v>
      </c>
      <c r="F45" s="526">
        <f>Samples!G45</f>
        <v>104</v>
      </c>
      <c r="G45" s="529" t="str">
        <f>Samples!L45</f>
        <v>Grey</v>
      </c>
      <c r="H45" s="530">
        <f>Samples!H45</f>
        <v>44362</v>
      </c>
      <c r="I45" s="531">
        <f>Samples!J45</f>
        <v>0.76136574074074059</v>
      </c>
      <c r="J45" s="532">
        <f>Samples!K45</f>
        <v>189.77</v>
      </c>
      <c r="K45" s="533">
        <f>H45+I45+(Samples!K45/(60*24))</f>
        <v>44362.893150462965</v>
      </c>
      <c r="L45" s="533">
        <f>Samples!O45</f>
        <v>7.8730000000000002</v>
      </c>
      <c r="M45" s="534">
        <f>Samples!M45</f>
        <v>0.34799999999999998</v>
      </c>
      <c r="N45" s="534">
        <f>Samples!N45</f>
        <v>2.74</v>
      </c>
      <c r="O45" s="497">
        <f t="shared" si="2"/>
        <v>0.93580074146581749</v>
      </c>
      <c r="P45" s="497">
        <f t="shared" si="3"/>
        <v>0.81278491540437814</v>
      </c>
      <c r="Q45" s="537">
        <f t="shared" si="4"/>
        <v>0.20368373348683755</v>
      </c>
      <c r="R45" s="499">
        <f t="shared" si="5"/>
        <v>1494.0592100000001</v>
      </c>
      <c r="S45" s="520">
        <f t="shared" si="53"/>
        <v>0.12016043796998249</v>
      </c>
      <c r="T45" s="545">
        <f t="shared" si="54"/>
        <v>8.7708348883198894E-2</v>
      </c>
      <c r="U45" s="545">
        <f t="shared" si="55"/>
        <v>4.5915247469422646E-2</v>
      </c>
      <c r="V45" s="521">
        <f t="shared" si="56"/>
        <v>519.96980000000008</v>
      </c>
      <c r="W45" s="498">
        <f t="shared" si="10"/>
        <v>4.2822877169623727E-2</v>
      </c>
      <c r="X45" s="540">
        <f t="shared" si="11"/>
        <v>0.24610848948059616</v>
      </c>
      <c r="Y45" s="541">
        <f t="shared" si="12"/>
        <v>4.3977323846157955E-2</v>
      </c>
      <c r="Z45" s="499">
        <f t="shared" si="13"/>
        <v>66.039959999999994</v>
      </c>
      <c r="AA45" s="500">
        <f t="shared" si="14"/>
        <v>0.24046867615396733</v>
      </c>
      <c r="AB45" s="500">
        <f t="shared" si="15"/>
        <v>2.4762568720083821E-2</v>
      </c>
      <c r="AC45" s="501">
        <f t="shared" si="16"/>
        <v>4.7850000000000001</v>
      </c>
      <c r="AD45" s="500">
        <f t="shared" si="17"/>
        <v>0.24033183923350596</v>
      </c>
      <c r="AE45" s="500">
        <f t="shared" si="18"/>
        <v>1.9215192542808152E-3</v>
      </c>
      <c r="AF45" s="500">
        <f t="shared" si="19"/>
        <v>5.3279545777953408E-4</v>
      </c>
      <c r="AG45" s="520">
        <f t="shared" si="57"/>
        <v>5.0254686761539675</v>
      </c>
      <c r="AH45" s="598">
        <f t="shared" si="21"/>
        <v>0.24160417578960972</v>
      </c>
      <c r="AI45" s="502">
        <f t="shared" si="22"/>
        <v>2.4995313238460328</v>
      </c>
      <c r="AJ45" s="500">
        <f t="shared" si="23"/>
        <v>0.12268543378394553</v>
      </c>
      <c r="AK45" s="522">
        <f t="shared" si="58"/>
        <v>0.34607848074571917</v>
      </c>
      <c r="AL45" s="520">
        <f t="shared" si="59"/>
        <v>4.2826191519729037E-2</v>
      </c>
      <c r="AM45" s="552">
        <f>((((IF(G45="Grey",STDs!$AC$9,IF(G45="Orange",STDs!$AC$8,IF(G45="Green",STDs!$AC$10,IF(G45="Blue",STDs!$AC$11)))))*2)*(M45-AE45))^2*0.01)/((1+(((IF(G45="Grey",STDs!$AC$9,IF(G45="Orange",STDs!$AC$8,IF(G45="Green",STDs!$AC$10,IF(G45="Blue",STDs!$AC$11)))))*2)*(M45-AE45))*0.01))</f>
        <v>1.0452981840590912E-4</v>
      </c>
      <c r="AN45" s="557">
        <f>AI45-AM45-IF(G45="Grey",Blanks!$O$7,IF(G45="Orange",Blanks!$O$6,IF(G45="Green",Blanks!$O$8,Blanks!$O$9)))</f>
        <v>2.4687209116746858</v>
      </c>
      <c r="AO45" s="501">
        <f t="shared" si="26"/>
        <v>0.12268543378394553</v>
      </c>
      <c r="AP45" s="501">
        <f>AN45/IF(G45="Grey",STDs!$AF$9,IF(G45="Orange",STDs!$AF$8,IF(G45="Green",STDs!$AF$10,STDs!$AF$11)))</f>
        <v>32.754092455501386</v>
      </c>
      <c r="AQ45" s="501">
        <f>SQRT(((AO45/IF(G45="Grey",STDs!$AF$9,IF(G45="Orange",STDs!$AF$8,IF(G45="Green",STDs!$AF$10,STDs!$AF$11))))^2)+(((AN45*(IF(G45="Grey",STDs!$AG$9,IF(G45="Orange",STDs!$AG$8,IF(G45="Green",STDs!$AG$10,STDs!$AG$11)))))/(IF(G45="Grey",STDs!$AF$9,IF(G45="Orange",STDs!$AF$8,IF(G45="Green",STDs!$AF$10,STDs!$AF$11))))))^2)</f>
        <v>1.7021514262961404</v>
      </c>
      <c r="AR45" s="501">
        <f t="shared" si="27"/>
        <v>31.494319668751331</v>
      </c>
      <c r="AS45" s="500">
        <f t="shared" si="28"/>
        <v>1.8898247746229846</v>
      </c>
      <c r="AT45" s="653">
        <f>'Count 2'!AU45</f>
        <v>5.1942512703890431</v>
      </c>
      <c r="AU45" s="567">
        <f t="shared" si="29"/>
        <v>32.357968141273183</v>
      </c>
      <c r="AV45" s="568">
        <f t="shared" si="30"/>
        <v>1.9416482239657087</v>
      </c>
      <c r="AW45" s="560">
        <f t="shared" si="31"/>
        <v>6.0005257916336867E-2</v>
      </c>
      <c r="AX45" s="501">
        <f t="shared" si="32"/>
        <v>4.5915247469422646E-2</v>
      </c>
      <c r="AY45" s="506">
        <f t="shared" si="33"/>
        <v>32.357968141273183</v>
      </c>
      <c r="AZ45" s="507">
        <f t="shared" si="34"/>
        <v>1.9416482239657087</v>
      </c>
      <c r="BA45" s="508">
        <f t="shared" si="35"/>
        <v>6.0005257916336867E-2</v>
      </c>
      <c r="BB45" s="650">
        <f t="shared" si="36"/>
        <v>4.385417444159944E-2</v>
      </c>
      <c r="BC45" s="501">
        <f t="shared" si="37"/>
        <v>6.3738048758073831E-2</v>
      </c>
      <c r="BD45" s="502">
        <f t="shared" si="38"/>
        <v>0.28234043198764536</v>
      </c>
      <c r="BE45" s="501">
        <f t="shared" si="39"/>
        <v>4.2940308082199619E-2</v>
      </c>
      <c r="BF45" s="501">
        <f>BD45/(IF(G45="Grey",STDs!$AC$9,IF(G45="Orange",STDs!$AC$8,IF(G45="Green",STDs!$AC$10,STDs!$AC$11))))</f>
        <v>1.9104494778947891</v>
      </c>
      <c r="BG45" s="501">
        <f>SQRT(((BE45/IF(G45="Grey",STDs!$AC$9,IF(G45="Orange",STDs!$AC$8,IF(G45="Green",STDs!$AC$10,STDs!$AC$11))))^2)+(((BD45*(IF(G45="Grey",STDs!$AD$9,IF(G45="Orange",STDs!$AC$8,IF(G45="Green",STDs!$AC$10,STDs!$AC$11)))))/(IF(G45="Grey",STDs!$AC$9,IF(G45="Orange",STDs!$AC$8,IF(G45="Green",STDs!$AC$10,STDs!$AC$11)))^2))^2))</f>
        <v>0.304991701163561</v>
      </c>
      <c r="BH45" s="501">
        <f t="shared" si="40"/>
        <v>1.8369706518219127</v>
      </c>
      <c r="BI45" s="501">
        <f t="shared" si="41"/>
        <v>0.2983943304854475</v>
      </c>
      <c r="BJ45" s="520">
        <v>0.05</v>
      </c>
      <c r="BK45" s="504">
        <f t="shared" si="1"/>
        <v>1.9095631929323347</v>
      </c>
      <c r="BL45" s="505">
        <f t="shared" si="42"/>
        <v>0.31018613711088167</v>
      </c>
      <c r="BM45" s="506">
        <f t="shared" si="43"/>
        <v>1.9095631929323347</v>
      </c>
      <c r="BN45" s="507">
        <f t="shared" si="44"/>
        <v>0.31018613711088167</v>
      </c>
      <c r="BO45" s="508">
        <f t="shared" si="45"/>
        <v>0.16243826769333478</v>
      </c>
    </row>
    <row r="46" spans="1:67" x14ac:dyDescent="0.35">
      <c r="A46" s="494">
        <f>Samples!A46</f>
        <v>46</v>
      </c>
      <c r="B46" s="494">
        <f>Samples!B46</f>
        <v>0</v>
      </c>
      <c r="C46" s="495">
        <f>Samples!C46</f>
        <v>44361</v>
      </c>
      <c r="D46" s="496">
        <f>Samples!D46</f>
        <v>0.99652777777777779</v>
      </c>
      <c r="E46" s="496" t="str">
        <f>Samples!E46</f>
        <v>SW</v>
      </c>
      <c r="F46" s="526">
        <f>Samples!G46</f>
        <v>199.9</v>
      </c>
      <c r="G46" s="529" t="str">
        <f>Samples!L46</f>
        <v>Grey</v>
      </c>
      <c r="H46" s="530">
        <f>Samples!H46</f>
        <v>44362</v>
      </c>
      <c r="I46" s="531">
        <f>Samples!J46</f>
        <v>0.31125000000000003</v>
      </c>
      <c r="J46" s="532">
        <f>Samples!K46</f>
        <v>245.87</v>
      </c>
      <c r="K46" s="533">
        <f>H46+I46+(Samples!K46/(60*24))</f>
        <v>44362.481993055553</v>
      </c>
      <c r="L46" s="533">
        <f>Samples!O46</f>
        <v>2.843</v>
      </c>
      <c r="M46" s="534">
        <f>Samples!M46</f>
        <v>0.13800000000000001</v>
      </c>
      <c r="N46" s="534">
        <f>Samples!N46</f>
        <v>0.63400000000000001</v>
      </c>
      <c r="O46" s="497">
        <f t="shared" si="2"/>
        <v>0.9709991620639612</v>
      </c>
      <c r="P46" s="497">
        <f t="shared" si="3"/>
        <v>0.91216025418565116</v>
      </c>
      <c r="Q46" s="537">
        <f t="shared" si="4"/>
        <v>0.1075314889170423</v>
      </c>
      <c r="R46" s="499">
        <f t="shared" si="5"/>
        <v>699.00841000000003</v>
      </c>
      <c r="S46" s="520">
        <f t="shared" si="53"/>
        <v>5.0779901992160523E-2</v>
      </c>
      <c r="T46" s="545">
        <f t="shared" si="54"/>
        <v>0.16018896527495433</v>
      </c>
      <c r="U46" s="545">
        <f t="shared" si="55"/>
        <v>8.301311114677172E-2</v>
      </c>
      <c r="V46" s="521">
        <f t="shared" si="56"/>
        <v>155.88158000000001</v>
      </c>
      <c r="W46" s="498">
        <f t="shared" si="10"/>
        <v>2.3691184373628462E-2</v>
      </c>
      <c r="X46" s="540">
        <f t="shared" si="11"/>
        <v>0.34335049816852831</v>
      </c>
      <c r="Y46" s="541">
        <f t="shared" si="12"/>
        <v>0.10195806606013987</v>
      </c>
      <c r="Z46" s="499">
        <f t="shared" si="13"/>
        <v>33.930060000000005</v>
      </c>
      <c r="AA46" s="500">
        <f t="shared" si="14"/>
        <v>4.3797455299247424E-2</v>
      </c>
      <c r="AB46" s="500">
        <f t="shared" si="15"/>
        <v>5.1828455874036823E-3</v>
      </c>
      <c r="AC46" s="501">
        <f t="shared" si="16"/>
        <v>2.0710000000000002</v>
      </c>
      <c r="AD46" s="500">
        <f t="shared" si="17"/>
        <v>0.12125548141042811</v>
      </c>
      <c r="AE46" s="500">
        <f t="shared" si="18"/>
        <v>3.822602320825474E-4</v>
      </c>
      <c r="AF46" s="500">
        <f t="shared" si="19"/>
        <v>5.0136044028506917E-5</v>
      </c>
      <c r="AG46" s="520">
        <f t="shared" si="57"/>
        <v>2.1147974552992475</v>
      </c>
      <c r="AH46" s="598">
        <f t="shared" si="21"/>
        <v>0.12136619653123165</v>
      </c>
      <c r="AI46" s="502">
        <f t="shared" si="22"/>
        <v>0.59020254470075262</v>
      </c>
      <c r="AJ46" s="500">
        <f t="shared" si="23"/>
        <v>5.1043710040672964E-2</v>
      </c>
      <c r="AK46" s="522">
        <f t="shared" si="58"/>
        <v>0.13761773976791747</v>
      </c>
      <c r="AL46" s="520">
        <f t="shared" si="59"/>
        <v>2.3691237423321059E-2</v>
      </c>
      <c r="AM46" s="552">
        <f>((((IF(G46="Grey",STDs!$AC$9,IF(G46="Orange",STDs!$AC$8,IF(G46="Green",STDs!$AC$10,IF(G46="Blue",STDs!$AC$11)))))*2)*(M46-AE46))^2*0.01)/((1+(((IF(G46="Grey",STDs!$AC$9,IF(G46="Orange",STDs!$AC$8,IF(G46="Green",STDs!$AC$10,IF(G46="Blue",STDs!$AC$11)))))*2)*(M46-AE46))*0.01))</f>
        <v>1.6538923899510119E-5</v>
      </c>
      <c r="AN46" s="557">
        <f>AI46-AM46-IF(G46="Grey",Blanks!$O$7,IF(G46="Orange",Blanks!$O$6,IF(G46="Green",Blanks!$O$8,Blanks!$O$9)))</f>
        <v>0.55948012342391196</v>
      </c>
      <c r="AO46" s="501">
        <f t="shared" si="26"/>
        <v>5.1043710040672964E-2</v>
      </c>
      <c r="AP46" s="501">
        <f>AN46/IF(G46="Grey",STDs!$AF$9,IF(G46="Orange",STDs!$AF$8,IF(G46="Green",STDs!$AF$10,STDs!$AF$11)))</f>
        <v>7.4229790832091176</v>
      </c>
      <c r="AQ46" s="501">
        <f>SQRT(((AO46/IF(G46="Grey",STDs!$AF$9,IF(G46="Orange",STDs!$AF$8,IF(G46="Green",STDs!$AF$10,STDs!$AF$11))))^2)+(((AN46*(IF(G46="Grey",STDs!$AG$9,IF(G46="Orange",STDs!$AG$8,IF(G46="Green",STDs!$AG$10,STDs!$AG$11)))))/(IF(G46="Grey",STDs!$AF$9,IF(G46="Orange",STDs!$AF$8,IF(G46="Green",STDs!$AF$10,STDs!$AF$11))))))^2)</f>
        <v>0.68656011703003539</v>
      </c>
      <c r="AR46" s="501">
        <f t="shared" si="27"/>
        <v>3.7133462147119149</v>
      </c>
      <c r="AS46" s="500">
        <f t="shared" si="28"/>
        <v>0.36106671725844269</v>
      </c>
      <c r="AT46" s="653">
        <f>'Count 2'!AU46</f>
        <v>4.4185212265202471</v>
      </c>
      <c r="AU46" s="567">
        <f t="shared" si="29"/>
        <v>-0.77308237074842834</v>
      </c>
      <c r="AV46" s="568">
        <f t="shared" si="30"/>
        <v>-7.5170559822999125E-2</v>
      </c>
      <c r="AW46" s="560">
        <f t="shared" si="31"/>
        <v>9.7234864831060364E-2</v>
      </c>
      <c r="AX46" s="501">
        <f t="shared" si="32"/>
        <v>8.301311114677172E-2</v>
      </c>
      <c r="AY46" s="506">
        <f t="shared" si="33"/>
        <v>-0.77308237074842834</v>
      </c>
      <c r="AZ46" s="507">
        <f t="shared" si="34"/>
        <v>-7.5170559822999125E-2</v>
      </c>
      <c r="BA46" s="508">
        <f t="shared" si="35"/>
        <v>9.7234864831060364E-2</v>
      </c>
      <c r="BB46" s="650">
        <f t="shared" si="36"/>
        <v>8.0094482637477163E-2</v>
      </c>
      <c r="BC46" s="501">
        <f t="shared" si="37"/>
        <v>1.505016488986919E-2</v>
      </c>
      <c r="BD46" s="502">
        <f t="shared" si="38"/>
        <v>0.12256757487804829</v>
      </c>
      <c r="BE46" s="501">
        <f t="shared" si="39"/>
        <v>2.3726966330123569E-2</v>
      </c>
      <c r="BF46" s="501">
        <f>BD46/(IF(G46="Grey",STDs!$AC$9,IF(G46="Orange",STDs!$AC$8,IF(G46="Green",STDs!$AC$10,STDs!$AC$11))))</f>
        <v>0.82935043268207564</v>
      </c>
      <c r="BG46" s="501">
        <f>SQRT(((BE46/IF(G46="Grey",STDs!$AC$9,IF(G46="Orange",STDs!$AC$8,IF(G46="Green",STDs!$AC$10,STDs!$AC$11))))^2)+(((BD46*(IF(G46="Grey",STDs!$AD$9,IF(G46="Orange",STDs!$AC$8,IF(G46="Green",STDs!$AC$10,STDs!$AC$11)))))/(IF(G46="Grey",STDs!$AC$9,IF(G46="Orange",STDs!$AC$8,IF(G46="Green",STDs!$AC$10,STDs!$AC$11)))^2))^2))</f>
        <v>0.16551726162215752</v>
      </c>
      <c r="BH46" s="501">
        <f t="shared" si="40"/>
        <v>0.41488265766987276</v>
      </c>
      <c r="BI46" s="501">
        <f t="shared" si="41"/>
        <v>8.3730281037028176E-2</v>
      </c>
      <c r="BJ46" s="520">
        <v>0.05</v>
      </c>
      <c r="BK46" s="504">
        <f t="shared" si="1"/>
        <v>0.37578061024715631</v>
      </c>
      <c r="BL46" s="505">
        <f t="shared" si="42"/>
        <v>7.5838831830123909E-2</v>
      </c>
      <c r="BM46" s="506">
        <f t="shared" si="43"/>
        <v>0.37578061024715631</v>
      </c>
      <c r="BN46" s="507">
        <f t="shared" si="44"/>
        <v>7.5838831830123909E-2</v>
      </c>
      <c r="BO46" s="508">
        <f t="shared" si="45"/>
        <v>0.20181677756136385</v>
      </c>
    </row>
    <row r="47" spans="1:67" x14ac:dyDescent="0.35">
      <c r="A47" s="494">
        <f>Samples!A47</f>
        <v>47</v>
      </c>
      <c r="B47" s="494">
        <f>Samples!B47</f>
        <v>0</v>
      </c>
      <c r="C47" s="495">
        <f>Samples!C47</f>
        <v>44362</v>
      </c>
      <c r="D47" s="496">
        <f>Samples!D47</f>
        <v>0.16666666666666666</v>
      </c>
      <c r="E47" s="496" t="str">
        <f>Samples!E47</f>
        <v>SW</v>
      </c>
      <c r="F47" s="526">
        <f>Samples!G47</f>
        <v>200.5</v>
      </c>
      <c r="G47" s="529" t="str">
        <f>Samples!L47</f>
        <v>Orange</v>
      </c>
      <c r="H47" s="530">
        <f>Samples!H47</f>
        <v>44362</v>
      </c>
      <c r="I47" s="531">
        <f>Samples!J47</f>
        <v>0.32849537037037035</v>
      </c>
      <c r="J47" s="532">
        <f>Samples!K47</f>
        <v>240.1</v>
      </c>
      <c r="K47" s="533">
        <f>H47+I47+(Samples!K47/(60*24))</f>
        <v>44362.49523148148</v>
      </c>
      <c r="L47" s="533">
        <f>Samples!O47</f>
        <v>2.6360000000000001</v>
      </c>
      <c r="M47" s="534">
        <f>Samples!M47</f>
        <v>9.6000000000000002E-2</v>
      </c>
      <c r="N47" s="534">
        <f>Samples!N47</f>
        <v>0.60399999999999998</v>
      </c>
      <c r="O47" s="497">
        <f t="shared" si="2"/>
        <v>0.98027893603683247</v>
      </c>
      <c r="P47" s="497">
        <f t="shared" si="3"/>
        <v>0.93967136632194181</v>
      </c>
      <c r="Q47" s="537">
        <f t="shared" si="4"/>
        <v>0.10477957267749743</v>
      </c>
      <c r="R47" s="499">
        <f t="shared" si="5"/>
        <v>632.90359999999998</v>
      </c>
      <c r="S47" s="520">
        <f t="shared" si="53"/>
        <v>5.0155941744671459E-2</v>
      </c>
      <c r="T47" s="545">
        <f t="shared" si="54"/>
        <v>0.16607927730023664</v>
      </c>
      <c r="U47" s="545">
        <f t="shared" si="55"/>
        <v>8.5798654295741822E-2</v>
      </c>
      <c r="V47" s="521">
        <f t="shared" si="56"/>
        <v>145.0204</v>
      </c>
      <c r="W47" s="498">
        <f t="shared" si="10"/>
        <v>1.999583463496472E-2</v>
      </c>
      <c r="X47" s="540">
        <f t="shared" si="11"/>
        <v>0.41657988822843162</v>
      </c>
      <c r="Y47" s="541">
        <f t="shared" si="12"/>
        <v>0.12851525721822712</v>
      </c>
      <c r="Z47" s="499">
        <f t="shared" si="13"/>
        <v>23.049600000000002</v>
      </c>
      <c r="AA47" s="500">
        <f t="shared" si="14"/>
        <v>3.8220916952194491E-2</v>
      </c>
      <c r="AB47" s="500">
        <f t="shared" si="15"/>
        <v>4.7001165946181133E-3</v>
      </c>
      <c r="AC47" s="501">
        <f t="shared" si="16"/>
        <v>1.9359999999999999</v>
      </c>
      <c r="AD47" s="500">
        <f t="shared" si="17"/>
        <v>0.1178737067607645</v>
      </c>
      <c r="AE47" s="500">
        <f t="shared" si="18"/>
        <v>3.3500471280811263E-4</v>
      </c>
      <c r="AF47" s="500">
        <f t="shared" si="19"/>
        <v>4.2585793835654559E-5</v>
      </c>
      <c r="AG47" s="520">
        <f t="shared" si="57"/>
        <v>1.9742209169521945</v>
      </c>
      <c r="AH47" s="598">
        <f t="shared" si="21"/>
        <v>0.11796737617462594</v>
      </c>
      <c r="AI47" s="502">
        <f t="shared" si="22"/>
        <v>0.56577908304780544</v>
      </c>
      <c r="AJ47" s="500">
        <f t="shared" si="23"/>
        <v>5.0375684494584107E-2</v>
      </c>
      <c r="AK47" s="522">
        <f t="shared" si="58"/>
        <v>9.5664995287191884E-2</v>
      </c>
      <c r="AL47" s="520">
        <f t="shared" si="59"/>
        <v>1.9995879983103801E-2</v>
      </c>
      <c r="AM47" s="552">
        <f>((((IF(G47="Grey",STDs!$AC$9,IF(G47="Orange",STDs!$AC$8,IF(G47="Green",STDs!$AC$10,IF(G47="Blue",STDs!$AC$11)))))*2)*(M47-AE47))^2*0.01)/((1+(((IF(G47="Grey",STDs!$AC$9,IF(G47="Orange",STDs!$AC$8,IF(G47="Green",STDs!$AC$10,IF(G47="Blue",STDs!$AC$11)))))*2)*(M47-AE47))*0.01))</f>
        <v>9.1094035101907406E-6</v>
      </c>
      <c r="AN47" s="557">
        <f>AI47-AM47-IF(G47="Grey",Blanks!$O$7,IF(G47="Orange",Blanks!$O$6,IF(G47="Green",Blanks!$O$8,Blanks!$O$9)))</f>
        <v>0.55688108475540643</v>
      </c>
      <c r="AO47" s="501">
        <f t="shared" si="26"/>
        <v>5.0375684494584107E-2</v>
      </c>
      <c r="AP47" s="501">
        <f>AN47/IF(G47="Grey",STDs!$AF$9,IF(G47="Orange",STDs!$AF$8,IF(G47="Green",STDs!$AF$10,STDs!$AF$11)))</f>
        <v>7.2130337248242649</v>
      </c>
      <c r="AQ47" s="501">
        <f>SQRT(((AO47/IF(G47="Grey",STDs!$AF$9,IF(G47="Orange",STDs!$AF$8,IF(G47="Green",STDs!$AF$10,STDs!$AF$11))))^2)+(((AN47*(IF(G47="Grey",STDs!$AG$9,IF(G47="Orange",STDs!$AG$8,IF(G47="Green",STDs!$AG$10,STDs!$AG$11)))))/(IF(G47="Grey",STDs!$AF$9,IF(G47="Orange",STDs!$AF$8,IF(G47="Green",STDs!$AF$10,STDs!$AF$11))))))^2)</f>
        <v>0.65411377518751723</v>
      </c>
      <c r="AR47" s="501">
        <f t="shared" si="27"/>
        <v>3.5975230547751944</v>
      </c>
      <c r="AS47" s="500">
        <f t="shared" si="28"/>
        <v>0.34362964155092207</v>
      </c>
      <c r="AT47" s="653">
        <f>'Count 2'!AU47</f>
        <v>3.3140726797392039</v>
      </c>
      <c r="AU47" s="567">
        <f t="shared" si="29"/>
        <v>0.30164841155634109</v>
      </c>
      <c r="AV47" s="568">
        <f t="shared" si="30"/>
        <v>2.8812973248336232E-2</v>
      </c>
      <c r="AW47" s="560">
        <f t="shared" si="31"/>
        <v>9.5518398720142506E-2</v>
      </c>
      <c r="AX47" s="501">
        <f t="shared" si="32"/>
        <v>8.5798654295741822E-2</v>
      </c>
      <c r="AY47" s="506">
        <f t="shared" si="33"/>
        <v>0.30164841155634109</v>
      </c>
      <c r="AZ47" s="507">
        <f t="shared" si="34"/>
        <v>2.8812973248336232E-2</v>
      </c>
      <c r="BA47" s="508">
        <f t="shared" si="35"/>
        <v>9.5518398720142506E-2</v>
      </c>
      <c r="BB47" s="650">
        <f t="shared" si="36"/>
        <v>8.3039638650118305E-2</v>
      </c>
      <c r="BC47" s="501">
        <f t="shared" si="37"/>
        <v>1.4427366617719038E-2</v>
      </c>
      <c r="BD47" s="502">
        <f t="shared" si="38"/>
        <v>8.1237628669472844E-2</v>
      </c>
      <c r="BE47" s="501">
        <f t="shared" si="39"/>
        <v>2.0037099639380995E-2</v>
      </c>
      <c r="BF47" s="501">
        <f>BD47/(IF(G47="Grey",STDs!$AC$9,IF(G47="Orange",STDs!$AC$8,IF(G47="Green",STDs!$AC$10,STDs!$AC$11))))</f>
        <v>0.51490816553331142</v>
      </c>
      <c r="BG47" s="501">
        <f>SQRT(((BE47/IF(G47="Grey",STDs!$AC$9,IF(G47="Orange",STDs!$AC$8,IF(G47="Green",STDs!$AC$10,STDs!$AC$11))))^2)+(((BD47*(IF(G47="Grey",STDs!$AD$9,IF(G47="Orange",STDs!$AC$8,IF(G47="Green",STDs!$AC$10,STDs!$AC$11)))))/(IF(G47="Grey",STDs!$AC$9,IF(G47="Orange",STDs!$AC$8,IF(G47="Green",STDs!$AC$10,STDs!$AC$11)))^2))^2))</f>
        <v>0.53033922363828845</v>
      </c>
      <c r="BH47" s="501">
        <f t="shared" si="40"/>
        <v>0.25681205263506807</v>
      </c>
      <c r="BI47" s="501">
        <f t="shared" si="41"/>
        <v>0.26462052004391362</v>
      </c>
      <c r="BJ47" s="520">
        <v>0.05</v>
      </c>
      <c r="BK47" s="504">
        <f t="shared" si="1"/>
        <v>0.2109726579163152</v>
      </c>
      <c r="BL47" s="505">
        <f t="shared" si="42"/>
        <v>0.21738736122402169</v>
      </c>
      <c r="BM47" s="506">
        <f t="shared" si="43"/>
        <v>0.2109726579163152</v>
      </c>
      <c r="BN47" s="507">
        <f t="shared" si="44"/>
        <v>0.21738736122402169</v>
      </c>
      <c r="BO47" s="508">
        <f t="shared" si="45"/>
        <v>1.0304053775075013</v>
      </c>
    </row>
    <row r="48" spans="1:67" x14ac:dyDescent="0.35">
      <c r="A48" s="494">
        <f>Samples!A48</f>
        <v>47</v>
      </c>
      <c r="B48" s="494">
        <f>Samples!B48</f>
        <v>2</v>
      </c>
      <c r="C48" s="495">
        <f>Samples!C48</f>
        <v>44362</v>
      </c>
      <c r="D48" s="496">
        <f>Samples!D48</f>
        <v>0.1763888888888889</v>
      </c>
      <c r="E48" s="496" t="str">
        <f>Samples!E48</f>
        <v>BW</v>
      </c>
      <c r="F48" s="526">
        <f>Samples!G48</f>
        <v>77.2</v>
      </c>
      <c r="G48" s="529" t="str">
        <f>Samples!L48</f>
        <v>Orange</v>
      </c>
      <c r="H48" s="530">
        <f>Samples!H48</f>
        <v>44362</v>
      </c>
      <c r="I48" s="531">
        <f>Samples!J48</f>
        <v>0.58135416666666662</v>
      </c>
      <c r="J48" s="532">
        <f>Samples!K48</f>
        <v>255.25</v>
      </c>
      <c r="K48" s="533">
        <f>H48+I48+(Samples!K48/(60*24))</f>
        <v>44362.758611111109</v>
      </c>
      <c r="L48" s="533">
        <f>Samples!O48</f>
        <v>3.2909999999999999</v>
      </c>
      <c r="M48" s="534">
        <f>Samples!M48</f>
        <v>9.4E-2</v>
      </c>
      <c r="N48" s="534">
        <f>Samples!N48</f>
        <v>0.85799999999999998</v>
      </c>
      <c r="O48" s="497">
        <f t="shared" si="2"/>
        <v>0.96532037994866982</v>
      </c>
      <c r="P48" s="497">
        <f t="shared" si="3"/>
        <v>0.89559780044620552</v>
      </c>
      <c r="Q48" s="537">
        <f t="shared" si="4"/>
        <v>0.11354841222882239</v>
      </c>
      <c r="R48" s="499">
        <f t="shared" si="5"/>
        <v>840.02774999999997</v>
      </c>
      <c r="S48" s="520">
        <f t="shared" si="53"/>
        <v>5.7977671408728143E-2</v>
      </c>
      <c r="T48" s="545">
        <f t="shared" si="54"/>
        <v>0.13514608719983248</v>
      </c>
      <c r="U48" s="545">
        <f t="shared" si="55"/>
        <v>6.98932478414616E-2</v>
      </c>
      <c r="V48" s="521">
        <f t="shared" si="56"/>
        <v>219.00450000000001</v>
      </c>
      <c r="W48" s="498">
        <f t="shared" si="10"/>
        <v>1.9190268509971894E-2</v>
      </c>
      <c r="X48" s="540">
        <f t="shared" si="11"/>
        <v>0.40830358531855082</v>
      </c>
      <c r="Y48" s="541">
        <f t="shared" si="12"/>
        <v>0.11282676183294665</v>
      </c>
      <c r="Z48" s="499">
        <f t="shared" si="13"/>
        <v>23.993500000000001</v>
      </c>
      <c r="AA48" s="500">
        <f t="shared" si="14"/>
        <v>5.6019506251215941E-2</v>
      </c>
      <c r="AB48" s="500">
        <f t="shared" si="15"/>
        <v>6.2497481499218547E-3</v>
      </c>
      <c r="AC48" s="501">
        <f t="shared" si="16"/>
        <v>2.339</v>
      </c>
      <c r="AD48" s="500">
        <f t="shared" si="17"/>
        <v>0.12892989842216526</v>
      </c>
      <c r="AE48" s="500">
        <f t="shared" si="18"/>
        <v>4.8481892933063754E-4</v>
      </c>
      <c r="AF48" s="500">
        <f t="shared" si="19"/>
        <v>6.8016745943329194E-5</v>
      </c>
      <c r="AG48" s="520">
        <f t="shared" si="57"/>
        <v>2.3950195062512161</v>
      </c>
      <c r="AH48" s="598">
        <f t="shared" si="21"/>
        <v>0.12908128469722985</v>
      </c>
      <c r="AI48" s="502">
        <f t="shared" si="22"/>
        <v>0.801980493748784</v>
      </c>
      <c r="AJ48" s="500">
        <f t="shared" si="23"/>
        <v>5.8313546744439275E-2</v>
      </c>
      <c r="AK48" s="522">
        <f t="shared" si="58"/>
        <v>9.3515181070669362E-2</v>
      </c>
      <c r="AL48" s="520">
        <f t="shared" si="59"/>
        <v>1.9190389046669889E-2</v>
      </c>
      <c r="AM48" s="552">
        <f>((((IF(G48="Grey",STDs!$AC$9,IF(G48="Orange",STDs!$AC$8,IF(G48="Green",STDs!$AC$10,IF(G48="Blue",STDs!$AC$11)))))*2)*(M48-AE48))^2*0.01)/((1+(((IF(G48="Grey",STDs!$AC$9,IF(G48="Orange",STDs!$AC$8,IF(G48="Green",STDs!$AC$10,IF(G48="Blue",STDs!$AC$11)))))*2)*(M48-AE48))*0.01))</f>
        <v>8.704644007113503E-6</v>
      </c>
      <c r="AN48" s="557">
        <f>AI48-AM48-IF(G48="Grey",Blanks!$O$7,IF(G48="Orange",Blanks!$O$6,IF(G48="Green",Blanks!$O$8,Blanks!$O$9)))</f>
        <v>0.79308290021588801</v>
      </c>
      <c r="AO48" s="501">
        <f t="shared" si="26"/>
        <v>5.8313546744439275E-2</v>
      </c>
      <c r="AP48" s="501">
        <f>AN48/IF(G48="Grey",STDs!$AF$9,IF(G48="Orange",STDs!$AF$8,IF(G48="Green",STDs!$AF$10,STDs!$AF$11)))</f>
        <v>10.272451089537748</v>
      </c>
      <c r="AQ48" s="501">
        <f>SQRT(((AO48/IF(G48="Grey",STDs!$AF$9,IF(G48="Orange",STDs!$AF$8,IF(G48="Green",STDs!$AF$10,STDs!$AF$11))))^2)+(((AN48*(IF(G48="Grey",STDs!$AG$9,IF(G48="Orange",STDs!$AG$8,IF(G48="Green",STDs!$AG$10,STDs!$AG$11)))))/(IF(G48="Grey",STDs!$AF$9,IF(G48="Orange",STDs!$AF$8,IF(G48="Green",STDs!$AF$10,STDs!$AF$11))))))^2)</f>
        <v>0.75814592127726788</v>
      </c>
      <c r="AR48" s="501">
        <f t="shared" si="27"/>
        <v>13.306283794738016</v>
      </c>
      <c r="AS48" s="500">
        <f t="shared" si="28"/>
        <v>1.0600859031226015</v>
      </c>
      <c r="AT48" s="653">
        <f>'Count 2'!AU48</f>
        <v>3.5509413300251405</v>
      </c>
      <c r="AU48" s="567">
        <f t="shared" si="29"/>
        <v>10.892548485327408</v>
      </c>
      <c r="AV48" s="568">
        <f t="shared" si="30"/>
        <v>0.86778827781662971</v>
      </c>
      <c r="AW48" s="560">
        <f t="shared" si="31"/>
        <v>7.9668066567302104E-2</v>
      </c>
      <c r="AX48" s="501">
        <f t="shared" si="32"/>
        <v>6.98932478414616E-2</v>
      </c>
      <c r="AY48" s="506">
        <f t="shared" si="33"/>
        <v>10.892548485327408</v>
      </c>
      <c r="AZ48" s="507">
        <f t="shared" si="34"/>
        <v>0.86778827781662971</v>
      </c>
      <c r="BA48" s="508">
        <f t="shared" si="35"/>
        <v>7.9668066567302104E-2</v>
      </c>
      <c r="BB48" s="650">
        <f t="shared" si="36"/>
        <v>6.7573043599916241E-2</v>
      </c>
      <c r="BC48" s="501">
        <f t="shared" si="37"/>
        <v>2.0450502590593989E-2</v>
      </c>
      <c r="BD48" s="502">
        <f t="shared" si="38"/>
        <v>7.3064678480075376E-2</v>
      </c>
      <c r="BE48" s="501">
        <f t="shared" si="39"/>
        <v>1.9247913840388688E-2</v>
      </c>
      <c r="BF48" s="501">
        <f>BD48/(IF(G48="Grey",STDs!$AC$9,IF(G48="Orange",STDs!$AC$8,IF(G48="Green",STDs!$AC$10,STDs!$AC$11))))</f>
        <v>0.46310558515347366</v>
      </c>
      <c r="BG48" s="501">
        <f>SQRT(((BE48/IF(G48="Grey",STDs!$AC$9,IF(G48="Orange",STDs!$AC$8,IF(G48="Green",STDs!$AC$10,STDs!$AC$11))))^2)+(((BD48*(IF(G48="Grey",STDs!$AD$9,IF(G48="Orange",STDs!$AC$8,IF(G48="Green",STDs!$AC$10,STDs!$AC$11)))))/(IF(G48="Grey",STDs!$AC$9,IF(G48="Orange",STDs!$AC$8,IF(G48="Green",STDs!$AC$10,STDs!$AC$11)))^2))^2))</f>
        <v>0.47890555920117528</v>
      </c>
      <c r="BH48" s="501">
        <f t="shared" si="40"/>
        <v>0.59987770097600213</v>
      </c>
      <c r="BI48" s="501">
        <f t="shared" si="41"/>
        <v>0.62060497268862325</v>
      </c>
      <c r="BJ48" s="520">
        <v>0.05</v>
      </c>
      <c r="BK48" s="504">
        <f t="shared" si="1"/>
        <v>0.56963233388405354</v>
      </c>
      <c r="BL48" s="505">
        <f t="shared" si="42"/>
        <v>0.58931455267881683</v>
      </c>
      <c r="BM48" s="506">
        <f t="shared" si="43"/>
        <v>0.56963233388405354</v>
      </c>
      <c r="BN48" s="507">
        <f t="shared" si="44"/>
        <v>0.58931455267881683</v>
      </c>
      <c r="BO48" s="508">
        <f t="shared" si="45"/>
        <v>1.0345524957485464</v>
      </c>
    </row>
    <row r="49" spans="1:67" x14ac:dyDescent="0.35">
      <c r="A49" s="494">
        <f>Samples!A49</f>
        <v>49</v>
      </c>
      <c r="B49" s="494">
        <f>Samples!B49</f>
        <v>0</v>
      </c>
      <c r="C49" s="495">
        <f>Samples!C49</f>
        <v>44362</v>
      </c>
      <c r="D49" s="496">
        <f>Samples!D49</f>
        <v>0.65277777777777779</v>
      </c>
      <c r="E49" s="496" t="str">
        <f>Samples!E49</f>
        <v>SW</v>
      </c>
      <c r="F49" s="526">
        <f>Samples!G49</f>
        <v>200</v>
      </c>
      <c r="G49" s="529" t="str">
        <f>Samples!L49</f>
        <v>Grey</v>
      </c>
      <c r="H49" s="530">
        <f>Samples!H49</f>
        <v>44363</v>
      </c>
      <c r="I49" s="531">
        <f>Samples!J49</f>
        <v>0.50252314814814814</v>
      </c>
      <c r="J49" s="532">
        <f>Samples!K49</f>
        <v>309.48</v>
      </c>
      <c r="K49" s="533">
        <f>H49+I49+(Samples!K49/(60*24))</f>
        <v>44363.717439814813</v>
      </c>
      <c r="L49" s="533">
        <f>Samples!O49</f>
        <v>2.9790000000000001</v>
      </c>
      <c r="M49" s="534">
        <f>Samples!M49</f>
        <v>4.4999999999999998E-2</v>
      </c>
      <c r="N49" s="534">
        <f>Samples!N49</f>
        <v>0.65600000000000003</v>
      </c>
      <c r="O49" s="497">
        <f t="shared" si="2"/>
        <v>0.93749720910642365</v>
      </c>
      <c r="P49" s="497">
        <f t="shared" si="3"/>
        <v>0.81739693174482875</v>
      </c>
      <c r="Q49" s="537">
        <f t="shared" si="4"/>
        <v>9.8111283565022578E-2</v>
      </c>
      <c r="R49" s="499">
        <f t="shared" si="5"/>
        <v>921.94092000000012</v>
      </c>
      <c r="S49" s="520">
        <f t="shared" si="53"/>
        <v>4.6040032930987525E-2</v>
      </c>
      <c r="T49" s="545">
        <f t="shared" si="54"/>
        <v>0.14036595405788879</v>
      </c>
      <c r="U49" s="545">
        <f t="shared" si="55"/>
        <v>7.3208577780015854E-2</v>
      </c>
      <c r="V49" s="521">
        <f t="shared" si="56"/>
        <v>203.01888000000002</v>
      </c>
      <c r="W49" s="498">
        <f t="shared" si="10"/>
        <v>1.2058407681461526E-2</v>
      </c>
      <c r="X49" s="540">
        <f t="shared" si="11"/>
        <v>0.53592923028717898</v>
      </c>
      <c r="Y49" s="541">
        <f t="shared" si="12"/>
        <v>0.15605424805439563</v>
      </c>
      <c r="Z49" s="499">
        <f t="shared" si="13"/>
        <v>13.926600000000001</v>
      </c>
      <c r="AA49" s="500">
        <f t="shared" si="14"/>
        <v>5.3102515298499825E-2</v>
      </c>
      <c r="AB49" s="500">
        <f t="shared" si="15"/>
        <v>5.1431789616538642E-3</v>
      </c>
      <c r="AC49" s="501">
        <f t="shared" si="16"/>
        <v>2.278</v>
      </c>
      <c r="AD49" s="500">
        <f t="shared" si="17"/>
        <v>0.10904546662229941</v>
      </c>
      <c r="AE49" s="500">
        <f t="shared" si="18"/>
        <v>4.6046097651865548E-4</v>
      </c>
      <c r="AF49" s="500">
        <f t="shared" si="19"/>
        <v>5.4561927783968733E-5</v>
      </c>
      <c r="AG49" s="520">
        <f t="shared" si="57"/>
        <v>2.3311025152984999</v>
      </c>
      <c r="AH49" s="598">
        <f t="shared" si="21"/>
        <v>0.10916668942817041</v>
      </c>
      <c r="AI49" s="502">
        <f t="shared" si="22"/>
        <v>0.60289748470150017</v>
      </c>
      <c r="AJ49" s="500">
        <f t="shared" si="23"/>
        <v>4.6326417108578717E-2</v>
      </c>
      <c r="AK49" s="522">
        <f t="shared" si="58"/>
        <v>4.4539539023481345E-2</v>
      </c>
      <c r="AL49" s="520">
        <f t="shared" si="59"/>
        <v>1.2058531121836268E-2</v>
      </c>
      <c r="AM49" s="552">
        <f>((((IF(G49="Grey",STDs!$AC$9,IF(G49="Orange",STDs!$AC$8,IF(G49="Green",STDs!$AC$10,IF(G49="Blue",STDs!$AC$11)))))*2)*(M49-AE49))^2*0.01)/((1+(((IF(G49="Grey",STDs!$AC$9,IF(G49="Orange",STDs!$AC$8,IF(G49="Green",STDs!$AC$10,IF(G49="Blue",STDs!$AC$11)))))*2)*(M49-AE49))*0.01))</f>
        <v>1.7328832036510176E-6</v>
      </c>
      <c r="AN49" s="557">
        <f>AI49-AM49-IF(G49="Grey",Blanks!$O$7,IF(G49="Orange",Blanks!$O$6,IF(G49="Green",Blanks!$O$8,Blanks!$O$9)))</f>
        <v>0.57218986946535544</v>
      </c>
      <c r="AO49" s="501">
        <f t="shared" si="26"/>
        <v>4.6326417108578717E-2</v>
      </c>
      <c r="AP49" s="501">
        <f>AN49/IF(G49="Grey",STDs!$AF$9,IF(G49="Orange",STDs!$AF$8,IF(G49="Green",STDs!$AF$10,STDs!$AF$11)))</f>
        <v>7.591607377707172</v>
      </c>
      <c r="AQ49" s="501">
        <f>SQRT(((AO49/IF(G49="Grey",STDs!$AF$9,IF(G49="Orange",STDs!$AF$8,IF(G49="Green",STDs!$AF$10,STDs!$AF$11))))^2)+(((AN49*(IF(G49="Grey",STDs!$AG$9,IF(G49="Orange",STDs!$AG$8,IF(G49="Green",STDs!$AG$10,STDs!$AG$11)))))/(IF(G49="Grey",STDs!$AF$9,IF(G49="Orange",STDs!$AF$8,IF(G49="Green",STDs!$AF$10,STDs!$AF$11))))))^2)</f>
        <v>0.62537567126044202</v>
      </c>
      <c r="AR49" s="501">
        <f t="shared" si="27"/>
        <v>3.7958036888535855</v>
      </c>
      <c r="AS49" s="500">
        <f t="shared" si="28"/>
        <v>0.33277769701558302</v>
      </c>
      <c r="AT49" s="653">
        <f>'Count 2'!AU49</f>
        <v>3.2831995702035499</v>
      </c>
      <c r="AU49" s="567">
        <f t="shared" si="29"/>
        <v>0.62711774260740438</v>
      </c>
      <c r="AV49" s="568">
        <f t="shared" si="30"/>
        <v>5.4979344362651249E-2</v>
      </c>
      <c r="AW49" s="560">
        <f t="shared" si="31"/>
        <v>8.7669891357339672E-2</v>
      </c>
      <c r="AX49" s="501">
        <f t="shared" si="32"/>
        <v>7.3208577780015854E-2</v>
      </c>
      <c r="AY49" s="506">
        <f t="shared" si="33"/>
        <v>0.62711774260740438</v>
      </c>
      <c r="AZ49" s="507">
        <f t="shared" si="34"/>
        <v>5.4979344362651249E-2</v>
      </c>
      <c r="BA49" s="508">
        <f t="shared" si="35"/>
        <v>8.7669891357339672E-2</v>
      </c>
      <c r="BB49" s="650">
        <f t="shared" si="36"/>
        <v>7.0182977028944396E-2</v>
      </c>
      <c r="BC49" s="501">
        <f t="shared" si="37"/>
        <v>1.5373885859888253E-2</v>
      </c>
      <c r="BD49" s="502">
        <f t="shared" si="38"/>
        <v>2.916565316359309E-2</v>
      </c>
      <c r="BE49" s="501">
        <f t="shared" si="39"/>
        <v>1.211625760496619E-2</v>
      </c>
      <c r="BF49" s="501">
        <f>BD49/(IF(G49="Grey",STDs!$AC$9,IF(G49="Orange",STDs!$AC$8,IF(G49="Green",STDs!$AC$10,STDs!$AC$11))))</f>
        <v>0.19734866333733278</v>
      </c>
      <c r="BG49" s="501">
        <f>SQRT(((BE49/IF(G49="Grey",STDs!$AC$9,IF(G49="Orange",STDs!$AC$8,IF(G49="Green",STDs!$AC$10,STDs!$AC$11))))^2)+(((BD49*(IF(G49="Grey",STDs!$AD$9,IF(G49="Orange",STDs!$AC$8,IF(G49="Green",STDs!$AC$10,STDs!$AC$11)))))/(IF(G49="Grey",STDs!$AC$9,IF(G49="Orange",STDs!$AC$8,IF(G49="Green",STDs!$AC$10,STDs!$AC$11)))^2))^2))</f>
        <v>8.2542001638284027E-2</v>
      </c>
      <c r="BH49" s="501">
        <f t="shared" si="40"/>
        <v>9.8674331668666404E-2</v>
      </c>
      <c r="BI49" s="501">
        <f t="shared" si="41"/>
        <v>4.13770282883009E-2</v>
      </c>
      <c r="BJ49" s="520">
        <v>0.05</v>
      </c>
      <c r="BK49" s="504">
        <f t="shared" si="1"/>
        <v>5.1919441674989505E-2</v>
      </c>
      <c r="BL49" s="505">
        <f t="shared" si="42"/>
        <v>2.1771337799503979E-2</v>
      </c>
      <c r="BM49" s="506">
        <f t="shared" si="43"/>
        <v>5.1919441674989505E-2</v>
      </c>
      <c r="BN49" s="507">
        <f t="shared" si="44"/>
        <v>2.1771337799503979E-2</v>
      </c>
      <c r="BO49" s="508">
        <f t="shared" si="45"/>
        <v>0.41932919725505463</v>
      </c>
    </row>
    <row r="50" spans="1:67" x14ac:dyDescent="0.35">
      <c r="A50" s="494">
        <f>Samples!A50</f>
        <v>50</v>
      </c>
      <c r="B50" s="494">
        <f>Samples!B50</f>
        <v>0</v>
      </c>
      <c r="C50" s="495">
        <f>Samples!C50</f>
        <v>44362</v>
      </c>
      <c r="D50" s="496">
        <f>Samples!D50</f>
        <v>0.86249999999999993</v>
      </c>
      <c r="E50" s="496" t="str">
        <f>Samples!E50</f>
        <v>SW</v>
      </c>
      <c r="F50" s="526">
        <f>Samples!G50</f>
        <v>199.9</v>
      </c>
      <c r="G50" s="529" t="str">
        <f>Samples!L50</f>
        <v>Blue</v>
      </c>
      <c r="H50" s="530">
        <f>Samples!H50</f>
        <v>44363</v>
      </c>
      <c r="I50" s="531">
        <f>Samples!J50</f>
        <v>0.5025694444444444</v>
      </c>
      <c r="J50" s="532">
        <f>Samples!K50</f>
        <v>309.60000000000002</v>
      </c>
      <c r="K50" s="533">
        <f>H50+I50+(Samples!K50/(60*24))</f>
        <v>44363.717569444438</v>
      </c>
      <c r="L50" s="533">
        <f>Samples!O50</f>
        <v>3.0139999999999998</v>
      </c>
      <c r="M50" s="534">
        <f>Samples!M50</f>
        <v>8.1000000000000003E-2</v>
      </c>
      <c r="N50" s="534">
        <f>Samples!N50</f>
        <v>0.67500000000000004</v>
      </c>
      <c r="O50" s="497">
        <f t="shared" si="2"/>
        <v>0.94948488920072815</v>
      </c>
      <c r="P50" s="497">
        <f t="shared" si="3"/>
        <v>0.85049488752513991</v>
      </c>
      <c r="Q50" s="537">
        <f t="shared" si="4"/>
        <v>9.8666823800419606E-2</v>
      </c>
      <c r="R50" s="499">
        <f t="shared" si="5"/>
        <v>933.13440000000003</v>
      </c>
      <c r="S50" s="520">
        <f t="shared" si="53"/>
        <v>4.6692960477351775E-2</v>
      </c>
      <c r="T50" s="545">
        <f t="shared" si="54"/>
        <v>0.13834951252548672</v>
      </c>
      <c r="U50" s="545">
        <f t="shared" si="55"/>
        <v>7.2013263594233559E-2</v>
      </c>
      <c r="V50" s="521">
        <f t="shared" si="56"/>
        <v>208.98000000000002</v>
      </c>
      <c r="W50" s="498">
        <f t="shared" si="10"/>
        <v>1.617491598051576E-2</v>
      </c>
      <c r="X50" s="540">
        <f t="shared" si="11"/>
        <v>0.39938064149421632</v>
      </c>
      <c r="Y50" s="541">
        <f t="shared" si="12"/>
        <v>0.11534589640178572</v>
      </c>
      <c r="Z50" s="499">
        <f t="shared" si="13"/>
        <v>25.077600000000004</v>
      </c>
      <c r="AA50" s="500">
        <f t="shared" si="14"/>
        <v>5.2163491641259621E-2</v>
      </c>
      <c r="AB50" s="500">
        <f t="shared" si="15"/>
        <v>5.1573976306222577E-3</v>
      </c>
      <c r="AC50" s="501">
        <f t="shared" si="16"/>
        <v>2.2579999999999996</v>
      </c>
      <c r="AD50" s="500">
        <f t="shared" si="17"/>
        <v>0.11034945665466291</v>
      </c>
      <c r="AE50" s="500">
        <f t="shared" si="18"/>
        <v>4.5260431576406025E-4</v>
      </c>
      <c r="AF50" s="500">
        <f t="shared" si="19"/>
        <v>5.4248034489406475E-5</v>
      </c>
      <c r="AG50" s="520">
        <f t="shared" si="57"/>
        <v>2.3101634916412594</v>
      </c>
      <c r="AH50" s="598">
        <f t="shared" si="21"/>
        <v>0.11046991144334133</v>
      </c>
      <c r="AI50" s="502">
        <f t="shared" si="22"/>
        <v>0.62283650835874038</v>
      </c>
      <c r="AJ50" s="500">
        <f t="shared" si="23"/>
        <v>4.6976923148072211E-2</v>
      </c>
      <c r="AK50" s="522">
        <f t="shared" si="58"/>
        <v>8.054739568423594E-2</v>
      </c>
      <c r="AL50" s="520">
        <f t="shared" si="59"/>
        <v>1.6175006949797274E-2</v>
      </c>
      <c r="AM50" s="552">
        <f>((((IF(G50="Grey",STDs!$AC$9,IF(G50="Orange",STDs!$AC$8,IF(G50="Green",STDs!$AC$10,IF(G50="Blue",STDs!$AC$11)))))*2)*(M50-AE50))^2*0.01)/((1+(((IF(G50="Grey",STDs!$AC$9,IF(G50="Orange",STDs!$AC$8,IF(G50="Green",STDs!$AC$10,IF(G50="Blue",STDs!$AC$11)))))*2)*(M50-AE50))*0.01))</f>
        <v>5.8904023798422411E-6</v>
      </c>
      <c r="AN50" s="557">
        <f>AI50-AM50-IF(G50="Grey",Blanks!$O$7,IF(G50="Orange",Blanks!$O$6,IF(G50="Green",Blanks!$O$8,Blanks!$O$9)))</f>
        <v>0.59597347509921761</v>
      </c>
      <c r="AO50" s="501">
        <f t="shared" si="26"/>
        <v>4.6976923148072211E-2</v>
      </c>
      <c r="AP50" s="501">
        <f>AN50/IF(G50="Grey",STDs!$AF$9,IF(G50="Orange",STDs!$AF$8,IF(G50="Green",STDs!$AF$10,STDs!$AF$11)))</f>
        <v>8.7025474693795513</v>
      </c>
      <c r="AQ50" s="501">
        <f>SQRT(((AO50/IF(G50="Grey",STDs!$AF$9,IF(G50="Orange",STDs!$AF$8,IF(G50="Green",STDs!$AF$10,STDs!$AF$11))))^2)+(((AN50*(IF(G50="Grey",STDs!$AG$9,IF(G50="Orange",STDs!$AG$8,IF(G50="Green",STDs!$AG$10,STDs!$AG$11)))))/(IF(G50="Grey",STDs!$AF$9,IF(G50="Orange",STDs!$AF$8,IF(G50="Green",STDs!$AF$10,STDs!$AF$11))))))^2)</f>
        <v>0.68795006284028237</v>
      </c>
      <c r="AR50" s="501">
        <f t="shared" si="27"/>
        <v>4.3534504599197357</v>
      </c>
      <c r="AS50" s="500">
        <f t="shared" si="28"/>
        <v>0.36809578600864001</v>
      </c>
      <c r="AT50" s="653">
        <f>'Count 2'!AU50</f>
        <v>5.8057306293577238</v>
      </c>
      <c r="AU50" s="567">
        <f t="shared" si="29"/>
        <v>-1.7075707223402445</v>
      </c>
      <c r="AV50" s="568">
        <f t="shared" si="30"/>
        <v>-0.14437963472697057</v>
      </c>
      <c r="AW50" s="560">
        <f t="shared" si="31"/>
        <v>8.4552652981246187E-2</v>
      </c>
      <c r="AX50" s="501">
        <f t="shared" si="32"/>
        <v>7.2013263594233559E-2</v>
      </c>
      <c r="AY50" s="506">
        <f t="shared" si="33"/>
        <v>-1.7075707223402445</v>
      </c>
      <c r="AZ50" s="507">
        <f t="shared" si="34"/>
        <v>-0.14437963472697057</v>
      </c>
      <c r="BA50" s="508">
        <f t="shared" si="35"/>
        <v>8.4552652981246187E-2</v>
      </c>
      <c r="BB50" s="650">
        <f t="shared" si="36"/>
        <v>6.9174756262743373E-2</v>
      </c>
      <c r="BC50" s="501">
        <f t="shared" si="37"/>
        <v>1.5882330963147877E-2</v>
      </c>
      <c r="BD50" s="502">
        <f t="shared" si="38"/>
        <v>6.4665064721088059E-2</v>
      </c>
      <c r="BE50" s="501">
        <f t="shared" si="39"/>
        <v>1.6219304605448293E-2</v>
      </c>
      <c r="BF50" s="501">
        <f>BD50/(IF(G50="Grey",STDs!$AC$9,IF(G50="Orange",STDs!$AC$8,IF(G50="Green",STDs!$AC$10,STDs!$AC$11))))</f>
        <v>0.42916671497439751</v>
      </c>
      <c r="BG50" s="501">
        <f>SQRT(((BE50/IF(G50="Grey",STDs!$AC$9,IF(G50="Orange",STDs!$AC$8,IF(G50="Green",STDs!$AC$10,STDs!$AC$11))))^2)+(((BD50*(IF(G50="Grey",STDs!$AD$9,IF(G50="Orange",STDs!$AC$8,IF(G50="Green",STDs!$AC$10,STDs!$AC$11)))))/(IF(G50="Grey",STDs!$AC$9,IF(G50="Orange",STDs!$AC$8,IF(G50="Green",STDs!$AC$10,STDs!$AC$11)))^2))^2))</f>
        <v>0.44246042937290536</v>
      </c>
      <c r="BH50" s="501">
        <f t="shared" si="40"/>
        <v>0.21469070283861805</v>
      </c>
      <c r="BI50" s="501">
        <f t="shared" si="41"/>
        <v>0.22143457344731329</v>
      </c>
      <c r="BJ50" s="520">
        <v>0.05</v>
      </c>
      <c r="BK50" s="504">
        <f t="shared" si="1"/>
        <v>0.1734526844100214</v>
      </c>
      <c r="BL50" s="505">
        <f t="shared" si="42"/>
        <v>0.17890118518311415</v>
      </c>
      <c r="BM50" s="506">
        <f t="shared" si="43"/>
        <v>0.1734526844100214</v>
      </c>
      <c r="BN50" s="507">
        <f t="shared" si="44"/>
        <v>0.17890118518311415</v>
      </c>
      <c r="BO50" s="508">
        <f t="shared" si="45"/>
        <v>1.031412029116904</v>
      </c>
    </row>
    <row r="51" spans="1:67" x14ac:dyDescent="0.35">
      <c r="A51" s="494"/>
      <c r="BK51" s="504"/>
    </row>
    <row r="52" spans="1:67" x14ac:dyDescent="0.35">
      <c r="A52" s="494"/>
      <c r="BK52" s="504"/>
    </row>
    <row r="53" spans="1:67" x14ac:dyDescent="0.35">
      <c r="A53" s="494"/>
    </row>
    <row r="54" spans="1:67" x14ac:dyDescent="0.35">
      <c r="A54" s="494"/>
    </row>
    <row r="55" spans="1:67" x14ac:dyDescent="0.35">
      <c r="A55" s="494"/>
    </row>
    <row r="56" spans="1:67" x14ac:dyDescent="0.35">
      <c r="A56" s="494"/>
    </row>
    <row r="57" spans="1:67" x14ac:dyDescent="0.35">
      <c r="A57" s="494"/>
    </row>
    <row r="58" spans="1:67" x14ac:dyDescent="0.35">
      <c r="A58" s="494"/>
    </row>
    <row r="59" spans="1:67" x14ac:dyDescent="0.35">
      <c r="A59" s="494"/>
    </row>
    <row r="60" spans="1:67" x14ac:dyDescent="0.35">
      <c r="A60" s="494"/>
    </row>
    <row r="61" spans="1:67" x14ac:dyDescent="0.35">
      <c r="A61" s="494"/>
    </row>
    <row r="62" spans="1:67" x14ac:dyDescent="0.35">
      <c r="A62" s="494"/>
    </row>
  </sheetData>
  <mergeCells count="13">
    <mergeCell ref="AY1:BA1"/>
    <mergeCell ref="BM1:BO1"/>
    <mergeCell ref="C1:D1"/>
    <mergeCell ref="H1:N1"/>
    <mergeCell ref="Q1:R1"/>
    <mergeCell ref="S1:V1"/>
    <mergeCell ref="W1:Z1"/>
    <mergeCell ref="O1:P1"/>
    <mergeCell ref="AA1:AF1"/>
    <mergeCell ref="AI1:AL1"/>
    <mergeCell ref="AU1:AV1"/>
    <mergeCell ref="AW1:AX1"/>
    <mergeCell ref="BB1:BJ1"/>
  </mergeCell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X53"/>
  <sheetViews>
    <sheetView topLeftCell="AG1" zoomScale="88" zoomScaleNormal="88" workbookViewId="0">
      <selection activeCell="G1" sqref="G1:G1048576"/>
    </sheetView>
  </sheetViews>
  <sheetFormatPr defaultColWidth="8.83203125" defaultRowHeight="15.5" x14ac:dyDescent="0.35"/>
  <cols>
    <col min="1" max="1" width="17.75" bestFit="1" customWidth="1"/>
    <col min="2" max="2" width="8.9140625" bestFit="1" customWidth="1"/>
    <col min="3" max="3" width="10.9140625" bestFit="1" customWidth="1"/>
    <col min="4" max="4" width="11.58203125" bestFit="1" customWidth="1"/>
    <col min="5" max="5" width="13.33203125" customWidth="1"/>
    <col min="6" max="6" width="7.33203125" style="122" customWidth="1"/>
    <col min="7" max="7" width="11.58203125" style="590" bestFit="1" customWidth="1"/>
    <col min="8" max="8" width="10.9140625" style="245" bestFit="1" customWidth="1"/>
    <col min="9" max="9" width="11.58203125" style="245" bestFit="1" customWidth="1"/>
    <col min="10" max="10" width="8.25" style="245" bestFit="1" customWidth="1"/>
    <col min="11" max="11" width="10.58203125" style="588" bestFit="1" customWidth="1"/>
    <col min="12" max="15" width="8.9140625" style="589" bestFit="1" customWidth="1"/>
    <col min="16" max="17" width="8.9140625" bestFit="1" customWidth="1"/>
    <col min="18" max="18" width="8.9140625" style="76" bestFit="1" customWidth="1"/>
    <col min="19" max="21" width="8.9140625" bestFit="1" customWidth="1"/>
    <col min="22" max="22" width="8.83203125" style="602"/>
    <col min="23" max="25" width="8.9140625" bestFit="1" customWidth="1"/>
    <col min="26" max="26" width="8.83203125" style="602"/>
    <col min="27" max="27" width="8.9140625" bestFit="1" customWidth="1"/>
    <col min="28" max="28" width="8.9140625" style="76" bestFit="1" customWidth="1"/>
    <col min="29" max="31" width="8.9140625" bestFit="1" customWidth="1"/>
    <col min="32" max="33" width="14.75" bestFit="1" customWidth="1"/>
    <col min="34" max="34" width="8.9140625" style="599" bestFit="1" customWidth="1"/>
    <col min="35" max="35" width="8.9140625" style="619" bestFit="1" customWidth="1"/>
    <col min="36" max="38" width="8.9140625" bestFit="1" customWidth="1"/>
    <col min="39" max="39" width="8.9140625" style="2" bestFit="1" customWidth="1"/>
    <col min="40" max="40" width="14.75" style="619" bestFit="1" customWidth="1"/>
    <col min="41" max="41" width="14.9140625" style="595" bestFit="1" customWidth="1"/>
    <col min="42" max="42" width="8.9140625" style="201" bestFit="1" customWidth="1"/>
    <col min="43" max="43" width="8.9140625" style="608" bestFit="1" customWidth="1"/>
    <col min="44" max="44" width="8.9140625" style="609" bestFit="1" customWidth="1"/>
    <col min="45" max="45" width="8.9140625" style="612" bestFit="1" customWidth="1"/>
    <col min="46" max="46" width="8.9140625" style="609" bestFit="1" customWidth="1"/>
    <col min="47" max="47" width="12.4140625" style="120" bestFit="1" customWidth="1"/>
    <col min="48" max="48" width="8.9140625" customWidth="1"/>
    <col min="49" max="49" width="9.83203125" style="114" bestFit="1" customWidth="1"/>
    <col min="50" max="50" width="8.83203125" style="605"/>
  </cols>
  <sheetData>
    <row r="1" spans="1:50" ht="20" thickBot="1" x14ac:dyDescent="0.5">
      <c r="A1" s="41"/>
      <c r="B1" s="83"/>
      <c r="C1" s="731" t="s">
        <v>10</v>
      </c>
      <c r="D1" s="731"/>
      <c r="E1" s="41"/>
      <c r="F1" s="121"/>
      <c r="G1" s="573"/>
      <c r="H1" s="747" t="s">
        <v>33</v>
      </c>
      <c r="I1" s="747"/>
      <c r="J1" s="747"/>
      <c r="K1" s="747"/>
      <c r="L1" s="747"/>
      <c r="M1" s="747"/>
      <c r="N1" s="747"/>
      <c r="O1" s="747"/>
      <c r="P1" s="733" t="s">
        <v>87</v>
      </c>
      <c r="Q1" s="734"/>
      <c r="R1" s="733" t="s">
        <v>63</v>
      </c>
      <c r="S1" s="734"/>
      <c r="T1" s="735" t="s">
        <v>51</v>
      </c>
      <c r="U1" s="736"/>
      <c r="V1" s="736"/>
      <c r="W1" s="734"/>
      <c r="X1" s="735" t="s">
        <v>59</v>
      </c>
      <c r="Y1" s="736"/>
      <c r="Z1" s="736"/>
      <c r="AA1" s="734"/>
      <c r="AB1" s="737" t="s">
        <v>187</v>
      </c>
      <c r="AC1" s="738"/>
      <c r="AD1" s="738"/>
      <c r="AE1" s="738"/>
      <c r="AF1" s="738"/>
      <c r="AG1" s="738"/>
      <c r="AH1" s="738"/>
      <c r="AI1" s="753"/>
      <c r="AJ1" s="748" t="s">
        <v>193</v>
      </c>
      <c r="AK1" s="739"/>
      <c r="AL1" s="739"/>
      <c r="AM1" s="739"/>
      <c r="AN1" s="620"/>
      <c r="AO1" s="622">
        <v>220</v>
      </c>
      <c r="AP1" s="596"/>
      <c r="AQ1" s="751" t="s">
        <v>196</v>
      </c>
      <c r="AR1" s="752"/>
      <c r="AS1" s="751" t="s">
        <v>195</v>
      </c>
      <c r="AT1" s="752"/>
      <c r="AU1" s="125"/>
      <c r="AV1" s="102"/>
      <c r="AW1" s="749" t="s">
        <v>194</v>
      </c>
      <c r="AX1" s="750"/>
    </row>
    <row r="2" spans="1:50" ht="47.5" thickTop="1" thickBot="1" x14ac:dyDescent="0.4">
      <c r="A2" s="44" t="s">
        <v>0</v>
      </c>
      <c r="B2" s="44" t="s">
        <v>14</v>
      </c>
      <c r="C2" s="44" t="s">
        <v>1</v>
      </c>
      <c r="D2" s="44" t="s">
        <v>153</v>
      </c>
      <c r="E2" s="44" t="s">
        <v>4</v>
      </c>
      <c r="F2" s="571" t="s">
        <v>3</v>
      </c>
      <c r="G2" s="574" t="s">
        <v>7</v>
      </c>
      <c r="H2" s="575" t="s">
        <v>1</v>
      </c>
      <c r="I2" s="575" t="s">
        <v>153</v>
      </c>
      <c r="J2" s="576" t="s">
        <v>49</v>
      </c>
      <c r="K2" s="577" t="s">
        <v>48</v>
      </c>
      <c r="L2" s="578" t="s">
        <v>88</v>
      </c>
      <c r="M2" s="579" t="s">
        <v>55</v>
      </c>
      <c r="N2" s="579" t="s">
        <v>56</v>
      </c>
      <c r="O2" s="580" t="s">
        <v>54</v>
      </c>
      <c r="P2" s="45">
        <v>223</v>
      </c>
      <c r="Q2" s="525">
        <v>224</v>
      </c>
      <c r="R2" s="593" t="s">
        <v>50</v>
      </c>
      <c r="S2" s="47" t="s">
        <v>53</v>
      </c>
      <c r="T2" s="46" t="s">
        <v>51</v>
      </c>
      <c r="U2" s="44" t="s">
        <v>57</v>
      </c>
      <c r="V2" s="600" t="s">
        <v>58</v>
      </c>
      <c r="W2" s="94" t="s">
        <v>52</v>
      </c>
      <c r="X2" s="46" t="s">
        <v>59</v>
      </c>
      <c r="Y2" s="44" t="s">
        <v>60</v>
      </c>
      <c r="Z2" s="600" t="s">
        <v>61</v>
      </c>
      <c r="AA2" s="101" t="s">
        <v>62</v>
      </c>
      <c r="AB2" s="103" t="s">
        <v>64</v>
      </c>
      <c r="AC2" s="104" t="s">
        <v>65</v>
      </c>
      <c r="AD2" s="104" t="s">
        <v>188</v>
      </c>
      <c r="AE2" s="104" t="s">
        <v>66</v>
      </c>
      <c r="AF2" s="104" t="s">
        <v>67</v>
      </c>
      <c r="AG2" s="104" t="s">
        <v>68</v>
      </c>
      <c r="AH2" s="613" t="s">
        <v>70</v>
      </c>
      <c r="AI2" s="616" t="s">
        <v>69</v>
      </c>
      <c r="AJ2" s="554" t="s">
        <v>71</v>
      </c>
      <c r="AK2" s="554" t="s">
        <v>72</v>
      </c>
      <c r="AL2" s="554" t="s">
        <v>73</v>
      </c>
      <c r="AM2" s="104" t="s">
        <v>74</v>
      </c>
      <c r="AN2" s="616" t="s">
        <v>78</v>
      </c>
      <c r="AO2" s="614" t="s">
        <v>75</v>
      </c>
      <c r="AP2" s="597" t="s">
        <v>77</v>
      </c>
      <c r="AQ2" s="124" t="s">
        <v>79</v>
      </c>
      <c r="AR2" s="606" t="s">
        <v>80</v>
      </c>
      <c r="AS2" s="610" t="s">
        <v>82</v>
      </c>
      <c r="AT2" s="611" t="s">
        <v>192</v>
      </c>
      <c r="AU2" s="119" t="s">
        <v>84</v>
      </c>
      <c r="AV2" s="104" t="s">
        <v>89</v>
      </c>
      <c r="AW2" s="113" t="s">
        <v>85</v>
      </c>
      <c r="AX2" s="603" t="s">
        <v>86</v>
      </c>
    </row>
    <row r="3" spans="1:50" s="24" customFormat="1" x14ac:dyDescent="0.35">
      <c r="A3" s="494">
        <f>Samples!A3</f>
        <v>1</v>
      </c>
      <c r="B3" s="494">
        <f>Samples!B3</f>
        <v>0</v>
      </c>
      <c r="C3" s="495">
        <f>Samples!C3</f>
        <v>44351</v>
      </c>
      <c r="D3" s="496">
        <f>Samples!D3</f>
        <v>0.29901620370370369</v>
      </c>
      <c r="E3" s="496" t="str">
        <f>Samples!E3</f>
        <v>SW</v>
      </c>
      <c r="F3" s="572">
        <f>Samples!G3</f>
        <v>100</v>
      </c>
      <c r="G3" s="581" t="str">
        <f>Samples!X3</f>
        <v>Grey</v>
      </c>
      <c r="H3" s="582">
        <f>Samples!T3</f>
        <v>44360</v>
      </c>
      <c r="I3" s="583">
        <f>Samples!V3</f>
        <v>0.51829861111111108</v>
      </c>
      <c r="J3" s="584">
        <f>Samples!W3</f>
        <v>132.47</v>
      </c>
      <c r="K3" s="585">
        <f>H3+I3+(J3/(60*24))</f>
        <v>44360.610291666664</v>
      </c>
      <c r="L3" s="586">
        <f>K3-'Count 1 '!K3</f>
        <v>8.1364027777744923</v>
      </c>
      <c r="M3" s="586">
        <f>Samples!AA3</f>
        <v>8.0619999999999994</v>
      </c>
      <c r="N3" s="587">
        <f>Samples!Y3</f>
        <v>0.4</v>
      </c>
      <c r="O3" s="587">
        <f>Samples!Z3</f>
        <v>3.08</v>
      </c>
      <c r="P3" s="497">
        <f t="shared" ref="P3" si="0">EXP(-(LN(2)/11.434*(K3-C3-D3)))</f>
        <v>0.56866472231155363</v>
      </c>
      <c r="Q3" s="497">
        <f t="shared" ref="Q3" si="1">EXP(-(LN(2)/3.66*(K3-C3-D3)))</f>
        <v>0.17145901502646943</v>
      </c>
      <c r="R3" s="594">
        <f>SQRT(S3)/J3</f>
        <v>0.15248130145603717</v>
      </c>
      <c r="S3" s="499">
        <f>O3*J3</f>
        <v>408.00760000000002</v>
      </c>
      <c r="T3" s="498">
        <f>SQRT(W3)/J3</f>
        <v>0.15248130145603717</v>
      </c>
      <c r="U3" s="500">
        <f>2/SQRT(W3)</f>
        <v>9.9013832114309849E-2</v>
      </c>
      <c r="V3" s="601">
        <f>SQRT((O3*J3)-(AB3*J3))/(O3*J3)-(AB3*J3)</f>
        <v>-29.099531479275964</v>
      </c>
      <c r="W3" s="499">
        <f>J3*O3</f>
        <v>408.00760000000002</v>
      </c>
      <c r="X3" s="498">
        <f>SQRT(AA3)/J3</f>
        <v>5.4950446736927505E-2</v>
      </c>
      <c r="Y3" s="500">
        <f>2/SQRT(AA3)</f>
        <v>0.27475223368463753</v>
      </c>
      <c r="Z3" s="601">
        <f>SQRT((N3*J3)-(AF3*J3))/(N3*J3)-(AF3*J3)</f>
        <v>-9.7427879732246259E-2</v>
      </c>
      <c r="AA3" s="552">
        <f>J3*N3</f>
        <v>52.988</v>
      </c>
      <c r="AB3" s="621">
        <f>((M3-O3-N3)^2*0.01)/((1-((M3-O3-N3)*0.01)))</f>
        <v>0.22002896728080648</v>
      </c>
      <c r="AC3" s="500">
        <f t="shared" ref="AC3:AC50" si="2">AE3*(((2*0.01*AD3)-(0.01*AD3)^2)/(1-0.01*AD3)^2)</f>
        <v>2.1885283758233592E-2</v>
      </c>
      <c r="AD3" s="501">
        <f>M3-O3-N3</f>
        <v>4.581999999999999</v>
      </c>
      <c r="AE3" s="500">
        <f>SQRT((R3^2)+(T3^2)+(X3^2))</f>
        <v>0.22253234862383867</v>
      </c>
      <c r="AF3" s="500">
        <f>((M3-O3-AB3-N3)^2*0.000093)/((1-(M3-O3-AB3-N3)*0.000093))</f>
        <v>1.7702096991150966E-3</v>
      </c>
      <c r="AG3" s="500">
        <f>AI3*(((2*0.000093*AD3-(0.01*AD3))^2)/(1-(0.000093*AD3)^2))</f>
        <v>4.5215326602465869E-4</v>
      </c>
      <c r="AH3" s="617">
        <f>M3-AJ3-N3</f>
        <v>4.8020289672808056</v>
      </c>
      <c r="AI3" s="618">
        <f>SQRT((R3^2)+(X3^2)+(AK3^2))</f>
        <v>0.22360592977204355</v>
      </c>
      <c r="AJ3" s="501">
        <f>O3-AB3</f>
        <v>2.8599710327191934</v>
      </c>
      <c r="AK3" s="500">
        <f>SQRT((T3^2)+(AC3^2))</f>
        <v>0.15404386693051197</v>
      </c>
      <c r="AL3" s="501">
        <f>N3-AF3</f>
        <v>0.3982297903008849</v>
      </c>
      <c r="AM3" s="552">
        <f>SQRT((X3^2)+(AG3^2))</f>
        <v>5.4952306950335428E-2</v>
      </c>
      <c r="AN3" s="618">
        <f>((((IF(G3="Grey",STDs!$AC$9,IF(G3="Orange",STDs!$AC$8,IF(G3="Green",STDs!$AC$10,STDs!$AC$11))))*2)*(N3-AF3))^2*0.01)/((1+(((IF(G3="Grey",STDs!$AC$9,IF(G3="Orange",STDs!$AC$8,IF(G3="Green",STDs!$AC$10,STDs!$AC$11))))*2)*(N3-AF3))*0.01))</f>
        <v>1.3838583025355719E-4</v>
      </c>
      <c r="AO3" s="615">
        <f>AJ3-AN3-IF(G3="Grey",Blanks!$O$7,IF(G3="Orange",Blanks!$O$6,IF(G3="Green",Blanks!$O$8,Blanks!$O$9)))</f>
        <v>2.8291267645359985</v>
      </c>
      <c r="AP3" s="598">
        <f>AK3</f>
        <v>0.15404386693051197</v>
      </c>
      <c r="AQ3" s="498">
        <f>AO3/IF(G3="Grey",STDs!$AF$9,IF(G3="Orange",STDs!$AF$8,IF(G3="Green",STDs!$AF$10,STDs!$AF$11)))</f>
        <v>37.535826417529258</v>
      </c>
      <c r="AR3" s="607">
        <f>SQRT(((AP3/IF(G3="Grey",STDs!$AF$9,IF(G3="Orange",STDs!$AF$8,IF(G3="Green",STDs!$AF$10,STDs!$AF$11))))^2)+(((AO3*(IF(G3="Grey",STDs!$AG$9,IF(G3="Orange",STDs!$AG$8,IF(G3="Green",STDs!$AG$10,STDs!$AG$11)))))/(IF(G3="Grey",STDs!$AF$9,IF(G3="Orange",STDs!$AF$8,IF(G3="Green",STDs!$AF$10,STDs!$AF$11))))))^2)</f>
        <v>2.1219084834175184</v>
      </c>
      <c r="AS3" s="594">
        <f>(AQ3/F3)*100</f>
        <v>37.535826417529258</v>
      </c>
      <c r="AT3" s="607">
        <f>(SQRT(((AR3/F3)^2)+(((AQ3*(F3*0.03))/(F3^2))^2)))*100</f>
        <v>2.4021948402162199</v>
      </c>
      <c r="AU3" s="562">
        <f>('Count 1 '!AR3-(AS3*EXP(Reference!$C$3*L3)))/(1-EXP(Reference!$C$3*L3))</f>
        <v>6.265869865248745</v>
      </c>
      <c r="AV3" s="563">
        <f>AS3/Q3</f>
        <v>218.92010992676336</v>
      </c>
      <c r="AW3" s="564">
        <f>AS3-('Count 1 '!AY3*Q3)</f>
        <v>6.2658698652487423</v>
      </c>
      <c r="AX3" s="604">
        <f>(AT3/AS3)*AW3</f>
        <v>0.40099930376749632</v>
      </c>
    </row>
    <row r="4" spans="1:50" s="24" customFormat="1" x14ac:dyDescent="0.35">
      <c r="A4" s="494">
        <f>Samples!A4</f>
        <v>2</v>
      </c>
      <c r="B4" s="494">
        <f>Samples!B4</f>
        <v>0</v>
      </c>
      <c r="C4" s="495">
        <f>Samples!C4</f>
        <v>44351</v>
      </c>
      <c r="D4" s="496">
        <f>Samples!D4</f>
        <v>0.3833333333333333</v>
      </c>
      <c r="E4" s="496" t="str">
        <f>Samples!E4</f>
        <v>SW</v>
      </c>
      <c r="F4" s="572">
        <f>Samples!G4</f>
        <v>200.4</v>
      </c>
      <c r="G4" s="581" t="str">
        <f>Samples!X4</f>
        <v>Orange</v>
      </c>
      <c r="H4" s="582">
        <f>Samples!T4</f>
        <v>44360</v>
      </c>
      <c r="I4" s="583">
        <f>Samples!V4</f>
        <v>0.51760416666666664</v>
      </c>
      <c r="J4" s="584">
        <f>Samples!W4</f>
        <v>241.5</v>
      </c>
      <c r="K4" s="585">
        <f t="shared" ref="K4:K50" si="3">H4+I4+(J4/(60*24))</f>
        <v>44360.685312499998</v>
      </c>
      <c r="L4" s="586">
        <f>K4-'Count 1 '!K4</f>
        <v>8.3130300925913616</v>
      </c>
      <c r="M4" s="586">
        <f>Samples!AA4</f>
        <v>5.2750000000000004</v>
      </c>
      <c r="N4" s="587">
        <f>Samples!Y4</f>
        <v>0.27700000000000002</v>
      </c>
      <c r="O4" s="587">
        <f>Samples!Z4</f>
        <v>1.528</v>
      </c>
      <c r="P4" s="497">
        <f t="shared" ref="P4:P50" si="4">EXP(-(LN(2)/11.434*(K4-C4-D4)))</f>
        <v>0.56898528716002317</v>
      </c>
      <c r="Q4" s="497">
        <f t="shared" ref="Q4:Q50" si="5">EXP(-(LN(2)/3.66*(K4-C4-D4)))</f>
        <v>0.17176114722949112</v>
      </c>
      <c r="R4" s="594">
        <f t="shared" ref="R4:R50" si="6">SQRT(S4)/J4</f>
        <v>7.9543209346927352E-2</v>
      </c>
      <c r="S4" s="499">
        <f t="shared" ref="S4:S50" si="7">O4*J4</f>
        <v>369.012</v>
      </c>
      <c r="T4" s="498">
        <f t="shared" ref="T4:T50" si="8">SQRT(W4)/J4</f>
        <v>7.9543209346927352E-2</v>
      </c>
      <c r="U4" s="500">
        <f t="shared" ref="U4:U50" si="9">2/SQRT(W4)</f>
        <v>0.10411414835985254</v>
      </c>
      <c r="V4" s="601">
        <f t="shared" ref="V4:V50" si="10">SQRT((O4*J4)-(AB4*J4))/(O4*J4)-(AB4*J4)</f>
        <v>-30.074192023557874</v>
      </c>
      <c r="W4" s="499">
        <f t="shared" ref="W4:W50" si="11">J4*O4</f>
        <v>369.012</v>
      </c>
      <c r="X4" s="498">
        <f t="shared" ref="X4:X50" si="12">SQRT(AA4)/J4</f>
        <v>3.3867357877558527E-2</v>
      </c>
      <c r="Y4" s="500">
        <f t="shared" ref="Y4:Y50" si="13">2/SQRT(AA4)</f>
        <v>0.24452965976576546</v>
      </c>
      <c r="Z4" s="601">
        <f t="shared" ref="Z4:Z50" si="14">SQRT((N4*J4)-(AF4*J4))/(N4*J4)-(AF4*J4)</f>
        <v>-0.12938272975414422</v>
      </c>
      <c r="AA4" s="552">
        <f t="shared" ref="AA4:AA50" si="15">J4*N4</f>
        <v>66.895500000000013</v>
      </c>
      <c r="AB4" s="621">
        <f t="shared" ref="AB4:AB50" si="16">((M4-O4-N4)^2*0.01)/((1-((M4-O4-N4)*0.01)))</f>
        <v>0.12473738734072309</v>
      </c>
      <c r="AC4" s="500">
        <f t="shared" si="2"/>
        <v>8.5979082398319889E-3</v>
      </c>
      <c r="AD4" s="501">
        <f t="shared" ref="AD4:AD50" si="17">M4-O4-N4</f>
        <v>3.47</v>
      </c>
      <c r="AE4" s="500">
        <f t="shared" ref="AE4:AE50" si="18">SQRT((R4^2)+(T4^2)+(X4^2))</f>
        <v>0.1174786884333701</v>
      </c>
      <c r="AF4" s="500">
        <f t="shared" ref="AF4:AF50" si="19">((M4-O4-AB4-N4)^2*0.000093)/((1-(M4-O4-AB4-N4)*0.000093))</f>
        <v>1.0410666067633165E-3</v>
      </c>
      <c r="AG4" s="500">
        <f t="shared" ref="AG4:AG50" si="20">AI4*(((2*0.000093*AD4-(0.01*AD4))^2)/(1-(0.000093*AD4)^2))</f>
        <v>1.3660613374752621E-4</v>
      </c>
      <c r="AH4" s="617">
        <f t="shared" ref="AH4:AH50" si="21">M4-AJ4-N4</f>
        <v>3.5947373873407233</v>
      </c>
      <c r="AI4" s="618">
        <f t="shared" ref="AI4:AI50" si="22">SQRT((R4^2)+(X4^2)+(AK4^2))</f>
        <v>0.11779289563520126</v>
      </c>
      <c r="AJ4" s="501">
        <f t="shared" ref="AJ4:AJ50" si="23">O4-AB4</f>
        <v>1.4032626126592769</v>
      </c>
      <c r="AK4" s="500">
        <f t="shared" ref="AK4:AK50" si="24">SQRT((T4^2)+(AC4^2))</f>
        <v>8.0006538353497594E-2</v>
      </c>
      <c r="AL4" s="501">
        <f t="shared" ref="AL4:AL50" si="25">N4-AF4</f>
        <v>0.27595893339323668</v>
      </c>
      <c r="AM4" s="552">
        <f t="shared" ref="AM4:AM50" si="26">SQRT((X4^2)+(AG4^2))</f>
        <v>3.3867633381185681E-2</v>
      </c>
      <c r="AN4" s="618">
        <f>((((IF(G4="Grey",STDs!$AC$9,IF(G4="Orange",STDs!$AC$8,IF(G4="Green",STDs!$AC$10,STDs!$AC$11))))*2)*(N4-AF4))^2*0.01)/((1+(((IF(G4="Grey",STDs!$AC$9,IF(G4="Orange",STDs!$AC$8,IF(G4="Green",STDs!$AC$10,STDs!$AC$11))))*2)*(N4-AF4))*0.01))</f>
        <v>7.5757532293908657E-5</v>
      </c>
      <c r="AO4" s="615">
        <f>AJ4-AN4-IF(G4="Grey",Blanks!$O$7,IF(G4="Orange",Blanks!$O$6,IF(G4="Green",Blanks!$O$8,Blanks!$O$9)))</f>
        <v>1.3942979662380941</v>
      </c>
      <c r="AP4" s="598">
        <f t="shared" ref="AP4:AP50" si="27">AK4</f>
        <v>8.0006538353497594E-2</v>
      </c>
      <c r="AQ4" s="498">
        <f>AO4/IF(G4="Grey",STDs!$AF$9,IF(G4="Orange",STDs!$AF$8,IF(G4="Green",STDs!$AF$10,STDs!$AF$11)))</f>
        <v>18.059723212445885</v>
      </c>
      <c r="AR4" s="607">
        <f>SQRT(((AP4/IF(G4="Grey",STDs!$AF$9,IF(G4="Orange",STDs!$AF$8,IF(G4="Green",STDs!$AF$10,STDs!$AF$11))))^2)+(((AO4*(IF(G4="Grey",STDs!$AG$9,IF(G4="Orange",STDs!$AG$8,IF(G4="Green",STDs!$AG$10,STDs!$AG$11)))))/(IF(G4="Grey",STDs!$AF$9,IF(G4="Orange",STDs!$AF$8,IF(G4="Green",STDs!$AF$10,STDs!$AF$11))))))^2)</f>
        <v>1.0426713539042951</v>
      </c>
      <c r="AS4" s="594">
        <f t="shared" ref="AS4:AS50" si="28">(AQ4/F4)*100</f>
        <v>9.0118379303622174</v>
      </c>
      <c r="AT4" s="607">
        <f t="shared" ref="AT4:AT50" si="29">(SQRT(((AR4/F4)^2)+(((AQ4*(F4*0.03))/(F4^2))^2)))*100</f>
        <v>0.58634365172716285</v>
      </c>
      <c r="AU4" s="562">
        <f>('Count 1 '!AR4-(AS4*EXP(Reference!$C$3*L4)))/(1-EXP(Reference!$C$3*L4))</f>
        <v>-1.1579312333631511</v>
      </c>
      <c r="AV4" s="563">
        <f t="shared" ref="AV4:AV50" si="30">AS4/Q4</f>
        <v>52.467266758072157</v>
      </c>
      <c r="AW4" s="564">
        <f>AS4-('Count 1 '!AY4*Q4)</f>
        <v>-1.1579312333631453</v>
      </c>
      <c r="AX4" s="604">
        <f t="shared" ref="AX4:AX50" si="31">(AT4/AS4)*AW4</f>
        <v>-7.5339307371653425E-2</v>
      </c>
    </row>
    <row r="5" spans="1:50" s="24" customFormat="1" x14ac:dyDescent="0.35">
      <c r="A5" s="494">
        <f>Samples!A5</f>
        <v>3</v>
      </c>
      <c r="B5" s="494">
        <f>Samples!B5</f>
        <v>0</v>
      </c>
      <c r="C5" s="495">
        <f>Samples!C5</f>
        <v>44351</v>
      </c>
      <c r="D5" s="496">
        <f>Samples!D5</f>
        <v>0.4368055555555555</v>
      </c>
      <c r="E5" s="496" t="str">
        <f>Samples!E5</f>
        <v>SW</v>
      </c>
      <c r="F5" s="572">
        <f>Samples!G5</f>
        <v>200.5</v>
      </c>
      <c r="G5" s="581" t="str">
        <f>Samples!X5</f>
        <v>Green</v>
      </c>
      <c r="H5" s="582">
        <f>Samples!T5</f>
        <v>44360</v>
      </c>
      <c r="I5" s="583">
        <f>Samples!V5</f>
        <v>0.60972222222222217</v>
      </c>
      <c r="J5" s="584">
        <f>Samples!W5</f>
        <v>277.43</v>
      </c>
      <c r="K5" s="585">
        <f t="shared" si="3"/>
        <v>44360.802381944442</v>
      </c>
      <c r="L5" s="586">
        <f>K5-'Count 1 '!K5</f>
        <v>8.3741041666653473</v>
      </c>
      <c r="M5" s="586">
        <f>Samples!AA5</f>
        <v>6.9169999999999998</v>
      </c>
      <c r="N5" s="587">
        <f>Samples!Y5</f>
        <v>0.36399999999999999</v>
      </c>
      <c r="O5" s="587">
        <f>Samples!Z5</f>
        <v>2.0939999999999999</v>
      </c>
      <c r="P5" s="497">
        <f t="shared" si="4"/>
        <v>0.56679586482549327</v>
      </c>
      <c r="Q5" s="497">
        <f t="shared" si="5"/>
        <v>0.169704808346056</v>
      </c>
      <c r="R5" s="594">
        <f t="shared" si="6"/>
        <v>8.6878362715263696E-2</v>
      </c>
      <c r="S5" s="499">
        <f t="shared" si="7"/>
        <v>580.93841999999995</v>
      </c>
      <c r="T5" s="498">
        <f t="shared" si="8"/>
        <v>8.6878362715263696E-2</v>
      </c>
      <c r="U5" s="500">
        <f t="shared" si="9"/>
        <v>8.2978378906651107E-2</v>
      </c>
      <c r="V5" s="601">
        <f t="shared" si="10"/>
        <v>-57.69554846492376</v>
      </c>
      <c r="W5" s="499">
        <f t="shared" si="11"/>
        <v>580.93841999999995</v>
      </c>
      <c r="X5" s="498">
        <f t="shared" si="12"/>
        <v>3.6222129664504062E-2</v>
      </c>
      <c r="Y5" s="500">
        <f t="shared" si="13"/>
        <v>0.19902269046430801</v>
      </c>
      <c r="Z5" s="601">
        <f t="shared" si="14"/>
        <v>-0.36712951704615882</v>
      </c>
      <c r="AA5" s="552">
        <f t="shared" si="15"/>
        <v>100.98452</v>
      </c>
      <c r="AB5" s="621">
        <f t="shared" si="16"/>
        <v>0.20810626851299446</v>
      </c>
      <c r="AC5" s="500">
        <f t="shared" si="2"/>
        <v>1.2235455863075641E-2</v>
      </c>
      <c r="AD5" s="501">
        <f t="shared" si="17"/>
        <v>4.4590000000000005</v>
      </c>
      <c r="AE5" s="500">
        <f t="shared" si="18"/>
        <v>0.12809271054045968</v>
      </c>
      <c r="AF5" s="500">
        <f t="shared" si="19"/>
        <v>1.6811836966158637E-3</v>
      </c>
      <c r="AG5" s="500">
        <f t="shared" si="20"/>
        <v>2.4641312588736565E-4</v>
      </c>
      <c r="AH5" s="617">
        <f t="shared" si="21"/>
        <v>4.6671062685129945</v>
      </c>
      <c r="AI5" s="618">
        <f t="shared" si="22"/>
        <v>0.12867575091593311</v>
      </c>
      <c r="AJ5" s="501">
        <f t="shared" si="23"/>
        <v>1.8858937314870055</v>
      </c>
      <c r="AK5" s="500">
        <f t="shared" si="24"/>
        <v>8.77357184290537E-2</v>
      </c>
      <c r="AL5" s="501">
        <f t="shared" si="25"/>
        <v>0.36231881630338414</v>
      </c>
      <c r="AM5" s="552">
        <f t="shared" si="26"/>
        <v>3.6222967808570775E-2</v>
      </c>
      <c r="AN5" s="618">
        <f>((((IF(G5="Grey",STDs!$AC$9,IF(G5="Orange",STDs!$AC$8,IF(G5="Green",STDs!$AC$10,STDs!$AC$11))))*2)*(N5-AF5))^2*0.01)/((1+(((IF(G5="Grey",STDs!$AC$9,IF(G5="Orange",STDs!$AC$8,IF(G5="Green",STDs!$AC$10,STDs!$AC$11))))*2)*(N5-AF5))*0.01))</f>
        <v>1.5218800357005578E-4</v>
      </c>
      <c r="AO5" s="615">
        <f>AJ5-AN5-IF(G5="Grey",Blanks!$O$7,IF(G5="Orange",Blanks!$O$6,IF(G5="Green",Blanks!$O$8,Blanks!$O$9)))</f>
        <v>1.8574688162107083</v>
      </c>
      <c r="AP5" s="598">
        <f t="shared" si="27"/>
        <v>8.77357184290537E-2</v>
      </c>
      <c r="AQ5" s="498">
        <f>AO5/IF(G5="Grey",STDs!$AF$9,IF(G5="Orange",STDs!$AF$8,IF(G5="Green",STDs!$AF$10,STDs!$AF$11)))</f>
        <v>23.489676711174805</v>
      </c>
      <c r="AR5" s="607">
        <f>SQRT(((AP5/IF(G5="Grey",STDs!$AF$9,IF(G5="Orange",STDs!$AF$8,IF(G5="Green",STDs!$AF$10,STDs!$AF$11))))^2)+(((AO5*(IF(G5="Grey",STDs!$AG$9,IF(G5="Orange",STDs!$AG$8,IF(G5="Green",STDs!$AG$10,STDs!$AG$11)))))/(IF(G5="Grey",STDs!$AF$9,IF(G5="Orange",STDs!$AF$8,IF(G5="Green",STDs!$AF$10,STDs!$AF$11))))))^2)</f>
        <v>1.5433485013860113</v>
      </c>
      <c r="AS5" s="594">
        <f t="shared" si="28"/>
        <v>11.715549481882697</v>
      </c>
      <c r="AT5" s="607">
        <f t="shared" si="29"/>
        <v>0.84619357200514633</v>
      </c>
      <c r="AU5" s="562">
        <f>('Count 1 '!AR5-(AS5*EXP(Reference!$C$3*L5)))/(1-EXP(Reference!$C$3*L5))</f>
        <v>10.32647976572529</v>
      </c>
      <c r="AV5" s="563">
        <f t="shared" si="30"/>
        <v>69.034870585356458</v>
      </c>
      <c r="AW5" s="564">
        <f>AS5-('Count 1 '!AY5*Q5)</f>
        <v>10.32647976572529</v>
      </c>
      <c r="AX5" s="604">
        <f t="shared" si="31"/>
        <v>0.74586350496927056</v>
      </c>
    </row>
    <row r="6" spans="1:50" s="24" customFormat="1" x14ac:dyDescent="0.35">
      <c r="A6" s="494">
        <f>Samples!A6</f>
        <v>4</v>
      </c>
      <c r="B6" s="494">
        <f>Samples!B6</f>
        <v>0</v>
      </c>
      <c r="C6" s="495">
        <f>Samples!C6</f>
        <v>44351</v>
      </c>
      <c r="D6" s="496">
        <f>Samples!D6</f>
        <v>0.56527777777777777</v>
      </c>
      <c r="E6" s="496" t="str">
        <f>Samples!E6</f>
        <v>SW</v>
      </c>
      <c r="F6" s="572">
        <f>Samples!G6</f>
        <v>197.5</v>
      </c>
      <c r="G6" s="581" t="str">
        <f>Samples!X6</f>
        <v>Blue</v>
      </c>
      <c r="H6" s="582">
        <f>Samples!T6</f>
        <v>44360</v>
      </c>
      <c r="I6" s="583">
        <f>Samples!V6</f>
        <v>0.60972222222222217</v>
      </c>
      <c r="J6" s="584">
        <f>Samples!W6</f>
        <v>277.33</v>
      </c>
      <c r="K6" s="585">
        <f t="shared" si="3"/>
        <v>44360.802312500004</v>
      </c>
      <c r="L6" s="586">
        <f>K6-'Count 1 '!K6</f>
        <v>8.3028541666644742</v>
      </c>
      <c r="M6" s="586">
        <f>Samples!AA6</f>
        <v>4.8209999999999997</v>
      </c>
      <c r="N6" s="587">
        <f>Samples!Y6</f>
        <v>0.26700000000000002</v>
      </c>
      <c r="O6" s="587">
        <f>Samples!Z6</f>
        <v>1.3740000000000001</v>
      </c>
      <c r="P6" s="497">
        <f t="shared" si="4"/>
        <v>0.57122981766664682</v>
      </c>
      <c r="Q6" s="497">
        <f t="shared" si="5"/>
        <v>0.17388676340925685</v>
      </c>
      <c r="R6" s="594">
        <f t="shared" si="6"/>
        <v>7.0387402786231845E-2</v>
      </c>
      <c r="S6" s="499">
        <f t="shared" si="7"/>
        <v>381.05142000000001</v>
      </c>
      <c r="T6" s="498">
        <f t="shared" si="8"/>
        <v>7.0387402786231845E-2</v>
      </c>
      <c r="U6" s="500">
        <f t="shared" si="9"/>
        <v>0.10245619037297211</v>
      </c>
      <c r="V6" s="601">
        <f t="shared" si="10"/>
        <v>-28.916589839434653</v>
      </c>
      <c r="W6" s="499">
        <f t="shared" si="11"/>
        <v>381.05142000000001</v>
      </c>
      <c r="X6" s="498">
        <f t="shared" si="12"/>
        <v>3.102824449035619E-2</v>
      </c>
      <c r="Y6" s="500">
        <f t="shared" si="13"/>
        <v>0.23242130704386657</v>
      </c>
      <c r="Z6" s="601">
        <f t="shared" si="14"/>
        <v>-0.12801533307836144</v>
      </c>
      <c r="AA6" s="552">
        <f t="shared" si="15"/>
        <v>74.047110000000004</v>
      </c>
      <c r="AB6" s="621">
        <f t="shared" si="16"/>
        <v>0.10444536252840321</v>
      </c>
      <c r="AC6" s="500">
        <f t="shared" si="2"/>
        <v>6.9616377869865928E-3</v>
      </c>
      <c r="AD6" s="501">
        <f t="shared" si="17"/>
        <v>3.1799999999999997</v>
      </c>
      <c r="AE6" s="500">
        <f t="shared" si="18"/>
        <v>0.10426660490365934</v>
      </c>
      <c r="AF6" s="500">
        <f t="shared" si="19"/>
        <v>8.799420653314683E-4</v>
      </c>
      <c r="AG6" s="500">
        <f t="shared" si="20"/>
        <v>1.0177883878914272E-4</v>
      </c>
      <c r="AH6" s="617">
        <f t="shared" si="21"/>
        <v>3.2844453625284031</v>
      </c>
      <c r="AI6" s="618">
        <f t="shared" si="22"/>
        <v>0.10449875261845472</v>
      </c>
      <c r="AJ6" s="501">
        <f t="shared" si="23"/>
        <v>1.2695546374715969</v>
      </c>
      <c r="AK6" s="500">
        <f t="shared" si="24"/>
        <v>7.073083395286979E-2</v>
      </c>
      <c r="AL6" s="501">
        <f t="shared" si="25"/>
        <v>0.26612005793466853</v>
      </c>
      <c r="AM6" s="552">
        <f t="shared" si="26"/>
        <v>3.1028411417366255E-2</v>
      </c>
      <c r="AN6" s="618">
        <f>((((IF(G6="Grey",STDs!$AC$9,IF(G6="Orange",STDs!$AC$8,IF(G6="Green",STDs!$AC$10,STDs!$AC$11))))*2)*(N6-AF6))^2*0.01)/((1+(((IF(G6="Grey",STDs!$AC$9,IF(G6="Orange",STDs!$AC$8,IF(G6="Green",STDs!$AC$10,STDs!$AC$11))))*2)*(N6-AF6))*0.01))</f>
        <v>6.4262028926676866E-5</v>
      </c>
      <c r="AO6" s="615">
        <f>AJ6-AN6-IF(G6="Grey",Blanks!$O$7,IF(G6="Orange",Blanks!$O$6,IF(G6="Green",Blanks!$O$8,Blanks!$O$9)))</f>
        <v>1.2426332325855274</v>
      </c>
      <c r="AP6" s="598">
        <f t="shared" si="27"/>
        <v>7.073083395286979E-2</v>
      </c>
      <c r="AQ6" s="498">
        <f>AO6/IF(G6="Grey",STDs!$AF$9,IF(G6="Orange",STDs!$AF$8,IF(G6="Green",STDs!$AF$10,STDs!$AF$11)))</f>
        <v>18.145228177820812</v>
      </c>
      <c r="AR6" s="607">
        <f>SQRT(((AP6/IF(G6="Grey",STDs!$AF$9,IF(G6="Orange",STDs!$AF$8,IF(G6="Green",STDs!$AF$10,STDs!$AF$11))))^2)+(((AO6*(IF(G6="Grey",STDs!$AG$9,IF(G6="Orange",STDs!$AG$8,IF(G6="Green",STDs!$AG$10,STDs!$AG$11)))))/(IF(G6="Grey",STDs!$AF$9,IF(G6="Orange",STDs!$AF$8,IF(G6="Green",STDs!$AF$10,STDs!$AF$11))))))^2)</f>
        <v>1.0385432317466519</v>
      </c>
      <c r="AS6" s="594">
        <f t="shared" si="28"/>
        <v>9.1874573052257276</v>
      </c>
      <c r="AT6" s="607">
        <f t="shared" si="29"/>
        <v>0.5937011504567723</v>
      </c>
      <c r="AU6" s="562">
        <f>('Count 1 '!AR6-(AS6*EXP(Reference!$C$3*L6)))/(1-EXP(Reference!$C$3*L6))</f>
        <v>2.12593317203173</v>
      </c>
      <c r="AV6" s="563">
        <f t="shared" si="30"/>
        <v>52.835863553353327</v>
      </c>
      <c r="AW6" s="564">
        <f>AS6-('Count 1 '!AY6*Q6)</f>
        <v>2.1259331720317309</v>
      </c>
      <c r="AX6" s="604">
        <f t="shared" si="31"/>
        <v>0.13737957392319478</v>
      </c>
    </row>
    <row r="7" spans="1:50" s="24" customFormat="1" x14ac:dyDescent="0.35">
      <c r="A7" s="494">
        <f>Samples!A7</f>
        <v>5</v>
      </c>
      <c r="B7" s="494">
        <f>Samples!B7</f>
        <v>0</v>
      </c>
      <c r="C7" s="495">
        <f>Samples!C7</f>
        <v>44351</v>
      </c>
      <c r="D7" s="496">
        <f>Samples!D7</f>
        <v>0.73263888888888884</v>
      </c>
      <c r="E7" s="496" t="str">
        <f>Samples!E7</f>
        <v>SW</v>
      </c>
      <c r="F7" s="572">
        <f>Samples!G7</f>
        <v>199.6</v>
      </c>
      <c r="G7" s="581" t="str">
        <f>Samples!X7</f>
        <v>Blue</v>
      </c>
      <c r="H7" s="582">
        <f>Samples!T7</f>
        <v>44361</v>
      </c>
      <c r="I7" s="583">
        <f>Samples!V7</f>
        <v>0.97440972222222222</v>
      </c>
      <c r="J7" s="584">
        <f>Samples!W7</f>
        <v>394.23</v>
      </c>
      <c r="K7" s="585">
        <f t="shared" si="3"/>
        <v>44362.248180555551</v>
      </c>
      <c r="L7" s="586">
        <f>K7-'Count 1 '!K7</f>
        <v>9.5853888888814254</v>
      </c>
      <c r="M7" s="586">
        <f>Samples!AA7</f>
        <v>3.0129999999999999</v>
      </c>
      <c r="N7" s="587">
        <f>Samples!Y7</f>
        <v>0.112</v>
      </c>
      <c r="O7" s="587">
        <f>Samples!Z7</f>
        <v>0.67200000000000004</v>
      </c>
      <c r="P7" s="497">
        <f t="shared" si="4"/>
        <v>0.52862880651506228</v>
      </c>
      <c r="Q7" s="497">
        <f t="shared" si="5"/>
        <v>0.13649321892451388</v>
      </c>
      <c r="R7" s="594">
        <f t="shared" si="6"/>
        <v>4.1286664819047497E-2</v>
      </c>
      <c r="S7" s="499">
        <f t="shared" si="7"/>
        <v>264.92256000000003</v>
      </c>
      <c r="T7" s="498">
        <f t="shared" si="8"/>
        <v>4.1286664819047497E-2</v>
      </c>
      <c r="U7" s="500">
        <f t="shared" si="9"/>
        <v>0.12287697862811756</v>
      </c>
      <c r="V7" s="601">
        <f t="shared" si="10"/>
        <v>-19.974564853546749</v>
      </c>
      <c r="W7" s="499">
        <f t="shared" si="11"/>
        <v>264.92256000000003</v>
      </c>
      <c r="X7" s="498">
        <f t="shared" si="12"/>
        <v>1.6855210331330656E-2</v>
      </c>
      <c r="Y7" s="500">
        <f t="shared" si="13"/>
        <v>0.30098589877376175</v>
      </c>
      <c r="Z7" s="601">
        <f t="shared" si="14"/>
        <v>-2.37878336183098E-2</v>
      </c>
      <c r="AA7" s="552">
        <f t="shared" si="15"/>
        <v>44.153760000000005</v>
      </c>
      <c r="AB7" s="621">
        <f t="shared" si="16"/>
        <v>5.081712368698283E-2</v>
      </c>
      <c r="AC7" s="500">
        <f t="shared" si="2"/>
        <v>2.8025825663516748E-3</v>
      </c>
      <c r="AD7" s="501">
        <f t="shared" si="17"/>
        <v>2.2289999999999996</v>
      </c>
      <c r="AE7" s="500">
        <f t="shared" si="18"/>
        <v>6.0772325108343059E-2</v>
      </c>
      <c r="AF7" s="500">
        <f t="shared" si="19"/>
        <v>4.4132609964032087E-4</v>
      </c>
      <c r="AG7" s="500">
        <f t="shared" si="20"/>
        <v>2.9112495263990817E-5</v>
      </c>
      <c r="AH7" s="617">
        <f t="shared" si="21"/>
        <v>2.2798171236869829</v>
      </c>
      <c r="AI7" s="618">
        <f t="shared" si="22"/>
        <v>6.083691287463034E-2</v>
      </c>
      <c r="AJ7" s="501">
        <f t="shared" si="23"/>
        <v>0.62118287631301716</v>
      </c>
      <c r="AK7" s="500">
        <f t="shared" si="24"/>
        <v>4.138167663255795E-2</v>
      </c>
      <c r="AL7" s="501">
        <f t="shared" si="25"/>
        <v>0.11155867390035969</v>
      </c>
      <c r="AM7" s="552">
        <f t="shared" si="26"/>
        <v>1.6855235473014794E-2</v>
      </c>
      <c r="AN7" s="618">
        <f>((((IF(G7="Grey",STDs!$AC$9,IF(G7="Orange",STDs!$AC$8,IF(G7="Green",STDs!$AC$10,STDs!$AC$11))))*2)*(N7-AF7))^2*0.01)/((1+(((IF(G7="Grey",STDs!$AC$9,IF(G7="Orange",STDs!$AC$8,IF(G7="Green",STDs!$AC$10,STDs!$AC$11))))*2)*(N7-AF7))*0.01))</f>
        <v>1.1298169052941702E-5</v>
      </c>
      <c r="AO7" s="615">
        <f>AJ7-AN7-IF(G7="Grey",Blanks!$O$7,IF(G7="Orange",Blanks!$O$6,IF(G7="Green",Blanks!$O$8,Blanks!$O$9)))</f>
        <v>0.59431443528682126</v>
      </c>
      <c r="AP7" s="598">
        <f t="shared" si="27"/>
        <v>4.138167663255795E-2</v>
      </c>
      <c r="AQ7" s="498">
        <f>AO7/IF(G7="Grey",STDs!$AF$9,IF(G7="Orange",STDs!$AF$8,IF(G7="Green",STDs!$AF$10,STDs!$AF$11)))</f>
        <v>8.6783217725587889</v>
      </c>
      <c r="AR7" s="607">
        <f>SQRT(((AP7/IF(G7="Grey",STDs!$AF$9,IF(G7="Orange",STDs!$AF$8,IF(G7="Green",STDs!$AF$10,STDs!$AF$11))))^2)+(((AO7*(IF(G7="Grey",STDs!$AG$9,IF(G7="Orange",STDs!$AG$8,IF(G7="Green",STDs!$AG$10,STDs!$AG$11)))))/(IF(G7="Grey",STDs!$AF$9,IF(G7="Orange",STDs!$AF$8,IF(G7="Green",STDs!$AF$10,STDs!$AF$11))))))^2)</f>
        <v>0.60650147563133106</v>
      </c>
      <c r="AS7" s="594">
        <f t="shared" si="28"/>
        <v>4.3478565994783507</v>
      </c>
      <c r="AT7" s="607">
        <f t="shared" si="29"/>
        <v>0.33067118383161226</v>
      </c>
      <c r="AU7" s="562">
        <f>('Count 1 '!AR7-(AS7*EXP(Reference!$C$3*L7)))/(1-EXP(Reference!$C$3*L7))</f>
        <v>4.1916309922178625</v>
      </c>
      <c r="AV7" s="563">
        <f t="shared" si="30"/>
        <v>31.854011750451033</v>
      </c>
      <c r="AW7" s="564">
        <f>AS7-('Count 1 '!AY7*Q7)</f>
        <v>4.1916309922178625</v>
      </c>
      <c r="AX7" s="604">
        <f t="shared" si="31"/>
        <v>0.31878962672049777</v>
      </c>
    </row>
    <row r="8" spans="1:50" s="24" customFormat="1" x14ac:dyDescent="0.35">
      <c r="A8" s="494">
        <f>Samples!A8</f>
        <v>6</v>
      </c>
      <c r="B8" s="494">
        <f>Samples!B8</f>
        <v>0</v>
      </c>
      <c r="C8" s="495">
        <f>Samples!C8</f>
        <v>44351</v>
      </c>
      <c r="D8" s="496">
        <f>Samples!D8</f>
        <v>0.83333333333333337</v>
      </c>
      <c r="E8" s="496" t="str">
        <f>Samples!E8</f>
        <v>SW</v>
      </c>
      <c r="F8" s="572">
        <f>Samples!G8</f>
        <v>170.1</v>
      </c>
      <c r="G8" s="581" t="str">
        <f>Samples!X8</f>
        <v>Orange</v>
      </c>
      <c r="H8" s="582">
        <f>Samples!T8</f>
        <v>44361</v>
      </c>
      <c r="I8" s="583">
        <f>Samples!V8</f>
        <v>0.31907407407407407</v>
      </c>
      <c r="J8" s="584">
        <f>Samples!W8</f>
        <v>264.42</v>
      </c>
      <c r="K8" s="585">
        <f t="shared" si="3"/>
        <v>44361.502699074073</v>
      </c>
      <c r="L8" s="586">
        <f>K8-'Count 1 '!K8</f>
        <v>8.8084953703728388</v>
      </c>
      <c r="M8" s="586">
        <f>Samples!AA8</f>
        <v>2.9910000000000001</v>
      </c>
      <c r="N8" s="587">
        <f>Samples!Y8</f>
        <v>0.17</v>
      </c>
      <c r="O8" s="587">
        <f>Samples!Z8</f>
        <v>0.60499999999999998</v>
      </c>
      <c r="P8" s="497">
        <f t="shared" si="4"/>
        <v>0.55645317249639681</v>
      </c>
      <c r="Q8" s="497">
        <f t="shared" si="5"/>
        <v>0.16021673929340927</v>
      </c>
      <c r="R8" s="594">
        <f t="shared" si="6"/>
        <v>4.7833321276175352E-2</v>
      </c>
      <c r="S8" s="499">
        <f t="shared" si="7"/>
        <v>159.97409999999999</v>
      </c>
      <c r="T8" s="498">
        <f t="shared" si="8"/>
        <v>4.7833321276175352E-2</v>
      </c>
      <c r="U8" s="500">
        <f t="shared" si="9"/>
        <v>0.15812668190471194</v>
      </c>
      <c r="V8" s="601">
        <f t="shared" si="10"/>
        <v>-13.203308825105831</v>
      </c>
      <c r="W8" s="499">
        <f t="shared" si="11"/>
        <v>159.97409999999999</v>
      </c>
      <c r="X8" s="498">
        <f t="shared" si="12"/>
        <v>2.5355799575641703E-2</v>
      </c>
      <c r="Y8" s="500">
        <f t="shared" si="13"/>
        <v>0.29830352441931413</v>
      </c>
      <c r="Z8" s="601">
        <f t="shared" si="14"/>
        <v>3.3590037080029375E-2</v>
      </c>
      <c r="AA8" s="552">
        <f t="shared" si="15"/>
        <v>44.951400000000007</v>
      </c>
      <c r="AB8" s="621">
        <f t="shared" si="16"/>
        <v>5.0219422400392712E-2</v>
      </c>
      <c r="AC8" s="500">
        <f t="shared" si="2"/>
        <v>3.3114462271310553E-3</v>
      </c>
      <c r="AD8" s="501">
        <f t="shared" si="17"/>
        <v>2.2160000000000002</v>
      </c>
      <c r="AE8" s="500">
        <f t="shared" si="18"/>
        <v>7.224243781005546E-2</v>
      </c>
      <c r="AF8" s="500">
        <f t="shared" si="19"/>
        <v>4.3631419381363749E-4</v>
      </c>
      <c r="AG8" s="500">
        <f t="shared" si="20"/>
        <v>3.4204228898883341E-5</v>
      </c>
      <c r="AH8" s="617">
        <f t="shared" si="21"/>
        <v>2.2662194224003929</v>
      </c>
      <c r="AI8" s="618">
        <f t="shared" si="22"/>
        <v>7.2318292961427888E-2</v>
      </c>
      <c r="AJ8" s="501">
        <f t="shared" si="23"/>
        <v>0.55478057759960731</v>
      </c>
      <c r="AK8" s="500">
        <f t="shared" si="24"/>
        <v>4.7947808087805119E-2</v>
      </c>
      <c r="AL8" s="501">
        <f t="shared" si="25"/>
        <v>0.16956368580618639</v>
      </c>
      <c r="AM8" s="552">
        <f t="shared" si="26"/>
        <v>2.535582264588129E-2</v>
      </c>
      <c r="AN8" s="618">
        <f>((((IF(G8="Grey",STDs!$AC$9,IF(G8="Orange",STDs!$AC$8,IF(G8="Green",STDs!$AC$10,STDs!$AC$11))))*2)*(N8-AF8))^2*0.01)/((1+(((IF(G8="Grey",STDs!$AC$9,IF(G8="Orange",STDs!$AC$8,IF(G8="Green",STDs!$AC$10,STDs!$AC$11))))*2)*(N8-AF8))*0.01))</f>
        <v>2.8612005544421174E-5</v>
      </c>
      <c r="AO8" s="615">
        <f>AJ8-AN8-IF(G8="Grey",Blanks!$O$7,IF(G8="Orange",Blanks!$O$6,IF(G8="Green",Blanks!$O$8,Blanks!$O$9)))</f>
        <v>0.54586307670517409</v>
      </c>
      <c r="AP8" s="598">
        <f t="shared" si="27"/>
        <v>4.7947808087805119E-2</v>
      </c>
      <c r="AQ8" s="498">
        <f>AO8/IF(G8="Grey",STDs!$AF$9,IF(G8="Orange",STDs!$AF$8,IF(G8="Green",STDs!$AF$10,STDs!$AF$11)))</f>
        <v>7.0703223528235135</v>
      </c>
      <c r="AR8" s="607">
        <f>SQRT(((AP8/IF(G8="Grey",STDs!$AF$9,IF(G8="Orange",STDs!$AF$8,IF(G8="Green",STDs!$AF$10,STDs!$AF$11))))^2)+(((AO8*(IF(G8="Grey",STDs!$AG$9,IF(G8="Orange",STDs!$AG$8,IF(G8="Green",STDs!$AG$10,STDs!$AG$11)))))/(IF(G8="Grey",STDs!$AF$9,IF(G8="Orange",STDs!$AF$8,IF(G8="Green",STDs!$AF$10,STDs!$AF$11))))))^2)</f>
        <v>0.62268179121374601</v>
      </c>
      <c r="AS8" s="594">
        <f t="shared" si="28"/>
        <v>4.1565681086557991</v>
      </c>
      <c r="AT8" s="607">
        <f t="shared" si="29"/>
        <v>0.38672365618715504</v>
      </c>
      <c r="AU8" s="562">
        <f>('Count 1 '!AR8-(AS8*EXP(Reference!$C$3*L8)))/(1-EXP(Reference!$C$3*L8))</f>
        <v>2.1961079014831708</v>
      </c>
      <c r="AV8" s="563">
        <f t="shared" si="30"/>
        <v>25.943407205683815</v>
      </c>
      <c r="AW8" s="564">
        <f>AS8-('Count 1 '!AY8*Q8)</f>
        <v>2.1961079014831713</v>
      </c>
      <c r="AX8" s="604">
        <f t="shared" si="31"/>
        <v>0.20432406130299766</v>
      </c>
    </row>
    <row r="9" spans="1:50" s="24" customFormat="1" x14ac:dyDescent="0.35">
      <c r="A9" s="494">
        <f>Samples!A9</f>
        <v>7</v>
      </c>
      <c r="B9" s="494">
        <f>Samples!B9</f>
        <v>0</v>
      </c>
      <c r="C9" s="495">
        <f>Samples!C9</f>
        <v>44351</v>
      </c>
      <c r="D9" s="496">
        <f>Samples!D9</f>
        <v>0.22916666666666666</v>
      </c>
      <c r="E9" s="496" t="str">
        <f>Samples!E9</f>
        <v>SW</v>
      </c>
      <c r="F9" s="572">
        <f>Samples!G9</f>
        <v>166.7</v>
      </c>
      <c r="G9" s="581" t="str">
        <f>Samples!X9</f>
        <v>Green</v>
      </c>
      <c r="H9" s="582">
        <f>Samples!T9</f>
        <v>44361</v>
      </c>
      <c r="I9" s="583">
        <f>Samples!V9</f>
        <v>0.32400462962962967</v>
      </c>
      <c r="J9" s="584">
        <f>Samples!W9</f>
        <v>257.48</v>
      </c>
      <c r="K9" s="585">
        <f t="shared" si="3"/>
        <v>44361.502810185186</v>
      </c>
      <c r="L9" s="586">
        <f>K9-'Count 1 '!K9</f>
        <v>8.7535185185188311</v>
      </c>
      <c r="M9" s="586">
        <f>Samples!AA9</f>
        <v>3.5230000000000001</v>
      </c>
      <c r="N9" s="587">
        <f>Samples!Y9</f>
        <v>0.109</v>
      </c>
      <c r="O9" s="587">
        <f>Samples!Z9</f>
        <v>0.746</v>
      </c>
      <c r="P9" s="497">
        <f t="shared" si="4"/>
        <v>0.5364378678621553</v>
      </c>
      <c r="Q9" s="497">
        <f t="shared" si="5"/>
        <v>0.14289165547984303</v>
      </c>
      <c r="R9" s="594">
        <f t="shared" si="6"/>
        <v>5.3826688664774573E-2</v>
      </c>
      <c r="S9" s="499">
        <f t="shared" si="7"/>
        <v>192.08008000000001</v>
      </c>
      <c r="T9" s="498">
        <f t="shared" si="8"/>
        <v>5.3826688664774573E-2</v>
      </c>
      <c r="U9" s="500">
        <f t="shared" si="9"/>
        <v>0.14430747631306856</v>
      </c>
      <c r="V9" s="601">
        <f t="shared" si="10"/>
        <v>-18.761872413234428</v>
      </c>
      <c r="W9" s="499">
        <f t="shared" si="11"/>
        <v>192.08008000000001</v>
      </c>
      <c r="X9" s="498">
        <f t="shared" si="12"/>
        <v>2.0575078400164277E-2</v>
      </c>
      <c r="Y9" s="500">
        <f t="shared" si="13"/>
        <v>0.3775243743149409</v>
      </c>
      <c r="Z9" s="601">
        <f t="shared" si="14"/>
        <v>2.6946185968480141E-2</v>
      </c>
      <c r="AA9" s="552">
        <f t="shared" si="15"/>
        <v>28.065320000000003</v>
      </c>
      <c r="AB9" s="621">
        <f t="shared" si="16"/>
        <v>7.3133440184112122E-2</v>
      </c>
      <c r="AC9" s="500">
        <f t="shared" si="2"/>
        <v>4.3822380321528248E-3</v>
      </c>
      <c r="AD9" s="501">
        <f t="shared" si="17"/>
        <v>2.6680000000000001</v>
      </c>
      <c r="AE9" s="500">
        <f t="shared" si="18"/>
        <v>7.8854033989403799E-2</v>
      </c>
      <c r="AF9" s="500">
        <f t="shared" si="19"/>
        <v>6.2635107174524118E-4</v>
      </c>
      <c r="AG9" s="500">
        <f t="shared" si="20"/>
        <v>5.4144870652701548E-5</v>
      </c>
      <c r="AH9" s="617">
        <f t="shared" si="21"/>
        <v>2.7411334401841123</v>
      </c>
      <c r="AI9" s="618">
        <f t="shared" si="22"/>
        <v>7.897570947178946E-2</v>
      </c>
      <c r="AJ9" s="501">
        <f t="shared" si="23"/>
        <v>0.67286655981588783</v>
      </c>
      <c r="AK9" s="500">
        <f t="shared" si="24"/>
        <v>5.4004781480763514E-2</v>
      </c>
      <c r="AL9" s="501">
        <f t="shared" si="25"/>
        <v>0.10837364892825475</v>
      </c>
      <c r="AM9" s="552">
        <f t="shared" si="26"/>
        <v>2.0575149643196389E-2</v>
      </c>
      <c r="AN9" s="618">
        <f>((((IF(G9="Grey",STDs!$AC$9,IF(G9="Orange",STDs!$AC$8,IF(G9="Green",STDs!$AC$10,STDs!$AC$11))))*2)*(N9-AF9))^2*0.01)/((1+(((IF(G9="Grey",STDs!$AC$9,IF(G9="Orange",STDs!$AC$8,IF(G9="Green",STDs!$AC$10,STDs!$AC$11))))*2)*(N9-AF9))*0.01))</f>
        <v>1.3627665884808754E-5</v>
      </c>
      <c r="AO9" s="615">
        <f>AJ9-AN9-IF(G9="Grey",Blanks!$O$7,IF(G9="Orange",Blanks!$O$6,IF(G9="Green",Blanks!$O$8,Blanks!$O$9)))</f>
        <v>0.64458020487727574</v>
      </c>
      <c r="AP9" s="598">
        <f t="shared" si="27"/>
        <v>5.4004781480763514E-2</v>
      </c>
      <c r="AQ9" s="498">
        <f>AO9/IF(G9="Grey",STDs!$AF$9,IF(G9="Orange",STDs!$AF$8,IF(G9="Green",STDs!$AF$10,STDs!$AF$11)))</f>
        <v>8.1514050167895036</v>
      </c>
      <c r="AR9" s="607">
        <f>SQRT(((AP9/IF(G9="Grey",STDs!$AF$9,IF(G9="Orange",STDs!$AF$8,IF(G9="Green",STDs!$AF$10,STDs!$AF$11))))^2)+(((AO9*(IF(G9="Grey",STDs!$AG$9,IF(G9="Orange",STDs!$AG$8,IF(G9="Green",STDs!$AG$10,STDs!$AG$11)))))/(IF(G9="Grey",STDs!$AF$9,IF(G9="Orange",STDs!$AF$8,IF(G9="Green",STDs!$AF$10,STDs!$AF$11))))))^2)</f>
        <v>0.77782671929760427</v>
      </c>
      <c r="AS9" s="594">
        <f t="shared" si="28"/>
        <v>4.8898650370662891</v>
      </c>
      <c r="AT9" s="607">
        <f t="shared" si="29"/>
        <v>0.48911940466426745</v>
      </c>
      <c r="AU9" s="562">
        <f>('Count 1 '!AR9-(AS9*EXP(Reference!$C$3*L9)))/(1-EXP(Reference!$C$3*L9))</f>
        <v>1.3380013526154273</v>
      </c>
      <c r="AV9" s="563">
        <f t="shared" si="30"/>
        <v>34.22078791547122</v>
      </c>
      <c r="AW9" s="564">
        <f>AS9-('Count 1 '!AY9*Q9)</f>
        <v>1.33800135261543</v>
      </c>
      <c r="AX9" s="604">
        <f t="shared" si="31"/>
        <v>0.13383650061308877</v>
      </c>
    </row>
    <row r="10" spans="1:50" s="24" customFormat="1" x14ac:dyDescent="0.35">
      <c r="A10" s="494">
        <f>Samples!A10</f>
        <v>8</v>
      </c>
      <c r="B10" s="494">
        <f>Samples!B10</f>
        <v>0</v>
      </c>
      <c r="C10" s="495">
        <f>Samples!C10</f>
        <v>44351</v>
      </c>
      <c r="D10" s="496">
        <f>Samples!D10</f>
        <v>0.84930555555555554</v>
      </c>
      <c r="E10" s="496" t="str">
        <f>Samples!E10</f>
        <v>SW</v>
      </c>
      <c r="F10" s="572">
        <f>Samples!G10</f>
        <v>187</v>
      </c>
      <c r="G10" s="581" t="str">
        <f>Samples!X10</f>
        <v>Blue</v>
      </c>
      <c r="H10" s="582">
        <f>Samples!T10</f>
        <v>44361</v>
      </c>
      <c r="I10" s="583">
        <f>Samples!V10</f>
        <v>0.32416666666666666</v>
      </c>
      <c r="J10" s="584">
        <f>Samples!W10</f>
        <v>257.35000000000002</v>
      </c>
      <c r="K10" s="585">
        <f t="shared" si="3"/>
        <v>44361.502881944441</v>
      </c>
      <c r="L10" s="586">
        <f>K10-'Count 1 '!K10</f>
        <v>8.5935856481446535</v>
      </c>
      <c r="M10" s="586">
        <f>Samples!AA10</f>
        <v>3.3530000000000002</v>
      </c>
      <c r="N10" s="587">
        <f>Samples!Y10</f>
        <v>0.19800000000000001</v>
      </c>
      <c r="O10" s="587">
        <f>Samples!Z10</f>
        <v>0.73799999999999999</v>
      </c>
      <c r="P10" s="497">
        <f t="shared" si="4"/>
        <v>0.55698605083097696</v>
      </c>
      <c r="Q10" s="497">
        <f t="shared" si="5"/>
        <v>0.16069654571410474</v>
      </c>
      <c r="R10" s="594">
        <f t="shared" si="6"/>
        <v>5.3550816207189482E-2</v>
      </c>
      <c r="S10" s="499">
        <f t="shared" si="7"/>
        <v>189.92430000000002</v>
      </c>
      <c r="T10" s="498">
        <f t="shared" si="8"/>
        <v>5.3550816207189482E-2</v>
      </c>
      <c r="U10" s="500">
        <f t="shared" si="9"/>
        <v>0.14512416316311513</v>
      </c>
      <c r="V10" s="601">
        <f t="shared" si="10"/>
        <v>-15.336919100496372</v>
      </c>
      <c r="W10" s="499">
        <f t="shared" si="11"/>
        <v>189.92430000000002</v>
      </c>
      <c r="X10" s="498">
        <f t="shared" si="12"/>
        <v>2.7737703969295036E-2</v>
      </c>
      <c r="Y10" s="500">
        <f t="shared" si="13"/>
        <v>0.28017882797267712</v>
      </c>
      <c r="Z10" s="601">
        <f t="shared" si="14"/>
        <v>6.9005515643395521E-3</v>
      </c>
      <c r="AA10" s="552">
        <f t="shared" si="15"/>
        <v>50.955300000000008</v>
      </c>
      <c r="AB10" s="621">
        <f t="shared" si="16"/>
        <v>5.9865847534919005E-2</v>
      </c>
      <c r="AC10" s="500">
        <f t="shared" si="2"/>
        <v>4.0447672434875204E-3</v>
      </c>
      <c r="AD10" s="501">
        <f t="shared" si="17"/>
        <v>2.4170000000000003</v>
      </c>
      <c r="AE10" s="500">
        <f t="shared" si="18"/>
        <v>8.0652092684570936E-2</v>
      </c>
      <c r="AF10" s="500">
        <f t="shared" si="19"/>
        <v>5.1682886723528314E-4</v>
      </c>
      <c r="AG10" s="500">
        <f t="shared" si="20"/>
        <v>4.5436673942236833E-5</v>
      </c>
      <c r="AH10" s="617">
        <f t="shared" si="21"/>
        <v>2.4768658475349192</v>
      </c>
      <c r="AI10" s="618">
        <f t="shared" si="22"/>
        <v>8.0753453154986568E-2</v>
      </c>
      <c r="AJ10" s="501">
        <f t="shared" si="23"/>
        <v>0.67813415246508102</v>
      </c>
      <c r="AK10" s="500">
        <f t="shared" si="24"/>
        <v>5.3703352395452715E-2</v>
      </c>
      <c r="AL10" s="501">
        <f t="shared" si="25"/>
        <v>0.19748317113276473</v>
      </c>
      <c r="AM10" s="552">
        <f t="shared" si="26"/>
        <v>2.773774118380198E-2</v>
      </c>
      <c r="AN10" s="618">
        <f>((((IF(G10="Grey",STDs!$AC$9,IF(G10="Orange",STDs!$AC$8,IF(G10="Green",STDs!$AC$10,STDs!$AC$11))))*2)*(N10-AF10))^2*0.01)/((1+(((IF(G10="Grey",STDs!$AC$9,IF(G10="Orange",STDs!$AC$8,IF(G10="Green",STDs!$AC$10,STDs!$AC$11))))*2)*(N10-AF10))*0.01))</f>
        <v>3.5395590786260444E-5</v>
      </c>
      <c r="AO10" s="615">
        <f>AJ10-AN10-IF(G10="Grey",Blanks!$O$7,IF(G10="Orange",Blanks!$O$6,IF(G10="Green",Blanks!$O$8,Blanks!$O$9)))</f>
        <v>0.65124161401715197</v>
      </c>
      <c r="AP10" s="598">
        <f t="shared" si="27"/>
        <v>5.3703352395452715E-2</v>
      </c>
      <c r="AQ10" s="498">
        <f>AO10/IF(G10="Grey",STDs!$AF$9,IF(G10="Orange",STDs!$AF$8,IF(G10="Green",STDs!$AF$10,STDs!$AF$11)))</f>
        <v>9.5095860752462222</v>
      </c>
      <c r="AR10" s="607">
        <f>SQRT(((AP10/IF(G10="Grey",STDs!$AF$9,IF(G10="Orange",STDs!$AF$8,IF(G10="Green",STDs!$AF$10,STDs!$AF$11))))^2)+(((AO10*(IF(G10="Grey",STDs!$AG$9,IF(G10="Orange",STDs!$AG$8,IF(G10="Green",STDs!$AG$10,STDs!$AG$11)))))/(IF(G10="Grey",STDs!$AF$9,IF(G10="Orange",STDs!$AF$8,IF(G10="Green",STDs!$AF$10,STDs!$AF$11))))))^2)</f>
        <v>0.7862594652648589</v>
      </c>
      <c r="AS10" s="594">
        <f t="shared" si="28"/>
        <v>5.0853401471904931</v>
      </c>
      <c r="AT10" s="607">
        <f t="shared" si="29"/>
        <v>0.44728167542231295</v>
      </c>
      <c r="AU10" s="562">
        <f>('Count 1 '!AR10-(AS10*EXP(Reference!$C$3*L10)))/(1-EXP(Reference!$C$3*L10))</f>
        <v>2.5585632239129263</v>
      </c>
      <c r="AV10" s="563">
        <f t="shared" si="30"/>
        <v>31.645609584152623</v>
      </c>
      <c r="AW10" s="564">
        <f>AS10-('Count 1 '!AY10*Q10)</f>
        <v>2.5585632239129268</v>
      </c>
      <c r="AX10" s="604">
        <f t="shared" si="31"/>
        <v>0.22503872156869117</v>
      </c>
    </row>
    <row r="11" spans="1:50" s="24" customFormat="1" x14ac:dyDescent="0.35">
      <c r="A11" s="494">
        <f>Samples!A11</f>
        <v>9</v>
      </c>
      <c r="B11" s="494">
        <f>Samples!B11</f>
        <v>0</v>
      </c>
      <c r="C11" s="495">
        <f>Samples!C11</f>
        <v>44352</v>
      </c>
      <c r="D11" s="496">
        <f>Samples!D11</f>
        <v>0.43333333333333335</v>
      </c>
      <c r="E11" s="496" t="str">
        <f>Samples!E11</f>
        <v>SW</v>
      </c>
      <c r="F11" s="572">
        <f>Samples!G11</f>
        <v>167.9</v>
      </c>
      <c r="G11" s="581" t="str">
        <f>Samples!X11</f>
        <v>Orange</v>
      </c>
      <c r="H11" s="582">
        <f>Samples!T11</f>
        <v>44361</v>
      </c>
      <c r="I11" s="583">
        <f>Samples!V11</f>
        <v>0.90296296296296286</v>
      </c>
      <c r="J11" s="584">
        <f>Samples!W11</f>
        <v>411.95</v>
      </c>
      <c r="K11" s="585">
        <f t="shared" si="3"/>
        <v>44362.189039351855</v>
      </c>
      <c r="L11" s="586">
        <f>K11-'Count 1 '!K11</f>
        <v>8.8002893518496421</v>
      </c>
      <c r="M11" s="586">
        <f>Samples!AA11</f>
        <v>4.1559999999999997</v>
      </c>
      <c r="N11" s="587">
        <f>Samples!Y11</f>
        <v>0.184</v>
      </c>
      <c r="O11" s="587">
        <f>Samples!Z11</f>
        <v>0.88600000000000001</v>
      </c>
      <c r="P11" s="497">
        <f t="shared" si="4"/>
        <v>0.55354825858550694</v>
      </c>
      <c r="Q11" s="497">
        <f t="shared" si="5"/>
        <v>0.1576182564162209</v>
      </c>
      <c r="R11" s="594">
        <f t="shared" si="6"/>
        <v>4.6376140954286729E-2</v>
      </c>
      <c r="S11" s="499">
        <f t="shared" si="7"/>
        <v>364.98770000000002</v>
      </c>
      <c r="T11" s="498">
        <f t="shared" si="8"/>
        <v>4.6376140954286729E-2</v>
      </c>
      <c r="U11" s="500">
        <f t="shared" si="9"/>
        <v>0.10468654842954113</v>
      </c>
      <c r="V11" s="601">
        <f t="shared" si="10"/>
        <v>-40.431514165124611</v>
      </c>
      <c r="W11" s="499">
        <f t="shared" si="11"/>
        <v>364.98770000000002</v>
      </c>
      <c r="X11" s="498">
        <f t="shared" si="12"/>
        <v>2.113424111698187E-2</v>
      </c>
      <c r="Y11" s="500">
        <f t="shared" si="13"/>
        <v>0.22972001214110727</v>
      </c>
      <c r="Z11" s="601">
        <f t="shared" si="14"/>
        <v>-0.22748276813480903</v>
      </c>
      <c r="AA11" s="552">
        <f t="shared" si="15"/>
        <v>75.7988</v>
      </c>
      <c r="AB11" s="621">
        <f t="shared" si="16"/>
        <v>9.8266463049714148E-2</v>
      </c>
      <c r="AC11" s="500">
        <f t="shared" si="2"/>
        <v>4.4582215813691777E-3</v>
      </c>
      <c r="AD11" s="501">
        <f t="shared" si="17"/>
        <v>3.0859999999999994</v>
      </c>
      <c r="AE11" s="500">
        <f t="shared" si="18"/>
        <v>6.8906814229178145E-2</v>
      </c>
      <c r="AF11" s="500">
        <f t="shared" si="19"/>
        <v>8.3040004127389686E-4</v>
      </c>
      <c r="AG11" s="500">
        <f t="shared" si="20"/>
        <v>6.3336380168856375E-5</v>
      </c>
      <c r="AH11" s="617">
        <f t="shared" si="21"/>
        <v>3.1842664630497137</v>
      </c>
      <c r="AI11" s="618">
        <f t="shared" si="22"/>
        <v>6.9050885489492855E-2</v>
      </c>
      <c r="AJ11" s="501">
        <f t="shared" si="23"/>
        <v>0.78773353695028581</v>
      </c>
      <c r="AK11" s="500">
        <f t="shared" si="24"/>
        <v>4.6589936568753307E-2</v>
      </c>
      <c r="AL11" s="501">
        <f t="shared" si="25"/>
        <v>0.18316959995872609</v>
      </c>
      <c r="AM11" s="552">
        <f t="shared" si="26"/>
        <v>2.113433602192839E-2</v>
      </c>
      <c r="AN11" s="618">
        <f>((((IF(G11="Grey",STDs!$AC$9,IF(G11="Orange",STDs!$AC$8,IF(G11="Green",STDs!$AC$10,STDs!$AC$11))))*2)*(N11-AF11))^2*0.01)/((1+(((IF(G11="Grey",STDs!$AC$9,IF(G11="Orange",STDs!$AC$8,IF(G11="Green",STDs!$AC$10,STDs!$AC$11))))*2)*(N11-AF11))*0.01))</f>
        <v>3.338648998942176E-5</v>
      </c>
      <c r="AO11" s="615">
        <f>AJ11-AN11-IF(G11="Grey",Blanks!$O$7,IF(G11="Orange",Blanks!$O$6,IF(G11="Green",Blanks!$O$8,Blanks!$O$9)))</f>
        <v>0.77881126157140756</v>
      </c>
      <c r="AP11" s="598">
        <f t="shared" si="27"/>
        <v>4.6589936568753307E-2</v>
      </c>
      <c r="AQ11" s="498">
        <f>AO11/IF(G11="Grey",STDs!$AF$9,IF(G11="Orange",STDs!$AF$8,IF(G11="Green",STDs!$AF$10,STDs!$AF$11)))</f>
        <v>10.087596883372068</v>
      </c>
      <c r="AR11" s="607">
        <f>SQRT(((AP11/IF(G11="Grey",STDs!$AF$9,IF(G11="Orange",STDs!$AF$8,IF(G11="Green",STDs!$AF$10,STDs!$AF$11))))^2)+(((AO11*(IF(G11="Grey",STDs!$AG$9,IF(G11="Orange",STDs!$AG$8,IF(G11="Green",STDs!$AG$10,STDs!$AG$11)))))/(IF(G11="Grey",STDs!$AF$9,IF(G11="Orange",STDs!$AF$8,IF(G11="Green",STDs!$AF$10,STDs!$AF$11))))))^2)</f>
        <v>0.60687904958577654</v>
      </c>
      <c r="AS11" s="594">
        <f t="shared" si="28"/>
        <v>6.0080982033186823</v>
      </c>
      <c r="AT11" s="607">
        <f t="shared" si="29"/>
        <v>0.40390043258214092</v>
      </c>
      <c r="AU11" s="562">
        <f>('Count 1 '!AR11-(AS11*EXP(Reference!$C$3*L11)))/(1-EXP(Reference!$C$3*L11))</f>
        <v>5.3314929710617056</v>
      </c>
      <c r="AV11" s="563">
        <f t="shared" si="30"/>
        <v>38.118034927712685</v>
      </c>
      <c r="AW11" s="564">
        <f>AS11-('Count 1 '!AY11*Q11)</f>
        <v>5.3314929710617056</v>
      </c>
      <c r="AX11" s="604">
        <f t="shared" si="31"/>
        <v>0.35841496667464612</v>
      </c>
    </row>
    <row r="12" spans="1:50" s="24" customFormat="1" x14ac:dyDescent="0.35">
      <c r="A12" s="494">
        <f>Samples!A12</f>
        <v>10</v>
      </c>
      <c r="B12" s="494">
        <f>Samples!B12</f>
        <v>0</v>
      </c>
      <c r="C12" s="495">
        <f>Samples!C12</f>
        <v>44352</v>
      </c>
      <c r="D12" s="496">
        <f>Samples!D12</f>
        <v>0.55763888888888891</v>
      </c>
      <c r="E12" s="496" t="str">
        <f>Samples!E12</f>
        <v>SW</v>
      </c>
      <c r="F12" s="572">
        <f>Samples!G12</f>
        <v>175.5</v>
      </c>
      <c r="G12" s="581" t="str">
        <f>Samples!X12</f>
        <v>Grey</v>
      </c>
      <c r="H12" s="582">
        <f>Samples!T12</f>
        <v>44361</v>
      </c>
      <c r="I12" s="583">
        <f>Samples!V12</f>
        <v>0.90299768518518519</v>
      </c>
      <c r="J12" s="584">
        <f>Samples!W12</f>
        <v>411.83</v>
      </c>
      <c r="K12" s="585">
        <f t="shared" si="3"/>
        <v>44362.188990740739</v>
      </c>
      <c r="L12" s="586">
        <f>K12-'Count 1 '!K12</f>
        <v>9.2816759259221726</v>
      </c>
      <c r="M12" s="586">
        <f>Samples!AA12</f>
        <v>3.698</v>
      </c>
      <c r="N12" s="587">
        <f>Samples!Y12</f>
        <v>0.153</v>
      </c>
      <c r="O12" s="587">
        <f>Samples!Z12</f>
        <v>0.77500000000000002</v>
      </c>
      <c r="P12" s="497">
        <f t="shared" si="4"/>
        <v>0.55773697642588016</v>
      </c>
      <c r="Q12" s="497">
        <f t="shared" si="5"/>
        <v>0.16137434004081486</v>
      </c>
      <c r="R12" s="594">
        <f t="shared" si="6"/>
        <v>4.3380231101044303E-2</v>
      </c>
      <c r="S12" s="499">
        <f t="shared" si="7"/>
        <v>319.16825</v>
      </c>
      <c r="T12" s="498">
        <f t="shared" si="8"/>
        <v>4.3380231101044303E-2</v>
      </c>
      <c r="U12" s="500">
        <f t="shared" si="9"/>
        <v>0.11194898348656593</v>
      </c>
      <c r="V12" s="601">
        <f t="shared" si="10"/>
        <v>-32.446493188994928</v>
      </c>
      <c r="W12" s="499">
        <f t="shared" si="11"/>
        <v>319.16825</v>
      </c>
      <c r="X12" s="498">
        <f t="shared" si="12"/>
        <v>1.9274659978864166E-2</v>
      </c>
      <c r="Y12" s="500">
        <f t="shared" si="13"/>
        <v>0.25195633959299563</v>
      </c>
      <c r="Z12" s="601">
        <f t="shared" si="14"/>
        <v>-0.15173654681615797</v>
      </c>
      <c r="AA12" s="552">
        <f t="shared" si="15"/>
        <v>63.009989999999995</v>
      </c>
      <c r="AB12" s="621">
        <f t="shared" si="16"/>
        <v>7.8914943947341359E-2</v>
      </c>
      <c r="AC12" s="500">
        <f t="shared" si="2"/>
        <v>3.7162122135272094E-3</v>
      </c>
      <c r="AD12" s="501">
        <f t="shared" si="17"/>
        <v>2.77</v>
      </c>
      <c r="AE12" s="500">
        <f t="shared" si="18"/>
        <v>6.4305531784294032E-2</v>
      </c>
      <c r="AF12" s="500">
        <f t="shared" si="19"/>
        <v>6.7366890616895356E-4</v>
      </c>
      <c r="AG12" s="500">
        <f t="shared" si="20"/>
        <v>4.7601868629341843E-5</v>
      </c>
      <c r="AH12" s="617">
        <f t="shared" si="21"/>
        <v>2.8489149439473413</v>
      </c>
      <c r="AI12" s="618">
        <f t="shared" si="22"/>
        <v>6.4412822103031786E-2</v>
      </c>
      <c r="AJ12" s="501">
        <f t="shared" si="23"/>
        <v>0.69608505605265869</v>
      </c>
      <c r="AK12" s="500">
        <f t="shared" si="24"/>
        <v>4.3539116706657936E-2</v>
      </c>
      <c r="AL12" s="501">
        <f t="shared" si="25"/>
        <v>0.15232633109383104</v>
      </c>
      <c r="AM12" s="552">
        <f t="shared" si="26"/>
        <v>1.927471875900463E-2</v>
      </c>
      <c r="AN12" s="618">
        <f>((((IF(G12="Grey",STDs!$AC$9,IF(G12="Orange",STDs!$AC$8,IF(G12="Green",STDs!$AC$10,STDs!$AC$11))))*2)*(N12-AF12))^2*0.01)/((1+(((IF(G12="Grey",STDs!$AC$9,IF(G12="Orange",STDs!$AC$8,IF(G12="Green",STDs!$AC$10,STDs!$AC$11))))*2)*(N12-AF12))*0.01))</f>
        <v>2.0262335327792328E-5</v>
      </c>
      <c r="AO12" s="615">
        <f>AJ12-AN12-IF(G12="Grey",Blanks!$O$7,IF(G12="Orange",Blanks!$O$6,IF(G12="Green",Blanks!$O$8,Blanks!$O$9)))</f>
        <v>0.66535891136438974</v>
      </c>
      <c r="AP12" s="598">
        <f t="shared" si="27"/>
        <v>4.3539116706657936E-2</v>
      </c>
      <c r="AQ12" s="498">
        <f>AO12/IF(G12="Grey",STDs!$AF$9,IF(G12="Orange",STDs!$AF$8,IF(G12="Green",STDs!$AF$10,STDs!$AF$11)))</f>
        <v>8.8277403880932326</v>
      </c>
      <c r="AR12" s="607">
        <f>SQRT(((AP12/IF(G12="Grey",STDs!$AF$9,IF(G12="Orange",STDs!$AF$8,IF(G12="Green",STDs!$AF$10,STDs!$AF$11))))^2)+(((AO12*(IF(G12="Grey",STDs!$AG$9,IF(G12="Orange",STDs!$AG$8,IF(G12="Green",STDs!$AG$10,STDs!$AG$11)))))/(IF(G12="Grey",STDs!$AF$9,IF(G12="Orange",STDs!$AF$8,IF(G12="Green",STDs!$AF$10,STDs!$AF$11))))))^2)</f>
        <v>0.59303426341582122</v>
      </c>
      <c r="AS12" s="594">
        <f t="shared" si="28"/>
        <v>5.0300515031870274</v>
      </c>
      <c r="AT12" s="607">
        <f t="shared" si="29"/>
        <v>0.37007471780952461</v>
      </c>
      <c r="AU12" s="562">
        <f>('Count 1 '!AR12-(AS12*EXP(Reference!$C$3*L12)))/(1-EXP(Reference!$C$3*L12))</f>
        <v>2.0577606543236788</v>
      </c>
      <c r="AV12" s="563">
        <f t="shared" si="30"/>
        <v>31.170082566502362</v>
      </c>
      <c r="AW12" s="564">
        <f>AS12-('Count 1 '!AY12*Q12)</f>
        <v>2.0577606543236802</v>
      </c>
      <c r="AX12" s="604">
        <f t="shared" si="31"/>
        <v>0.15139510857610072</v>
      </c>
    </row>
    <row r="13" spans="1:50" s="24" customFormat="1" x14ac:dyDescent="0.35">
      <c r="A13" s="494">
        <f>Samples!A13</f>
        <v>11</v>
      </c>
      <c r="B13" s="494">
        <f>Samples!B13</f>
        <v>0</v>
      </c>
      <c r="C13" s="495">
        <f>Samples!C13</f>
        <v>44352</v>
      </c>
      <c r="D13" s="496">
        <f>Samples!D13</f>
        <v>0.79791666666666661</v>
      </c>
      <c r="E13" s="496" t="str">
        <f>Samples!E13</f>
        <v>SW</v>
      </c>
      <c r="F13" s="572">
        <f>Samples!G13</f>
        <v>200.1</v>
      </c>
      <c r="G13" s="581" t="str">
        <f>Samples!X13</f>
        <v>Green</v>
      </c>
      <c r="H13" s="582">
        <f>Samples!T13</f>
        <v>44361</v>
      </c>
      <c r="I13" s="583">
        <f>Samples!V13</f>
        <v>0.90309027777777784</v>
      </c>
      <c r="J13" s="584">
        <f>Samples!W13</f>
        <v>411.85</v>
      </c>
      <c r="K13" s="585">
        <f t="shared" si="3"/>
        <v>44362.189097222225</v>
      </c>
      <c r="L13" s="586">
        <f>K13-'Count 1 '!K13</f>
        <v>8.675773148148437</v>
      </c>
      <c r="M13" s="586">
        <f>Samples!AA13</f>
        <v>3.0470000000000002</v>
      </c>
      <c r="N13" s="587">
        <f>Samples!Y13</f>
        <v>0.107</v>
      </c>
      <c r="O13" s="587">
        <f>Samples!Z13</f>
        <v>0.47299999999999998</v>
      </c>
      <c r="P13" s="497">
        <f t="shared" si="4"/>
        <v>0.56591678646997823</v>
      </c>
      <c r="Q13" s="497">
        <f t="shared" si="5"/>
        <v>0.16888389627744071</v>
      </c>
      <c r="R13" s="594">
        <f t="shared" si="6"/>
        <v>3.3889178022402877E-2</v>
      </c>
      <c r="S13" s="499">
        <f t="shared" si="7"/>
        <v>194.80504999999999</v>
      </c>
      <c r="T13" s="498">
        <f t="shared" si="8"/>
        <v>3.3889178022402877E-2</v>
      </c>
      <c r="U13" s="500">
        <f t="shared" si="9"/>
        <v>0.14329462165920878</v>
      </c>
      <c r="V13" s="601">
        <f t="shared" si="10"/>
        <v>-25.632811629600035</v>
      </c>
      <c r="W13" s="499">
        <f t="shared" si="11"/>
        <v>194.80504999999999</v>
      </c>
      <c r="X13" s="498">
        <f t="shared" si="12"/>
        <v>1.6118415755086043E-2</v>
      </c>
      <c r="Y13" s="500">
        <f t="shared" si="13"/>
        <v>0.30127879916048678</v>
      </c>
      <c r="Z13" s="601">
        <f t="shared" si="14"/>
        <v>-7.1255494532510455E-2</v>
      </c>
      <c r="AA13" s="552">
        <f t="shared" si="15"/>
        <v>44.067950000000003</v>
      </c>
      <c r="AB13" s="621">
        <f t="shared" si="16"/>
        <v>6.2400305537612916E-2</v>
      </c>
      <c r="AC13" s="500">
        <f t="shared" si="2"/>
        <v>2.590301361796265E-3</v>
      </c>
      <c r="AD13" s="501">
        <f t="shared" si="17"/>
        <v>2.4670000000000001</v>
      </c>
      <c r="AE13" s="500">
        <f t="shared" si="18"/>
        <v>5.0564375804730693E-2</v>
      </c>
      <c r="AF13" s="500">
        <f t="shared" si="19"/>
        <v>5.3785555066483009E-4</v>
      </c>
      <c r="AG13" s="500">
        <f t="shared" si="20"/>
        <v>2.9678653250400357E-5</v>
      </c>
      <c r="AH13" s="617">
        <f t="shared" si="21"/>
        <v>2.5294003055376129</v>
      </c>
      <c r="AI13" s="618">
        <f t="shared" si="22"/>
        <v>5.0630680043496926E-2</v>
      </c>
      <c r="AJ13" s="501">
        <f t="shared" si="23"/>
        <v>0.41059969446238709</v>
      </c>
      <c r="AK13" s="500">
        <f t="shared" si="24"/>
        <v>3.3988028012508137E-2</v>
      </c>
      <c r="AL13" s="501">
        <f t="shared" si="25"/>
        <v>0.10646214444933516</v>
      </c>
      <c r="AM13" s="552">
        <f t="shared" si="26"/>
        <v>1.6118443078544053E-2</v>
      </c>
      <c r="AN13" s="618">
        <f>((((IF(G13="Grey",STDs!$AC$9,IF(G13="Orange",STDs!$AC$8,IF(G13="Green",STDs!$AC$10,STDs!$AC$11))))*2)*(N13-AF13))^2*0.01)/((1+(((IF(G13="Grey",STDs!$AC$9,IF(G13="Orange",STDs!$AC$8,IF(G13="Green",STDs!$AC$10,STDs!$AC$11))))*2)*(N13-AF13))*0.01))</f>
        <v>1.3151259026631185E-5</v>
      </c>
      <c r="AO13" s="615">
        <f>AJ13-AN13-IF(G13="Grey",Blanks!$O$7,IF(G13="Orange",Blanks!$O$6,IF(G13="Green",Blanks!$O$8,Blanks!$O$9)))</f>
        <v>0.38231381593063318</v>
      </c>
      <c r="AP13" s="598">
        <f t="shared" si="27"/>
        <v>3.3988028012508137E-2</v>
      </c>
      <c r="AQ13" s="498">
        <f>AO13/IF(G13="Grey",STDs!$AF$9,IF(G13="Orange",STDs!$AF$8,IF(G13="Green",STDs!$AF$10,STDs!$AF$11)))</f>
        <v>4.8347664628612748</v>
      </c>
      <c r="AR13" s="607">
        <f>SQRT(((AP13/IF(G13="Grey",STDs!$AF$9,IF(G13="Orange",STDs!$AF$8,IF(G13="Green",STDs!$AF$10,STDs!$AF$11))))^2)+(((AO13*(IF(G13="Grey",STDs!$AG$9,IF(G13="Orange",STDs!$AG$8,IF(G13="Green",STDs!$AG$10,STDs!$AG$11)))))/(IF(G13="Grey",STDs!$AF$9,IF(G13="Orange",STDs!$AF$8,IF(G13="Green",STDs!$AF$10,STDs!$AF$11))))))^2)</f>
        <v>0.48321622543480663</v>
      </c>
      <c r="AS13" s="594">
        <f t="shared" si="28"/>
        <v>2.416175143858708</v>
      </c>
      <c r="AT13" s="607">
        <f t="shared" si="29"/>
        <v>0.25213143694439671</v>
      </c>
      <c r="AU13" s="562">
        <f>('Count 1 '!AR13-(AS13*EXP(Reference!$C$3*L13)))/(1-EXP(Reference!$C$3*L13))</f>
        <v>0.60682823647571194</v>
      </c>
      <c r="AV13" s="563">
        <f t="shared" si="30"/>
        <v>14.306723122312624</v>
      </c>
      <c r="AW13" s="564">
        <f>AS13-('Count 1 '!AY13*Q13)</f>
        <v>0.60682823647571293</v>
      </c>
      <c r="AX13" s="604">
        <f t="shared" si="31"/>
        <v>6.332342075033065E-2</v>
      </c>
    </row>
    <row r="14" spans="1:50" s="648" customFormat="1" x14ac:dyDescent="0.35">
      <c r="A14" s="623">
        <f>Samples!A14</f>
        <v>11</v>
      </c>
      <c r="B14" s="623">
        <f>Samples!B14</f>
        <v>0</v>
      </c>
      <c r="C14" s="624">
        <f>Samples!C14</f>
        <v>44352</v>
      </c>
      <c r="D14" s="625">
        <f>Samples!D14</f>
        <v>0.79791666666666661</v>
      </c>
      <c r="E14" s="625" t="str">
        <f>Samples!E14</f>
        <v>eff</v>
      </c>
      <c r="F14" s="626">
        <f>Samples!G14</f>
        <v>200.1</v>
      </c>
      <c r="G14" s="627">
        <f>Samples!X14</f>
        <v>0</v>
      </c>
      <c r="H14" s="624">
        <f>Samples!T14</f>
        <v>0</v>
      </c>
      <c r="I14" s="625">
        <f>Samples!V14</f>
        <v>0</v>
      </c>
      <c r="J14" s="628">
        <f>Samples!W14</f>
        <v>0</v>
      </c>
      <c r="K14" s="629">
        <f t="shared" si="3"/>
        <v>0</v>
      </c>
      <c r="L14" s="630">
        <f>K14-'Count 1 '!K14</f>
        <v>-44353.515263888883</v>
      </c>
      <c r="M14" s="630">
        <f>Samples!AA14</f>
        <v>0</v>
      </c>
      <c r="N14" s="631">
        <f>Samples!Y14</f>
        <v>0</v>
      </c>
      <c r="O14" s="631">
        <f>Samples!Z14</f>
        <v>0</v>
      </c>
      <c r="P14" s="632" t="e">
        <f t="shared" si="4"/>
        <v>#NUM!</v>
      </c>
      <c r="Q14" s="632" t="e">
        <f t="shared" si="5"/>
        <v>#NUM!</v>
      </c>
      <c r="R14" s="633" t="e">
        <f t="shared" si="6"/>
        <v>#DIV/0!</v>
      </c>
      <c r="S14" s="634">
        <f t="shared" si="7"/>
        <v>0</v>
      </c>
      <c r="T14" s="635" t="e">
        <f t="shared" si="8"/>
        <v>#DIV/0!</v>
      </c>
      <c r="U14" s="636" t="e">
        <f t="shared" si="9"/>
        <v>#DIV/0!</v>
      </c>
      <c r="V14" s="637" t="e">
        <f t="shared" si="10"/>
        <v>#DIV/0!</v>
      </c>
      <c r="W14" s="634">
        <f t="shared" si="11"/>
        <v>0</v>
      </c>
      <c r="X14" s="635" t="e">
        <f t="shared" si="12"/>
        <v>#DIV/0!</v>
      </c>
      <c r="Y14" s="636" t="e">
        <f t="shared" si="13"/>
        <v>#DIV/0!</v>
      </c>
      <c r="Z14" s="637" t="e">
        <f t="shared" si="14"/>
        <v>#DIV/0!</v>
      </c>
      <c r="AA14" s="638">
        <f t="shared" si="15"/>
        <v>0</v>
      </c>
      <c r="AB14" s="639">
        <f t="shared" si="16"/>
        <v>0</v>
      </c>
      <c r="AC14" s="636" t="e">
        <f t="shared" si="2"/>
        <v>#DIV/0!</v>
      </c>
      <c r="AD14" s="640">
        <f t="shared" si="17"/>
        <v>0</v>
      </c>
      <c r="AE14" s="636" t="e">
        <f t="shared" si="18"/>
        <v>#DIV/0!</v>
      </c>
      <c r="AF14" s="636">
        <f t="shared" si="19"/>
        <v>0</v>
      </c>
      <c r="AG14" s="636" t="e">
        <f t="shared" si="20"/>
        <v>#DIV/0!</v>
      </c>
      <c r="AH14" s="640">
        <f t="shared" si="21"/>
        <v>0</v>
      </c>
      <c r="AI14" s="641" t="e">
        <f t="shared" si="22"/>
        <v>#DIV/0!</v>
      </c>
      <c r="AJ14" s="640">
        <f t="shared" si="23"/>
        <v>0</v>
      </c>
      <c r="AK14" s="636" t="e">
        <f t="shared" si="24"/>
        <v>#DIV/0!</v>
      </c>
      <c r="AL14" s="640">
        <f t="shared" si="25"/>
        <v>0</v>
      </c>
      <c r="AM14" s="638" t="e">
        <f t="shared" si="26"/>
        <v>#DIV/0!</v>
      </c>
      <c r="AN14" s="641">
        <f>((((IF(G14="Grey",STDs!$AC$9,IF(G14="Orange",STDs!$AC$8,IF(G14="Green",STDs!$AC$10,STDs!$AC$11))))*2)*(N14-AF14))^2*0.01)/((1+(((IF(G14="Grey",STDs!$AC$9,IF(G14="Orange",STDs!$AC$8,IF(G14="Green",STDs!$AC$10,STDs!$AC$11))))*2)*(N14-AF14))*0.01))</f>
        <v>0</v>
      </c>
      <c r="AO14" s="642">
        <f>AJ14-AN14-IF(G14="Grey",Blanks!$O$7,IF(G14="Orange",Blanks!$O$6,IF(G14="Green",Blanks!$O$8,Blanks!$O$9)))</f>
        <v>-2.6857142857142857E-2</v>
      </c>
      <c r="AP14" s="641" t="e">
        <f t="shared" si="27"/>
        <v>#DIV/0!</v>
      </c>
      <c r="AQ14" s="635">
        <f>AO14/IF(G14="Grey",STDs!$AF$9,IF(G14="Orange",STDs!$AF$8,IF(G14="Green",STDs!$AF$10,STDs!$AF$11)))</f>
        <v>-0.39217443455395906</v>
      </c>
      <c r="AR14" s="643" t="e">
        <f>SQRT(((AP14/IF(G14="Grey",STDs!$AF$9,IF(G14="Orange",STDs!$AF$8,IF(G14="Green",STDs!$AF$10,STDs!$AF$11))))^2)+(((AO14*(IF(G14="Grey",STDs!$AG$9,IF(G14="Orange",STDs!$AG$8,IF(G14="Green",STDs!$AG$10,STDs!$AG$11)))))/(IF(G14="Grey",STDs!$AF$9,IF(G14="Orange",STDs!$AF$8,IF(G14="Green",STDs!$AF$10,STDs!$AF$11))))))^2)</f>
        <v>#DIV/0!</v>
      </c>
      <c r="AS14" s="633">
        <f t="shared" si="28"/>
        <v>-0.1959892226656467</v>
      </c>
      <c r="AT14" s="643" t="e">
        <f t="shared" si="29"/>
        <v>#DIV/0!</v>
      </c>
      <c r="AU14" s="644">
        <f>('Count 1 '!AR14-(AS14*EXP(Reference!$C$3*L14)))/(1-EXP(Reference!$C$3*L14))</f>
        <v>0.78172609050730024</v>
      </c>
      <c r="AV14" s="645" t="e">
        <f t="shared" si="30"/>
        <v>#NUM!</v>
      </c>
      <c r="AW14" s="646" t="e">
        <f>AS14-('Count 1 '!AY14*Q14)</f>
        <v>#NUM!</v>
      </c>
      <c r="AX14" s="647" t="e">
        <f t="shared" si="31"/>
        <v>#DIV/0!</v>
      </c>
    </row>
    <row r="15" spans="1:50" s="24" customFormat="1" x14ac:dyDescent="0.35">
      <c r="A15" s="494">
        <f>Samples!A15</f>
        <v>12</v>
      </c>
      <c r="B15" s="494">
        <f>Samples!B15</f>
        <v>0</v>
      </c>
      <c r="C15" s="495">
        <f>Samples!C15</f>
        <v>44352</v>
      </c>
      <c r="D15" s="496">
        <f>Samples!D15</f>
        <v>0.875</v>
      </c>
      <c r="E15" s="496" t="str">
        <f>Samples!E15</f>
        <v>SW</v>
      </c>
      <c r="F15" s="572">
        <f>Samples!G15</f>
        <v>185.7</v>
      </c>
      <c r="G15" s="581" t="str">
        <f>Samples!X15</f>
        <v>Grey</v>
      </c>
      <c r="H15" s="582">
        <f>Samples!T15</f>
        <v>44363</v>
      </c>
      <c r="I15" s="583">
        <f>Samples!V15</f>
        <v>0.27606481481481482</v>
      </c>
      <c r="J15" s="584">
        <f>Samples!W15</f>
        <v>237.2</v>
      </c>
      <c r="K15" s="585">
        <f t="shared" si="3"/>
        <v>44363.440787037041</v>
      </c>
      <c r="L15" s="586">
        <f>K15-'Count 1 '!K15</f>
        <v>9.8135856481530936</v>
      </c>
      <c r="M15" s="586">
        <f>Samples!AA15</f>
        <v>3.0609999999999999</v>
      </c>
      <c r="N15" s="587">
        <f>Samples!Y15</f>
        <v>0.14299999999999999</v>
      </c>
      <c r="O15" s="587">
        <f>Samples!Z15</f>
        <v>0.66200000000000003</v>
      </c>
      <c r="P15" s="497">
        <f t="shared" si="4"/>
        <v>0.52702107732132242</v>
      </c>
      <c r="Q15" s="497">
        <f t="shared" si="5"/>
        <v>0.13520055140819551</v>
      </c>
      <c r="R15" s="594">
        <f t="shared" si="6"/>
        <v>5.2828910272119271E-2</v>
      </c>
      <c r="S15" s="499">
        <f t="shared" si="7"/>
        <v>157.0264</v>
      </c>
      <c r="T15" s="498">
        <f t="shared" si="8"/>
        <v>5.2828910272119271E-2</v>
      </c>
      <c r="U15" s="500">
        <f t="shared" si="9"/>
        <v>0.15960395852604009</v>
      </c>
      <c r="V15" s="601">
        <f t="shared" si="10"/>
        <v>-12.274419093978493</v>
      </c>
      <c r="W15" s="499">
        <f t="shared" si="11"/>
        <v>157.0264</v>
      </c>
      <c r="X15" s="498">
        <f t="shared" si="12"/>
        <v>2.4553345578339748E-2</v>
      </c>
      <c r="Y15" s="500">
        <f t="shared" si="13"/>
        <v>0.34340343466209439</v>
      </c>
      <c r="Z15" s="601">
        <f t="shared" si="14"/>
        <v>6.4258028702235834E-2</v>
      </c>
      <c r="AA15" s="552">
        <f t="shared" si="15"/>
        <v>33.919599999999996</v>
      </c>
      <c r="AB15" s="621">
        <f t="shared" si="16"/>
        <v>5.2070060566377488E-2</v>
      </c>
      <c r="AC15" s="500">
        <f t="shared" si="2"/>
        <v>3.6721457405729488E-3</v>
      </c>
      <c r="AD15" s="501">
        <f t="shared" si="17"/>
        <v>2.2560000000000002</v>
      </c>
      <c r="AE15" s="500">
        <f t="shared" si="18"/>
        <v>7.8642573076983149E-2</v>
      </c>
      <c r="AF15" s="500">
        <f t="shared" si="19"/>
        <v>4.5182217549871501E-4</v>
      </c>
      <c r="AG15" s="500">
        <f t="shared" si="20"/>
        <v>3.8592327462712083E-5</v>
      </c>
      <c r="AH15" s="617">
        <f t="shared" si="21"/>
        <v>2.3080700605663775</v>
      </c>
      <c r="AI15" s="618">
        <f t="shared" si="22"/>
        <v>7.8728260202475212E-2</v>
      </c>
      <c r="AJ15" s="501">
        <f t="shared" si="23"/>
        <v>0.6099299394336225</v>
      </c>
      <c r="AK15" s="500">
        <f t="shared" si="24"/>
        <v>5.2956382192136553E-2</v>
      </c>
      <c r="AL15" s="501">
        <f t="shared" si="25"/>
        <v>0.14254817782450127</v>
      </c>
      <c r="AM15" s="552">
        <f t="shared" si="26"/>
        <v>2.455337590754304E-2</v>
      </c>
      <c r="AN15" s="618">
        <f>((((IF(G15="Grey",STDs!$AC$9,IF(G15="Orange",STDs!$AC$8,IF(G15="Green",STDs!$AC$10,STDs!$AC$11))))*2)*(N15-AF15))^2*0.01)/((1+(((IF(G15="Grey",STDs!$AC$9,IF(G15="Orange",STDs!$AC$8,IF(G15="Green",STDs!$AC$10,STDs!$AC$11))))*2)*(N15-AF15))*0.01))</f>
        <v>1.7744976205309651E-5</v>
      </c>
      <c r="AO15" s="615">
        <f>AJ15-AN15-IF(G15="Grey",Blanks!$O$7,IF(G15="Orange",Blanks!$O$6,IF(G15="Green",Blanks!$O$8,Blanks!$O$9)))</f>
        <v>0.57920631210447604</v>
      </c>
      <c r="AP15" s="598">
        <f t="shared" si="27"/>
        <v>5.2956382192136553E-2</v>
      </c>
      <c r="AQ15" s="498">
        <f>AO15/IF(G15="Grey",STDs!$AF$9,IF(G15="Orange",STDs!$AF$8,IF(G15="Green",STDs!$AF$10,STDs!$AF$11)))</f>
        <v>7.6846989903814364</v>
      </c>
      <c r="AR15" s="607">
        <f>SQRT(((AP15/IF(G15="Grey",STDs!$AF$9,IF(G15="Orange",STDs!$AF$8,IF(G15="Green",STDs!$AF$10,STDs!$AF$11))))^2)+(((AO15*(IF(G15="Grey",STDs!$AG$9,IF(G15="Orange",STDs!$AG$8,IF(G15="Green",STDs!$AG$10,STDs!$AG$11)))))/(IF(G15="Grey",STDs!$AF$9,IF(G15="Orange",STDs!$AF$8,IF(G15="Green",STDs!$AF$10,STDs!$AF$11))))))^2)</f>
        <v>0.71224541189321167</v>
      </c>
      <c r="AS15" s="594">
        <f t="shared" si="28"/>
        <v>4.13823316660282</v>
      </c>
      <c r="AT15" s="607">
        <f t="shared" si="29"/>
        <v>0.40313795758878329</v>
      </c>
      <c r="AU15" s="562">
        <f>('Count 1 '!AR15-(AS15*EXP(Reference!$C$3*L15)))/(1-EXP(Reference!$C$3*L15))</f>
        <v>2.3504197862875089</v>
      </c>
      <c r="AV15" s="563">
        <f t="shared" si="30"/>
        <v>30.608108646751948</v>
      </c>
      <c r="AW15" s="564">
        <f>AS15-('Count 1 '!AY15*Q15)</f>
        <v>2.3504197862875089</v>
      </c>
      <c r="AX15" s="604">
        <f t="shared" si="31"/>
        <v>0.22897294424278977</v>
      </c>
    </row>
    <row r="16" spans="1:50" s="24" customFormat="1" x14ac:dyDescent="0.35">
      <c r="A16" s="494">
        <f>Samples!A16</f>
        <v>13</v>
      </c>
      <c r="B16" s="494">
        <f>Samples!B16</f>
        <v>0</v>
      </c>
      <c r="C16" s="495">
        <f>Samples!C16</f>
        <v>44353</v>
      </c>
      <c r="D16" s="496">
        <f>Samples!D16</f>
        <v>0.22916666666666666</v>
      </c>
      <c r="E16" s="496" t="str">
        <f>Samples!E16</f>
        <v>SW</v>
      </c>
      <c r="F16" s="572">
        <f>Samples!G16</f>
        <v>179.5</v>
      </c>
      <c r="G16" s="581" t="str">
        <f>Samples!X16</f>
        <v>Blue</v>
      </c>
      <c r="H16" s="582">
        <f>Samples!T16</f>
        <v>44363</v>
      </c>
      <c r="I16" s="583">
        <f>Samples!V16</f>
        <v>0.27611111111111114</v>
      </c>
      <c r="J16" s="584">
        <f>Samples!W16</f>
        <v>237.23</v>
      </c>
      <c r="K16" s="585">
        <f t="shared" si="3"/>
        <v>44363.440854166663</v>
      </c>
      <c r="L16" s="586">
        <f>K16-'Count 1 '!K16</f>
        <v>9.7636921296289074</v>
      </c>
      <c r="M16" s="586">
        <f>Samples!AA16</f>
        <v>2.7229999999999999</v>
      </c>
      <c r="N16" s="587">
        <f>Samples!Y16</f>
        <v>0.17299999999999999</v>
      </c>
      <c r="O16" s="587">
        <f>Samples!Z16</f>
        <v>0.58599999999999997</v>
      </c>
      <c r="P16" s="497">
        <f t="shared" si="4"/>
        <v>0.53845644817964955</v>
      </c>
      <c r="Q16" s="497">
        <f t="shared" si="5"/>
        <v>0.14457815077747371</v>
      </c>
      <c r="R16" s="594">
        <f t="shared" si="6"/>
        <v>4.9700871439480619E-2</v>
      </c>
      <c r="S16" s="499">
        <f t="shared" si="7"/>
        <v>139.01677999999998</v>
      </c>
      <c r="T16" s="498">
        <f t="shared" si="8"/>
        <v>4.9700871439480619E-2</v>
      </c>
      <c r="U16" s="500">
        <f t="shared" si="9"/>
        <v>0.16962754757501919</v>
      </c>
      <c r="V16" s="601">
        <f t="shared" si="10"/>
        <v>-9.2520657363503211</v>
      </c>
      <c r="W16" s="499">
        <f t="shared" si="11"/>
        <v>139.01677999999998</v>
      </c>
      <c r="X16" s="498">
        <f t="shared" si="12"/>
        <v>2.7004630988863101E-2</v>
      </c>
      <c r="Y16" s="500">
        <f t="shared" si="13"/>
        <v>0.31219226576720355</v>
      </c>
      <c r="Z16" s="601">
        <f t="shared" si="14"/>
        <v>7.4200395618663303E-2</v>
      </c>
      <c r="AA16" s="552">
        <f t="shared" si="15"/>
        <v>41.040789999999994</v>
      </c>
      <c r="AB16" s="621">
        <f t="shared" si="16"/>
        <v>3.9345709739279443E-2</v>
      </c>
      <c r="AC16" s="500">
        <f t="shared" si="2"/>
        <v>3.0471287206197289E-3</v>
      </c>
      <c r="AD16" s="501">
        <f t="shared" si="17"/>
        <v>1.964</v>
      </c>
      <c r="AE16" s="500">
        <f t="shared" si="18"/>
        <v>7.5296768446808035E-2</v>
      </c>
      <c r="AF16" s="500">
        <f t="shared" si="19"/>
        <v>3.4456102870294677E-4</v>
      </c>
      <c r="AG16" s="500">
        <f t="shared" si="20"/>
        <v>2.799669416750541E-5</v>
      </c>
      <c r="AH16" s="617">
        <f t="shared" si="21"/>
        <v>2.0033457097392793</v>
      </c>
      <c r="AI16" s="618">
        <f t="shared" si="22"/>
        <v>7.5358399213174984E-2</v>
      </c>
      <c r="AJ16" s="501">
        <f t="shared" si="23"/>
        <v>0.54665429026072054</v>
      </c>
      <c r="AK16" s="500">
        <f t="shared" si="24"/>
        <v>4.979419258592116E-2</v>
      </c>
      <c r="AL16" s="501">
        <f t="shared" si="25"/>
        <v>0.17265543897129704</v>
      </c>
      <c r="AM16" s="552">
        <f t="shared" si="26"/>
        <v>2.7004645501460478E-2</v>
      </c>
      <c r="AN16" s="618">
        <f>((((IF(G16="Grey",STDs!$AC$9,IF(G16="Orange",STDs!$AC$8,IF(G16="Green",STDs!$AC$10,STDs!$AC$11))))*2)*(N16-AF16))^2*0.01)/((1+(((IF(G16="Grey",STDs!$AC$9,IF(G16="Orange",STDs!$AC$8,IF(G16="Green",STDs!$AC$10,STDs!$AC$11))))*2)*(N16-AF16))*0.01))</f>
        <v>2.7057145931817783E-5</v>
      </c>
      <c r="AO16" s="615">
        <f>AJ16-AN16-IF(G16="Grey",Blanks!$O$7,IF(G16="Orange",Blanks!$O$6,IF(G16="Green",Blanks!$O$8,Blanks!$O$9)))</f>
        <v>0.51977009025764587</v>
      </c>
      <c r="AP16" s="598">
        <f t="shared" si="27"/>
        <v>4.979419258592116E-2</v>
      </c>
      <c r="AQ16" s="498">
        <f>AO16/IF(G16="Grey",STDs!$AF$9,IF(G16="Orange",STDs!$AF$8,IF(G16="Green",STDs!$AF$10,STDs!$AF$11)))</f>
        <v>7.5898073867764246</v>
      </c>
      <c r="AR16" s="607">
        <f>SQRT(((AP16/IF(G16="Grey",STDs!$AF$9,IF(G16="Orange",STDs!$AF$8,IF(G16="Green",STDs!$AF$10,STDs!$AF$11))))^2)+(((AO16*(IF(G16="Grey",STDs!$AG$9,IF(G16="Orange",STDs!$AG$8,IF(G16="Green",STDs!$AG$10,STDs!$AG$11)))))/(IF(G16="Grey",STDs!$AF$9,IF(G16="Orange",STDs!$AF$8,IF(G16="Green",STDs!$AF$10,STDs!$AF$11))))))^2)</f>
        <v>0.7285294891236912</v>
      </c>
      <c r="AS16" s="594">
        <f t="shared" si="28"/>
        <v>4.2283049508503758</v>
      </c>
      <c r="AT16" s="607">
        <f t="shared" si="29"/>
        <v>0.42522691011474334</v>
      </c>
      <c r="AU16" s="562">
        <f>('Count 1 '!AR16-(AS16*EXP(Reference!$C$3*L16)))/(1-EXP(Reference!$C$3*L16))</f>
        <v>3.7487166517712049</v>
      </c>
      <c r="AV16" s="563">
        <f t="shared" si="30"/>
        <v>29.24580877617073</v>
      </c>
      <c r="AW16" s="564">
        <f>AS16-('Count 1 '!AY16*Q16)</f>
        <v>3.7487166517712049</v>
      </c>
      <c r="AX16" s="604">
        <f t="shared" si="31"/>
        <v>0.37699627090703741</v>
      </c>
    </row>
    <row r="17" spans="1:50" s="24" customFormat="1" x14ac:dyDescent="0.35">
      <c r="A17" s="494">
        <f>Samples!A17</f>
        <v>13</v>
      </c>
      <c r="B17" s="494">
        <f>Samples!B17</f>
        <v>2</v>
      </c>
      <c r="C17" s="495">
        <f>Samples!C17</f>
        <v>44353</v>
      </c>
      <c r="D17" s="496">
        <f>Samples!D17</f>
        <v>0.25555555555555559</v>
      </c>
      <c r="E17" s="496" t="str">
        <f>Samples!E17</f>
        <v>BW</v>
      </c>
      <c r="F17" s="572">
        <f>Samples!G17</f>
        <v>66.599999999999994</v>
      </c>
      <c r="G17" s="581" t="str">
        <f>Samples!X17</f>
        <v>Orange</v>
      </c>
      <c r="H17" s="582">
        <f>Samples!T17</f>
        <v>44363</v>
      </c>
      <c r="I17" s="583">
        <f>Samples!V17</f>
        <v>0.27608796296296301</v>
      </c>
      <c r="J17" s="584">
        <f>Samples!W17</f>
        <v>237.22</v>
      </c>
      <c r="K17" s="585">
        <f t="shared" si="3"/>
        <v>44363.440824074074</v>
      </c>
      <c r="L17" s="586">
        <f>K17-'Count 1 '!K17</f>
        <v>9.764759259254788</v>
      </c>
      <c r="M17" s="586">
        <f>Samples!AA17</f>
        <v>2.0569999999999999</v>
      </c>
      <c r="N17" s="587">
        <f>Samples!Y17</f>
        <v>5.5E-2</v>
      </c>
      <c r="O17" s="587">
        <f>Samples!Z17</f>
        <v>0.46400000000000002</v>
      </c>
      <c r="P17" s="497">
        <f t="shared" si="4"/>
        <v>0.53931950968521791</v>
      </c>
      <c r="Q17" s="497">
        <f t="shared" si="5"/>
        <v>0.1453033378059628</v>
      </c>
      <c r="R17" s="594">
        <f t="shared" si="6"/>
        <v>4.4226578208684648E-2</v>
      </c>
      <c r="S17" s="499">
        <f t="shared" si="7"/>
        <v>110.07008</v>
      </c>
      <c r="T17" s="498">
        <f t="shared" si="8"/>
        <v>4.4226578208684648E-2</v>
      </c>
      <c r="U17" s="500">
        <f t="shared" si="9"/>
        <v>0.19063180262364074</v>
      </c>
      <c r="V17" s="601">
        <f t="shared" si="10"/>
        <v>-5.606140620039552</v>
      </c>
      <c r="W17" s="499">
        <f t="shared" si="11"/>
        <v>110.07008</v>
      </c>
      <c r="X17" s="498">
        <f t="shared" si="12"/>
        <v>1.5226696589031287E-2</v>
      </c>
      <c r="Y17" s="500">
        <f t="shared" si="13"/>
        <v>0.55369805778295589</v>
      </c>
      <c r="Z17" s="601">
        <f t="shared" si="14"/>
        <v>0.22573721756722839</v>
      </c>
      <c r="AA17" s="552">
        <f t="shared" si="15"/>
        <v>13.0471</v>
      </c>
      <c r="AB17" s="621">
        <f t="shared" si="16"/>
        <v>2.4023928012837439E-2</v>
      </c>
      <c r="AC17" s="500">
        <f t="shared" si="2"/>
        <v>2.0267374901520351E-3</v>
      </c>
      <c r="AD17" s="501">
        <f t="shared" si="17"/>
        <v>1.538</v>
      </c>
      <c r="AE17" s="500">
        <f t="shared" si="18"/>
        <v>6.4372608531208492E-2</v>
      </c>
      <c r="AF17" s="500">
        <f t="shared" si="19"/>
        <v>2.1319750799021062E-4</v>
      </c>
      <c r="AG17" s="500">
        <f t="shared" si="20"/>
        <v>1.4673071728610652E-5</v>
      </c>
      <c r="AH17" s="617">
        <f t="shared" si="21"/>
        <v>1.5620239280128374</v>
      </c>
      <c r="AI17" s="618">
        <f t="shared" si="22"/>
        <v>6.4404506006693382E-2</v>
      </c>
      <c r="AJ17" s="501">
        <f t="shared" si="23"/>
        <v>0.4399760719871626</v>
      </c>
      <c r="AK17" s="500">
        <f t="shared" si="24"/>
        <v>4.4272992725846845E-2</v>
      </c>
      <c r="AL17" s="501">
        <f t="shared" si="25"/>
        <v>5.478680249200979E-2</v>
      </c>
      <c r="AM17" s="552">
        <f t="shared" si="26"/>
        <v>1.5226703658817656E-2</v>
      </c>
      <c r="AN17" s="618">
        <f>((((IF(G17="Grey",STDs!$AC$9,IF(G17="Orange",STDs!$AC$8,IF(G17="Green",STDs!$AC$10,STDs!$AC$11))))*2)*(N17-AF17))^2*0.01)/((1+(((IF(G17="Grey",STDs!$AC$9,IF(G17="Orange",STDs!$AC$8,IF(G17="Green",STDs!$AC$10,STDs!$AC$11))))*2)*(N17-AF17))*0.01))</f>
        <v>2.9880767319176283E-6</v>
      </c>
      <c r="AO17" s="615">
        <f>AJ17-AN17-IF(G17="Grey",Blanks!$O$7,IF(G17="Orange",Blanks!$O$6,IF(G17="Green",Blanks!$O$8,Blanks!$O$9)))</f>
        <v>0.43108419502154177</v>
      </c>
      <c r="AP17" s="598">
        <f t="shared" si="27"/>
        <v>4.4272992725846845E-2</v>
      </c>
      <c r="AQ17" s="498">
        <f>AO17/IF(G17="Grey",STDs!$AF$9,IF(G17="Orange",STDs!$AF$8,IF(G17="Green",STDs!$AF$10,STDs!$AF$11)))</f>
        <v>5.5836424005940595</v>
      </c>
      <c r="AR17" s="607">
        <f>SQRT(((AP17/IF(G17="Grey",STDs!$AF$9,IF(G17="Orange",STDs!$AF$8,IF(G17="Green",STDs!$AF$10,STDs!$AF$11))))^2)+(((AO17*(IF(G17="Grey",STDs!$AG$9,IF(G17="Orange",STDs!$AG$8,IF(G17="Green",STDs!$AG$10,STDs!$AG$11)))))/(IF(G17="Grey",STDs!$AF$9,IF(G17="Orange",STDs!$AF$8,IF(G17="Green",STDs!$AF$10,STDs!$AF$11))))))^2)</f>
        <v>0.57455323972509442</v>
      </c>
      <c r="AS17" s="594">
        <f t="shared" si="28"/>
        <v>8.383847448339429</v>
      </c>
      <c r="AT17" s="607">
        <f t="shared" si="29"/>
        <v>0.8986091740855835</v>
      </c>
      <c r="AU17" s="562">
        <f>('Count 1 '!AR17-(AS17*EXP(Reference!$C$3*L17)))/(1-EXP(Reference!$C$3*L17))</f>
        <v>1.5673133765956404</v>
      </c>
      <c r="AV17" s="563">
        <f t="shared" si="30"/>
        <v>57.698932281481163</v>
      </c>
      <c r="AW17" s="564">
        <f>AS17-('Count 1 '!AY17*Q17)</f>
        <v>1.5673133765956413</v>
      </c>
      <c r="AX17" s="604">
        <f t="shared" si="31"/>
        <v>0.16798995777945072</v>
      </c>
    </row>
    <row r="18" spans="1:50" s="24" customFormat="1" x14ac:dyDescent="0.35">
      <c r="A18" s="494">
        <f>Samples!A18</f>
        <v>14</v>
      </c>
      <c r="B18" s="494">
        <f>Samples!B18</f>
        <v>0</v>
      </c>
      <c r="C18" s="495">
        <f>Samples!C18</f>
        <v>44353</v>
      </c>
      <c r="D18" s="496">
        <f>Samples!D18</f>
        <v>0.40625</v>
      </c>
      <c r="E18" s="496" t="str">
        <f>Samples!E18</f>
        <v>SW</v>
      </c>
      <c r="F18" s="572">
        <f>Samples!G18</f>
        <v>181.3</v>
      </c>
      <c r="G18" s="581" t="str">
        <f>Samples!X18</f>
        <v>Grey</v>
      </c>
      <c r="H18" s="582">
        <f>Samples!T18</f>
        <v>44363</v>
      </c>
      <c r="I18" s="583">
        <f>Samples!V18</f>
        <v>0.80635416666666659</v>
      </c>
      <c r="J18" s="584">
        <f>Samples!W18</f>
        <v>466.15</v>
      </c>
      <c r="K18" s="585">
        <f t="shared" si="3"/>
        <v>44364.130069444444</v>
      </c>
      <c r="L18" s="586">
        <f>K18-'Count 1 '!K18</f>
        <v>10.333057870368066</v>
      </c>
      <c r="M18" s="586">
        <f>Samples!AA18</f>
        <v>3.9670000000000001</v>
      </c>
      <c r="N18" s="587">
        <f>Samples!Y18</f>
        <v>0.23599999999999999</v>
      </c>
      <c r="O18" s="587">
        <f>Samples!Z18</f>
        <v>0.77400000000000002</v>
      </c>
      <c r="P18" s="497">
        <f t="shared" si="4"/>
        <v>0.52199623120838068</v>
      </c>
      <c r="Q18" s="497">
        <f t="shared" si="5"/>
        <v>0.13121410225924593</v>
      </c>
      <c r="R18" s="594">
        <f t="shared" si="6"/>
        <v>4.0748125593139686E-2</v>
      </c>
      <c r="S18" s="499">
        <f t="shared" si="7"/>
        <v>360.80009999999999</v>
      </c>
      <c r="T18" s="498">
        <f t="shared" si="8"/>
        <v>4.0748125593139686E-2</v>
      </c>
      <c r="U18" s="500">
        <f t="shared" si="9"/>
        <v>0.10529231419415938</v>
      </c>
      <c r="V18" s="601">
        <f t="shared" si="10"/>
        <v>-41.951947478926058</v>
      </c>
      <c r="W18" s="499">
        <f t="shared" si="11"/>
        <v>360.80009999999999</v>
      </c>
      <c r="X18" s="498">
        <f t="shared" si="12"/>
        <v>2.2500551198749771E-2</v>
      </c>
      <c r="Y18" s="500">
        <f t="shared" si="13"/>
        <v>0.19068263727754045</v>
      </c>
      <c r="Z18" s="601">
        <f t="shared" si="14"/>
        <v>-0.26122225910738134</v>
      </c>
      <c r="AA18" s="552">
        <f t="shared" si="15"/>
        <v>110.01139999999999</v>
      </c>
      <c r="AB18" s="621">
        <f t="shared" si="16"/>
        <v>9.0102830703914755E-2</v>
      </c>
      <c r="AC18" s="500">
        <f t="shared" si="2"/>
        <v>3.8275289878826439E-3</v>
      </c>
      <c r="AD18" s="501">
        <f t="shared" si="17"/>
        <v>2.9569999999999999</v>
      </c>
      <c r="AE18" s="500">
        <f t="shared" si="18"/>
        <v>6.1863513341517636E-2</v>
      </c>
      <c r="AF18" s="500">
        <f t="shared" si="19"/>
        <v>7.6458009572019246E-4</v>
      </c>
      <c r="AG18" s="500">
        <f t="shared" si="20"/>
        <v>5.2198619191868328E-5</v>
      </c>
      <c r="AH18" s="617">
        <f t="shared" si="21"/>
        <v>3.0471028307039152</v>
      </c>
      <c r="AI18" s="618">
        <f t="shared" si="22"/>
        <v>6.1981805887770101E-2</v>
      </c>
      <c r="AJ18" s="501">
        <f t="shared" si="23"/>
        <v>0.68389716929608524</v>
      </c>
      <c r="AK18" s="500">
        <f t="shared" si="24"/>
        <v>4.0927493418329047E-2</v>
      </c>
      <c r="AL18" s="501">
        <f t="shared" si="25"/>
        <v>0.23523541990427979</v>
      </c>
      <c r="AM18" s="552">
        <f t="shared" si="26"/>
        <v>2.2500611745981603E-2</v>
      </c>
      <c r="AN18" s="618">
        <f>((((IF(G18="Grey",STDs!$AC$9,IF(G18="Orange",STDs!$AC$8,IF(G18="Green",STDs!$AC$10,STDs!$AC$11))))*2)*(N18-AF18))^2*0.01)/((1+(((IF(G18="Grey",STDs!$AC$9,IF(G18="Orange",STDs!$AC$8,IF(G18="Green",STDs!$AC$10,STDs!$AC$11))))*2)*(N18-AF18))*0.01))</f>
        <v>4.8310173586900303E-5</v>
      </c>
      <c r="AO18" s="615">
        <f>AJ18-AN18-IF(G18="Grey",Blanks!$O$7,IF(G18="Orange",Blanks!$O$6,IF(G18="Green",Blanks!$O$8,Blanks!$O$9)))</f>
        <v>0.65314297676955724</v>
      </c>
      <c r="AP18" s="598">
        <f t="shared" si="27"/>
        <v>4.0927493418329047E-2</v>
      </c>
      <c r="AQ18" s="498">
        <f>AO18/IF(G18="Grey",STDs!$AF$9,IF(G18="Orange",STDs!$AF$8,IF(G18="Green",STDs!$AF$10,STDs!$AF$11)))</f>
        <v>8.6656638045242644</v>
      </c>
      <c r="AR18" s="607">
        <f>SQRT(((AP18/IF(G18="Grey",STDs!$AF$9,IF(G18="Orange",STDs!$AF$8,IF(G18="Green",STDs!$AF$10,STDs!$AF$11))))^2)+(((AO18*(IF(G18="Grey",STDs!$AG$9,IF(G18="Orange",STDs!$AG$8,IF(G18="Green",STDs!$AG$10,STDs!$AG$11)))))/(IF(G18="Grey",STDs!$AF$9,IF(G18="Orange",STDs!$AF$8,IF(G18="Green",STDs!$AF$10,STDs!$AF$11))))))^2)</f>
        <v>0.55875171346879704</v>
      </c>
      <c r="AS18" s="594">
        <f t="shared" si="28"/>
        <v>4.7797373439185131</v>
      </c>
      <c r="AT18" s="607">
        <f t="shared" si="29"/>
        <v>0.33991687069075516</v>
      </c>
      <c r="AU18" s="562">
        <f>('Count 1 '!AR18-(AS18*EXP(Reference!$C$3*L18)))/(1-EXP(Reference!$C$3*L18))</f>
        <v>1.9232387611759107</v>
      </c>
      <c r="AV18" s="563">
        <f t="shared" si="30"/>
        <v>36.42700945722251</v>
      </c>
      <c r="AW18" s="564">
        <f>AS18-('Count 1 '!AY18*Q18)</f>
        <v>1.9232387611759116</v>
      </c>
      <c r="AX18" s="604">
        <f t="shared" si="31"/>
        <v>0.13677347817487642</v>
      </c>
    </row>
    <row r="19" spans="1:50" s="24" customFormat="1" x14ac:dyDescent="0.35">
      <c r="A19" s="494">
        <f>Samples!A19</f>
        <v>14</v>
      </c>
      <c r="B19" s="494">
        <f>Samples!B19</f>
        <v>2</v>
      </c>
      <c r="C19" s="495">
        <f>Samples!C19</f>
        <v>44353</v>
      </c>
      <c r="D19" s="496">
        <f>Samples!D19</f>
        <v>0.4291666666666667</v>
      </c>
      <c r="E19" s="496" t="str">
        <f>Samples!E19</f>
        <v>BW</v>
      </c>
      <c r="F19" s="572">
        <f>Samples!G19</f>
        <v>70.614000000000004</v>
      </c>
      <c r="G19" s="581" t="str">
        <f>Samples!X19</f>
        <v>Orange</v>
      </c>
      <c r="H19" s="582">
        <f>Samples!T19</f>
        <v>44363</v>
      </c>
      <c r="I19" s="583">
        <f>Samples!V19</f>
        <v>0.8434259259259258</v>
      </c>
      <c r="J19" s="584">
        <f>Samples!W19</f>
        <v>412.72</v>
      </c>
      <c r="K19" s="585">
        <f t="shared" si="3"/>
        <v>44364.130037037037</v>
      </c>
      <c r="L19" s="586">
        <f>K19-'Count 1 '!K19</f>
        <v>10.285486111111823</v>
      </c>
      <c r="M19" s="586">
        <f>Samples!AA19</f>
        <v>2.2610000000000001</v>
      </c>
      <c r="N19" s="587">
        <f>Samples!Y19</f>
        <v>0.107</v>
      </c>
      <c r="O19" s="587">
        <f>Samples!Z19</f>
        <v>0.439</v>
      </c>
      <c r="P19" s="497">
        <f t="shared" si="4"/>
        <v>0.52272294255402463</v>
      </c>
      <c r="Q19" s="497">
        <f t="shared" si="5"/>
        <v>0.1317856258528308</v>
      </c>
      <c r="R19" s="594">
        <f t="shared" si="6"/>
        <v>3.261403272886243E-2</v>
      </c>
      <c r="S19" s="499">
        <f t="shared" si="7"/>
        <v>181.18408000000002</v>
      </c>
      <c r="T19" s="498">
        <f t="shared" si="8"/>
        <v>3.261403272886243E-2</v>
      </c>
      <c r="U19" s="500">
        <f t="shared" si="9"/>
        <v>0.14858329261440742</v>
      </c>
      <c r="V19" s="601">
        <f t="shared" si="10"/>
        <v>-12.279125913930622</v>
      </c>
      <c r="W19" s="499">
        <f t="shared" si="11"/>
        <v>181.18408000000002</v>
      </c>
      <c r="X19" s="498">
        <f t="shared" si="12"/>
        <v>1.6101418251304164E-2</v>
      </c>
      <c r="Y19" s="500">
        <f t="shared" si="13"/>
        <v>0.30096108880942368</v>
      </c>
      <c r="Z19" s="601">
        <f t="shared" si="14"/>
        <v>4.1290128481237934E-2</v>
      </c>
      <c r="AA19" s="552">
        <f t="shared" si="15"/>
        <v>44.16104</v>
      </c>
      <c r="AB19" s="621">
        <f t="shared" si="16"/>
        <v>2.9925471842091877E-2</v>
      </c>
      <c r="AC19" s="500">
        <f t="shared" si="2"/>
        <v>1.7197679846940022E-3</v>
      </c>
      <c r="AD19" s="501">
        <f t="shared" si="17"/>
        <v>1.7150000000000001</v>
      </c>
      <c r="AE19" s="500">
        <f t="shared" si="18"/>
        <v>4.8852900951550975E-2</v>
      </c>
      <c r="AF19" s="500">
        <f t="shared" si="19"/>
        <v>2.6411267299355124E-4</v>
      </c>
      <c r="AG19" s="500">
        <f t="shared" si="20"/>
        <v>1.3847764146382568E-5</v>
      </c>
      <c r="AH19" s="617">
        <f t="shared" si="21"/>
        <v>1.7449254718420921</v>
      </c>
      <c r="AI19" s="618">
        <f t="shared" si="22"/>
        <v>4.8883162063262937E-2</v>
      </c>
      <c r="AJ19" s="501">
        <f t="shared" si="23"/>
        <v>0.40907452815790812</v>
      </c>
      <c r="AK19" s="500">
        <f t="shared" si="24"/>
        <v>3.2659343728257739E-2</v>
      </c>
      <c r="AL19" s="501">
        <f t="shared" si="25"/>
        <v>0.10673588732700645</v>
      </c>
      <c r="AM19" s="552">
        <f t="shared" si="26"/>
        <v>1.6101424206075767E-2</v>
      </c>
      <c r="AN19" s="618">
        <f>((((IF(G19="Grey",STDs!$AC$9,IF(G19="Orange",STDs!$AC$8,IF(G19="Green",STDs!$AC$10,STDs!$AC$11))))*2)*(N19-AF19))^2*0.01)/((1+(((IF(G19="Grey",STDs!$AC$9,IF(G19="Orange",STDs!$AC$8,IF(G19="Green",STDs!$AC$10,STDs!$AC$11))))*2)*(N19-AF19))*0.01))</f>
        <v>1.1339387438876323E-5</v>
      </c>
      <c r="AO19" s="615">
        <f>AJ19-AN19-IF(G19="Grey",Blanks!$O$7,IF(G19="Orange",Blanks!$O$6,IF(G19="Green",Blanks!$O$8,Blanks!$O$9)))</f>
        <v>0.40017429988158038</v>
      </c>
      <c r="AP19" s="598">
        <f t="shared" si="27"/>
        <v>3.2659343728257739E-2</v>
      </c>
      <c r="AQ19" s="498">
        <f>AO19/IF(G19="Grey",STDs!$AF$9,IF(G19="Orange",STDs!$AF$8,IF(G19="Green",STDs!$AF$10,STDs!$AF$11)))</f>
        <v>5.18328023678803</v>
      </c>
      <c r="AR19" s="607">
        <f>SQRT(((AP19/IF(G19="Grey",STDs!$AF$9,IF(G19="Orange",STDs!$AF$8,IF(G19="Green",STDs!$AF$10,STDs!$AF$11))))^2)+(((AO19*(IF(G19="Grey",STDs!$AG$9,IF(G19="Orange",STDs!$AG$8,IF(G19="Green",STDs!$AG$10,STDs!$AG$11)))))/(IF(G19="Grey",STDs!$AF$9,IF(G19="Orange",STDs!$AF$8,IF(G19="Green",STDs!$AF$10,STDs!$AF$11))))))^2)</f>
        <v>0.4243118641705092</v>
      </c>
      <c r="AS19" s="594">
        <f t="shared" si="28"/>
        <v>7.340301125538887</v>
      </c>
      <c r="AT19" s="607">
        <f t="shared" si="29"/>
        <v>0.63996858421466074</v>
      </c>
      <c r="AU19" s="562">
        <f>('Count 1 '!AR19-(AS19*EXP(Reference!$C$3*L19)))/(1-EXP(Reference!$C$3*L19))</f>
        <v>2.7141953433331696</v>
      </c>
      <c r="AV19" s="563">
        <f t="shared" si="30"/>
        <v>55.698799304076111</v>
      </c>
      <c r="AW19" s="564">
        <f>AS19-('Count 1 '!AY19*Q19)</f>
        <v>2.7141953433331683</v>
      </c>
      <c r="AX19" s="604">
        <f t="shared" si="31"/>
        <v>0.23663875928897005</v>
      </c>
    </row>
    <row r="20" spans="1:50" s="24" customFormat="1" x14ac:dyDescent="0.35">
      <c r="A20" s="494">
        <f>Samples!A20</f>
        <v>15</v>
      </c>
      <c r="B20" s="494">
        <f>Samples!B20</f>
        <v>0</v>
      </c>
      <c r="C20" s="495">
        <f>Samples!C20</f>
        <v>44353</v>
      </c>
      <c r="D20" s="496">
        <f>Samples!D20</f>
        <v>0.55555555555555558</v>
      </c>
      <c r="E20" s="496" t="str">
        <f>Samples!E20</f>
        <v>SW</v>
      </c>
      <c r="F20" s="572">
        <f>Samples!G20</f>
        <v>194.1</v>
      </c>
      <c r="G20" s="581" t="str">
        <f>Samples!X20</f>
        <v>Grey</v>
      </c>
      <c r="H20" s="582">
        <f>Samples!T20</f>
        <v>44363</v>
      </c>
      <c r="I20" s="583">
        <f>Samples!V20</f>
        <v>0.19093749999999998</v>
      </c>
      <c r="J20" s="584">
        <f>Samples!W20</f>
        <v>201.77</v>
      </c>
      <c r="K20" s="585">
        <f t="shared" si="3"/>
        <v>44363.331055555558</v>
      </c>
      <c r="L20" s="586">
        <f>K20-'Count 1 '!K20</f>
        <v>9.4107916666689562</v>
      </c>
      <c r="M20" s="586">
        <f>Samples!AA20</f>
        <v>3.891</v>
      </c>
      <c r="N20" s="587">
        <f>Samples!Y20</f>
        <v>0.24299999999999999</v>
      </c>
      <c r="O20" s="587">
        <f>Samples!Z20</f>
        <v>1.0009999999999999</v>
      </c>
      <c r="P20" s="497">
        <f t="shared" si="4"/>
        <v>0.55288443086576167</v>
      </c>
      <c r="Q20" s="497">
        <f t="shared" si="5"/>
        <v>0.15702850323177922</v>
      </c>
      <c r="R20" s="594">
        <f t="shared" si="6"/>
        <v>7.0435036134792392E-2</v>
      </c>
      <c r="S20" s="499">
        <f t="shared" si="7"/>
        <v>201.97176999999999</v>
      </c>
      <c r="T20" s="498">
        <f t="shared" si="8"/>
        <v>7.0435036134792392E-2</v>
      </c>
      <c r="U20" s="500">
        <f t="shared" si="9"/>
        <v>0.14072934292665815</v>
      </c>
      <c r="V20" s="601">
        <f t="shared" si="10"/>
        <v>-14.453834415634171</v>
      </c>
      <c r="W20" s="499">
        <f t="shared" si="11"/>
        <v>201.97176999999999</v>
      </c>
      <c r="X20" s="498">
        <f t="shared" si="12"/>
        <v>3.4703624840110983E-2</v>
      </c>
      <c r="Y20" s="500">
        <f t="shared" si="13"/>
        <v>0.28562654189391756</v>
      </c>
      <c r="Z20" s="601">
        <f t="shared" si="14"/>
        <v>1.8178221059096125E-2</v>
      </c>
      <c r="AA20" s="552">
        <f t="shared" si="15"/>
        <v>49.030110000000001</v>
      </c>
      <c r="AB20" s="621">
        <f t="shared" si="16"/>
        <v>7.1971166784793497E-2</v>
      </c>
      <c r="AC20" s="500">
        <f t="shared" si="2"/>
        <v>5.8140514582998692E-3</v>
      </c>
      <c r="AD20" s="501">
        <f t="shared" si="17"/>
        <v>2.6470000000000002</v>
      </c>
      <c r="AE20" s="500">
        <f t="shared" si="18"/>
        <v>0.10548236917922439</v>
      </c>
      <c r="AF20" s="500">
        <f t="shared" si="19"/>
        <v>6.1680964688989642E-4</v>
      </c>
      <c r="AG20" s="500">
        <f t="shared" si="20"/>
        <v>7.1291639220109996E-5</v>
      </c>
      <c r="AH20" s="617">
        <f t="shared" si="21"/>
        <v>2.7189711667847938</v>
      </c>
      <c r="AI20" s="618">
        <f t="shared" si="22"/>
        <v>0.10564247915503473</v>
      </c>
      <c r="AJ20" s="501">
        <f t="shared" si="23"/>
        <v>0.92902883321520635</v>
      </c>
      <c r="AK20" s="500">
        <f t="shared" si="24"/>
        <v>7.0674588853910356E-2</v>
      </c>
      <c r="AL20" s="501">
        <f t="shared" si="25"/>
        <v>0.2423831903531101</v>
      </c>
      <c r="AM20" s="552">
        <f t="shared" si="26"/>
        <v>3.4703698067223197E-2</v>
      </c>
      <c r="AN20" s="618">
        <f>((((IF(G20="Grey",STDs!$AC$9,IF(G20="Orange",STDs!$AC$8,IF(G20="Green",STDs!$AC$10,STDs!$AC$11))))*2)*(N20-AF20))^2*0.01)/((1+(((IF(G20="Grey",STDs!$AC$9,IF(G20="Orange",STDs!$AC$8,IF(G20="Green",STDs!$AC$10,STDs!$AC$11))))*2)*(N20-AF20))*0.01))</f>
        <v>5.1289562463566414E-5</v>
      </c>
      <c r="AO20" s="615">
        <f>AJ20-AN20-IF(G20="Grey",Blanks!$O$7,IF(G20="Orange",Blanks!$O$6,IF(G20="Green",Blanks!$O$8,Blanks!$O$9)))</f>
        <v>0.89827166129980163</v>
      </c>
      <c r="AP20" s="598">
        <f t="shared" si="27"/>
        <v>7.0674588853910356E-2</v>
      </c>
      <c r="AQ20" s="498">
        <f>AO20/IF(G20="Grey",STDs!$AF$9,IF(G20="Orange",STDs!$AF$8,IF(G20="Green",STDs!$AF$10,STDs!$AF$11)))</f>
        <v>11.917942163989578</v>
      </c>
      <c r="AR20" s="607">
        <f>SQRT(((AP20/IF(G20="Grey",STDs!$AF$9,IF(G20="Orange",STDs!$AF$8,IF(G20="Green",STDs!$AF$10,STDs!$AF$11))))^2)+(((AO20*(IF(G20="Grey",STDs!$AG$9,IF(G20="Orange",STDs!$AG$8,IF(G20="Green",STDs!$AG$10,STDs!$AG$11)))))/(IF(G20="Grey",STDs!$AF$9,IF(G20="Orange",STDs!$AF$8,IF(G20="Green",STDs!$AF$10,STDs!$AF$11))))))^2)</f>
        <v>0.95501588007023919</v>
      </c>
      <c r="AS20" s="594">
        <f t="shared" si="28"/>
        <v>6.1401041545541357</v>
      </c>
      <c r="AT20" s="607">
        <f t="shared" si="29"/>
        <v>0.52537323577222406</v>
      </c>
      <c r="AU20" s="562">
        <f>('Count 1 '!AR20-(AS20*EXP(Reference!$C$3*L20)))/(1-EXP(Reference!$C$3*L20))</f>
        <v>1.4922005685447524</v>
      </c>
      <c r="AV20" s="563">
        <f t="shared" si="30"/>
        <v>39.101844749109915</v>
      </c>
      <c r="AW20" s="564">
        <f>AS20-('Count 1 '!AY20*Q20)</f>
        <v>1.4922005685447548</v>
      </c>
      <c r="AX20" s="604">
        <f t="shared" si="31"/>
        <v>0.12767898090719565</v>
      </c>
    </row>
    <row r="21" spans="1:50" s="24" customFormat="1" x14ac:dyDescent="0.35">
      <c r="A21" s="494">
        <f>Samples!A21</f>
        <v>15</v>
      </c>
      <c r="B21" s="494">
        <f>Samples!B21</f>
        <v>11</v>
      </c>
      <c r="C21" s="495">
        <f>Samples!C21</f>
        <v>44353</v>
      </c>
      <c r="D21" s="496">
        <f>Samples!D21</f>
        <v>0.79166666666666663</v>
      </c>
      <c r="E21" s="496" t="str">
        <f>Samples!E21</f>
        <v>BW</v>
      </c>
      <c r="F21" s="572">
        <f>Samples!G21</f>
        <v>56</v>
      </c>
      <c r="G21" s="581" t="str">
        <f>Samples!X21</f>
        <v>Orange</v>
      </c>
      <c r="H21" s="582">
        <f>Samples!T21</f>
        <v>44363</v>
      </c>
      <c r="I21" s="583">
        <f>Samples!V21</f>
        <v>0.19070601851851854</v>
      </c>
      <c r="J21" s="584">
        <f>Samples!W21</f>
        <v>202.15</v>
      </c>
      <c r="K21" s="585">
        <f t="shared" si="3"/>
        <v>44363.331087962964</v>
      </c>
      <c r="L21" s="586">
        <f>K21-'Count 1 '!K21</f>
        <v>9.3366921296255896</v>
      </c>
      <c r="M21" s="586">
        <f>Samples!AA21</f>
        <v>1.603</v>
      </c>
      <c r="N21" s="587">
        <f>Samples!Y21</f>
        <v>3.5000000000000003E-2</v>
      </c>
      <c r="O21" s="587">
        <f>Samples!Z21</f>
        <v>0.32200000000000001</v>
      </c>
      <c r="P21" s="497">
        <f t="shared" si="4"/>
        <v>0.56085390832859583</v>
      </c>
      <c r="Q21" s="497">
        <f t="shared" si="5"/>
        <v>0.16420850292169181</v>
      </c>
      <c r="R21" s="594">
        <f t="shared" si="6"/>
        <v>3.9910857881025386E-2</v>
      </c>
      <c r="S21" s="499">
        <f t="shared" si="7"/>
        <v>65.092300000000009</v>
      </c>
      <c r="T21" s="498">
        <f t="shared" si="8"/>
        <v>3.9910857881025386E-2</v>
      </c>
      <c r="U21" s="500">
        <f t="shared" si="9"/>
        <v>0.24789352721133781</v>
      </c>
      <c r="V21" s="601">
        <f t="shared" si="10"/>
        <v>-3.0571259188753888</v>
      </c>
      <c r="W21" s="499">
        <f t="shared" si="11"/>
        <v>65.092300000000009</v>
      </c>
      <c r="X21" s="498">
        <f t="shared" si="12"/>
        <v>1.3158220181611249E-2</v>
      </c>
      <c r="Y21" s="500">
        <f t="shared" si="13"/>
        <v>0.75189829609207126</v>
      </c>
      <c r="Z21" s="601">
        <f t="shared" si="14"/>
        <v>0.34673369768925788</v>
      </c>
      <c r="AA21" s="552">
        <f t="shared" si="15"/>
        <v>7.0752500000000005</v>
      </c>
      <c r="AB21" s="621">
        <f t="shared" si="16"/>
        <v>1.5721044210867407E-2</v>
      </c>
      <c r="AC21" s="500">
        <f t="shared" si="2"/>
        <v>1.4717110244613248E-3</v>
      </c>
      <c r="AD21" s="501">
        <f t="shared" si="17"/>
        <v>1.246</v>
      </c>
      <c r="AE21" s="500">
        <f t="shared" si="18"/>
        <v>5.7955948029055432E-2</v>
      </c>
      <c r="AF21" s="500">
        <f t="shared" si="19"/>
        <v>1.4077963417694048E-4</v>
      </c>
      <c r="AG21" s="500">
        <f t="shared" si="20"/>
        <v>8.6689438751847567E-6</v>
      </c>
      <c r="AH21" s="617">
        <f t="shared" si="21"/>
        <v>1.2617210442108675</v>
      </c>
      <c r="AI21" s="618">
        <f t="shared" si="22"/>
        <v>5.7974631049158863E-2</v>
      </c>
      <c r="AJ21" s="501">
        <f t="shared" si="23"/>
        <v>0.30627895578913261</v>
      </c>
      <c r="AK21" s="500">
        <f t="shared" si="24"/>
        <v>3.9937983300849425E-2</v>
      </c>
      <c r="AL21" s="501">
        <f t="shared" si="25"/>
        <v>3.4859220365823063E-2</v>
      </c>
      <c r="AM21" s="552">
        <f t="shared" si="26"/>
        <v>1.3158223037262648E-2</v>
      </c>
      <c r="AN21" s="618">
        <f>((((IF(G21="Grey",STDs!$AC$9,IF(G21="Orange",STDs!$AC$8,IF(G21="Green",STDs!$AC$10,STDs!$AC$11))))*2)*(N21-AF21))^2*0.01)/((1+(((IF(G21="Grey",STDs!$AC$9,IF(G21="Orange",STDs!$AC$8,IF(G21="Green",STDs!$AC$10,STDs!$AC$11))))*2)*(N21-AF21))*0.01))</f>
        <v>1.2097690809720312E-6</v>
      </c>
      <c r="AO21" s="615">
        <f>AJ21-AN21-IF(G21="Grey",Blanks!$O$7,IF(G21="Orange",Blanks!$O$6,IF(G21="Green",Blanks!$O$8,Blanks!$O$9)))</f>
        <v>0.29738885713116275</v>
      </c>
      <c r="AP21" s="598">
        <f t="shared" si="27"/>
        <v>3.9937983300849425E-2</v>
      </c>
      <c r="AQ21" s="498">
        <f>AO21/IF(G21="Grey",STDs!$AF$9,IF(G21="Orange",STDs!$AF$8,IF(G21="Green",STDs!$AF$10,STDs!$AF$11)))</f>
        <v>3.8519459802018297</v>
      </c>
      <c r="AR21" s="607">
        <f>SQRT(((AP21/IF(G21="Grey",STDs!$AF$9,IF(G21="Orange",STDs!$AF$8,IF(G21="Green",STDs!$AF$10,STDs!$AF$11))))^2)+(((AO21*(IF(G21="Grey",STDs!$AG$9,IF(G21="Orange",STDs!$AG$8,IF(G21="Green",STDs!$AG$10,STDs!$AG$11)))))/(IF(G21="Grey",STDs!$AF$9,IF(G21="Orange",STDs!$AF$8,IF(G21="Green",STDs!$AF$10,STDs!$AF$11))))))^2)</f>
        <v>0.51788207480690629</v>
      </c>
      <c r="AS21" s="594">
        <f t="shared" si="28"/>
        <v>6.8784749646461236</v>
      </c>
      <c r="AT21" s="607">
        <f t="shared" si="29"/>
        <v>0.94753234567531053</v>
      </c>
      <c r="AU21" s="562">
        <f>('Count 1 '!AR21-(AS21*EXP(Reference!$C$3*L21)))/(1-EXP(Reference!$C$3*L21))</f>
        <v>2.1286946835856626</v>
      </c>
      <c r="AV21" s="563">
        <f t="shared" si="30"/>
        <v>41.888664973252631</v>
      </c>
      <c r="AW21" s="564">
        <f>AS21-('Count 1 '!AY21*Q21)</f>
        <v>2.1286946835856648</v>
      </c>
      <c r="AX21" s="604">
        <f t="shared" si="31"/>
        <v>0.2932346308057337</v>
      </c>
    </row>
    <row r="22" spans="1:50" s="24" customFormat="1" x14ac:dyDescent="0.35">
      <c r="A22" s="494">
        <f>Samples!A22</f>
        <v>16</v>
      </c>
      <c r="B22" s="494">
        <f>Samples!B22</f>
        <v>0</v>
      </c>
      <c r="C22" s="495">
        <f>Samples!C22</f>
        <v>44353</v>
      </c>
      <c r="D22" s="496">
        <f>Samples!D22</f>
        <v>0.71250000000000002</v>
      </c>
      <c r="E22" s="496" t="str">
        <f>Samples!E22</f>
        <v>SW</v>
      </c>
      <c r="F22" s="572">
        <f>Samples!G22</f>
        <v>199.9</v>
      </c>
      <c r="G22" s="581" t="str">
        <f>Samples!X22</f>
        <v>Green</v>
      </c>
      <c r="H22" s="582">
        <f>Samples!T22</f>
        <v>44364</v>
      </c>
      <c r="I22" s="583">
        <f>Samples!V22</f>
        <v>0.18995370370370374</v>
      </c>
      <c r="J22" s="584">
        <f>Samples!W22</f>
        <v>203.28</v>
      </c>
      <c r="K22" s="585">
        <f t="shared" si="3"/>
        <v>44364.331120370371</v>
      </c>
      <c r="L22" s="586">
        <f>K22-'Count 1 '!K22</f>
        <v>9.9605439814840793</v>
      </c>
      <c r="M22" s="586">
        <f>Samples!AA22</f>
        <v>4.2110000000000003</v>
      </c>
      <c r="N22" s="587">
        <f>Samples!Y22</f>
        <v>0.216</v>
      </c>
      <c r="O22" s="587">
        <f>Samples!Z22</f>
        <v>1.0820000000000001</v>
      </c>
      <c r="P22" s="497">
        <f t="shared" si="4"/>
        <v>0.52533581323030731</v>
      </c>
      <c r="Q22" s="497">
        <f t="shared" si="5"/>
        <v>0.13385450532927598</v>
      </c>
      <c r="R22" s="594">
        <f t="shared" si="6"/>
        <v>7.295688860851228E-2</v>
      </c>
      <c r="S22" s="499">
        <f t="shared" si="7"/>
        <v>219.94896000000003</v>
      </c>
      <c r="T22" s="498">
        <f t="shared" si="8"/>
        <v>7.295688860851228E-2</v>
      </c>
      <c r="U22" s="500">
        <f t="shared" si="9"/>
        <v>0.13485561665159385</v>
      </c>
      <c r="V22" s="601">
        <f t="shared" si="10"/>
        <v>-17.702370761495246</v>
      </c>
      <c r="W22" s="499">
        <f t="shared" si="11"/>
        <v>219.94896000000003</v>
      </c>
      <c r="X22" s="498">
        <f t="shared" si="12"/>
        <v>3.2597143890938006E-2</v>
      </c>
      <c r="Y22" s="500">
        <f t="shared" si="13"/>
        <v>0.30182540639757416</v>
      </c>
      <c r="Z22" s="601">
        <f t="shared" si="14"/>
        <v>-3.2459593162434408E-4</v>
      </c>
      <c r="AA22" s="552">
        <f t="shared" si="15"/>
        <v>43.908479999999997</v>
      </c>
      <c r="AB22" s="621">
        <f t="shared" si="16"/>
        <v>8.7401701566636139E-2</v>
      </c>
      <c r="AC22" s="500">
        <f t="shared" si="2"/>
        <v>6.5904861682885563E-3</v>
      </c>
      <c r="AD22" s="501">
        <f t="shared" si="17"/>
        <v>2.9130000000000003</v>
      </c>
      <c r="AE22" s="500">
        <f t="shared" si="18"/>
        <v>0.10820346103852804</v>
      </c>
      <c r="AF22" s="500">
        <f t="shared" si="19"/>
        <v>7.4270770340912327E-4</v>
      </c>
      <c r="AG22" s="500">
        <f t="shared" si="20"/>
        <v>8.8596863455234711E-5</v>
      </c>
      <c r="AH22" s="617">
        <f t="shared" si="21"/>
        <v>3.000401701566636</v>
      </c>
      <c r="AI22" s="618">
        <f t="shared" si="22"/>
        <v>0.10840398280806227</v>
      </c>
      <c r="AJ22" s="501">
        <f t="shared" si="23"/>
        <v>0.99459829843336389</v>
      </c>
      <c r="AK22" s="500">
        <f t="shared" si="24"/>
        <v>7.3253956230153683E-2</v>
      </c>
      <c r="AL22" s="501">
        <f t="shared" si="25"/>
        <v>0.21525729229659088</v>
      </c>
      <c r="AM22" s="552">
        <f t="shared" si="26"/>
        <v>3.2597264290899181E-2</v>
      </c>
      <c r="AN22" s="618">
        <f>((((IF(G22="Grey",STDs!$AC$9,IF(G22="Orange",STDs!$AC$8,IF(G22="Green",STDs!$AC$10,STDs!$AC$11))))*2)*(N22-AF22))^2*0.01)/((1+(((IF(G22="Grey",STDs!$AC$9,IF(G22="Orange",STDs!$AC$8,IF(G22="Green",STDs!$AC$10,STDs!$AC$11))))*2)*(N22-AF22))*0.01))</f>
        <v>5.3744220739798164E-5</v>
      </c>
      <c r="AO22" s="615">
        <f>AJ22-AN22-IF(G22="Grey",Blanks!$O$7,IF(G22="Orange",Blanks!$O$6,IF(G22="Green",Blanks!$O$8,Blanks!$O$9)))</f>
        <v>0.96627182693989688</v>
      </c>
      <c r="AP22" s="598">
        <f t="shared" si="27"/>
        <v>7.3253956230153683E-2</v>
      </c>
      <c r="AQ22" s="498">
        <f>AO22/IF(G22="Grey",STDs!$AF$9,IF(G22="Orange",STDs!$AF$8,IF(G22="Green",STDs!$AF$10,STDs!$AF$11)))</f>
        <v>12.219539101731907</v>
      </c>
      <c r="AR22" s="607">
        <f>SQRT(((AP22/IF(G22="Grey",STDs!$AF$9,IF(G22="Orange",STDs!$AF$8,IF(G22="Green",STDs!$AF$10,STDs!$AF$11))))^2)+(((AO22*(IF(G22="Grey",STDs!$AG$9,IF(G22="Orange",STDs!$AG$8,IF(G22="Green",STDs!$AG$10,STDs!$AG$11)))))/(IF(G22="Grey",STDs!$AF$9,IF(G22="Orange",STDs!$AF$8,IF(G22="Green",STDs!$AF$10,STDs!$AF$11))))))^2)</f>
        <v>1.0814921906261048</v>
      </c>
      <c r="AS22" s="594">
        <f t="shared" si="28"/>
        <v>6.112825963847877</v>
      </c>
      <c r="AT22" s="607">
        <f t="shared" si="29"/>
        <v>0.57125208316891218</v>
      </c>
      <c r="AU22" s="562">
        <f>('Count 1 '!AR22-(AS22*EXP(Reference!$C$3*L22)))/(1-EXP(Reference!$C$3*L22))</f>
        <v>0.92864993038239907</v>
      </c>
      <c r="AV22" s="563">
        <f t="shared" si="30"/>
        <v>45.667689322900294</v>
      </c>
      <c r="AW22" s="564">
        <f>AS22-('Count 1 '!AY22*Q22)</f>
        <v>0.92864993038239874</v>
      </c>
      <c r="AX22" s="604">
        <f t="shared" si="31"/>
        <v>8.6783626820561038E-2</v>
      </c>
    </row>
    <row r="23" spans="1:50" s="24" customFormat="1" x14ac:dyDescent="0.35">
      <c r="A23" s="494">
        <f>Samples!A23</f>
        <v>17</v>
      </c>
      <c r="B23" s="494">
        <f>Samples!B23</f>
        <v>0</v>
      </c>
      <c r="C23" s="495">
        <f>Samples!C23</f>
        <v>44353</v>
      </c>
      <c r="D23" s="496">
        <f>Samples!D23</f>
        <v>0.89583333333333337</v>
      </c>
      <c r="E23" s="496" t="str">
        <f>Samples!E23</f>
        <v>SW</v>
      </c>
      <c r="F23" s="572">
        <f>Samples!G23</f>
        <v>199.9</v>
      </c>
      <c r="G23" s="581" t="str">
        <f>Samples!X23</f>
        <v>Blue</v>
      </c>
      <c r="H23" s="582">
        <f>Samples!T23</f>
        <v>44364</v>
      </c>
      <c r="I23" s="583">
        <f>Samples!V23</f>
        <v>0.1899305555555556</v>
      </c>
      <c r="J23" s="584">
        <f>Samples!W23</f>
        <v>203.3</v>
      </c>
      <c r="K23" s="585">
        <f t="shared" si="3"/>
        <v>44364.331111111111</v>
      </c>
      <c r="L23" s="586">
        <f>K23-'Count 1 '!K23</f>
        <v>9.8965949074117816</v>
      </c>
      <c r="M23" s="586">
        <f>Samples!AA23</f>
        <v>3.0990000000000002</v>
      </c>
      <c r="N23" s="587">
        <f>Samples!Y23</f>
        <v>0.17699999999999999</v>
      </c>
      <c r="O23" s="587">
        <f>Samples!Z23</f>
        <v>0.64900000000000002</v>
      </c>
      <c r="P23" s="497">
        <f t="shared" si="4"/>
        <v>0.53120723626570909</v>
      </c>
      <c r="Q23" s="497">
        <f t="shared" si="5"/>
        <v>0.1385838655332185</v>
      </c>
      <c r="R23" s="594">
        <f t="shared" si="6"/>
        <v>5.6500677968674175E-2</v>
      </c>
      <c r="S23" s="499">
        <f t="shared" si="7"/>
        <v>131.94170000000003</v>
      </c>
      <c r="T23" s="498">
        <f t="shared" si="8"/>
        <v>5.6500677968674175E-2</v>
      </c>
      <c r="U23" s="500">
        <f t="shared" si="9"/>
        <v>0.17411611084337184</v>
      </c>
      <c r="V23" s="601">
        <f t="shared" si="10"/>
        <v>-10.664415226111585</v>
      </c>
      <c r="W23" s="499">
        <f t="shared" si="11"/>
        <v>131.94170000000003</v>
      </c>
      <c r="X23" s="498">
        <f t="shared" si="12"/>
        <v>2.9506516742083613E-2</v>
      </c>
      <c r="Y23" s="500">
        <f t="shared" si="13"/>
        <v>0.33340696883710302</v>
      </c>
      <c r="Z23" s="601">
        <f t="shared" si="14"/>
        <v>7.3276254339142047E-2</v>
      </c>
      <c r="AA23" s="552">
        <f t="shared" si="15"/>
        <v>35.984099999999998</v>
      </c>
      <c r="AB23" s="621">
        <f t="shared" si="16"/>
        <v>5.2866955907783938E-2</v>
      </c>
      <c r="AC23" s="500">
        <f t="shared" si="2"/>
        <v>4.0083312024920296E-3</v>
      </c>
      <c r="AD23" s="501">
        <f t="shared" si="17"/>
        <v>2.2730000000000001</v>
      </c>
      <c r="AE23" s="500">
        <f t="shared" si="18"/>
        <v>8.5177976919450879E-2</v>
      </c>
      <c r="AF23" s="500">
        <f t="shared" si="19"/>
        <v>4.5849080389705123E-4</v>
      </c>
      <c r="AG23" s="500">
        <f t="shared" si="20"/>
        <v>4.2432503570076124E-5</v>
      </c>
      <c r="AH23" s="617">
        <f t="shared" si="21"/>
        <v>2.325866955907784</v>
      </c>
      <c r="AI23" s="618">
        <f t="shared" si="22"/>
        <v>8.5272237399515782E-2</v>
      </c>
      <c r="AJ23" s="501">
        <f t="shared" si="23"/>
        <v>0.59613304409221612</v>
      </c>
      <c r="AK23" s="500">
        <f t="shared" si="24"/>
        <v>5.664268116843247E-2</v>
      </c>
      <c r="AL23" s="501">
        <f t="shared" si="25"/>
        <v>0.17654150919610295</v>
      </c>
      <c r="AM23" s="552">
        <f t="shared" si="26"/>
        <v>2.9506547252571246E-2</v>
      </c>
      <c r="AN23" s="618">
        <f>((((IF(G23="Grey",STDs!$AC$9,IF(G23="Orange",STDs!$AC$8,IF(G23="Green",STDs!$AC$10,STDs!$AC$11))))*2)*(N23-AF23))^2*0.01)/((1+(((IF(G23="Grey",STDs!$AC$9,IF(G23="Orange",STDs!$AC$8,IF(G23="Green",STDs!$AC$10,STDs!$AC$11))))*2)*(N23-AF23))*0.01))</f>
        <v>2.8288508013941997E-5</v>
      </c>
      <c r="AO23" s="615">
        <f>AJ23-AN23-IF(G23="Grey",Blanks!$O$7,IF(G23="Orange",Blanks!$O$6,IF(G23="Green",Blanks!$O$8,Blanks!$O$9)))</f>
        <v>0.56924761272705937</v>
      </c>
      <c r="AP23" s="598">
        <f t="shared" si="27"/>
        <v>5.664268116843247E-2</v>
      </c>
      <c r="AQ23" s="498">
        <f>AO23/IF(G23="Grey",STDs!$AF$9,IF(G23="Orange",STDs!$AF$8,IF(G23="Green",STDs!$AF$10,STDs!$AF$11)))</f>
        <v>8.3122900239201023</v>
      </c>
      <c r="AR23" s="607">
        <f>SQRT(((AP23/IF(G23="Grey",STDs!$AF$9,IF(G23="Orange",STDs!$AF$8,IF(G23="Green",STDs!$AF$10,STDs!$AF$11))))^2)+(((AO23*(IF(G23="Grey",STDs!$AG$9,IF(G23="Orange",STDs!$AG$8,IF(G23="Green",STDs!$AG$10,STDs!$AG$11)))))/(IF(G23="Grey",STDs!$AF$9,IF(G23="Orange",STDs!$AF$8,IF(G23="Green",STDs!$AF$10,STDs!$AF$11))))))^2)</f>
        <v>0.82861029767246885</v>
      </c>
      <c r="AS23" s="594">
        <f t="shared" si="28"/>
        <v>4.1582241240220617</v>
      </c>
      <c r="AT23" s="607">
        <f t="shared" si="29"/>
        <v>0.43287674805890303</v>
      </c>
      <c r="AU23" s="562">
        <f>('Count 1 '!AR23-(AS23*EXP(Reference!$C$3*L23)))/(1-EXP(Reference!$C$3*L23))</f>
        <v>1.6301445616424426</v>
      </c>
      <c r="AV23" s="563">
        <f t="shared" si="30"/>
        <v>30.005109960115355</v>
      </c>
      <c r="AW23" s="564">
        <f>AS23-('Count 1 '!AY23*Q23)</f>
        <v>1.6301445616424433</v>
      </c>
      <c r="AX23" s="604">
        <f t="shared" si="31"/>
        <v>0.16970025079531836</v>
      </c>
    </row>
    <row r="24" spans="1:50" s="24" customFormat="1" x14ac:dyDescent="0.35">
      <c r="A24" s="494">
        <f>Samples!A24</f>
        <v>17</v>
      </c>
      <c r="B24" s="494">
        <f>Samples!B24</f>
        <v>2</v>
      </c>
      <c r="C24" s="495">
        <f>Samples!C24</f>
        <v>44353</v>
      </c>
      <c r="D24" s="496">
        <f>Samples!D24</f>
        <v>0.92569444444444438</v>
      </c>
      <c r="E24" s="496" t="str">
        <f>Samples!E24</f>
        <v>BW</v>
      </c>
      <c r="F24" s="572">
        <f>Samples!G24</f>
        <v>58</v>
      </c>
      <c r="G24" s="581" t="str">
        <f>Samples!X24</f>
        <v>Blue</v>
      </c>
      <c r="H24" s="582">
        <f>Samples!T24</f>
        <v>44365</v>
      </c>
      <c r="I24" s="583">
        <f>Samples!V24</f>
        <v>0.94652777777777775</v>
      </c>
      <c r="J24" s="584">
        <f>Samples!W24</f>
        <v>240.83</v>
      </c>
      <c r="K24" s="585">
        <f t="shared" si="3"/>
        <v>44366.113770833334</v>
      </c>
      <c r="L24" s="586">
        <f>K24-'Count 1 '!K24</f>
        <v>11.375793981482275</v>
      </c>
      <c r="M24" s="586">
        <f>Samples!AA24</f>
        <v>1.4330000000000001</v>
      </c>
      <c r="N24" s="587">
        <f>Samples!Y24</f>
        <v>6.2E-2</v>
      </c>
      <c r="O24" s="587">
        <f>Samples!Z24</f>
        <v>0.249</v>
      </c>
      <c r="P24" s="497">
        <f t="shared" si="4"/>
        <v>0.47765790387049278</v>
      </c>
      <c r="Q24" s="497">
        <f t="shared" si="5"/>
        <v>9.9436855433765736E-2</v>
      </c>
      <c r="R24" s="594">
        <f t="shared" si="6"/>
        <v>3.2154693980407163E-2</v>
      </c>
      <c r="S24" s="499">
        <f t="shared" si="7"/>
        <v>59.966670000000001</v>
      </c>
      <c r="T24" s="498">
        <f t="shared" si="8"/>
        <v>3.2154693980407163E-2</v>
      </c>
      <c r="U24" s="500">
        <f t="shared" si="9"/>
        <v>0.25827063438078046</v>
      </c>
      <c r="V24" s="601">
        <f t="shared" si="10"/>
        <v>-2.940382222252925</v>
      </c>
      <c r="W24" s="499">
        <f t="shared" si="11"/>
        <v>59.966670000000001</v>
      </c>
      <c r="X24" s="498">
        <f t="shared" si="12"/>
        <v>1.6045030682171606E-2</v>
      </c>
      <c r="Y24" s="500">
        <f t="shared" si="13"/>
        <v>0.51758163490876152</v>
      </c>
      <c r="Z24" s="601">
        <f t="shared" si="14"/>
        <v>0.2309898032835164</v>
      </c>
      <c r="AA24" s="552">
        <f t="shared" si="15"/>
        <v>14.931460000000001</v>
      </c>
      <c r="AB24" s="621">
        <f t="shared" si="16"/>
        <v>1.2731689556827609E-2</v>
      </c>
      <c r="AC24" s="500">
        <f t="shared" si="2"/>
        <v>1.1005733053563534E-3</v>
      </c>
      <c r="AD24" s="501">
        <f t="shared" si="17"/>
        <v>1.1220000000000001</v>
      </c>
      <c r="AE24" s="500">
        <f t="shared" si="18"/>
        <v>4.8221278493410909E-2</v>
      </c>
      <c r="AF24" s="500">
        <f t="shared" si="19"/>
        <v>1.1444609164578354E-4</v>
      </c>
      <c r="AG24" s="500">
        <f t="shared" si="20"/>
        <v>5.8482998406727608E-6</v>
      </c>
      <c r="AH24" s="617">
        <f t="shared" si="21"/>
        <v>1.1347316895568276</v>
      </c>
      <c r="AI24" s="618">
        <f t="shared" si="22"/>
        <v>4.8233836268117385E-2</v>
      </c>
      <c r="AJ24" s="501">
        <f t="shared" si="23"/>
        <v>0.2362683104431724</v>
      </c>
      <c r="AK24" s="500">
        <f t="shared" si="24"/>
        <v>3.2173523378301226E-2</v>
      </c>
      <c r="AL24" s="501">
        <f t="shared" si="25"/>
        <v>6.1885553908354214E-2</v>
      </c>
      <c r="AM24" s="552">
        <f t="shared" si="26"/>
        <v>1.6045031748003469E-2</v>
      </c>
      <c r="AN24" s="618">
        <f>((((IF(G24="Grey",STDs!$AC$9,IF(G24="Orange",STDs!$AC$8,IF(G24="Green",STDs!$AC$10,STDs!$AC$11))))*2)*(N24-AF24))^2*0.01)/((1+(((IF(G24="Grey",STDs!$AC$9,IF(G24="Orange",STDs!$AC$8,IF(G24="Green",STDs!$AC$10,STDs!$AC$11))))*2)*(N24-AF24))*0.01))</f>
        <v>3.4773222564587433E-6</v>
      </c>
      <c r="AO24" s="615">
        <f>AJ24-AN24-IF(G24="Grey",Blanks!$O$7,IF(G24="Orange",Blanks!$O$6,IF(G24="Green",Blanks!$O$8,Blanks!$O$9)))</f>
        <v>0.20940769026377309</v>
      </c>
      <c r="AP24" s="598">
        <f t="shared" si="27"/>
        <v>3.2173523378301226E-2</v>
      </c>
      <c r="AQ24" s="498">
        <f>AO24/IF(G24="Grey",STDs!$AF$9,IF(G24="Orange",STDs!$AF$8,IF(G24="Green",STDs!$AF$10,STDs!$AF$11)))</f>
        <v>3.0578212640591524</v>
      </c>
      <c r="AR24" s="607">
        <f>SQRT(((AP24/IF(G24="Grey",STDs!$AF$9,IF(G24="Orange",STDs!$AF$8,IF(G24="Green",STDs!$AF$10,STDs!$AF$11))))^2)+(((AO24*(IF(G24="Grey",STDs!$AG$9,IF(G24="Orange",STDs!$AG$8,IF(G24="Green",STDs!$AG$10,STDs!$AG$11)))))/(IF(G24="Grey",STDs!$AF$9,IF(G24="Orange",STDs!$AF$8,IF(G24="Green",STDs!$AF$10,STDs!$AF$11))))))^2)</f>
        <v>0.47016312631685919</v>
      </c>
      <c r="AS24" s="594">
        <f t="shared" si="28"/>
        <v>5.2721056276881937</v>
      </c>
      <c r="AT24" s="607">
        <f t="shared" si="29"/>
        <v>0.82591175637492742</v>
      </c>
      <c r="AU24" s="562">
        <f>('Count 1 '!AR24-(AS24*EXP(Reference!$C$3*L24)))/(1-EXP(Reference!$C$3*L24))</f>
        <v>3.8598170229081421</v>
      </c>
      <c r="AV24" s="563">
        <f t="shared" si="30"/>
        <v>53.019633461759156</v>
      </c>
      <c r="AW24" s="564">
        <f>AS24-('Count 1 '!AY24*Q24)</f>
        <v>3.859817022908143</v>
      </c>
      <c r="AX24" s="604">
        <f t="shared" si="31"/>
        <v>0.60466699300062787</v>
      </c>
    </row>
    <row r="25" spans="1:50" s="24" customFormat="1" x14ac:dyDescent="0.35">
      <c r="A25" s="494">
        <f>Samples!A25</f>
        <v>18</v>
      </c>
      <c r="B25" s="494">
        <f>Samples!B25</f>
        <v>0</v>
      </c>
      <c r="C25" s="495">
        <f>Samples!C25</f>
        <v>44354</v>
      </c>
      <c r="D25" s="496">
        <f>Samples!D25</f>
        <v>5.319444444444444E-2</v>
      </c>
      <c r="E25" s="496" t="str">
        <f>Samples!E25</f>
        <v>SW</v>
      </c>
      <c r="F25" s="572">
        <f>Samples!G25</f>
        <v>193.8</v>
      </c>
      <c r="G25" s="581" t="str">
        <f>Samples!X25</f>
        <v>Orange</v>
      </c>
      <c r="H25" s="582">
        <f>Samples!T25</f>
        <v>44365</v>
      </c>
      <c r="I25" s="583">
        <f>Samples!V25</f>
        <v>0.22638888888888892</v>
      </c>
      <c r="J25" s="584">
        <f>Samples!W25</f>
        <v>218.73</v>
      </c>
      <c r="K25" s="585">
        <f t="shared" si="3"/>
        <v>44365.378284722225</v>
      </c>
      <c r="L25" s="586">
        <f>K25-'Count 1 '!K25</f>
        <v>9.8677662037007394</v>
      </c>
      <c r="M25" s="586">
        <f>Samples!AA25</f>
        <v>2.3410000000000002</v>
      </c>
      <c r="N25" s="587">
        <f>Samples!Y25</f>
        <v>0.105</v>
      </c>
      <c r="O25" s="587">
        <f>Samples!Z25</f>
        <v>0.38400000000000001</v>
      </c>
      <c r="P25" s="497">
        <f t="shared" si="4"/>
        <v>0.5033120614321035</v>
      </c>
      <c r="Q25" s="497">
        <f t="shared" si="5"/>
        <v>0.11709188822758458</v>
      </c>
      <c r="R25" s="594">
        <f t="shared" si="6"/>
        <v>4.1899750386254014E-2</v>
      </c>
      <c r="S25" s="499">
        <f t="shared" si="7"/>
        <v>83.992319999999992</v>
      </c>
      <c r="T25" s="498">
        <f t="shared" si="8"/>
        <v>4.1899750386254014E-2</v>
      </c>
      <c r="U25" s="500">
        <f t="shared" si="9"/>
        <v>0.21822786659507304</v>
      </c>
      <c r="V25" s="601">
        <f t="shared" si="10"/>
        <v>-7.5397615309579713</v>
      </c>
      <c r="W25" s="499">
        <f t="shared" si="11"/>
        <v>83.992319999999992</v>
      </c>
      <c r="X25" s="498">
        <f t="shared" si="12"/>
        <v>2.190990391870902E-2</v>
      </c>
      <c r="Y25" s="500">
        <f t="shared" si="13"/>
        <v>0.4173315032135051</v>
      </c>
      <c r="Z25" s="601">
        <f t="shared" si="14"/>
        <v>0.14118651952319589</v>
      </c>
      <c r="AA25" s="552">
        <f t="shared" si="15"/>
        <v>22.966649999999998</v>
      </c>
      <c r="AB25" s="621">
        <f t="shared" si="16"/>
        <v>3.4946244447161441E-2</v>
      </c>
      <c r="AC25" s="500">
        <f t="shared" si="2"/>
        <v>2.406693097535645E-3</v>
      </c>
      <c r="AD25" s="501">
        <f t="shared" si="17"/>
        <v>1.8520000000000003</v>
      </c>
      <c r="AE25" s="500">
        <f t="shared" si="18"/>
        <v>6.3176119337830863E-2</v>
      </c>
      <c r="AF25" s="500">
        <f t="shared" si="19"/>
        <v>3.0710854164668025E-4</v>
      </c>
      <c r="AG25" s="500">
        <f t="shared" si="20"/>
        <v>2.0885358378945488E-5</v>
      </c>
      <c r="AH25" s="617">
        <f t="shared" si="21"/>
        <v>1.8869462444471616</v>
      </c>
      <c r="AI25" s="618">
        <f t="shared" si="22"/>
        <v>6.3221944182803913E-2</v>
      </c>
      <c r="AJ25" s="501">
        <f t="shared" si="23"/>
        <v>0.34905375555283857</v>
      </c>
      <c r="AK25" s="500">
        <f t="shared" si="24"/>
        <v>4.1968812874515753E-2</v>
      </c>
      <c r="AL25" s="501">
        <f t="shared" si="25"/>
        <v>0.10469289145835331</v>
      </c>
      <c r="AM25" s="552">
        <f t="shared" si="26"/>
        <v>2.1909913873067954E-2</v>
      </c>
      <c r="AN25" s="618">
        <f>((((IF(G25="Grey",STDs!$AC$9,IF(G25="Orange",STDs!$AC$8,IF(G25="Green",STDs!$AC$10,STDs!$AC$11))))*2)*(N25-AF25))^2*0.01)/((1+(((IF(G25="Grey",STDs!$AC$9,IF(G25="Orange",STDs!$AC$8,IF(G25="Green",STDs!$AC$10,STDs!$AC$11))))*2)*(N25-AF25))*0.01))</f>
        <v>1.090952526516417E-5</v>
      </c>
      <c r="AO25" s="615">
        <f>AJ25-AN25-IF(G25="Grey",Blanks!$O$7,IF(G25="Orange",Blanks!$O$6,IF(G25="Green",Blanks!$O$8,Blanks!$O$9)))</f>
        <v>0.34015395713868452</v>
      </c>
      <c r="AP25" s="598">
        <f t="shared" si="27"/>
        <v>4.1968812874515753E-2</v>
      </c>
      <c r="AQ25" s="498">
        <f>AO25/IF(G25="Grey",STDs!$AF$9,IF(G25="Orange",STDs!$AF$8,IF(G25="Green",STDs!$AF$10,STDs!$AF$11)))</f>
        <v>4.4058633551028308</v>
      </c>
      <c r="AR25" s="607">
        <f>SQRT(((AP25/IF(G25="Grey",STDs!$AF$9,IF(G25="Orange",STDs!$AF$8,IF(G25="Green",STDs!$AF$10,STDs!$AF$11))))^2)+(((AO25*(IF(G25="Grey",STDs!$AG$9,IF(G25="Orange",STDs!$AG$8,IF(G25="Green",STDs!$AG$10,STDs!$AG$11)))))/(IF(G25="Grey",STDs!$AF$9,IF(G25="Orange",STDs!$AF$8,IF(G25="Green",STDs!$AF$10,STDs!$AF$11))))))^2)</f>
        <v>0.54432927716371593</v>
      </c>
      <c r="AS25" s="594">
        <f t="shared" si="28"/>
        <v>2.2734073039746288</v>
      </c>
      <c r="AT25" s="607">
        <f t="shared" si="29"/>
        <v>0.28903361760911123</v>
      </c>
      <c r="AU25" s="562">
        <f>('Count 1 '!AR25-(AS25*EXP(Reference!$C$3*L25)))/(1-EXP(Reference!$C$3*L25))</f>
        <v>1.1961726522048501</v>
      </c>
      <c r="AV25" s="563">
        <f t="shared" si="30"/>
        <v>19.415583251642005</v>
      </c>
      <c r="AW25" s="564">
        <f>AS25-('Count 1 '!AY25*Q25)</f>
        <v>1.1961726522048504</v>
      </c>
      <c r="AX25" s="604">
        <f t="shared" si="31"/>
        <v>0.15207750425865244</v>
      </c>
    </row>
    <row r="26" spans="1:50" s="24" customFormat="1" x14ac:dyDescent="0.35">
      <c r="A26" s="494">
        <f>Samples!A26</f>
        <v>18</v>
      </c>
      <c r="B26" s="494">
        <f>Samples!B26</f>
        <v>2</v>
      </c>
      <c r="C26" s="495">
        <f>Samples!C26</f>
        <v>44354</v>
      </c>
      <c r="D26" s="496">
        <f>Samples!D26</f>
        <v>8.1932870370370378E-2</v>
      </c>
      <c r="E26" s="496" t="str">
        <f>Samples!E26</f>
        <v>BW</v>
      </c>
      <c r="F26" s="572">
        <f>Samples!G26</f>
        <v>60.04</v>
      </c>
      <c r="G26" s="581" t="str">
        <f>Samples!X26</f>
        <v>Green</v>
      </c>
      <c r="H26" s="582">
        <f>Samples!T26</f>
        <v>44365</v>
      </c>
      <c r="I26" s="583">
        <f>Samples!V26</f>
        <v>0.46408564814814812</v>
      </c>
      <c r="J26" s="584">
        <f>Samples!W26</f>
        <v>240.7</v>
      </c>
      <c r="K26" s="585">
        <f t="shared" si="3"/>
        <v>44365.631238425929</v>
      </c>
      <c r="L26" s="586">
        <f>K26-'Count 1 '!K26</f>
        <v>10.893807870372257</v>
      </c>
      <c r="M26" s="586">
        <f>Samples!AA26</f>
        <v>1.8160000000000001</v>
      </c>
      <c r="N26" s="587">
        <f>Samples!Y26</f>
        <v>0.05</v>
      </c>
      <c r="O26" s="587">
        <f>Samples!Z26</f>
        <v>0.249</v>
      </c>
      <c r="P26" s="497">
        <f t="shared" si="4"/>
        <v>0.49651718397611594</v>
      </c>
      <c r="Q26" s="497">
        <f t="shared" si="5"/>
        <v>0.1122239135056355</v>
      </c>
      <c r="R26" s="594">
        <f t="shared" si="6"/>
        <v>3.2163376045133849E-2</v>
      </c>
      <c r="S26" s="499">
        <f t="shared" si="7"/>
        <v>59.9343</v>
      </c>
      <c r="T26" s="498">
        <f t="shared" si="8"/>
        <v>3.2163376045133849E-2</v>
      </c>
      <c r="U26" s="500">
        <f t="shared" si="9"/>
        <v>0.25834036984043246</v>
      </c>
      <c r="V26" s="601">
        <f t="shared" si="10"/>
        <v>-5.5015667769783905</v>
      </c>
      <c r="W26" s="499">
        <f t="shared" si="11"/>
        <v>59.9343</v>
      </c>
      <c r="X26" s="498">
        <f t="shared" si="12"/>
        <v>1.4412753434733408E-2</v>
      </c>
      <c r="Y26" s="500">
        <f t="shared" si="13"/>
        <v>0.57651013738933621</v>
      </c>
      <c r="Z26" s="601">
        <f t="shared" si="14"/>
        <v>0.2377095822515298</v>
      </c>
      <c r="AA26" s="552">
        <f t="shared" si="15"/>
        <v>12.035</v>
      </c>
      <c r="AB26" s="621">
        <f t="shared" si="16"/>
        <v>2.3367373049155697E-2</v>
      </c>
      <c r="AC26" s="500">
        <f t="shared" si="2"/>
        <v>1.4812848842589085E-3</v>
      </c>
      <c r="AD26" s="501">
        <f t="shared" si="17"/>
        <v>1.5170000000000001</v>
      </c>
      <c r="AE26" s="500">
        <f t="shared" si="18"/>
        <v>4.7714704010522788E-2</v>
      </c>
      <c r="AF26" s="500">
        <f t="shared" si="19"/>
        <v>2.0750609768179783E-4</v>
      </c>
      <c r="AG26" s="500">
        <f t="shared" si="20"/>
        <v>1.0580950690644787E-5</v>
      </c>
      <c r="AH26" s="617">
        <f t="shared" si="21"/>
        <v>1.5403673730491556</v>
      </c>
      <c r="AI26" s="618">
        <f t="shared" si="22"/>
        <v>4.7737691436852421E-2</v>
      </c>
      <c r="AJ26" s="501">
        <f t="shared" si="23"/>
        <v>0.22563262695084429</v>
      </c>
      <c r="AK26" s="500">
        <f t="shared" si="24"/>
        <v>3.2197468278251686E-2</v>
      </c>
      <c r="AL26" s="501">
        <f t="shared" si="25"/>
        <v>4.9792493902318206E-2</v>
      </c>
      <c r="AM26" s="552">
        <f t="shared" si="26"/>
        <v>1.4412757318672134E-2</v>
      </c>
      <c r="AN26" s="618">
        <f>((((IF(G26="Grey",STDs!$AC$9,IF(G26="Orange",STDs!$AC$8,IF(G26="Green",STDs!$AC$10,STDs!$AC$11))))*2)*(N26-AF26))^2*0.01)/((1+(((IF(G26="Grey",STDs!$AC$9,IF(G26="Orange",STDs!$AC$8,IF(G26="Green",STDs!$AC$10,STDs!$AC$11))))*2)*(N26-AF26))*0.01))</f>
        <v>2.8773222044775771E-6</v>
      </c>
      <c r="AO26" s="615">
        <f>AJ26-AN26-IF(G26="Grey",Blanks!$O$7,IF(G26="Orange",Blanks!$O$6,IF(G26="Green",Blanks!$O$8,Blanks!$O$9)))</f>
        <v>0.19735702235591254</v>
      </c>
      <c r="AP26" s="598">
        <f t="shared" si="27"/>
        <v>3.2197468278251686E-2</v>
      </c>
      <c r="AQ26" s="498">
        <f>AO26/IF(G26="Grey",STDs!$AF$9,IF(G26="Orange",STDs!$AF$8,IF(G26="Green",STDs!$AF$10,STDs!$AF$11)))</f>
        <v>2.495790298799073</v>
      </c>
      <c r="AR26" s="607">
        <f>SQRT(((AP26/IF(G26="Grey",STDs!$AF$9,IF(G26="Orange",STDs!$AF$8,IF(G26="Green",STDs!$AF$10,STDs!$AF$11))))^2)+(((AO26*(IF(G26="Grey",STDs!$AG$9,IF(G26="Orange",STDs!$AG$8,IF(G26="Green",STDs!$AG$10,STDs!$AG$11)))))/(IF(G26="Grey",STDs!$AF$9,IF(G26="Orange",STDs!$AF$8,IF(G26="Green",STDs!$AF$10,STDs!$AF$11))))))^2)</f>
        <v>0.42282540504628718</v>
      </c>
      <c r="AS26" s="594">
        <f t="shared" si="28"/>
        <v>4.1568792451683425</v>
      </c>
      <c r="AT26" s="607">
        <f t="shared" si="29"/>
        <v>0.71519576033708809</v>
      </c>
      <c r="AU26" s="562">
        <f>('Count 1 '!AR26-(AS26*EXP(Reference!$C$3*L26)))/(1-EXP(Reference!$C$3*L26))</f>
        <v>2.3296967144286223</v>
      </c>
      <c r="AV26" s="563">
        <f t="shared" si="30"/>
        <v>37.040939986107311</v>
      </c>
      <c r="AW26" s="564">
        <f>AS26-('Count 1 '!AY26*Q26)</f>
        <v>2.3296967144286231</v>
      </c>
      <c r="AX26" s="604">
        <f t="shared" si="31"/>
        <v>0.40082694607192487</v>
      </c>
    </row>
    <row r="27" spans="1:50" s="24" customFormat="1" x14ac:dyDescent="0.35">
      <c r="A27" s="494">
        <f>Samples!A27</f>
        <v>19</v>
      </c>
      <c r="B27" s="494">
        <f>Samples!B27</f>
        <v>0</v>
      </c>
      <c r="C27" s="495">
        <f>Samples!C27</f>
        <v>44354</v>
      </c>
      <c r="D27" s="496">
        <f>Samples!D27</f>
        <v>0.25</v>
      </c>
      <c r="E27" s="496" t="str">
        <f>Samples!E27</f>
        <v>SW</v>
      </c>
      <c r="F27" s="572">
        <f>Samples!G27</f>
        <v>200.2</v>
      </c>
      <c r="G27" s="581" t="str">
        <f>Samples!X27</f>
        <v>Grey</v>
      </c>
      <c r="H27" s="582">
        <f>Samples!T27</f>
        <v>44365</v>
      </c>
      <c r="I27" s="583">
        <f>Samples!V27</f>
        <v>0.22638888888888892</v>
      </c>
      <c r="J27" s="584">
        <f>Samples!W27</f>
        <v>218.7</v>
      </c>
      <c r="K27" s="585">
        <f t="shared" si="3"/>
        <v>44365.378263888895</v>
      </c>
      <c r="L27" s="586">
        <f>K27-'Count 1 '!K27</f>
        <v>10.531541666670819</v>
      </c>
      <c r="M27" s="586">
        <f>Samples!AA27</f>
        <v>2.9809999999999999</v>
      </c>
      <c r="N27" s="587">
        <f>Samples!Y27</f>
        <v>0.14599999999999999</v>
      </c>
      <c r="O27" s="587">
        <f>Samples!Z27</f>
        <v>0.70399999999999996</v>
      </c>
      <c r="P27" s="497">
        <f t="shared" si="4"/>
        <v>0.50935351576787957</v>
      </c>
      <c r="Q27" s="497">
        <f t="shared" si="5"/>
        <v>0.12153895861957231</v>
      </c>
      <c r="R27" s="594">
        <f t="shared" si="6"/>
        <v>5.6736421200375593E-2</v>
      </c>
      <c r="S27" s="499">
        <f t="shared" si="7"/>
        <v>153.9648</v>
      </c>
      <c r="T27" s="498">
        <f t="shared" si="8"/>
        <v>5.6736421200375593E-2</v>
      </c>
      <c r="U27" s="500">
        <f t="shared" si="9"/>
        <v>0.16118301477379429</v>
      </c>
      <c r="V27" s="601">
        <f t="shared" si="10"/>
        <v>-10.069877682660886</v>
      </c>
      <c r="W27" s="499">
        <f t="shared" si="11"/>
        <v>153.9648</v>
      </c>
      <c r="X27" s="498">
        <f t="shared" si="12"/>
        <v>2.5837592020316481E-2</v>
      </c>
      <c r="Y27" s="500">
        <f t="shared" si="13"/>
        <v>0.35393961671666418</v>
      </c>
      <c r="Z27" s="601">
        <f t="shared" si="14"/>
        <v>8.8322833845283763E-2</v>
      </c>
      <c r="AA27" s="552">
        <f t="shared" si="15"/>
        <v>31.930199999999996</v>
      </c>
      <c r="AB27" s="621">
        <f t="shared" si="16"/>
        <v>4.6400402578957591E-2</v>
      </c>
      <c r="AC27" s="500">
        <f t="shared" si="2"/>
        <v>3.7108382344306677E-3</v>
      </c>
      <c r="AD27" s="501">
        <f t="shared" si="17"/>
        <v>2.1310000000000002</v>
      </c>
      <c r="AE27" s="500">
        <f t="shared" si="18"/>
        <v>8.4294864272155864E-2</v>
      </c>
      <c r="AF27" s="500">
        <f t="shared" si="19"/>
        <v>4.0421502404812691E-4</v>
      </c>
      <c r="AG27" s="500">
        <f t="shared" si="20"/>
        <v>3.6904604209803295E-5</v>
      </c>
      <c r="AH27" s="617">
        <f t="shared" si="21"/>
        <v>2.1774004025789577</v>
      </c>
      <c r="AI27" s="618">
        <f t="shared" si="22"/>
        <v>8.4376504212151926E-2</v>
      </c>
      <c r="AJ27" s="501">
        <f t="shared" si="23"/>
        <v>0.65759959742104235</v>
      </c>
      <c r="AK27" s="500">
        <f t="shared" si="24"/>
        <v>5.6857645141427916E-2</v>
      </c>
      <c r="AL27" s="501">
        <f t="shared" si="25"/>
        <v>0.14559578497595185</v>
      </c>
      <c r="AM27" s="552">
        <f t="shared" si="26"/>
        <v>2.5837618376277134E-2</v>
      </c>
      <c r="AN27" s="618">
        <f>((((IF(G27="Grey",STDs!$AC$9,IF(G27="Orange",STDs!$AC$8,IF(G27="Green",STDs!$AC$10,STDs!$AC$11))))*2)*(N27-AF27))^2*0.01)/((1+(((IF(G27="Grey",STDs!$AC$9,IF(G27="Orange",STDs!$AC$8,IF(G27="Green",STDs!$AC$10,STDs!$AC$11))))*2)*(N27-AF27))*0.01))</f>
        <v>1.8511677476928469E-5</v>
      </c>
      <c r="AO27" s="615">
        <f>AJ27-AN27-IF(G27="Grey",Blanks!$O$7,IF(G27="Orange",Blanks!$O$6,IF(G27="Green",Blanks!$O$8,Blanks!$O$9)))</f>
        <v>0.6268752033906243</v>
      </c>
      <c r="AP27" s="598">
        <f t="shared" si="27"/>
        <v>5.6857645141427916E-2</v>
      </c>
      <c r="AQ27" s="498">
        <f>AO27/IF(G27="Grey",STDs!$AF$9,IF(G27="Orange",STDs!$AF$8,IF(G27="Green",STDs!$AF$10,STDs!$AF$11)))</f>
        <v>8.3171525273746418</v>
      </c>
      <c r="AR27" s="607">
        <f>SQRT(((AP27/IF(G27="Grey",STDs!$AF$9,IF(G27="Orange",STDs!$AF$8,IF(G27="Green",STDs!$AF$10,STDs!$AF$11))))^2)+(((AO27*(IF(G27="Grey",STDs!$AG$9,IF(G27="Orange",STDs!$AG$8,IF(G27="Green",STDs!$AG$10,STDs!$AG$11)))))/(IF(G27="Grey",STDs!$AF$9,IF(G27="Orange",STDs!$AF$8,IF(G27="Green",STDs!$AF$10,STDs!$AF$11))))))^2)</f>
        <v>0.76488199286404213</v>
      </c>
      <c r="AS27" s="594">
        <f t="shared" si="28"/>
        <v>4.1544218418454761</v>
      </c>
      <c r="AT27" s="607">
        <f t="shared" si="29"/>
        <v>0.40187352547219257</v>
      </c>
      <c r="AU27" s="562">
        <f>('Count 1 '!AR27-(AS27*EXP(Reference!$C$3*L27)))/(1-EXP(Reference!$C$3*L27))</f>
        <v>1.9673539368192567</v>
      </c>
      <c r="AV27" s="563">
        <f t="shared" si="30"/>
        <v>34.181812062823276</v>
      </c>
      <c r="AW27" s="564">
        <f>AS27-('Count 1 '!AY27*Q27)</f>
        <v>1.9673539368192583</v>
      </c>
      <c r="AX27" s="604">
        <f t="shared" si="31"/>
        <v>0.19030986561777277</v>
      </c>
    </row>
    <row r="28" spans="1:50" s="24" customFormat="1" x14ac:dyDescent="0.35">
      <c r="A28" s="494">
        <f>Samples!A28</f>
        <v>20</v>
      </c>
      <c r="B28" s="494">
        <f>Samples!B28</f>
        <v>0</v>
      </c>
      <c r="C28" s="495">
        <f>Samples!C28</f>
        <v>44354</v>
      </c>
      <c r="D28" s="496">
        <f>Samples!D28</f>
        <v>0.45833333333333331</v>
      </c>
      <c r="E28" s="496" t="str">
        <f>Samples!E28</f>
        <v>SW</v>
      </c>
      <c r="F28" s="572">
        <f>Samples!G28</f>
        <v>200.1</v>
      </c>
      <c r="G28" s="581" t="str">
        <f>Samples!X28</f>
        <v>Green</v>
      </c>
      <c r="H28" s="582">
        <f>Samples!T28</f>
        <v>44365</v>
      </c>
      <c r="I28" s="583">
        <f>Samples!V28</f>
        <v>0.22641203703703705</v>
      </c>
      <c r="J28" s="584">
        <f>Samples!W28</f>
        <v>218.73</v>
      </c>
      <c r="K28" s="585">
        <f t="shared" si="3"/>
        <v>44365.378307870371</v>
      </c>
      <c r="L28" s="586">
        <f>K28-'Count 1 '!K28</f>
        <v>9.6740810185146984</v>
      </c>
      <c r="M28" s="586">
        <f>Samples!AA28</f>
        <v>3.3239999999999998</v>
      </c>
      <c r="N28" s="587">
        <f>Samples!Y28</f>
        <v>0.192</v>
      </c>
      <c r="O28" s="587">
        <f>Samples!Z28</f>
        <v>0.77300000000000002</v>
      </c>
      <c r="P28" s="497">
        <f t="shared" si="4"/>
        <v>0.51582581244676784</v>
      </c>
      <c r="Q28" s="497">
        <f t="shared" si="5"/>
        <v>0.1264290938544102</v>
      </c>
      <c r="R28" s="594">
        <f t="shared" si="6"/>
        <v>5.9447770334175976E-2</v>
      </c>
      <c r="S28" s="499">
        <f t="shared" si="7"/>
        <v>169.07829000000001</v>
      </c>
      <c r="T28" s="498">
        <f t="shared" si="8"/>
        <v>5.9447770334175976E-2</v>
      </c>
      <c r="U28" s="500">
        <f t="shared" si="9"/>
        <v>0.15381053126565583</v>
      </c>
      <c r="V28" s="601">
        <f t="shared" si="10"/>
        <v>-12.392124589750747</v>
      </c>
      <c r="W28" s="499">
        <f t="shared" si="11"/>
        <v>169.07829000000001</v>
      </c>
      <c r="X28" s="498">
        <f t="shared" si="12"/>
        <v>2.9627597628143879E-2</v>
      </c>
      <c r="Y28" s="500">
        <f t="shared" si="13"/>
        <v>0.30862080862649877</v>
      </c>
      <c r="Z28" s="601">
        <f t="shared" si="14"/>
        <v>4.6292654533271027E-2</v>
      </c>
      <c r="AA28" s="552">
        <f t="shared" si="15"/>
        <v>41.996159999999996</v>
      </c>
      <c r="AB28" s="621">
        <f t="shared" si="16"/>
        <v>5.699328151084071E-2</v>
      </c>
      <c r="AC28" s="500">
        <f t="shared" si="2"/>
        <v>4.3592447762562294E-3</v>
      </c>
      <c r="AD28" s="501">
        <f t="shared" si="17"/>
        <v>2.3589999999999995</v>
      </c>
      <c r="AE28" s="500">
        <f t="shared" si="18"/>
        <v>8.9139605881028344E-2</v>
      </c>
      <c r="AF28" s="500">
        <f t="shared" si="19"/>
        <v>4.9293437933066637E-4</v>
      </c>
      <c r="AG28" s="500">
        <f t="shared" si="20"/>
        <v>4.7834079387609059E-5</v>
      </c>
      <c r="AH28" s="617">
        <f t="shared" si="21"/>
        <v>2.4159932815108403</v>
      </c>
      <c r="AI28" s="618">
        <f t="shared" si="22"/>
        <v>8.9246133538906772E-2</v>
      </c>
      <c r="AJ28" s="501">
        <f t="shared" si="23"/>
        <v>0.71600671848915931</v>
      </c>
      <c r="AK28" s="500">
        <f t="shared" si="24"/>
        <v>5.9607385555183093E-2</v>
      </c>
      <c r="AL28" s="501">
        <f t="shared" si="25"/>
        <v>0.19150706562066933</v>
      </c>
      <c r="AM28" s="552">
        <f t="shared" si="26"/>
        <v>2.962763624244006E-2</v>
      </c>
      <c r="AN28" s="618">
        <f>((((IF(G28="Grey",STDs!$AC$9,IF(G28="Orange",STDs!$AC$8,IF(G28="Green",STDs!$AC$10,STDs!$AC$11))))*2)*(N28-AF28))^2*0.01)/((1+(((IF(G28="Grey",STDs!$AC$9,IF(G28="Orange",STDs!$AC$8,IF(G28="Green",STDs!$AC$10,STDs!$AC$11))))*2)*(N28-AF28))*0.01))</f>
        <v>4.2542278361927198E-5</v>
      </c>
      <c r="AO28" s="615">
        <f>AJ28-AN28-IF(G28="Grey",Blanks!$O$7,IF(G28="Orange",Blanks!$O$6,IF(G28="Green",Blanks!$O$8,Blanks!$O$9)))</f>
        <v>0.6876914489380701</v>
      </c>
      <c r="AP28" s="598">
        <f t="shared" si="27"/>
        <v>5.9607385555183093E-2</v>
      </c>
      <c r="AQ28" s="498">
        <f>AO28/IF(G28="Grey",STDs!$AF$9,IF(G28="Orange",STDs!$AF$8,IF(G28="Green",STDs!$AF$10,STDs!$AF$11)))</f>
        <v>8.6965927350255985</v>
      </c>
      <c r="AR28" s="607">
        <f>SQRT(((AP28/IF(G28="Grey",STDs!$AF$9,IF(G28="Orange",STDs!$AF$8,IF(G28="Green",STDs!$AF$10,STDs!$AF$11))))^2)+(((AO28*(IF(G28="Grey",STDs!$AG$9,IF(G28="Orange",STDs!$AG$8,IF(G28="Green",STDs!$AG$10,STDs!$AG$11)))))/(IF(G28="Grey",STDs!$AF$9,IF(G28="Orange",STDs!$AF$8,IF(G28="Green",STDs!$AF$10,STDs!$AF$11))))))^2)</f>
        <v>0.85203791468718459</v>
      </c>
      <c r="AS28" s="594">
        <f t="shared" si="28"/>
        <v>4.3461233058598694</v>
      </c>
      <c r="AT28" s="607">
        <f t="shared" si="29"/>
        <v>0.44532090104024363</v>
      </c>
      <c r="AU28" s="562">
        <f>('Count 1 '!AR28-(AS28*EXP(Reference!$C$3*L28)))/(1-EXP(Reference!$C$3*L28))</f>
        <v>1.2561628197618107</v>
      </c>
      <c r="AV28" s="563">
        <f t="shared" si="30"/>
        <v>34.375974495749062</v>
      </c>
      <c r="AW28" s="564">
        <f>AS28-('Count 1 '!AY28*Q28)</f>
        <v>1.2561628197618107</v>
      </c>
      <c r="AX28" s="604">
        <f t="shared" si="31"/>
        <v>0.12871138699524487</v>
      </c>
    </row>
    <row r="29" spans="1:50" s="24" customFormat="1" x14ac:dyDescent="0.35">
      <c r="A29" s="494">
        <f>Samples!A29</f>
        <v>21</v>
      </c>
      <c r="B29" s="494">
        <f>Samples!B29</f>
        <v>0</v>
      </c>
      <c r="C29" s="495">
        <f>Samples!C29</f>
        <v>44354</v>
      </c>
      <c r="D29" s="496">
        <f>Samples!D29</f>
        <v>0.65277777777777779</v>
      </c>
      <c r="E29" s="496" t="str">
        <f>Samples!E29</f>
        <v>SW</v>
      </c>
      <c r="F29" s="572">
        <f>Samples!G29</f>
        <v>201.1</v>
      </c>
      <c r="G29" s="581" t="str">
        <f>Samples!X29</f>
        <v>Grey</v>
      </c>
      <c r="H29" s="582">
        <f>Samples!T29</f>
        <v>44366</v>
      </c>
      <c r="I29" s="583">
        <f>Samples!V29</f>
        <v>0.3001388888888889</v>
      </c>
      <c r="J29" s="584">
        <f>Samples!W29</f>
        <v>292.68</v>
      </c>
      <c r="K29" s="585">
        <f t="shared" si="3"/>
        <v>44366.503388888887</v>
      </c>
      <c r="L29" s="586">
        <f>K29-'Count 1 '!K29</f>
        <v>11.09629398148536</v>
      </c>
      <c r="M29" s="586">
        <f>Samples!AA29</f>
        <v>3.8919999999999999</v>
      </c>
      <c r="N29" s="587">
        <f>Samples!Y29</f>
        <v>0.17799999999999999</v>
      </c>
      <c r="O29" s="587">
        <f>Samples!Z29</f>
        <v>0.98399999999999999</v>
      </c>
      <c r="P29" s="497">
        <f t="shared" si="4"/>
        <v>0.48753031511305106</v>
      </c>
      <c r="Q29" s="497">
        <f t="shared" si="5"/>
        <v>0.10599940793798887</v>
      </c>
      <c r="R29" s="594">
        <f t="shared" si="6"/>
        <v>5.7983045973251553E-2</v>
      </c>
      <c r="S29" s="499">
        <f t="shared" si="7"/>
        <v>287.99712</v>
      </c>
      <c r="T29" s="498">
        <f t="shared" si="8"/>
        <v>5.7983045973251553E-2</v>
      </c>
      <c r="U29" s="500">
        <f t="shared" si="9"/>
        <v>0.11785171945782837</v>
      </c>
      <c r="V29" s="601">
        <f t="shared" si="10"/>
        <v>-22.368774856408439</v>
      </c>
      <c r="W29" s="499">
        <f t="shared" si="11"/>
        <v>287.99712</v>
      </c>
      <c r="X29" s="498">
        <f t="shared" si="12"/>
        <v>2.4661158699342382E-2</v>
      </c>
      <c r="Y29" s="500">
        <f t="shared" si="13"/>
        <v>0.27709167077912794</v>
      </c>
      <c r="Z29" s="601">
        <f t="shared" si="14"/>
        <v>-5.3391499279678456E-2</v>
      </c>
      <c r="AA29" s="552">
        <f t="shared" si="15"/>
        <v>52.09704</v>
      </c>
      <c r="AB29" s="621">
        <f t="shared" si="16"/>
        <v>7.6620746376066612E-2</v>
      </c>
      <c r="AC29" s="500">
        <f t="shared" si="2"/>
        <v>4.8739850810276368E-3</v>
      </c>
      <c r="AD29" s="501">
        <f t="shared" si="17"/>
        <v>2.73</v>
      </c>
      <c r="AE29" s="500">
        <f t="shared" si="18"/>
        <v>8.5628499864627755E-2</v>
      </c>
      <c r="AF29" s="500">
        <f t="shared" si="19"/>
        <v>6.5492080716652971E-4</v>
      </c>
      <c r="AG29" s="500">
        <f t="shared" si="20"/>
        <v>6.1565606657152245E-5</v>
      </c>
      <c r="AH29" s="617">
        <f t="shared" si="21"/>
        <v>2.8066207463760664</v>
      </c>
      <c r="AI29" s="618">
        <f t="shared" si="22"/>
        <v>8.5767101616159538E-2</v>
      </c>
      <c r="AJ29" s="501">
        <f t="shared" si="23"/>
        <v>0.90737925362393335</v>
      </c>
      <c r="AK29" s="500">
        <f t="shared" si="24"/>
        <v>5.8187536044296315E-2</v>
      </c>
      <c r="AL29" s="501">
        <f t="shared" si="25"/>
        <v>0.17734507919283346</v>
      </c>
      <c r="AM29" s="552">
        <f t="shared" si="26"/>
        <v>2.4661235547272838E-2</v>
      </c>
      <c r="AN29" s="618">
        <f>((((IF(G29="Grey",STDs!$AC$9,IF(G29="Orange",STDs!$AC$8,IF(G29="Green",STDs!$AC$10,STDs!$AC$11))))*2)*(N29-AF29))^2*0.01)/((1+(((IF(G29="Grey",STDs!$AC$9,IF(G29="Orange",STDs!$AC$8,IF(G29="Green",STDs!$AC$10,STDs!$AC$11))))*2)*(N29-AF29))*0.01))</f>
        <v>2.7462857264596216E-5</v>
      </c>
      <c r="AO29" s="615">
        <f>AJ29-AN29-IF(G29="Grey",Blanks!$O$7,IF(G29="Orange",Blanks!$O$6,IF(G29="Green",Blanks!$O$8,Blanks!$O$9)))</f>
        <v>0.87664590841372758</v>
      </c>
      <c r="AP29" s="598">
        <f t="shared" si="27"/>
        <v>5.8187536044296315E-2</v>
      </c>
      <c r="AQ29" s="498">
        <f>AO29/IF(G29="Grey",STDs!$AF$9,IF(G29="Orange",STDs!$AF$8,IF(G29="Green",STDs!$AF$10,STDs!$AF$11)))</f>
        <v>11.631019528830388</v>
      </c>
      <c r="AR29" s="607">
        <f>SQRT(((AP29/IF(G29="Grey",STDs!$AF$9,IF(G29="Orange",STDs!$AF$8,IF(G29="Green",STDs!$AF$10,STDs!$AF$11))))^2)+(((AO29*(IF(G29="Grey",STDs!$AG$9,IF(G29="Orange",STDs!$AG$8,IF(G29="Green",STDs!$AG$10,STDs!$AG$11)))))/(IF(G29="Grey",STDs!$AF$9,IF(G29="Orange",STDs!$AF$8,IF(G29="Green",STDs!$AF$10,STDs!$AF$11))))))^2)</f>
        <v>0.79198693124406006</v>
      </c>
      <c r="AS29" s="594">
        <f t="shared" si="28"/>
        <v>5.7836994176182932</v>
      </c>
      <c r="AT29" s="607">
        <f t="shared" si="29"/>
        <v>0.43035577576918965</v>
      </c>
      <c r="AU29" s="562">
        <f>('Count 1 '!AR29-(AS29*EXP(Reference!$C$3*L29)))/(1-EXP(Reference!$C$3*L29))</f>
        <v>2.9069887325446366</v>
      </c>
      <c r="AV29" s="563">
        <f t="shared" si="30"/>
        <v>54.563506816961073</v>
      </c>
      <c r="AW29" s="564">
        <f>AS29-('Count 1 '!AY29*Q29)</f>
        <v>2.9069887325446375</v>
      </c>
      <c r="AX29" s="604">
        <f t="shared" si="31"/>
        <v>0.21630435830320421</v>
      </c>
    </row>
    <row r="30" spans="1:50" s="24" customFormat="1" x14ac:dyDescent="0.35">
      <c r="A30" s="494">
        <f>Samples!A30</f>
        <v>22</v>
      </c>
      <c r="B30" s="494">
        <f>Samples!B30</f>
        <v>0</v>
      </c>
      <c r="C30" s="495">
        <f>Samples!C30</f>
        <v>44355</v>
      </c>
      <c r="D30" s="496">
        <f>Samples!D30</f>
        <v>5.9722222222222225E-2</v>
      </c>
      <c r="E30" s="496" t="str">
        <f>Samples!E30</f>
        <v>SW</v>
      </c>
      <c r="F30" s="572">
        <f>Samples!G30</f>
        <v>200.2</v>
      </c>
      <c r="G30" s="581" t="str">
        <f>Samples!X30</f>
        <v>Green</v>
      </c>
      <c r="H30" s="582">
        <f>Samples!T30</f>
        <v>44365</v>
      </c>
      <c r="I30" s="583">
        <f>Samples!V30</f>
        <v>0.51435185185185184</v>
      </c>
      <c r="J30" s="584">
        <f>Samples!W30</f>
        <v>249.93</v>
      </c>
      <c r="K30" s="585">
        <f t="shared" si="3"/>
        <v>44365.687914351853</v>
      </c>
      <c r="L30" s="586">
        <f>K30-'Count 1 '!K30</f>
        <v>10.130298611111357</v>
      </c>
      <c r="M30" s="586">
        <f>Samples!AA30</f>
        <v>2.9329999999999998</v>
      </c>
      <c r="N30" s="587">
        <f>Samples!Y30</f>
        <v>9.1999999999999998E-2</v>
      </c>
      <c r="O30" s="587">
        <f>Samples!Z30</f>
        <v>0.59199999999999997</v>
      </c>
      <c r="P30" s="497">
        <f t="shared" si="4"/>
        <v>0.52503107281568029</v>
      </c>
      <c r="Q30" s="497">
        <f t="shared" si="5"/>
        <v>0.1336120813567582</v>
      </c>
      <c r="R30" s="594">
        <f t="shared" si="6"/>
        <v>4.8668914367419339E-2</v>
      </c>
      <c r="S30" s="499">
        <f t="shared" si="7"/>
        <v>147.95856000000001</v>
      </c>
      <c r="T30" s="498">
        <f t="shared" si="8"/>
        <v>4.8668914367419339E-2</v>
      </c>
      <c r="U30" s="500">
        <f t="shared" si="9"/>
        <v>0.16442200799803833</v>
      </c>
      <c r="V30" s="601">
        <f t="shared" si="10"/>
        <v>-12.853773499271707</v>
      </c>
      <c r="W30" s="499">
        <f t="shared" si="11"/>
        <v>147.95856000000001</v>
      </c>
      <c r="X30" s="498">
        <f t="shared" si="12"/>
        <v>1.9186012323025348E-2</v>
      </c>
      <c r="Y30" s="500">
        <f t="shared" si="13"/>
        <v>0.41708722441359458</v>
      </c>
      <c r="Z30" s="601">
        <f t="shared" si="14"/>
        <v>9.5792998253320938E-2</v>
      </c>
      <c r="AA30" s="552">
        <f t="shared" si="15"/>
        <v>22.993559999999999</v>
      </c>
      <c r="AB30" s="621">
        <f t="shared" si="16"/>
        <v>5.1743726406890962E-2</v>
      </c>
      <c r="AC30" s="500">
        <f t="shared" si="2"/>
        <v>3.3256907956981233E-3</v>
      </c>
      <c r="AD30" s="501">
        <f t="shared" si="17"/>
        <v>2.2489999999999997</v>
      </c>
      <c r="AE30" s="500">
        <f t="shared" si="18"/>
        <v>7.1452288418676096E-2</v>
      </c>
      <c r="AF30" s="500">
        <f t="shared" si="19"/>
        <v>4.4908973642890945E-4</v>
      </c>
      <c r="AG30" s="500">
        <f t="shared" si="20"/>
        <v>3.4846333674068341E-5</v>
      </c>
      <c r="AH30" s="617">
        <f t="shared" si="21"/>
        <v>2.3007437264068908</v>
      </c>
      <c r="AI30" s="618">
        <f t="shared" si="22"/>
        <v>7.1529642383659831E-2</v>
      </c>
      <c r="AJ30" s="501">
        <f t="shared" si="23"/>
        <v>0.54025627359310902</v>
      </c>
      <c r="AK30" s="500">
        <f t="shared" si="24"/>
        <v>4.878240917556028E-2</v>
      </c>
      <c r="AL30" s="501">
        <f t="shared" si="25"/>
        <v>9.1550910263571095E-2</v>
      </c>
      <c r="AM30" s="552">
        <f t="shared" si="26"/>
        <v>1.9186043967588811E-2</v>
      </c>
      <c r="AN30" s="618">
        <f>((((IF(G30="Grey",STDs!$AC$9,IF(G30="Orange",STDs!$AC$8,IF(G30="Green",STDs!$AC$10,STDs!$AC$11))))*2)*(N30-AF30))^2*0.01)/((1+(((IF(G30="Grey",STDs!$AC$9,IF(G30="Orange",STDs!$AC$8,IF(G30="Green",STDs!$AC$10,STDs!$AC$11))))*2)*(N30-AF30))*0.01))</f>
        <v>9.7257768548634571E-6</v>
      </c>
      <c r="AO30" s="615">
        <f>AJ30-AN30-IF(G30="Grey",Blanks!$O$7,IF(G30="Orange",Blanks!$O$6,IF(G30="Green",Blanks!$O$8,Blanks!$O$9)))</f>
        <v>0.51197382054352691</v>
      </c>
      <c r="AP30" s="598">
        <f t="shared" si="27"/>
        <v>4.878240917556028E-2</v>
      </c>
      <c r="AQ30" s="498">
        <f>AO30/IF(G30="Grey",STDs!$AF$9,IF(G30="Orange",STDs!$AF$8,IF(G30="Green",STDs!$AF$10,STDs!$AF$11)))</f>
        <v>6.4744556808690197</v>
      </c>
      <c r="AR30" s="607">
        <f>SQRT(((AP30/IF(G30="Grey",STDs!$AF$9,IF(G30="Orange",STDs!$AF$8,IF(G30="Green",STDs!$AF$10,STDs!$AF$11))))^2)+(((AO30*(IF(G30="Grey",STDs!$AG$9,IF(G30="Orange",STDs!$AG$8,IF(G30="Green",STDs!$AG$10,STDs!$AG$11)))))/(IF(G30="Grey",STDs!$AF$9,IF(G30="Orange",STDs!$AF$8,IF(G30="Green",STDs!$AF$10,STDs!$AF$11))))))^2)</f>
        <v>0.68411194412269793</v>
      </c>
      <c r="AS30" s="594">
        <f t="shared" si="28"/>
        <v>3.2339938465879223</v>
      </c>
      <c r="AT30" s="607">
        <f t="shared" si="29"/>
        <v>0.35522032397657038</v>
      </c>
      <c r="AU30" s="562">
        <f>('Count 1 '!AR30-(AS30*EXP(Reference!$C$3*L30)))/(1-EXP(Reference!$C$3*L30))</f>
        <v>0.41209084559447184</v>
      </c>
      <c r="AV30" s="563">
        <f t="shared" si="30"/>
        <v>24.204351984853982</v>
      </c>
      <c r="AW30" s="564">
        <f>AS30-('Count 1 '!AY30*Q30)</f>
        <v>0.41209084559447273</v>
      </c>
      <c r="AX30" s="604">
        <f t="shared" si="31"/>
        <v>4.5263859680590074E-2</v>
      </c>
    </row>
    <row r="31" spans="1:50" s="24" customFormat="1" x14ac:dyDescent="0.35">
      <c r="A31" s="494">
        <f>Samples!A31</f>
        <v>23</v>
      </c>
      <c r="B31" s="494">
        <f>Samples!B31</f>
        <v>0</v>
      </c>
      <c r="C31" s="495">
        <f>Samples!C31</f>
        <v>44355</v>
      </c>
      <c r="D31" s="496">
        <f>Samples!D31</f>
        <v>0.20138888888888887</v>
      </c>
      <c r="E31" s="496" t="str">
        <f>Samples!E31</f>
        <v>SW</v>
      </c>
      <c r="F31" s="572">
        <f>Samples!G31</f>
        <v>190.8</v>
      </c>
      <c r="G31" s="581" t="str">
        <f>Samples!X31</f>
        <v>Grey</v>
      </c>
      <c r="H31" s="582">
        <f>Samples!T31</f>
        <v>44366</v>
      </c>
      <c r="I31" s="583">
        <f>Samples!V31</f>
        <v>1.6423611111111111E-2</v>
      </c>
      <c r="J31" s="584">
        <f>Samples!W31</f>
        <v>250.37</v>
      </c>
      <c r="K31" s="585">
        <f t="shared" si="3"/>
        <v>44366.190291666666</v>
      </c>
      <c r="L31" s="586">
        <f>K31-'Count 1 '!K31</f>
        <v>10.631831018516095</v>
      </c>
      <c r="M31" s="586">
        <f>Samples!AA31</f>
        <v>3.1909999999999998</v>
      </c>
      <c r="N31" s="587">
        <f>Samples!Y31</f>
        <v>0.14799999999999999</v>
      </c>
      <c r="O31" s="587">
        <f>Samples!Z31</f>
        <v>0.69899999999999995</v>
      </c>
      <c r="P31" s="497">
        <f t="shared" si="4"/>
        <v>0.51367491107830177</v>
      </c>
      <c r="Q31" s="497">
        <f t="shared" si="5"/>
        <v>0.12478942158498926</v>
      </c>
      <c r="R31" s="594">
        <f t="shared" si="6"/>
        <v>5.2838130505419509E-2</v>
      </c>
      <c r="S31" s="499">
        <f t="shared" si="7"/>
        <v>175.00862999999998</v>
      </c>
      <c r="T31" s="498">
        <f t="shared" si="8"/>
        <v>5.2838130505419509E-2</v>
      </c>
      <c r="U31" s="500">
        <f t="shared" si="9"/>
        <v>0.15118206153195857</v>
      </c>
      <c r="V31" s="601">
        <f t="shared" si="10"/>
        <v>-14.01386808185587</v>
      </c>
      <c r="W31" s="499">
        <f t="shared" si="11"/>
        <v>175.00862999999998</v>
      </c>
      <c r="X31" s="498">
        <f t="shared" si="12"/>
        <v>2.4313065105010832E-2</v>
      </c>
      <c r="Y31" s="500">
        <f t="shared" si="13"/>
        <v>0.3285549338514977</v>
      </c>
      <c r="Z31" s="601">
        <f t="shared" si="14"/>
        <v>4.2116465273744602E-2</v>
      </c>
      <c r="AA31" s="552">
        <f t="shared" si="15"/>
        <v>37.054760000000002</v>
      </c>
      <c r="AB31" s="621">
        <f t="shared" si="16"/>
        <v>5.6262144671090357E-2</v>
      </c>
      <c r="AC31" s="500">
        <f t="shared" si="2"/>
        <v>3.817537805027534E-3</v>
      </c>
      <c r="AD31" s="501">
        <f t="shared" si="17"/>
        <v>2.3439999999999999</v>
      </c>
      <c r="AE31" s="500">
        <f t="shared" si="18"/>
        <v>7.8580285093756072E-2</v>
      </c>
      <c r="AF31" s="500">
        <f t="shared" si="19"/>
        <v>4.86841818288082E-4</v>
      </c>
      <c r="AG31" s="500">
        <f t="shared" si="20"/>
        <v>4.1632533370617452E-5</v>
      </c>
      <c r="AH31" s="617">
        <f t="shared" si="21"/>
        <v>2.4002621446710903</v>
      </c>
      <c r="AI31" s="618">
        <f t="shared" si="22"/>
        <v>7.8672961049580423E-2</v>
      </c>
      <c r="AJ31" s="501">
        <f t="shared" si="23"/>
        <v>0.64273785532890959</v>
      </c>
      <c r="AK31" s="500">
        <f t="shared" si="24"/>
        <v>5.2975858937827129E-2</v>
      </c>
      <c r="AL31" s="501">
        <f t="shared" si="25"/>
        <v>0.1475131581817119</v>
      </c>
      <c r="AM31" s="552">
        <f t="shared" si="26"/>
        <v>2.4313100749767197E-2</v>
      </c>
      <c r="AN31" s="618">
        <f>((((IF(G31="Grey",STDs!$AC$9,IF(G31="Orange",STDs!$AC$8,IF(G31="Green",STDs!$AC$10,STDs!$AC$11))))*2)*(N31-AF31))^2*0.01)/((1+(((IF(G31="Grey",STDs!$AC$9,IF(G31="Orange",STDs!$AC$8,IF(G31="Green",STDs!$AC$10,STDs!$AC$11))))*2)*(N31-AF31))*0.01))</f>
        <v>1.9002346484432466E-5</v>
      </c>
      <c r="AO31" s="615">
        <f>AJ31-AN31-IF(G31="Grey",Blanks!$O$7,IF(G31="Orange",Blanks!$O$6,IF(G31="Green",Blanks!$O$8,Blanks!$O$9)))</f>
        <v>0.61201297062948401</v>
      </c>
      <c r="AP31" s="598">
        <f t="shared" si="27"/>
        <v>5.2975858937827129E-2</v>
      </c>
      <c r="AQ31" s="498">
        <f>AO31/IF(G31="Grey",STDs!$AF$9,IF(G31="Orange",STDs!$AF$8,IF(G31="Green",STDs!$AF$10,STDs!$AF$11)))</f>
        <v>8.1199658208289662</v>
      </c>
      <c r="AR31" s="607">
        <f>SQRT(((AP31/IF(G31="Grey",STDs!$AF$9,IF(G31="Orange",STDs!$AF$8,IF(G31="Green",STDs!$AF$10,STDs!$AF$11))))^2)+(((AO31*(IF(G31="Grey",STDs!$AG$9,IF(G31="Orange",STDs!$AG$8,IF(G31="Green",STDs!$AG$10,STDs!$AG$11)))))/(IF(G31="Grey",STDs!$AF$9,IF(G31="Orange",STDs!$AF$8,IF(G31="Green",STDs!$AF$10,STDs!$AF$11))))))^2)</f>
        <v>0.71361434375539534</v>
      </c>
      <c r="AS31" s="594">
        <f t="shared" si="28"/>
        <v>4.2557472855497727</v>
      </c>
      <c r="AT31" s="607">
        <f t="shared" si="29"/>
        <v>0.39520248746857112</v>
      </c>
      <c r="AU31" s="562">
        <f>('Count 1 '!AR31-(AS31*EXP(Reference!$C$3*L31)))/(1-EXP(Reference!$C$3*L31))</f>
        <v>1.1423199118786174</v>
      </c>
      <c r="AV31" s="563">
        <f t="shared" si="30"/>
        <v>34.103429854038929</v>
      </c>
      <c r="AW31" s="564">
        <f>AS31-('Count 1 '!AY31*Q31)</f>
        <v>1.1423199118786171</v>
      </c>
      <c r="AX31" s="604">
        <f t="shared" si="31"/>
        <v>0.10607952972024015</v>
      </c>
    </row>
    <row r="32" spans="1:50" s="24" customFormat="1" x14ac:dyDescent="0.35">
      <c r="A32" s="494">
        <f>Samples!A32</f>
        <v>24</v>
      </c>
      <c r="B32" s="494">
        <f>Samples!B32</f>
        <v>0</v>
      </c>
      <c r="C32" s="495">
        <f>Samples!C32</f>
        <v>44355</v>
      </c>
      <c r="D32" s="496">
        <f>Samples!D32</f>
        <v>0.37152777777777773</v>
      </c>
      <c r="E32" s="496" t="str">
        <f>Samples!E32</f>
        <v>SW</v>
      </c>
      <c r="F32" s="572">
        <f>Samples!G32</f>
        <v>200.7</v>
      </c>
      <c r="G32" s="581" t="str">
        <f>Samples!X32</f>
        <v>Orange</v>
      </c>
      <c r="H32" s="582">
        <f>Samples!T32</f>
        <v>44366</v>
      </c>
      <c r="I32" s="583">
        <f>Samples!V32</f>
        <v>1.6423611111111111E-2</v>
      </c>
      <c r="J32" s="584">
        <f>Samples!W32</f>
        <v>250</v>
      </c>
      <c r="K32" s="585">
        <f t="shared" si="3"/>
        <v>44366.190034722218</v>
      </c>
      <c r="L32" s="586">
        <f>K32-'Count 1 '!K32</f>
        <v>10.478250000000116</v>
      </c>
      <c r="M32" s="586">
        <f>Samples!AA32</f>
        <v>3.77</v>
      </c>
      <c r="N32" s="587">
        <f>Samples!Y32</f>
        <v>0.18</v>
      </c>
      <c r="O32" s="587">
        <f>Samples!Z32</f>
        <v>0.76300000000000001</v>
      </c>
      <c r="P32" s="497">
        <f t="shared" si="4"/>
        <v>0.51900850058314807</v>
      </c>
      <c r="Q32" s="497">
        <f t="shared" si="5"/>
        <v>0.12888209767668737</v>
      </c>
      <c r="R32" s="594">
        <f t="shared" si="6"/>
        <v>5.5244909267732532E-2</v>
      </c>
      <c r="S32" s="499">
        <f t="shared" si="7"/>
        <v>190.75</v>
      </c>
      <c r="T32" s="498">
        <f t="shared" si="8"/>
        <v>5.5244909267732532E-2</v>
      </c>
      <c r="U32" s="500">
        <f t="shared" si="9"/>
        <v>0.14480972285119931</v>
      </c>
      <c r="V32" s="601">
        <f t="shared" si="10"/>
        <v>-20.492693018491895</v>
      </c>
      <c r="W32" s="499">
        <f t="shared" si="11"/>
        <v>190.75</v>
      </c>
      <c r="X32" s="498">
        <f t="shared" si="12"/>
        <v>2.6832815729997479E-2</v>
      </c>
      <c r="Y32" s="500">
        <f t="shared" si="13"/>
        <v>0.29814239699997197</v>
      </c>
      <c r="Z32" s="601">
        <f t="shared" si="14"/>
        <v>-2.6422148678460572E-2</v>
      </c>
      <c r="AA32" s="552">
        <f t="shared" si="15"/>
        <v>45</v>
      </c>
      <c r="AB32" s="621">
        <f t="shared" si="16"/>
        <v>8.2244337418830332E-2</v>
      </c>
      <c r="AC32" s="500">
        <f t="shared" si="2"/>
        <v>4.8764249006432647E-3</v>
      </c>
      <c r="AD32" s="501">
        <f t="shared" si="17"/>
        <v>2.827</v>
      </c>
      <c r="AE32" s="500">
        <f t="shared" si="18"/>
        <v>8.2607505712253532E-2</v>
      </c>
      <c r="AF32" s="500">
        <f t="shared" si="19"/>
        <v>7.0081146992753479E-4</v>
      </c>
      <c r="AG32" s="500">
        <f t="shared" si="20"/>
        <v>6.369695016971184E-5</v>
      </c>
      <c r="AH32" s="617">
        <f t="shared" si="21"/>
        <v>2.9092443374188304</v>
      </c>
      <c r="AI32" s="618">
        <f t="shared" si="22"/>
        <v>8.2751311287565799E-2</v>
      </c>
      <c r="AJ32" s="501">
        <f t="shared" si="23"/>
        <v>0.68075566258116971</v>
      </c>
      <c r="AK32" s="500">
        <f t="shared" si="24"/>
        <v>5.5459710780093451E-2</v>
      </c>
      <c r="AL32" s="501">
        <f t="shared" si="25"/>
        <v>0.17929918853007246</v>
      </c>
      <c r="AM32" s="552">
        <f t="shared" si="26"/>
        <v>2.6832891333239902E-2</v>
      </c>
      <c r="AN32" s="618">
        <f>((((IF(G32="Grey",STDs!$AC$9,IF(G32="Orange",STDs!$AC$8,IF(G32="Green",STDs!$AC$10,STDs!$AC$11))))*2)*(N32-AF32))^2*0.01)/((1+(((IF(G32="Grey",STDs!$AC$9,IF(G32="Orange",STDs!$AC$8,IF(G32="Green",STDs!$AC$10,STDs!$AC$11))))*2)*(N32-AF32))*0.01))</f>
        <v>3.19908602088012E-5</v>
      </c>
      <c r="AO32" s="615">
        <f>AJ32-AN32-IF(G32="Grey",Blanks!$O$7,IF(G32="Orange",Blanks!$O$6,IF(G32="Green",Blanks!$O$8,Blanks!$O$9)))</f>
        <v>0.6718347828320721</v>
      </c>
      <c r="AP32" s="598">
        <f t="shared" si="27"/>
        <v>5.5459710780093451E-2</v>
      </c>
      <c r="AQ32" s="498">
        <f>AO32/IF(G32="Grey",STDs!$AF$9,IF(G32="Orange",STDs!$AF$8,IF(G32="Green",STDs!$AF$10,STDs!$AF$11)))</f>
        <v>8.7019779962649846</v>
      </c>
      <c r="AR32" s="607">
        <f>SQRT(((AP32/IF(G32="Grey",STDs!$AF$9,IF(G32="Orange",STDs!$AF$8,IF(G32="Green",STDs!$AF$10,STDs!$AF$11))))^2)+(((AO32*(IF(G32="Grey",STDs!$AG$9,IF(G32="Orange",STDs!$AG$8,IF(G32="Green",STDs!$AG$10,STDs!$AG$11)))))/(IF(G32="Grey",STDs!$AF$9,IF(G32="Orange",STDs!$AF$8,IF(G32="Green",STDs!$AF$10,STDs!$AF$11))))))^2)</f>
        <v>0.7204860391759802</v>
      </c>
      <c r="AS32" s="594">
        <f t="shared" si="28"/>
        <v>4.3358136503562452</v>
      </c>
      <c r="AT32" s="607">
        <f t="shared" si="29"/>
        <v>0.38182549287902312</v>
      </c>
      <c r="AU32" s="562">
        <f>('Count 1 '!AR32-(AS32*EXP(Reference!$C$3*L32)))/(1-EXP(Reference!$C$3*L32))</f>
        <v>2.088864055141666</v>
      </c>
      <c r="AV32" s="563">
        <f t="shared" si="30"/>
        <v>33.641706090422531</v>
      </c>
      <c r="AW32" s="564">
        <f>AS32-('Count 1 '!AY32*Q32)</f>
        <v>2.0888640551416664</v>
      </c>
      <c r="AX32" s="604">
        <f t="shared" si="31"/>
        <v>0.18395198957552283</v>
      </c>
    </row>
    <row r="33" spans="1:50" s="24" customFormat="1" x14ac:dyDescent="0.35">
      <c r="A33" s="494">
        <f>Samples!A33</f>
        <v>25</v>
      </c>
      <c r="B33" s="494">
        <f>Samples!B33</f>
        <v>0</v>
      </c>
      <c r="C33" s="495">
        <f>Samples!C33</f>
        <v>44355</v>
      </c>
      <c r="D33" s="496">
        <f>Samples!D33</f>
        <v>0.52777777777777779</v>
      </c>
      <c r="E33" s="496" t="str">
        <f>Samples!E33</f>
        <v>SW</v>
      </c>
      <c r="F33" s="572">
        <f>Samples!G33</f>
        <v>199.9</v>
      </c>
      <c r="G33" s="581" t="str">
        <f>Samples!X33</f>
        <v>Grey</v>
      </c>
      <c r="H33" s="582">
        <f>Samples!T33</f>
        <v>44367</v>
      </c>
      <c r="I33" s="583">
        <f>Samples!V33</f>
        <v>0.33276620370370374</v>
      </c>
      <c r="J33" s="584">
        <f>Samples!W33</f>
        <v>247.97</v>
      </c>
      <c r="K33" s="585">
        <f t="shared" si="3"/>
        <v>44367.504967592591</v>
      </c>
      <c r="L33" s="586">
        <f>K33-'Count 1 '!K33</f>
        <v>10.993395833334944</v>
      </c>
      <c r="M33" s="586">
        <f>Samples!AA33</f>
        <v>3.133</v>
      </c>
      <c r="N33" s="587">
        <f>Samples!Y33</f>
        <v>0.17299999999999999</v>
      </c>
      <c r="O33" s="587">
        <f>Samples!Z33</f>
        <v>0.71799999999999997</v>
      </c>
      <c r="P33" s="497">
        <f t="shared" si="4"/>
        <v>0.48380361582694392</v>
      </c>
      <c r="Q33" s="497">
        <f t="shared" si="5"/>
        <v>0.10348860056668217</v>
      </c>
      <c r="R33" s="594">
        <f t="shared" si="6"/>
        <v>5.3809957757063834E-2</v>
      </c>
      <c r="S33" s="499">
        <f t="shared" si="7"/>
        <v>178.04246000000001</v>
      </c>
      <c r="T33" s="498">
        <f t="shared" si="8"/>
        <v>5.3809957757063834E-2</v>
      </c>
      <c r="U33" s="500">
        <f t="shared" si="9"/>
        <v>0.14988846171884074</v>
      </c>
      <c r="V33" s="601">
        <f t="shared" si="10"/>
        <v>-12.678020049143834</v>
      </c>
      <c r="W33" s="499">
        <f t="shared" si="11"/>
        <v>178.04246000000001</v>
      </c>
      <c r="X33" s="498">
        <f t="shared" si="12"/>
        <v>2.6413349657433107E-2</v>
      </c>
      <c r="Y33" s="500">
        <f t="shared" si="13"/>
        <v>0.30535664343853303</v>
      </c>
      <c r="Z33" s="601">
        <f t="shared" si="14"/>
        <v>4.179605992949792E-2</v>
      </c>
      <c r="AA33" s="552">
        <f t="shared" si="15"/>
        <v>42.898809999999997</v>
      </c>
      <c r="AB33" s="621">
        <f t="shared" si="16"/>
        <v>5.1418441457476628E-2</v>
      </c>
      <c r="AC33" s="500">
        <f t="shared" si="2"/>
        <v>3.7371756006462985E-3</v>
      </c>
      <c r="AD33" s="501">
        <f t="shared" si="17"/>
        <v>2.242</v>
      </c>
      <c r="AE33" s="500">
        <f t="shared" si="18"/>
        <v>8.0552393805273168E-2</v>
      </c>
      <c r="AF33" s="500">
        <f t="shared" si="19"/>
        <v>4.4636515884380936E-4</v>
      </c>
      <c r="AG33" s="500">
        <f t="shared" si="20"/>
        <v>3.9039899124135243E-5</v>
      </c>
      <c r="AH33" s="617">
        <f t="shared" si="21"/>
        <v>2.2934184414574768</v>
      </c>
      <c r="AI33" s="618">
        <f t="shared" si="22"/>
        <v>8.0639039114004066E-2</v>
      </c>
      <c r="AJ33" s="501">
        <f t="shared" si="23"/>
        <v>0.66658155854252332</v>
      </c>
      <c r="AK33" s="500">
        <f t="shared" si="24"/>
        <v>5.3939577633561983E-2</v>
      </c>
      <c r="AL33" s="501">
        <f t="shared" si="25"/>
        <v>0.17255363484115618</v>
      </c>
      <c r="AM33" s="552">
        <f t="shared" si="26"/>
        <v>2.6413378508618416E-2</v>
      </c>
      <c r="AN33" s="618">
        <f>((((IF(G33="Grey",STDs!$AC$9,IF(G33="Orange",STDs!$AC$8,IF(G33="Green",STDs!$AC$10,STDs!$AC$11))))*2)*(N33-AF33))^2*0.01)/((1+(((IF(G33="Grey",STDs!$AC$9,IF(G33="Orange",STDs!$AC$8,IF(G33="Green",STDs!$AC$10,STDs!$AC$11))))*2)*(N33-AF33))*0.01))</f>
        <v>2.5999309039132473E-5</v>
      </c>
      <c r="AO33" s="615">
        <f>AJ33-AN33-IF(G33="Grey",Blanks!$O$7,IF(G33="Orange",Blanks!$O$6,IF(G33="Green",Blanks!$O$8,Blanks!$O$9)))</f>
        <v>0.63584967688054306</v>
      </c>
      <c r="AP33" s="598">
        <f t="shared" si="27"/>
        <v>5.3939577633561983E-2</v>
      </c>
      <c r="AQ33" s="498">
        <f>AO33/IF(G33="Grey",STDs!$AF$9,IF(G33="Orange",STDs!$AF$8,IF(G33="Green",STDs!$AF$10,STDs!$AF$11)))</f>
        <v>8.4362225822512951</v>
      </c>
      <c r="AR33" s="607">
        <f>SQRT(((AP33/IF(G33="Grey",STDs!$AF$9,IF(G33="Orange",STDs!$AF$8,IF(G33="Green",STDs!$AF$10,STDs!$AF$11))))^2)+(((AO33*(IF(G33="Grey",STDs!$AG$9,IF(G33="Orange",STDs!$AG$8,IF(G33="Green",STDs!$AG$10,STDs!$AG$11)))))/(IF(G33="Grey",STDs!$AF$9,IF(G33="Orange",STDs!$AF$8,IF(G33="Green",STDs!$AF$10,STDs!$AF$11))))))^2)</f>
        <v>0.72704344470098825</v>
      </c>
      <c r="AS33" s="594">
        <f t="shared" si="28"/>
        <v>4.2202214018265609</v>
      </c>
      <c r="AT33" s="607">
        <f t="shared" si="29"/>
        <v>0.38510976571989075</v>
      </c>
      <c r="AU33" s="562">
        <f>('Count 1 '!AR33-(AS33*EXP(Reference!$C$3*L33)))/(1-EXP(Reference!$C$3*L33))</f>
        <v>4.1607647313336766</v>
      </c>
      <c r="AV33" s="563">
        <f t="shared" si="30"/>
        <v>40.779577448313162</v>
      </c>
      <c r="AW33" s="564">
        <f>AS33-('Count 1 '!AY33*Q33)</f>
        <v>4.1607647313336766</v>
      </c>
      <c r="AX33" s="604">
        <f t="shared" si="31"/>
        <v>0.37968413936908152</v>
      </c>
    </row>
    <row r="34" spans="1:50" s="648" customFormat="1" x14ac:dyDescent="0.35">
      <c r="A34" s="623">
        <f>Samples!A34</f>
        <v>25</v>
      </c>
      <c r="B34" s="623">
        <f>Samples!B34</f>
        <v>0</v>
      </c>
      <c r="C34" s="624">
        <f>Samples!C34</f>
        <v>44356</v>
      </c>
      <c r="D34" s="625">
        <f>Samples!D34</f>
        <v>0.56944444444444398</v>
      </c>
      <c r="E34" s="625" t="str">
        <f>Samples!E34</f>
        <v>eff</v>
      </c>
      <c r="F34" s="626">
        <f>Samples!G34</f>
        <v>199.9</v>
      </c>
      <c r="G34" s="627">
        <f>Samples!X34</f>
        <v>0</v>
      </c>
      <c r="H34" s="624">
        <f>Samples!T34</f>
        <v>0</v>
      </c>
      <c r="I34" s="625">
        <f>Samples!V34</f>
        <v>0</v>
      </c>
      <c r="J34" s="628">
        <f>Samples!W34</f>
        <v>0</v>
      </c>
      <c r="K34" s="629">
        <f t="shared" si="3"/>
        <v>0</v>
      </c>
      <c r="L34" s="630">
        <f>K34-'Count 1 '!K34</f>
        <v>-44356.53598148148</v>
      </c>
      <c r="M34" s="630">
        <f>Samples!AA34</f>
        <v>0</v>
      </c>
      <c r="N34" s="631">
        <f>Samples!Y34</f>
        <v>0</v>
      </c>
      <c r="O34" s="631">
        <f>Samples!Z34</f>
        <v>0</v>
      </c>
      <c r="P34" s="632" t="e">
        <f t="shared" si="4"/>
        <v>#NUM!</v>
      </c>
      <c r="Q34" s="632" t="e">
        <f t="shared" si="5"/>
        <v>#NUM!</v>
      </c>
      <c r="R34" s="633" t="e">
        <f t="shared" si="6"/>
        <v>#DIV/0!</v>
      </c>
      <c r="S34" s="634">
        <f t="shared" si="7"/>
        <v>0</v>
      </c>
      <c r="T34" s="635" t="e">
        <f t="shared" si="8"/>
        <v>#DIV/0!</v>
      </c>
      <c r="U34" s="636" t="e">
        <f t="shared" si="9"/>
        <v>#DIV/0!</v>
      </c>
      <c r="V34" s="637" t="e">
        <f t="shared" si="10"/>
        <v>#DIV/0!</v>
      </c>
      <c r="W34" s="634">
        <f t="shared" si="11"/>
        <v>0</v>
      </c>
      <c r="X34" s="635" t="e">
        <f t="shared" si="12"/>
        <v>#DIV/0!</v>
      </c>
      <c r="Y34" s="636" t="e">
        <f t="shared" si="13"/>
        <v>#DIV/0!</v>
      </c>
      <c r="Z34" s="637" t="e">
        <f t="shared" si="14"/>
        <v>#DIV/0!</v>
      </c>
      <c r="AA34" s="638">
        <f t="shared" si="15"/>
        <v>0</v>
      </c>
      <c r="AB34" s="639">
        <f t="shared" si="16"/>
        <v>0</v>
      </c>
      <c r="AC34" s="636" t="e">
        <f t="shared" si="2"/>
        <v>#DIV/0!</v>
      </c>
      <c r="AD34" s="640">
        <f t="shared" si="17"/>
        <v>0</v>
      </c>
      <c r="AE34" s="636" t="e">
        <f t="shared" si="18"/>
        <v>#DIV/0!</v>
      </c>
      <c r="AF34" s="636">
        <f t="shared" si="19"/>
        <v>0</v>
      </c>
      <c r="AG34" s="636" t="e">
        <f t="shared" si="20"/>
        <v>#DIV/0!</v>
      </c>
      <c r="AH34" s="640">
        <f t="shared" si="21"/>
        <v>0</v>
      </c>
      <c r="AI34" s="641" t="e">
        <f t="shared" si="22"/>
        <v>#DIV/0!</v>
      </c>
      <c r="AJ34" s="640">
        <f t="shared" si="23"/>
        <v>0</v>
      </c>
      <c r="AK34" s="636" t="e">
        <f t="shared" si="24"/>
        <v>#DIV/0!</v>
      </c>
      <c r="AL34" s="640">
        <f t="shared" si="25"/>
        <v>0</v>
      </c>
      <c r="AM34" s="638" t="e">
        <f t="shared" si="26"/>
        <v>#DIV/0!</v>
      </c>
      <c r="AN34" s="641">
        <f>((((IF(G34="Grey",STDs!$AC$9,IF(G34="Orange",STDs!$AC$8,IF(G34="Green",STDs!$AC$10,STDs!$AC$11))))*2)*(N34-AF34))^2*0.01)/((1+(((IF(G34="Grey",STDs!$AC$9,IF(G34="Orange",STDs!$AC$8,IF(G34="Green",STDs!$AC$10,STDs!$AC$11))))*2)*(N34-AF34))*0.01))</f>
        <v>0</v>
      </c>
      <c r="AO34" s="642">
        <f>AJ34-AN34-IF(G34="Grey",Blanks!$O$7,IF(G34="Orange",Blanks!$O$6,IF(G34="Green",Blanks!$O$8,Blanks!$O$9)))</f>
        <v>-2.6857142857142857E-2</v>
      </c>
      <c r="AP34" s="641" t="e">
        <f t="shared" si="27"/>
        <v>#DIV/0!</v>
      </c>
      <c r="AQ34" s="635">
        <f>AO34/IF(G34="Grey",STDs!$AF$9,IF(G34="Orange",STDs!$AF$8,IF(G34="Green",STDs!$AF$10,STDs!$AF$11)))</f>
        <v>-0.39217443455395906</v>
      </c>
      <c r="AR34" s="643" t="e">
        <f>SQRT(((AP34/IF(G34="Grey",STDs!$AF$9,IF(G34="Orange",STDs!$AF$8,IF(G34="Green",STDs!$AF$10,STDs!$AF$11))))^2)+(((AO34*(IF(G34="Grey",STDs!$AG$9,IF(G34="Orange",STDs!$AG$8,IF(G34="Green",STDs!$AG$10,STDs!$AG$11)))))/(IF(G34="Grey",STDs!$AF$9,IF(G34="Orange",STDs!$AF$8,IF(G34="Green",STDs!$AF$10,STDs!$AF$11))))))^2)</f>
        <v>#DIV/0!</v>
      </c>
      <c r="AS34" s="633">
        <f t="shared" si="28"/>
        <v>-0.1961853099319455</v>
      </c>
      <c r="AT34" s="643" t="e">
        <f t="shared" si="29"/>
        <v>#DIV/0!</v>
      </c>
      <c r="AU34" s="644">
        <f>('Count 1 '!AR34-(AS34*EXP(Reference!$C$3*L34)))/(1-EXP(Reference!$C$3*L34))</f>
        <v>3.0454451208177669</v>
      </c>
      <c r="AV34" s="645" t="e">
        <f t="shared" si="30"/>
        <v>#NUM!</v>
      </c>
      <c r="AW34" s="646" t="e">
        <f>AS34-('Count 1 '!AY34*Q34)</f>
        <v>#NUM!</v>
      </c>
      <c r="AX34" s="647" t="e">
        <f t="shared" si="31"/>
        <v>#DIV/0!</v>
      </c>
    </row>
    <row r="35" spans="1:50" s="24" customFormat="1" x14ac:dyDescent="0.35">
      <c r="A35" s="494">
        <f>Samples!A35</f>
        <v>26</v>
      </c>
      <c r="B35" s="494">
        <f>Samples!B35</f>
        <v>0</v>
      </c>
      <c r="C35" s="495">
        <f>Samples!C35</f>
        <v>44355</v>
      </c>
      <c r="D35" s="496">
        <f>Samples!D35</f>
        <v>0.75902777777777775</v>
      </c>
      <c r="E35" s="496" t="str">
        <f>Samples!E35</f>
        <v>SW</v>
      </c>
      <c r="F35" s="572">
        <f>Samples!G35</f>
        <v>200</v>
      </c>
      <c r="G35" s="581" t="str">
        <f>Samples!X35</f>
        <v>Blue</v>
      </c>
      <c r="H35" s="582">
        <f>Samples!T35</f>
        <v>44365</v>
      </c>
      <c r="I35" s="583">
        <f>Samples!V35</f>
        <v>0.51431712962962961</v>
      </c>
      <c r="J35" s="584">
        <f>Samples!W35</f>
        <v>249.93</v>
      </c>
      <c r="K35" s="585">
        <f t="shared" si="3"/>
        <v>44365.68787962963</v>
      </c>
      <c r="L35" s="586">
        <f>K35-'Count 1 '!K35</f>
        <v>9.0424999999959255</v>
      </c>
      <c r="M35" s="586">
        <f>Samples!AA35</f>
        <v>3.5369999999999999</v>
      </c>
      <c r="N35" s="587">
        <f>Samples!Y35</f>
        <v>0.14799999999999999</v>
      </c>
      <c r="O35" s="587">
        <f>Samples!Z35</f>
        <v>0.93600000000000005</v>
      </c>
      <c r="P35" s="497">
        <f t="shared" si="4"/>
        <v>0.54776839562045465</v>
      </c>
      <c r="Q35" s="497">
        <f t="shared" si="5"/>
        <v>0.15253359670992356</v>
      </c>
      <c r="R35" s="594">
        <f t="shared" si="6"/>
        <v>6.1196802315250189E-2</v>
      </c>
      <c r="S35" s="499">
        <f t="shared" si="7"/>
        <v>233.93448000000001</v>
      </c>
      <c r="T35" s="498">
        <f t="shared" si="8"/>
        <v>6.1196802315250189E-2</v>
      </c>
      <c r="U35" s="500">
        <f t="shared" si="9"/>
        <v>0.13076239810950896</v>
      </c>
      <c r="V35" s="601">
        <f t="shared" si="10"/>
        <v>-15.353799124659378</v>
      </c>
      <c r="W35" s="499">
        <f t="shared" si="11"/>
        <v>233.93448000000001</v>
      </c>
      <c r="X35" s="498">
        <f t="shared" si="12"/>
        <v>2.4334457183709669E-2</v>
      </c>
      <c r="Y35" s="500">
        <f t="shared" si="13"/>
        <v>0.32884401599607666</v>
      </c>
      <c r="Z35" s="601">
        <f t="shared" si="14"/>
        <v>3.1181445156019671E-2</v>
      </c>
      <c r="AA35" s="552">
        <f t="shared" si="15"/>
        <v>36.989640000000001</v>
      </c>
      <c r="AB35" s="621">
        <f t="shared" si="16"/>
        <v>6.1685228659005401E-2</v>
      </c>
      <c r="AC35" s="500">
        <f t="shared" si="2"/>
        <v>4.578325248913862E-3</v>
      </c>
      <c r="AD35" s="501">
        <f t="shared" si="17"/>
        <v>2.4529999999999998</v>
      </c>
      <c r="AE35" s="500">
        <f t="shared" si="18"/>
        <v>8.9901407295155403E-2</v>
      </c>
      <c r="AF35" s="500">
        <f t="shared" si="19"/>
        <v>5.3192822594155863E-4</v>
      </c>
      <c r="AG35" s="500">
        <f t="shared" si="20"/>
        <v>5.2169437135806219E-5</v>
      </c>
      <c r="AH35" s="617">
        <f t="shared" si="21"/>
        <v>2.5146852286590051</v>
      </c>
      <c r="AI35" s="618">
        <f t="shared" si="22"/>
        <v>9.0017909860950804E-2</v>
      </c>
      <c r="AJ35" s="501">
        <f t="shared" si="23"/>
        <v>0.87431477134099467</v>
      </c>
      <c r="AK35" s="500">
        <f t="shared" si="24"/>
        <v>6.1367822803947134E-2</v>
      </c>
      <c r="AL35" s="501">
        <f t="shared" si="25"/>
        <v>0.14746807177405843</v>
      </c>
      <c r="AM35" s="552">
        <f t="shared" si="26"/>
        <v>2.4334513105381216E-2</v>
      </c>
      <c r="AN35" s="618">
        <f>((((IF(G35="Grey",STDs!$AC$9,IF(G35="Orange",STDs!$AC$8,IF(G35="Green",STDs!$AC$10,STDs!$AC$11))))*2)*(N35-AF35))^2*0.01)/((1+(((IF(G35="Grey",STDs!$AC$9,IF(G35="Orange",STDs!$AC$8,IF(G35="Green",STDs!$AC$10,STDs!$AC$11))))*2)*(N35-AF35))*0.01))</f>
        <v>1.9740148138789702E-5</v>
      </c>
      <c r="AO35" s="615">
        <f>AJ35-AN35-IF(G35="Grey",Blanks!$O$7,IF(G35="Orange",Blanks!$O$6,IF(G35="Green",Blanks!$O$8,Blanks!$O$9)))</f>
        <v>0.84743788833571299</v>
      </c>
      <c r="AP35" s="598">
        <f t="shared" si="27"/>
        <v>6.1367822803947134E-2</v>
      </c>
      <c r="AQ35" s="498">
        <f>AO35/IF(G35="Grey",STDs!$AF$9,IF(G35="Orange",STDs!$AF$8,IF(G35="Green",STDs!$AF$10,STDs!$AF$11)))</f>
        <v>12.374491078423485</v>
      </c>
      <c r="AR35" s="607">
        <f>SQRT(((AP35/IF(G35="Grey",STDs!$AF$9,IF(G35="Orange",STDs!$AF$8,IF(G35="Green",STDs!$AF$10,STDs!$AF$11))))^2)+(((AO35*(IF(G35="Grey",STDs!$AG$9,IF(G35="Orange",STDs!$AG$8,IF(G35="Green",STDs!$AG$10,STDs!$AG$11)))))/(IF(G35="Grey",STDs!$AF$9,IF(G35="Orange",STDs!$AF$8,IF(G35="Green",STDs!$AF$10,STDs!$AF$11))))))^2)</f>
        <v>0.89917416406681694</v>
      </c>
      <c r="AS35" s="594">
        <f t="shared" si="28"/>
        <v>6.1872455392117427</v>
      </c>
      <c r="AT35" s="607">
        <f t="shared" si="29"/>
        <v>0.48639731799996677</v>
      </c>
      <c r="AU35" s="562">
        <f>('Count 1 '!AR35-(AS35*EXP(Reference!$C$3*L35)))/(1-EXP(Reference!$C$3*L35))</f>
        <v>0.38444103253082595</v>
      </c>
      <c r="AV35" s="563">
        <f t="shared" si="30"/>
        <v>40.563165575765986</v>
      </c>
      <c r="AW35" s="564">
        <f>AS35-('Count 1 '!AY35*Q35)</f>
        <v>0.38444103253082762</v>
      </c>
      <c r="AX35" s="604">
        <f t="shared" si="31"/>
        <v>3.0222024641995259E-2</v>
      </c>
    </row>
    <row r="36" spans="1:50" s="24" customFormat="1" x14ac:dyDescent="0.35">
      <c r="A36" s="494">
        <f>Samples!A36</f>
        <v>27</v>
      </c>
      <c r="B36" s="494">
        <f>Samples!B36</f>
        <v>0</v>
      </c>
      <c r="C36" s="495">
        <f>Samples!C36</f>
        <v>44355</v>
      </c>
      <c r="D36" s="496">
        <f>Samples!D36</f>
        <v>0.90763888888888899</v>
      </c>
      <c r="E36" s="496" t="str">
        <f>Samples!E36</f>
        <v>SW</v>
      </c>
      <c r="F36" s="572">
        <f>Samples!G36</f>
        <v>200.3</v>
      </c>
      <c r="G36" s="581" t="str">
        <f>Samples!X36</f>
        <v>Grey</v>
      </c>
      <c r="H36" s="582">
        <f>Samples!T36</f>
        <v>44368</v>
      </c>
      <c r="I36" s="583">
        <f>Samples!V36</f>
        <v>0.29170138888888886</v>
      </c>
      <c r="J36" s="584">
        <f>Samples!W36</f>
        <v>222.72</v>
      </c>
      <c r="K36" s="585">
        <f t="shared" si="3"/>
        <v>44368.446368055556</v>
      </c>
      <c r="L36" s="586">
        <f>K36-'Count 1 '!K36</f>
        <v>11.71681018518575</v>
      </c>
      <c r="M36" s="586">
        <f>Samples!AA36</f>
        <v>2.8740000000000001</v>
      </c>
      <c r="N36" s="587">
        <f>Samples!Y36</f>
        <v>0.11700000000000001</v>
      </c>
      <c r="O36" s="587">
        <f>Samples!Z36</f>
        <v>0.61499999999999999</v>
      </c>
      <c r="P36" s="497">
        <f t="shared" si="4"/>
        <v>0.46761142730290789</v>
      </c>
      <c r="Q36" s="497">
        <f t="shared" si="5"/>
        <v>9.304792021060744E-2</v>
      </c>
      <c r="R36" s="594">
        <f t="shared" si="6"/>
        <v>5.2548212673433667E-2</v>
      </c>
      <c r="S36" s="499">
        <f t="shared" si="7"/>
        <v>136.97280000000001</v>
      </c>
      <c r="T36" s="498">
        <f t="shared" si="8"/>
        <v>5.2548212673433667E-2</v>
      </c>
      <c r="U36" s="500">
        <f t="shared" si="9"/>
        <v>0.17088849649897123</v>
      </c>
      <c r="V36" s="601">
        <f t="shared" si="10"/>
        <v>-10.36031316936149</v>
      </c>
      <c r="W36" s="499">
        <f t="shared" si="11"/>
        <v>136.97280000000001</v>
      </c>
      <c r="X36" s="498">
        <f t="shared" si="12"/>
        <v>2.2919931846802449E-2</v>
      </c>
      <c r="Y36" s="500">
        <f t="shared" si="13"/>
        <v>0.39179370678294778</v>
      </c>
      <c r="Z36" s="601">
        <f t="shared" si="14"/>
        <v>0.10461741946131944</v>
      </c>
      <c r="AA36" s="552">
        <f t="shared" si="15"/>
        <v>26.058240000000001</v>
      </c>
      <c r="AB36" s="621">
        <f t="shared" si="16"/>
        <v>4.6885936765517396E-2</v>
      </c>
      <c r="AC36" s="500">
        <f t="shared" si="2"/>
        <v>3.4417918288376045E-3</v>
      </c>
      <c r="AD36" s="501">
        <f t="shared" si="17"/>
        <v>2.1420000000000003</v>
      </c>
      <c r="AE36" s="500">
        <f t="shared" si="18"/>
        <v>7.7768583542500616E-2</v>
      </c>
      <c r="AF36" s="500">
        <f t="shared" si="19"/>
        <v>4.0830332934095544E-4</v>
      </c>
      <c r="AG36" s="500">
        <f t="shared" si="20"/>
        <v>3.440013522563353E-5</v>
      </c>
      <c r="AH36" s="617">
        <f t="shared" si="21"/>
        <v>2.1888859367655176</v>
      </c>
      <c r="AI36" s="618">
        <f t="shared" si="22"/>
        <v>7.7844707701936619E-2</v>
      </c>
      <c r="AJ36" s="501">
        <f t="shared" si="23"/>
        <v>0.56811406323448255</v>
      </c>
      <c r="AK36" s="500">
        <f t="shared" si="24"/>
        <v>5.2660806926645813E-2</v>
      </c>
      <c r="AL36" s="501">
        <f t="shared" si="25"/>
        <v>0.11659169667065905</v>
      </c>
      <c r="AM36" s="552">
        <f t="shared" si="26"/>
        <v>2.2919957662076357E-2</v>
      </c>
      <c r="AN36" s="618">
        <f>((((IF(G36="Grey",STDs!$AC$9,IF(G36="Orange",STDs!$AC$8,IF(G36="Green",STDs!$AC$10,STDs!$AC$11))))*2)*(N36-AF36))^2*0.01)/((1+(((IF(G36="Grey",STDs!$AC$9,IF(G36="Orange",STDs!$AC$8,IF(G36="Green",STDs!$AC$10,STDs!$AC$11))))*2)*(N36-AF36))*0.01))</f>
        <v>1.1871911003910052E-5</v>
      </c>
      <c r="AO36" s="615">
        <f>AJ36-AN36-IF(G36="Grey",Blanks!$O$7,IF(G36="Orange",Blanks!$O$6,IF(G36="Green",Blanks!$O$8,Blanks!$O$9)))</f>
        <v>0.53739630897053747</v>
      </c>
      <c r="AP36" s="598">
        <f t="shared" si="27"/>
        <v>5.2660806926645813E-2</v>
      </c>
      <c r="AQ36" s="498">
        <f>AO36/IF(G36="Grey",STDs!$AF$9,IF(G36="Orange",STDs!$AF$8,IF(G36="Green",STDs!$AF$10,STDs!$AF$11)))</f>
        <v>7.1299790535357426</v>
      </c>
      <c r="AR36" s="607">
        <f>SQRT(((AP36/IF(G36="Grey",STDs!$AF$9,IF(G36="Orange",STDs!$AF$8,IF(G36="Green",STDs!$AF$10,STDs!$AF$11))))^2)+(((AO36*(IF(G36="Grey",STDs!$AG$9,IF(G36="Orange",STDs!$AG$8,IF(G36="Green",STDs!$AG$10,STDs!$AG$11)))))/(IF(G36="Grey",STDs!$AF$9,IF(G36="Orange",STDs!$AF$8,IF(G36="Green",STDs!$AF$10,STDs!$AF$11))))))^2)</f>
        <v>0.70703631742813433</v>
      </c>
      <c r="AS36" s="594">
        <f t="shared" si="28"/>
        <v>3.5596500516903355</v>
      </c>
      <c r="AT36" s="607">
        <f t="shared" si="29"/>
        <v>0.36878856112175362</v>
      </c>
      <c r="AU36" s="562">
        <f>('Count 1 '!AR36-(AS36*EXP(Reference!$C$3*L36)))/(1-EXP(Reference!$C$3*L36))</f>
        <v>0.62980264602437475</v>
      </c>
      <c r="AV36" s="563">
        <f t="shared" si="30"/>
        <v>38.25609474809665</v>
      </c>
      <c r="AW36" s="564">
        <f>AS36-('Count 1 '!AY36*Q36)</f>
        <v>0.62980264602437597</v>
      </c>
      <c r="AX36" s="604">
        <f t="shared" si="31"/>
        <v>6.524911388626807E-2</v>
      </c>
    </row>
    <row r="37" spans="1:50" s="24" customFormat="1" x14ac:dyDescent="0.35">
      <c r="A37" s="494">
        <f>Samples!A37</f>
        <v>32</v>
      </c>
      <c r="B37" s="494">
        <f>Samples!B37</f>
        <v>2</v>
      </c>
      <c r="C37" s="495">
        <f>Samples!C37</f>
        <v>44357</v>
      </c>
      <c r="D37" s="496">
        <f>Samples!D37</f>
        <v>0.24944444444444444</v>
      </c>
      <c r="E37" s="496" t="str">
        <f>Samples!E37</f>
        <v>BW</v>
      </c>
      <c r="F37" s="572">
        <f>Samples!G37</f>
        <v>79.599999999999994</v>
      </c>
      <c r="G37" s="581" t="str">
        <f>Samples!X37</f>
        <v>Blue</v>
      </c>
      <c r="H37" s="582">
        <f>Samples!T37</f>
        <v>44368</v>
      </c>
      <c r="I37" s="583">
        <f>Samples!V37</f>
        <v>0.29173611111111114</v>
      </c>
      <c r="J37" s="584">
        <f>Samples!W37</f>
        <v>222.68</v>
      </c>
      <c r="K37" s="585">
        <f t="shared" si="3"/>
        <v>44368.446375</v>
      </c>
      <c r="L37" s="586">
        <f>K37-'Count 1 '!K37</f>
        <v>10.725057870367891</v>
      </c>
      <c r="M37" s="586">
        <f>Samples!AA37</f>
        <v>1.208</v>
      </c>
      <c r="N37" s="587">
        <f>Samples!Y37</f>
        <v>3.5999999999999997E-2</v>
      </c>
      <c r="O37" s="587">
        <f>Samples!Z37</f>
        <v>0.17100000000000001</v>
      </c>
      <c r="P37" s="497">
        <f t="shared" si="4"/>
        <v>0.50723764594004184</v>
      </c>
      <c r="Q37" s="497">
        <f t="shared" si="5"/>
        <v>0.11996864989858182</v>
      </c>
      <c r="R37" s="594">
        <f t="shared" si="6"/>
        <v>2.7711335022643738E-2</v>
      </c>
      <c r="S37" s="499">
        <f t="shared" si="7"/>
        <v>38.078280000000007</v>
      </c>
      <c r="T37" s="498">
        <f t="shared" si="8"/>
        <v>2.7711335022643738E-2</v>
      </c>
      <c r="U37" s="500">
        <f t="shared" si="9"/>
        <v>0.32410918155138874</v>
      </c>
      <c r="V37" s="601">
        <f t="shared" si="10"/>
        <v>-2.0966310145208249</v>
      </c>
      <c r="W37" s="499">
        <f t="shared" si="11"/>
        <v>38.078280000000007</v>
      </c>
      <c r="X37" s="498">
        <f t="shared" si="12"/>
        <v>1.2714832521505626E-2</v>
      </c>
      <c r="Y37" s="500">
        <f t="shared" si="13"/>
        <v>0.70637958452809035</v>
      </c>
      <c r="Z37" s="601">
        <f t="shared" si="14"/>
        <v>0.33240650197174532</v>
      </c>
      <c r="AA37" s="552">
        <f t="shared" si="15"/>
        <v>8.0164799999999996</v>
      </c>
      <c r="AB37" s="621">
        <f t="shared" si="16"/>
        <v>1.0121324457822803E-2</v>
      </c>
      <c r="AC37" s="500">
        <f t="shared" si="2"/>
        <v>8.3739169538851581E-4</v>
      </c>
      <c r="AD37" s="501">
        <f t="shared" si="17"/>
        <v>1.0009999999999999</v>
      </c>
      <c r="AE37" s="500">
        <f t="shared" si="18"/>
        <v>4.1200766297780675E-2</v>
      </c>
      <c r="AF37" s="500">
        <f t="shared" si="19"/>
        <v>9.1319586373576469E-5</v>
      </c>
      <c r="AG37" s="500">
        <f t="shared" si="20"/>
        <v>3.97699681211541E-6</v>
      </c>
      <c r="AH37" s="617">
        <f t="shared" si="21"/>
        <v>1.0111213244578228</v>
      </c>
      <c r="AI37" s="618">
        <f t="shared" si="22"/>
        <v>4.1209275271179492E-2</v>
      </c>
      <c r="AJ37" s="501">
        <f t="shared" si="23"/>
        <v>0.16087867554217722</v>
      </c>
      <c r="AK37" s="500">
        <f t="shared" si="24"/>
        <v>2.7723984446480759E-2</v>
      </c>
      <c r="AL37" s="501">
        <f t="shared" si="25"/>
        <v>3.5908680413626423E-2</v>
      </c>
      <c r="AM37" s="552">
        <f t="shared" si="26"/>
        <v>1.2714833143476196E-2</v>
      </c>
      <c r="AN37" s="618">
        <f>((((IF(G37="Grey",STDs!$AC$9,IF(G37="Orange",STDs!$AC$8,IF(G37="Green",STDs!$AC$10,STDs!$AC$11))))*2)*(N37-AF37))^2*0.01)/((1+(((IF(G37="Grey",STDs!$AC$9,IF(G37="Orange",STDs!$AC$8,IF(G37="Green",STDs!$AC$10,STDs!$AC$11))))*2)*(N37-AF37))*0.01))</f>
        <v>1.1708446052441683E-6</v>
      </c>
      <c r="AO37" s="615">
        <f>AJ37-AN37-IF(G37="Grey",Blanks!$O$7,IF(G37="Orange",Blanks!$O$6,IF(G37="Green",Blanks!$O$8,Blanks!$O$9)))</f>
        <v>0.13402036184042912</v>
      </c>
      <c r="AP37" s="598">
        <f t="shared" si="27"/>
        <v>2.7723984446480759E-2</v>
      </c>
      <c r="AQ37" s="498">
        <f>AO37/IF(G37="Grey",STDs!$AF$9,IF(G37="Orange",STDs!$AF$8,IF(G37="Green",STDs!$AF$10,STDs!$AF$11)))</f>
        <v>1.9569974327894202</v>
      </c>
      <c r="AR37" s="607">
        <f>SQRT(((AP37/IF(G37="Grey",STDs!$AF$9,IF(G37="Orange",STDs!$AF$8,IF(G37="Green",STDs!$AF$10,STDs!$AF$11))))^2)+(((AO37*(IF(G37="Grey",STDs!$AG$9,IF(G37="Orange",STDs!$AG$8,IF(G37="Green",STDs!$AG$10,STDs!$AG$11)))))/(IF(G37="Grey",STDs!$AF$9,IF(G37="Orange",STDs!$AF$8,IF(G37="Green",STDs!$AF$10,STDs!$AF$11))))))^2)</f>
        <v>0.40500228582696507</v>
      </c>
      <c r="AS37" s="594">
        <f t="shared" si="28"/>
        <v>2.45853948842892</v>
      </c>
      <c r="AT37" s="607">
        <f t="shared" si="29"/>
        <v>0.51411496835428816</v>
      </c>
      <c r="AU37" s="562">
        <f>('Count 1 '!AR37-(AS37*EXP(Reference!$C$3*L37)))/(1-EXP(Reference!$C$3*L37))</f>
        <v>1.1947849573459739</v>
      </c>
      <c r="AV37" s="563">
        <f t="shared" si="30"/>
        <v>20.493182931601726</v>
      </c>
      <c r="AW37" s="564">
        <f>AS37-('Count 1 '!AY37*Q37)</f>
        <v>1.1947849573459748</v>
      </c>
      <c r="AX37" s="604">
        <f t="shared" si="31"/>
        <v>0.24984623327267921</v>
      </c>
    </row>
    <row r="38" spans="1:50" s="648" customFormat="1" x14ac:dyDescent="0.35">
      <c r="A38" s="623">
        <f>Samples!A38</f>
        <v>32</v>
      </c>
      <c r="B38" s="623">
        <f>Samples!B38</f>
        <v>2</v>
      </c>
      <c r="C38" s="624">
        <f>Samples!C38</f>
        <v>44357</v>
      </c>
      <c r="D38" s="625">
        <f>Samples!D38</f>
        <v>0.24944444444444444</v>
      </c>
      <c r="E38" s="625" t="str">
        <f>Samples!E38</f>
        <v>BW-eff</v>
      </c>
      <c r="F38" s="626">
        <f>Samples!G38</f>
        <v>79.599999999999994</v>
      </c>
      <c r="G38" s="627">
        <f>Samples!X38</f>
        <v>0</v>
      </c>
      <c r="H38" s="624">
        <f>Samples!T38</f>
        <v>0</v>
      </c>
      <c r="I38" s="625">
        <f>Samples!V38</f>
        <v>0</v>
      </c>
      <c r="J38" s="628">
        <f>Samples!W38</f>
        <v>0</v>
      </c>
      <c r="K38" s="629">
        <f t="shared" si="3"/>
        <v>0</v>
      </c>
      <c r="L38" s="630">
        <f>K38-'Count 1 '!K38</f>
        <v>-44359.513365740742</v>
      </c>
      <c r="M38" s="630">
        <f>Samples!AA38</f>
        <v>0</v>
      </c>
      <c r="N38" s="631">
        <f>Samples!Y38</f>
        <v>0</v>
      </c>
      <c r="O38" s="631">
        <f>Samples!Z38</f>
        <v>0</v>
      </c>
      <c r="P38" s="632" t="e">
        <f t="shared" si="4"/>
        <v>#NUM!</v>
      </c>
      <c r="Q38" s="632" t="e">
        <f t="shared" si="5"/>
        <v>#NUM!</v>
      </c>
      <c r="R38" s="633" t="e">
        <f t="shared" si="6"/>
        <v>#DIV/0!</v>
      </c>
      <c r="S38" s="634">
        <f t="shared" si="7"/>
        <v>0</v>
      </c>
      <c r="T38" s="635" t="e">
        <f t="shared" si="8"/>
        <v>#DIV/0!</v>
      </c>
      <c r="U38" s="636" t="e">
        <f t="shared" si="9"/>
        <v>#DIV/0!</v>
      </c>
      <c r="V38" s="637" t="e">
        <f t="shared" si="10"/>
        <v>#DIV/0!</v>
      </c>
      <c r="W38" s="634">
        <f t="shared" si="11"/>
        <v>0</v>
      </c>
      <c r="X38" s="635" t="e">
        <f t="shared" si="12"/>
        <v>#DIV/0!</v>
      </c>
      <c r="Y38" s="636" t="e">
        <f t="shared" si="13"/>
        <v>#DIV/0!</v>
      </c>
      <c r="Z38" s="637" t="e">
        <f t="shared" si="14"/>
        <v>#DIV/0!</v>
      </c>
      <c r="AA38" s="638">
        <f t="shared" si="15"/>
        <v>0</v>
      </c>
      <c r="AB38" s="639">
        <f t="shared" si="16"/>
        <v>0</v>
      </c>
      <c r="AC38" s="636" t="e">
        <f t="shared" si="2"/>
        <v>#DIV/0!</v>
      </c>
      <c r="AD38" s="640">
        <f t="shared" si="17"/>
        <v>0</v>
      </c>
      <c r="AE38" s="636" t="e">
        <f t="shared" si="18"/>
        <v>#DIV/0!</v>
      </c>
      <c r="AF38" s="636">
        <f t="shared" si="19"/>
        <v>0</v>
      </c>
      <c r="AG38" s="636" t="e">
        <f t="shared" si="20"/>
        <v>#DIV/0!</v>
      </c>
      <c r="AH38" s="640">
        <f t="shared" si="21"/>
        <v>0</v>
      </c>
      <c r="AI38" s="641" t="e">
        <f t="shared" si="22"/>
        <v>#DIV/0!</v>
      </c>
      <c r="AJ38" s="640">
        <f t="shared" si="23"/>
        <v>0</v>
      </c>
      <c r="AK38" s="636" t="e">
        <f t="shared" si="24"/>
        <v>#DIV/0!</v>
      </c>
      <c r="AL38" s="640">
        <f t="shared" si="25"/>
        <v>0</v>
      </c>
      <c r="AM38" s="638" t="e">
        <f t="shared" si="26"/>
        <v>#DIV/0!</v>
      </c>
      <c r="AN38" s="641">
        <f>((((IF(G38="Grey",STDs!$AC$9,IF(G38="Orange",STDs!$AC$8,IF(G38="Green",STDs!$AC$10,STDs!$AC$11))))*2)*(N38-AF38))^2*0.01)/((1+(((IF(G38="Grey",STDs!$AC$9,IF(G38="Orange",STDs!$AC$8,IF(G38="Green",STDs!$AC$10,STDs!$AC$11))))*2)*(N38-AF38))*0.01))</f>
        <v>0</v>
      </c>
      <c r="AO38" s="642">
        <f>AJ38-AN38-IF(G38="Grey",Blanks!$O$7,IF(G38="Orange",Blanks!$O$6,IF(G38="Green",Blanks!$O$8,Blanks!$O$9)))</f>
        <v>-2.6857142857142857E-2</v>
      </c>
      <c r="AP38" s="641" t="e">
        <f t="shared" si="27"/>
        <v>#DIV/0!</v>
      </c>
      <c r="AQ38" s="635">
        <f>AO38/IF(G38="Grey",STDs!$AF$9,IF(G38="Orange",STDs!$AF$8,IF(G38="Green",STDs!$AF$10,STDs!$AF$11)))</f>
        <v>-0.39217443455395906</v>
      </c>
      <c r="AR38" s="643" t="e">
        <f>SQRT(((AP38/IF(G38="Grey",STDs!$AF$9,IF(G38="Orange",STDs!$AF$8,IF(G38="Green",STDs!$AF$10,STDs!$AF$11))))^2)+(((AO38*(IF(G38="Grey",STDs!$AG$9,IF(G38="Orange",STDs!$AG$8,IF(G38="Green",STDs!$AG$10,STDs!$AG$11)))))/(IF(G38="Grey",STDs!$AF$9,IF(G38="Orange",STDs!$AF$8,IF(G38="Green",STDs!$AF$10,STDs!$AF$11))))))^2)</f>
        <v>#DIV/0!</v>
      </c>
      <c r="AS38" s="633">
        <f t="shared" si="28"/>
        <v>-0.49268145044467221</v>
      </c>
      <c r="AT38" s="643" t="e">
        <f t="shared" si="29"/>
        <v>#DIV/0!</v>
      </c>
      <c r="AU38" s="644">
        <f>('Count 1 '!AR38-(AS38*EXP(Reference!$C$3*L38)))/(1-EXP(Reference!$C$3*L38))</f>
        <v>-6.5743861475609483E-2</v>
      </c>
      <c r="AV38" s="645" t="e">
        <f t="shared" si="30"/>
        <v>#NUM!</v>
      </c>
      <c r="AW38" s="646" t="e">
        <f>AS38-('Count 1 '!AY38*Q38)</f>
        <v>#NUM!</v>
      </c>
      <c r="AX38" s="647" t="e">
        <f t="shared" si="31"/>
        <v>#DIV/0!</v>
      </c>
    </row>
    <row r="39" spans="1:50" x14ac:dyDescent="0.35">
      <c r="A39" s="494">
        <f>Samples!A39</f>
        <v>43</v>
      </c>
      <c r="B39" s="494">
        <f>Samples!B39</f>
        <v>0</v>
      </c>
      <c r="C39" s="495">
        <f>Samples!C39</f>
        <v>44361</v>
      </c>
      <c r="D39" s="496">
        <f>Samples!D39</f>
        <v>0.19027777777777777</v>
      </c>
      <c r="E39" s="496" t="str">
        <f>Samples!E39</f>
        <v>SW</v>
      </c>
      <c r="F39" s="572">
        <f>Samples!G39</f>
        <v>200.1</v>
      </c>
      <c r="G39" s="581" t="str">
        <f>Samples!X39</f>
        <v>Grey</v>
      </c>
      <c r="H39" s="582">
        <f>Samples!T39</f>
        <v>44386</v>
      </c>
      <c r="I39" s="583">
        <f>Samples!V39</f>
        <v>0.2371180555555556</v>
      </c>
      <c r="J39" s="584">
        <f>Samples!W39</f>
        <v>269.77</v>
      </c>
      <c r="K39" s="585">
        <f t="shared" si="3"/>
        <v>44386.424458333335</v>
      </c>
      <c r="L39" s="586">
        <f>K39-'Count 1 '!K39</f>
        <v>24.630687500000931</v>
      </c>
      <c r="M39" s="586">
        <f>Samples!AA39</f>
        <v>1.879</v>
      </c>
      <c r="N39" s="587">
        <f>Samples!Y39</f>
        <v>4.8000000000000001E-2</v>
      </c>
      <c r="O39" s="587">
        <f>Samples!Z39</f>
        <v>0.437</v>
      </c>
      <c r="P39" s="497">
        <f t="shared" si="4"/>
        <v>0.21659284630582848</v>
      </c>
      <c r="Q39" s="497">
        <f t="shared" si="5"/>
        <v>8.4047181123714943E-3</v>
      </c>
      <c r="R39" s="594">
        <f t="shared" si="6"/>
        <v>4.0247961836565434E-2</v>
      </c>
      <c r="S39" s="499">
        <f t="shared" si="7"/>
        <v>117.88949</v>
      </c>
      <c r="T39" s="498">
        <f t="shared" si="8"/>
        <v>4.0247961836565434E-2</v>
      </c>
      <c r="U39" s="500">
        <f t="shared" si="9"/>
        <v>0.18420119833668391</v>
      </c>
      <c r="V39" s="601">
        <f t="shared" si="10"/>
        <v>-5.226378121853954</v>
      </c>
      <c r="W39" s="499">
        <f t="shared" si="11"/>
        <v>117.88949</v>
      </c>
      <c r="X39" s="498">
        <f t="shared" si="12"/>
        <v>1.3339015976514438E-2</v>
      </c>
      <c r="Y39" s="500">
        <f t="shared" si="13"/>
        <v>0.55579233235476821</v>
      </c>
      <c r="Z39" s="601">
        <f t="shared" si="14"/>
        <v>0.22999674068718193</v>
      </c>
      <c r="AA39" s="552">
        <f t="shared" si="15"/>
        <v>12.94896</v>
      </c>
      <c r="AB39" s="621">
        <f t="shared" si="16"/>
        <v>1.9707076648479809E-2</v>
      </c>
      <c r="AC39" s="500">
        <f t="shared" si="2"/>
        <v>1.6646275934494804E-3</v>
      </c>
      <c r="AD39" s="501">
        <f t="shared" si="17"/>
        <v>1.3939999999999999</v>
      </c>
      <c r="AE39" s="500">
        <f t="shared" si="18"/>
        <v>5.8461322352620138E-2</v>
      </c>
      <c r="AF39" s="500">
        <f t="shared" si="19"/>
        <v>1.7566978886572295E-4</v>
      </c>
      <c r="AG39" s="500">
        <f t="shared" si="20"/>
        <v>1.0946172339223975E-5</v>
      </c>
      <c r="AH39" s="617">
        <f t="shared" si="21"/>
        <v>1.4137070766484798</v>
      </c>
      <c r="AI39" s="618">
        <f t="shared" si="22"/>
        <v>5.8485016852539554E-2</v>
      </c>
      <c r="AJ39" s="501">
        <f t="shared" si="23"/>
        <v>0.41729292335152018</v>
      </c>
      <c r="AK39" s="500">
        <f t="shared" si="24"/>
        <v>4.028237104519173E-2</v>
      </c>
      <c r="AL39" s="501">
        <f t="shared" si="25"/>
        <v>4.7824330211134275E-2</v>
      </c>
      <c r="AM39" s="552">
        <f t="shared" si="26"/>
        <v>1.3339020467800337E-2</v>
      </c>
      <c r="AN39" s="618">
        <f>((((IF(G39="Grey",STDs!$AC$9,IF(G39="Orange",STDs!$AC$8,IF(G39="Green",STDs!$AC$10,STDs!$AC$11))))*2)*(N39-AF39))^2*0.01)/((1+(((IF(G39="Grey",STDs!$AC$9,IF(G39="Orange",STDs!$AC$8,IF(G39="Green",STDs!$AC$10,STDs!$AC$11))))*2)*(N39-AF39))*0.01))</f>
        <v>1.9978893566797845E-6</v>
      </c>
      <c r="AO39" s="615">
        <f>AJ39-AN39-IF(G39="Grey",Blanks!$O$7,IF(G39="Orange",Blanks!$O$6,IF(G39="Green",Blanks!$O$8,Blanks!$O$9)))</f>
        <v>0.38658504310922231</v>
      </c>
      <c r="AP39" s="598">
        <f t="shared" si="27"/>
        <v>4.028237104519173E-2</v>
      </c>
      <c r="AQ39" s="498">
        <f>AO39/IF(G39="Grey",STDs!$AF$9,IF(G39="Orange",STDs!$AF$8,IF(G39="Green",STDs!$AF$10,STDs!$AF$11)))</f>
        <v>5.1290699503670814</v>
      </c>
      <c r="AR39" s="607">
        <f>SQRT(((AP39/IF(G39="Grey",STDs!$AF$9,IF(G39="Orange",STDs!$AF$8,IF(G39="Green",STDs!$AF$10,STDs!$AF$11))))^2)+(((AO39*(IF(G39="Grey",STDs!$AG$9,IF(G39="Orange",STDs!$AG$8,IF(G39="Green",STDs!$AG$10,STDs!$AG$11)))))/(IF(G39="Grey",STDs!$AF$9,IF(G39="Orange",STDs!$AF$8,IF(G39="Green",STDs!$AF$10,STDs!$AF$11))))))^2)</f>
        <v>0.54010583380647881</v>
      </c>
      <c r="AS39" s="594">
        <f t="shared" si="28"/>
        <v>2.5632533485092859</v>
      </c>
      <c r="AT39" s="607">
        <f t="shared" si="29"/>
        <v>0.28065805701207219</v>
      </c>
      <c r="AU39" s="562">
        <f>('Count 1 '!AR39-(AS39*EXP(Reference!$C$3*L39)))/(1-EXP(Reference!$C$3*L39))</f>
        <v>2.5771430750739328</v>
      </c>
      <c r="AV39" s="563">
        <f t="shared" si="30"/>
        <v>304.97790815092935</v>
      </c>
      <c r="AW39" s="564">
        <f>AS39-('Count 1 '!AY39*Q39)</f>
        <v>2.5771430750739333</v>
      </c>
      <c r="AX39" s="604">
        <f t="shared" si="31"/>
        <v>0.28217888353213899</v>
      </c>
    </row>
    <row r="40" spans="1:50" x14ac:dyDescent="0.35">
      <c r="A40" s="494">
        <f>Samples!A40</f>
        <v>43</v>
      </c>
      <c r="B40" s="494">
        <f>Samples!B40</f>
        <v>1</v>
      </c>
      <c r="C40" s="495">
        <f>Samples!C40</f>
        <v>44361</v>
      </c>
      <c r="D40" s="496">
        <f>Samples!D40</f>
        <v>0.1933449074074074</v>
      </c>
      <c r="E40" s="496" t="str">
        <f>Samples!E40</f>
        <v>BW</v>
      </c>
      <c r="F40" s="572">
        <f>Samples!G40</f>
        <v>76.3</v>
      </c>
      <c r="G40" s="581" t="str">
        <f>Samples!X40</f>
        <v>Orange</v>
      </c>
      <c r="H40" s="582">
        <f>Samples!T40</f>
        <v>44383</v>
      </c>
      <c r="I40" s="583">
        <f>Samples!V40</f>
        <v>0.45694444444444443</v>
      </c>
      <c r="J40" s="584">
        <f>Samples!W40</f>
        <v>235.8</v>
      </c>
      <c r="K40" s="585">
        <f t="shared" si="3"/>
        <v>44383.620694444442</v>
      </c>
      <c r="L40" s="586">
        <f>K40-'Count 1 '!K40</f>
        <v>21.138136574074451</v>
      </c>
      <c r="M40" s="586">
        <f>Samples!AA40</f>
        <v>1.1319999999999999</v>
      </c>
      <c r="N40" s="587">
        <f>Samples!Y40</f>
        <v>3.7999999999999999E-2</v>
      </c>
      <c r="O40" s="587">
        <f>Samples!Z40</f>
        <v>0.17</v>
      </c>
      <c r="P40" s="497">
        <f t="shared" si="4"/>
        <v>0.25676822930375032</v>
      </c>
      <c r="Q40" s="497">
        <f t="shared" si="5"/>
        <v>1.4301486009950319E-2</v>
      </c>
      <c r="R40" s="594">
        <f t="shared" si="6"/>
        <v>2.6850511309678613E-2</v>
      </c>
      <c r="S40" s="499">
        <f t="shared" si="7"/>
        <v>40.086000000000006</v>
      </c>
      <c r="T40" s="498">
        <f t="shared" si="8"/>
        <v>2.6850511309678613E-2</v>
      </c>
      <c r="U40" s="500">
        <f t="shared" si="9"/>
        <v>0.31588836834916006</v>
      </c>
      <c r="V40" s="601">
        <f t="shared" si="10"/>
        <v>-1.8780903054211162</v>
      </c>
      <c r="W40" s="499">
        <f t="shared" si="11"/>
        <v>40.086000000000006</v>
      </c>
      <c r="X40" s="498">
        <f t="shared" si="12"/>
        <v>1.2694625631823329E-2</v>
      </c>
      <c r="Y40" s="500">
        <f t="shared" si="13"/>
        <v>0.66813819114859629</v>
      </c>
      <c r="Z40" s="601">
        <f t="shared" si="14"/>
        <v>0.31534958662564549</v>
      </c>
      <c r="AA40" s="552">
        <f t="shared" si="15"/>
        <v>8.9603999999999999</v>
      </c>
      <c r="AB40" s="621">
        <f t="shared" si="16"/>
        <v>8.6173846340183262E-3</v>
      </c>
      <c r="AC40" s="500">
        <f t="shared" si="2"/>
        <v>7.5028790895606762E-4</v>
      </c>
      <c r="AD40" s="501">
        <f t="shared" si="17"/>
        <v>0.92399999999999982</v>
      </c>
      <c r="AE40" s="500">
        <f t="shared" si="18"/>
        <v>4.0038149746391929E-2</v>
      </c>
      <c r="AF40" s="500">
        <f t="shared" si="19"/>
        <v>7.7933690464349013E-5</v>
      </c>
      <c r="AG40" s="500">
        <f t="shared" si="20"/>
        <v>3.292958769411408E-6</v>
      </c>
      <c r="AH40" s="617">
        <f t="shared" si="21"/>
        <v>0.93261738463401822</v>
      </c>
      <c r="AI40" s="618">
        <f t="shared" si="22"/>
        <v>4.0045179073901385E-2</v>
      </c>
      <c r="AJ40" s="501">
        <f t="shared" si="23"/>
        <v>0.1613826153659817</v>
      </c>
      <c r="AK40" s="500">
        <f t="shared" si="24"/>
        <v>2.686099196860579E-2</v>
      </c>
      <c r="AL40" s="501">
        <f t="shared" si="25"/>
        <v>3.7922066309535651E-2</v>
      </c>
      <c r="AM40" s="552">
        <f t="shared" si="26"/>
        <v>1.2694626058916556E-2</v>
      </c>
      <c r="AN40" s="618">
        <f>((((IF(G40="Grey",STDs!$AC$9,IF(G40="Orange",STDs!$AC$8,IF(G40="Green",STDs!$AC$10,STDs!$AC$11))))*2)*(N40-AF40))^2*0.01)/((1+(((IF(G40="Grey",STDs!$AC$9,IF(G40="Orange",STDs!$AC$8,IF(G40="Green",STDs!$AC$10,STDs!$AC$11))))*2)*(N40-AF40))*0.01))</f>
        <v>1.431683206989783E-6</v>
      </c>
      <c r="AO40" s="615">
        <f>AJ40-AN40-IF(G40="Grey",Blanks!$O$7,IF(G40="Orange",Blanks!$O$6,IF(G40="Green",Blanks!$O$8,Blanks!$O$9)))</f>
        <v>0.15249229479388582</v>
      </c>
      <c r="AP40" s="598">
        <f t="shared" si="27"/>
        <v>2.686099196860579E-2</v>
      </c>
      <c r="AQ40" s="498">
        <f>AO40/IF(G40="Grey",STDs!$AF$9,IF(G40="Orange",STDs!$AF$8,IF(G40="Green",STDs!$AF$10,STDs!$AF$11)))</f>
        <v>1.9751650670757741</v>
      </c>
      <c r="AR40" s="607">
        <f>SQRT(((AP40/IF(G40="Grey",STDs!$AF$9,IF(G40="Orange",STDs!$AF$8,IF(G40="Green",STDs!$AF$10,STDs!$AF$11))))^2)+(((AO40*(IF(G40="Grey",STDs!$AG$9,IF(G40="Orange",STDs!$AG$8,IF(G40="Green",STDs!$AG$10,STDs!$AG$11)))))/(IF(G40="Grey",STDs!$AF$9,IF(G40="Orange",STDs!$AF$8,IF(G40="Green",STDs!$AF$10,STDs!$AF$11))))))^2)</f>
        <v>0.34814652335326318</v>
      </c>
      <c r="AS40" s="594">
        <f t="shared" si="28"/>
        <v>2.5886829188411196</v>
      </c>
      <c r="AT40" s="607">
        <f t="shared" si="29"/>
        <v>0.46284817201447126</v>
      </c>
      <c r="AU40" s="562">
        <f>('Count 1 '!AR40-(AS40*EXP(Reference!$C$3*L40)))/(1-EXP(Reference!$C$3*L40))</f>
        <v>2.1899317424280422</v>
      </c>
      <c r="AV40" s="563">
        <f t="shared" si="30"/>
        <v>181.00796777621798</v>
      </c>
      <c r="AW40" s="564">
        <f>AS40-('Count 1 '!AY40*Q40)</f>
        <v>2.1899317424280427</v>
      </c>
      <c r="AX40" s="604">
        <f t="shared" si="31"/>
        <v>0.39155274539109958</v>
      </c>
    </row>
    <row r="41" spans="1:50" x14ac:dyDescent="0.35">
      <c r="A41" s="494">
        <f>Samples!A41</f>
        <v>44</v>
      </c>
      <c r="B41" s="494">
        <f>Samples!B41</f>
        <v>0</v>
      </c>
      <c r="C41" s="495">
        <f>Samples!C41</f>
        <v>44361</v>
      </c>
      <c r="D41" s="496">
        <f>Samples!D41</f>
        <v>0.53125</v>
      </c>
      <c r="E41" s="496" t="str">
        <f>Samples!E41</f>
        <v>SW</v>
      </c>
      <c r="F41" s="572">
        <f>Samples!G41</f>
        <v>200.4</v>
      </c>
      <c r="G41" s="581" t="str">
        <f>Samples!X41</f>
        <v>Grey</v>
      </c>
      <c r="H41" s="582">
        <f>Samples!T41</f>
        <v>44385</v>
      </c>
      <c r="I41" s="583">
        <f>Samples!V41</f>
        <v>0.23031250000000003</v>
      </c>
      <c r="J41" s="584">
        <f>Samples!W41</f>
        <v>242.48</v>
      </c>
      <c r="K41" s="585">
        <f t="shared" si="3"/>
        <v>44385.398701388891</v>
      </c>
      <c r="L41" s="586">
        <f>K41-'Count 1 '!K41</f>
        <v>22.750009259259969</v>
      </c>
      <c r="M41" s="586">
        <f>Samples!AA41</f>
        <v>2.4329999999999998</v>
      </c>
      <c r="N41" s="587">
        <f>Samples!Y41</f>
        <v>0.13200000000000001</v>
      </c>
      <c r="O41" s="587">
        <f>Samples!Z41</f>
        <v>0.64700000000000002</v>
      </c>
      <c r="P41" s="497">
        <f t="shared" si="4"/>
        <v>0.23530265814165197</v>
      </c>
      <c r="Q41" s="497">
        <f t="shared" si="5"/>
        <v>1.0887665191815943E-2</v>
      </c>
      <c r="R41" s="594">
        <f t="shared" si="6"/>
        <v>5.1655215611794932E-2</v>
      </c>
      <c r="S41" s="499">
        <f t="shared" si="7"/>
        <v>156.88455999999999</v>
      </c>
      <c r="T41" s="498">
        <f t="shared" si="8"/>
        <v>5.1655215611794932E-2</v>
      </c>
      <c r="U41" s="500">
        <f t="shared" si="9"/>
        <v>0.15967609153568757</v>
      </c>
      <c r="V41" s="601">
        <f t="shared" si="10"/>
        <v>-6.6670256800394636</v>
      </c>
      <c r="W41" s="499">
        <f t="shared" si="11"/>
        <v>156.88455999999999</v>
      </c>
      <c r="X41" s="498">
        <f t="shared" si="12"/>
        <v>2.3331840771731376E-2</v>
      </c>
      <c r="Y41" s="500">
        <f t="shared" si="13"/>
        <v>0.35351273896562696</v>
      </c>
      <c r="Z41" s="601">
        <f t="shared" si="14"/>
        <v>0.11694808782176264</v>
      </c>
      <c r="AA41" s="552">
        <f t="shared" si="15"/>
        <v>32.007359999999998</v>
      </c>
      <c r="AB41" s="621">
        <f t="shared" si="16"/>
        <v>2.7817257438024927E-2</v>
      </c>
      <c r="AC41" s="500">
        <f t="shared" si="2"/>
        <v>2.6011617046505387E-3</v>
      </c>
      <c r="AD41" s="501">
        <f t="shared" si="17"/>
        <v>1.6539999999999999</v>
      </c>
      <c r="AE41" s="500">
        <f t="shared" si="18"/>
        <v>7.6687009288402108E-2</v>
      </c>
      <c r="AF41" s="500">
        <f t="shared" si="19"/>
        <v>2.4597293875137048E-4</v>
      </c>
      <c r="AG41" s="500">
        <f t="shared" si="20"/>
        <v>2.0217833512623318E-5</v>
      </c>
      <c r="AH41" s="617">
        <f t="shared" si="21"/>
        <v>1.6818172574380248</v>
      </c>
      <c r="AI41" s="618">
        <f t="shared" si="22"/>
        <v>7.6731111264031704E-2</v>
      </c>
      <c r="AJ41" s="501">
        <f t="shared" si="23"/>
        <v>0.61918274256197514</v>
      </c>
      <c r="AK41" s="500">
        <f t="shared" si="24"/>
        <v>5.1720666489467854E-2</v>
      </c>
      <c r="AL41" s="501">
        <f t="shared" si="25"/>
        <v>0.13175402706124864</v>
      </c>
      <c r="AM41" s="552">
        <f t="shared" si="26"/>
        <v>2.3331849531449893E-2</v>
      </c>
      <c r="AN41" s="618">
        <f>((((IF(G41="Grey",STDs!$AC$9,IF(G41="Orange",STDs!$AC$8,IF(G41="Green",STDs!$AC$10,STDs!$AC$11))))*2)*(N41-AF41))^2*0.01)/((1+(((IF(G41="Grey",STDs!$AC$9,IF(G41="Orange",STDs!$AC$8,IF(G41="Green",STDs!$AC$10,STDs!$AC$11))))*2)*(N41-AF41))*0.01))</f>
        <v>1.515980894678354E-5</v>
      </c>
      <c r="AO41" s="615">
        <f>AJ41-AN41-IF(G41="Grey",Blanks!$O$7,IF(G41="Orange",Blanks!$O$6,IF(G41="Green",Blanks!$O$8,Blanks!$O$9)))</f>
        <v>0.58846170040008727</v>
      </c>
      <c r="AP41" s="598">
        <f t="shared" si="27"/>
        <v>5.1720666489467854E-2</v>
      </c>
      <c r="AQ41" s="498">
        <f>AO41/IF(G41="Grey",STDs!$AF$9,IF(G41="Orange",STDs!$AF$8,IF(G41="Green",STDs!$AF$10,STDs!$AF$11)))</f>
        <v>7.8074961208761788</v>
      </c>
      <c r="AR41" s="607">
        <f>SQRT(((AP41/IF(G41="Grey",STDs!$AF$9,IF(G41="Orange",STDs!$AF$8,IF(G41="Green",STDs!$AF$10,STDs!$AF$11))))^2)+(((AO41*(IF(G41="Grey",STDs!$AG$9,IF(G41="Orange",STDs!$AG$8,IF(G41="Green",STDs!$AG$10,STDs!$AG$11)))))/(IF(G41="Grey",STDs!$AF$9,IF(G41="Orange",STDs!$AF$8,IF(G41="Green",STDs!$AF$10,STDs!$AF$11))))))^2)</f>
        <v>0.69639297768486585</v>
      </c>
      <c r="AS41" s="594">
        <f t="shared" si="28"/>
        <v>3.8959561481418055</v>
      </c>
      <c r="AT41" s="607">
        <f t="shared" si="29"/>
        <v>0.36663048094744927</v>
      </c>
      <c r="AU41" s="562">
        <f>('Count 1 '!AR41-(AS41*EXP(Reference!$C$3*L41)))/(1-EXP(Reference!$C$3*L41))</f>
        <v>3.5767168924696873</v>
      </c>
      <c r="AV41" s="563">
        <f t="shared" si="30"/>
        <v>357.83210445066993</v>
      </c>
      <c r="AW41" s="564">
        <f>AS41-('Count 1 '!AY41*Q41)</f>
        <v>3.5767168924696877</v>
      </c>
      <c r="AX41" s="604">
        <f t="shared" si="31"/>
        <v>0.33658834561689677</v>
      </c>
    </row>
    <row r="42" spans="1:50" x14ac:dyDescent="0.35">
      <c r="A42" s="494">
        <f>Samples!A42</f>
        <v>44</v>
      </c>
      <c r="B42" s="494">
        <f>Samples!B42</f>
        <v>1</v>
      </c>
      <c r="C42" s="495">
        <f>Samples!C42</f>
        <v>44361</v>
      </c>
      <c r="D42" s="496">
        <f>Samples!D42</f>
        <v>0.53125</v>
      </c>
      <c r="E42" s="496" t="str">
        <f>Samples!E42</f>
        <v>BW</v>
      </c>
      <c r="F42" s="572">
        <f>Samples!G42</f>
        <v>90.5</v>
      </c>
      <c r="G42" s="581" t="str">
        <f>Samples!X42</f>
        <v>Grey</v>
      </c>
      <c r="H42" s="582">
        <f>Samples!T42</f>
        <v>44385</v>
      </c>
      <c r="I42" s="583">
        <f>Samples!V42</f>
        <v>0.45990740740740749</v>
      </c>
      <c r="J42" s="584">
        <f>Samples!W42</f>
        <v>232.38</v>
      </c>
      <c r="K42" s="585">
        <f t="shared" si="3"/>
        <v>44385.62128240741</v>
      </c>
      <c r="L42" s="586">
        <f>K42-'Count 1 '!K42</f>
        <v>22.87409722222219</v>
      </c>
      <c r="M42" s="586">
        <f>Samples!AA42</f>
        <v>1.76</v>
      </c>
      <c r="N42" s="587">
        <f>Samples!Y42</f>
        <v>0.03</v>
      </c>
      <c r="O42" s="587">
        <f>Samples!Z42</f>
        <v>0.19800000000000001</v>
      </c>
      <c r="P42" s="497">
        <f t="shared" si="4"/>
        <v>0.23214899347507389</v>
      </c>
      <c r="Q42" s="497">
        <f t="shared" si="5"/>
        <v>1.0438251892772541E-2</v>
      </c>
      <c r="R42" s="594">
        <f t="shared" si="6"/>
        <v>2.9189941287145783E-2</v>
      </c>
      <c r="S42" s="499">
        <f t="shared" si="7"/>
        <v>46.011240000000001</v>
      </c>
      <c r="T42" s="498">
        <f t="shared" si="8"/>
        <v>2.9189941287145783E-2</v>
      </c>
      <c r="U42" s="500">
        <f t="shared" si="9"/>
        <v>0.29484789178935128</v>
      </c>
      <c r="V42" s="601">
        <f t="shared" si="10"/>
        <v>-5.4006038629826039</v>
      </c>
      <c r="W42" s="499">
        <f t="shared" si="11"/>
        <v>46.011240000000001</v>
      </c>
      <c r="X42" s="498">
        <f t="shared" si="12"/>
        <v>1.1362169236089919E-2</v>
      </c>
      <c r="Y42" s="500">
        <f t="shared" si="13"/>
        <v>0.75747794907266119</v>
      </c>
      <c r="Z42" s="601">
        <f t="shared" si="14"/>
        <v>0.32823795897780311</v>
      </c>
      <c r="AA42" s="552">
        <f t="shared" si="15"/>
        <v>6.9714</v>
      </c>
      <c r="AB42" s="621">
        <f t="shared" si="16"/>
        <v>2.3835398301986437E-2</v>
      </c>
      <c r="AC42" s="500">
        <f t="shared" si="2"/>
        <v>1.3426550524413751E-3</v>
      </c>
      <c r="AD42" s="501">
        <f t="shared" si="17"/>
        <v>1.532</v>
      </c>
      <c r="AE42" s="500">
        <f t="shared" si="18"/>
        <v>4.2815934352102888E-2</v>
      </c>
      <c r="AF42" s="500">
        <f t="shared" si="19"/>
        <v>2.1156379711256026E-4</v>
      </c>
      <c r="AG42" s="500">
        <f t="shared" si="20"/>
        <v>9.6834140979946557E-6</v>
      </c>
      <c r="AH42" s="617">
        <f t="shared" si="21"/>
        <v>1.5558353983019864</v>
      </c>
      <c r="AI42" s="618">
        <f t="shared" si="22"/>
        <v>4.2836981184876118E-2</v>
      </c>
      <c r="AJ42" s="501">
        <f t="shared" si="23"/>
        <v>0.17416460169801357</v>
      </c>
      <c r="AK42" s="500">
        <f t="shared" si="24"/>
        <v>2.9220804145965326E-2</v>
      </c>
      <c r="AL42" s="501">
        <f t="shared" si="25"/>
        <v>2.9788436202887437E-2</v>
      </c>
      <c r="AM42" s="552">
        <f t="shared" si="26"/>
        <v>1.1362173362436289E-2</v>
      </c>
      <c r="AN42" s="618">
        <f>((((IF(G42="Grey",STDs!$AC$9,IF(G42="Orange",STDs!$AC$8,IF(G42="Green",STDs!$AC$10,STDs!$AC$11))))*2)*(N42-AF42))^2*0.01)/((1+(((IF(G42="Grey",STDs!$AC$9,IF(G42="Orange",STDs!$AC$8,IF(G42="Green",STDs!$AC$10,STDs!$AC$11))))*2)*(N42-AF42))*0.01))</f>
        <v>7.7516150893338883E-7</v>
      </c>
      <c r="AO42" s="615">
        <f>AJ42-AN42-IF(G42="Grey",Blanks!$O$7,IF(G42="Orange",Blanks!$O$6,IF(G42="Green",Blanks!$O$8,Blanks!$O$9)))</f>
        <v>0.14345794418356345</v>
      </c>
      <c r="AP42" s="598">
        <f t="shared" si="27"/>
        <v>2.9220804145965326E-2</v>
      </c>
      <c r="AQ42" s="498">
        <f>AO42/IF(G42="Grey",STDs!$AF$9,IF(G42="Orange",STDs!$AF$8,IF(G42="Green",STDs!$AF$10,STDs!$AF$11)))</f>
        <v>1.9033479017590063</v>
      </c>
      <c r="AR42" s="607">
        <f>SQRT(((AP42/IF(G42="Grey",STDs!$AF$9,IF(G42="Orange",STDs!$AF$8,IF(G42="Green",STDs!$AF$10,STDs!$AF$11))))^2)+(((AO42*(IF(G42="Grey",STDs!$AG$9,IF(G42="Orange",STDs!$AG$8,IF(G42="Green",STDs!$AG$10,STDs!$AG$11)))))/(IF(G42="Grey",STDs!$AF$9,IF(G42="Orange",STDs!$AF$8,IF(G42="Green",STDs!$AF$10,STDs!$AF$11))))))^2)</f>
        <v>0.38876853134220307</v>
      </c>
      <c r="AS42" s="594">
        <f t="shared" si="28"/>
        <v>2.1031468527723827</v>
      </c>
      <c r="AT42" s="607">
        <f t="shared" si="29"/>
        <v>0.43418726499696869</v>
      </c>
      <c r="AU42" s="562">
        <f>('Count 1 '!AR42-(AS42*EXP(Reference!$C$3*L42)))/(1-EXP(Reference!$C$3*L42))</f>
        <v>1.7138070208635869</v>
      </c>
      <c r="AV42" s="563">
        <f t="shared" si="30"/>
        <v>201.48458519463438</v>
      </c>
      <c r="AW42" s="564">
        <f>AS42-('Count 1 '!AY42*Q42)</f>
        <v>1.7138070208635869</v>
      </c>
      <c r="AX42" s="604">
        <f t="shared" si="31"/>
        <v>0.35380942711654612</v>
      </c>
    </row>
    <row r="43" spans="1:50" s="648" customFormat="1" x14ac:dyDescent="0.35">
      <c r="A43" s="623">
        <f>Samples!A43</f>
        <v>44</v>
      </c>
      <c r="B43" s="623">
        <f>Samples!B43</f>
        <v>0</v>
      </c>
      <c r="C43" s="624">
        <f>Samples!C43</f>
        <v>44361</v>
      </c>
      <c r="D43" s="625">
        <f>Samples!D43</f>
        <v>0.53125</v>
      </c>
      <c r="E43" s="625" t="str">
        <f>Samples!E43</f>
        <v>BW-eff</v>
      </c>
      <c r="F43" s="626">
        <f>Samples!G43</f>
        <v>90.5</v>
      </c>
      <c r="G43" s="627">
        <f>Samples!X43</f>
        <v>0</v>
      </c>
      <c r="H43" s="624">
        <f>Samples!T43</f>
        <v>0</v>
      </c>
      <c r="I43" s="625">
        <f>Samples!V43</f>
        <v>0</v>
      </c>
      <c r="J43" s="628">
        <f>Samples!W43</f>
        <v>0</v>
      </c>
      <c r="K43" s="629">
        <f t="shared" si="3"/>
        <v>0</v>
      </c>
      <c r="L43" s="630">
        <f>K43-'Count 1 '!K43</f>
        <v>-44363.214525462965</v>
      </c>
      <c r="M43" s="630">
        <f>Samples!AA43</f>
        <v>0</v>
      </c>
      <c r="N43" s="631">
        <f>Samples!Y43</f>
        <v>0</v>
      </c>
      <c r="O43" s="631">
        <f>Samples!Z43</f>
        <v>0</v>
      </c>
      <c r="P43" s="632" t="e">
        <f t="shared" si="4"/>
        <v>#NUM!</v>
      </c>
      <c r="Q43" s="632" t="e">
        <f t="shared" si="5"/>
        <v>#NUM!</v>
      </c>
      <c r="R43" s="633" t="e">
        <f t="shared" si="6"/>
        <v>#DIV/0!</v>
      </c>
      <c r="S43" s="634">
        <f t="shared" si="7"/>
        <v>0</v>
      </c>
      <c r="T43" s="635" t="e">
        <f t="shared" si="8"/>
        <v>#DIV/0!</v>
      </c>
      <c r="U43" s="636" t="e">
        <f t="shared" si="9"/>
        <v>#DIV/0!</v>
      </c>
      <c r="V43" s="637" t="e">
        <f t="shared" si="10"/>
        <v>#DIV/0!</v>
      </c>
      <c r="W43" s="634">
        <f t="shared" si="11"/>
        <v>0</v>
      </c>
      <c r="X43" s="635" t="e">
        <f t="shared" si="12"/>
        <v>#DIV/0!</v>
      </c>
      <c r="Y43" s="636" t="e">
        <f t="shared" si="13"/>
        <v>#DIV/0!</v>
      </c>
      <c r="Z43" s="637" t="e">
        <f t="shared" si="14"/>
        <v>#DIV/0!</v>
      </c>
      <c r="AA43" s="638">
        <f t="shared" si="15"/>
        <v>0</v>
      </c>
      <c r="AB43" s="639">
        <f t="shared" si="16"/>
        <v>0</v>
      </c>
      <c r="AC43" s="636" t="e">
        <f t="shared" si="2"/>
        <v>#DIV/0!</v>
      </c>
      <c r="AD43" s="640">
        <f t="shared" si="17"/>
        <v>0</v>
      </c>
      <c r="AE43" s="636" t="e">
        <f t="shared" si="18"/>
        <v>#DIV/0!</v>
      </c>
      <c r="AF43" s="636">
        <f t="shared" si="19"/>
        <v>0</v>
      </c>
      <c r="AG43" s="636" t="e">
        <f t="shared" si="20"/>
        <v>#DIV/0!</v>
      </c>
      <c r="AH43" s="640">
        <f t="shared" si="21"/>
        <v>0</v>
      </c>
      <c r="AI43" s="641" t="e">
        <f t="shared" si="22"/>
        <v>#DIV/0!</v>
      </c>
      <c r="AJ43" s="640">
        <f t="shared" si="23"/>
        <v>0</v>
      </c>
      <c r="AK43" s="636" t="e">
        <f t="shared" si="24"/>
        <v>#DIV/0!</v>
      </c>
      <c r="AL43" s="640">
        <f t="shared" si="25"/>
        <v>0</v>
      </c>
      <c r="AM43" s="638" t="e">
        <f t="shared" si="26"/>
        <v>#DIV/0!</v>
      </c>
      <c r="AN43" s="641">
        <f>((((IF(G43="Grey",STDs!$AC$9,IF(G43="Orange",STDs!$AC$8,IF(G43="Green",STDs!$AC$10,STDs!$AC$11))))*2)*(N43-AF43))^2*0.01)/((1+(((IF(G43="Grey",STDs!$AC$9,IF(G43="Orange",STDs!$AC$8,IF(G43="Green",STDs!$AC$10,STDs!$AC$11))))*2)*(N43-AF43))*0.01))</f>
        <v>0</v>
      </c>
      <c r="AO43" s="642">
        <f>AJ43-AN43-IF(G43="Grey",Blanks!$O$7,IF(G43="Orange",Blanks!$O$6,IF(G43="Green",Blanks!$O$8,Blanks!$O$9)))</f>
        <v>-2.6857142857142857E-2</v>
      </c>
      <c r="AP43" s="641" t="e">
        <f t="shared" si="27"/>
        <v>#DIV/0!</v>
      </c>
      <c r="AQ43" s="635">
        <f>AO43/IF(G43="Grey",STDs!$AF$9,IF(G43="Orange",STDs!$AF$8,IF(G43="Green",STDs!$AF$10,STDs!$AF$11)))</f>
        <v>-0.39217443455395906</v>
      </c>
      <c r="AR43" s="643" t="e">
        <f>SQRT(((AP43/IF(G43="Grey",STDs!$AF$9,IF(G43="Orange",STDs!$AF$8,IF(G43="Green",STDs!$AF$10,STDs!$AF$11))))^2)+(((AO43*(IF(G43="Grey",STDs!$AG$9,IF(G43="Orange",STDs!$AG$8,IF(G43="Green",STDs!$AG$10,STDs!$AG$11)))))/(IF(G43="Grey",STDs!$AF$9,IF(G43="Orange",STDs!$AF$8,IF(G43="Green",STDs!$AF$10,STDs!$AF$11))))))^2)</f>
        <v>#DIV/0!</v>
      </c>
      <c r="AS43" s="633">
        <f t="shared" si="28"/>
        <v>-0.4333419166342089</v>
      </c>
      <c r="AT43" s="643" t="e">
        <f t="shared" si="29"/>
        <v>#DIV/0!</v>
      </c>
      <c r="AU43" s="644">
        <f>('Count 1 '!AR43-(AS43*EXP(Reference!$C$3*L43)))/(1-EXP(Reference!$C$3*L43))</f>
        <v>0.86680090606069649</v>
      </c>
      <c r="AV43" s="645" t="e">
        <f t="shared" si="30"/>
        <v>#NUM!</v>
      </c>
      <c r="AW43" s="646" t="e">
        <f>AS43-('Count 1 '!AY43*Q43)</f>
        <v>#NUM!</v>
      </c>
      <c r="AX43" s="647" t="e">
        <f t="shared" si="31"/>
        <v>#DIV/0!</v>
      </c>
    </row>
    <row r="44" spans="1:50" x14ac:dyDescent="0.35">
      <c r="A44" s="494">
        <f>Samples!A44</f>
        <v>45</v>
      </c>
      <c r="B44" s="494">
        <f>Samples!B44</f>
        <v>0</v>
      </c>
      <c r="C44" s="495">
        <f>Samples!C44</f>
        <v>44361</v>
      </c>
      <c r="D44" s="496">
        <f>Samples!D44</f>
        <v>0.79861111111111116</v>
      </c>
      <c r="E44" s="496" t="str">
        <f>Samples!E44</f>
        <v>SW</v>
      </c>
      <c r="F44" s="572">
        <f>Samples!G44</f>
        <v>200.1</v>
      </c>
      <c r="G44" s="581" t="str">
        <f>Samples!X44</f>
        <v>Orange</v>
      </c>
      <c r="H44" s="582">
        <f>Samples!T44</f>
        <v>44389</v>
      </c>
      <c r="I44" s="583">
        <f>Samples!V44</f>
        <v>0.23122685185185188</v>
      </c>
      <c r="J44" s="584">
        <f>Samples!W44</f>
        <v>222.07</v>
      </c>
      <c r="K44" s="585">
        <f t="shared" si="3"/>
        <v>44389.385442129627</v>
      </c>
      <c r="L44" s="586">
        <f>K44-'Count 1 '!K44</f>
        <v>26.902712962961232</v>
      </c>
      <c r="M44" s="586">
        <f>Samples!AA44</f>
        <v>2.8690000000000002</v>
      </c>
      <c r="N44" s="587">
        <f>Samples!Y44</f>
        <v>4.1000000000000002E-2</v>
      </c>
      <c r="O44" s="587">
        <f>Samples!Z44</f>
        <v>0.874</v>
      </c>
      <c r="P44" s="497">
        <f t="shared" si="4"/>
        <v>0.18780382075739696</v>
      </c>
      <c r="Q44" s="497">
        <f t="shared" si="5"/>
        <v>5.3829564760441394E-3</v>
      </c>
      <c r="R44" s="594">
        <f t="shared" si="6"/>
        <v>6.2735125342402345E-2</v>
      </c>
      <c r="S44" s="499">
        <f t="shared" si="7"/>
        <v>194.08918</v>
      </c>
      <c r="T44" s="498">
        <f t="shared" si="8"/>
        <v>6.2735125342402345E-2</v>
      </c>
      <c r="U44" s="500">
        <f t="shared" si="9"/>
        <v>0.14355863922746531</v>
      </c>
      <c r="V44" s="601">
        <f t="shared" si="10"/>
        <v>-8.5777075793873117</v>
      </c>
      <c r="W44" s="499">
        <f t="shared" si="11"/>
        <v>194.08918</v>
      </c>
      <c r="X44" s="498">
        <f t="shared" si="12"/>
        <v>1.3587732302755857E-2</v>
      </c>
      <c r="Y44" s="500">
        <f t="shared" si="13"/>
        <v>0.66281620989052958</v>
      </c>
      <c r="Z44" s="601">
        <f t="shared" si="14"/>
        <v>0.25427103972666282</v>
      </c>
      <c r="AA44" s="552">
        <f t="shared" si="15"/>
        <v>9.10487</v>
      </c>
      <c r="AB44" s="621">
        <f t="shared" si="16"/>
        <v>3.8942088407482207E-2</v>
      </c>
      <c r="AC44" s="500">
        <f t="shared" si="2"/>
        <v>3.6131924815816815E-3</v>
      </c>
      <c r="AD44" s="501">
        <f t="shared" si="17"/>
        <v>1.9540000000000002</v>
      </c>
      <c r="AE44" s="500">
        <f t="shared" si="18"/>
        <v>8.9755325037488565E-2</v>
      </c>
      <c r="AF44" s="500">
        <f t="shared" si="19"/>
        <v>3.4113330881593981E-4</v>
      </c>
      <c r="AG44" s="500">
        <f t="shared" si="20"/>
        <v>3.3033384843381514E-5</v>
      </c>
      <c r="AH44" s="617">
        <f t="shared" si="21"/>
        <v>1.9929420884074824</v>
      </c>
      <c r="AI44" s="618">
        <f t="shared" si="22"/>
        <v>8.9828021978078626E-2</v>
      </c>
      <c r="AJ44" s="501">
        <f t="shared" si="23"/>
        <v>0.83505791159251774</v>
      </c>
      <c r="AK44" s="500">
        <f t="shared" si="24"/>
        <v>6.2839089042059565E-2</v>
      </c>
      <c r="AL44" s="501">
        <f t="shared" si="25"/>
        <v>4.0658866691184063E-2</v>
      </c>
      <c r="AM44" s="552">
        <f t="shared" si="26"/>
        <v>1.3587772456729954E-2</v>
      </c>
      <c r="AN44" s="618">
        <f>((((IF(G44="Grey",STDs!$AC$9,IF(G44="Orange",STDs!$AC$8,IF(G44="Green",STDs!$AC$10,STDs!$AC$11))))*2)*(N44-AF44))^2*0.01)/((1+(((IF(G44="Grey",STDs!$AC$9,IF(G44="Orange",STDs!$AC$8,IF(G44="Green",STDs!$AC$10,STDs!$AC$11))))*2)*(N44-AF44))*0.01))</f>
        <v>1.6457722399120516E-6</v>
      </c>
      <c r="AO44" s="615">
        <f>AJ44-AN44-IF(G44="Grey",Blanks!$O$7,IF(G44="Orange",Blanks!$O$6,IF(G44="Green",Blanks!$O$8,Blanks!$O$9)))</f>
        <v>0.82616737693138897</v>
      </c>
      <c r="AP44" s="598">
        <f t="shared" si="27"/>
        <v>6.2839089042059565E-2</v>
      </c>
      <c r="AQ44" s="498">
        <f>AO44/IF(G44="Grey",STDs!$AF$9,IF(G44="Orange",STDs!$AF$8,IF(G44="Green",STDs!$AF$10,STDs!$AF$11)))</f>
        <v>10.700979644106784</v>
      </c>
      <c r="AR44" s="607">
        <f>SQRT(((AP44/IF(G44="Grey",STDs!$AF$9,IF(G44="Orange",STDs!$AF$8,IF(G44="Green",STDs!$AF$10,STDs!$AF$11))))^2)+(((AO44*(IF(G44="Grey",STDs!$AG$9,IF(G44="Orange",STDs!$AG$8,IF(G44="Green",STDs!$AG$10,STDs!$AG$11)))))/(IF(G44="Grey",STDs!$AF$9,IF(G44="Orange",STDs!$AF$8,IF(G44="Green",STDs!$AF$10,STDs!$AF$11))))))^2)</f>
        <v>0.81678352792570907</v>
      </c>
      <c r="AS44" s="594">
        <f t="shared" si="28"/>
        <v>5.3478159140963442</v>
      </c>
      <c r="AT44" s="607">
        <f t="shared" si="29"/>
        <v>0.43858453642406264</v>
      </c>
      <c r="AU44" s="562">
        <f>('Count 1 '!AR44-(AS44*EXP(Reference!$C$3*L44)))/(1-EXP(Reference!$C$3*L44))</f>
        <v>5.3522105827857231</v>
      </c>
      <c r="AV44" s="563">
        <f t="shared" si="30"/>
        <v>993.47188443670655</v>
      </c>
      <c r="AW44" s="564">
        <f>AS44-('Count 1 '!AY44*Q44)</f>
        <v>5.3522105827857231</v>
      </c>
      <c r="AX44" s="604">
        <f t="shared" si="31"/>
        <v>0.43894495154695201</v>
      </c>
    </row>
    <row r="45" spans="1:50" x14ac:dyDescent="0.35">
      <c r="A45" s="494">
        <f>Samples!A45</f>
        <v>45</v>
      </c>
      <c r="B45" s="494">
        <f>Samples!B45</f>
        <v>1</v>
      </c>
      <c r="C45" s="495">
        <f>Samples!C45</f>
        <v>44361</v>
      </c>
      <c r="D45" s="496">
        <f>Samples!D45</f>
        <v>0.79861111111111116</v>
      </c>
      <c r="E45" s="496" t="str">
        <f>Samples!E45</f>
        <v>BW</v>
      </c>
      <c r="F45" s="572">
        <f>Samples!G45</f>
        <v>104</v>
      </c>
      <c r="G45" s="581" t="str">
        <f>Samples!X45</f>
        <v>Grey</v>
      </c>
      <c r="H45" s="582">
        <f>Samples!T45</f>
        <v>44389</v>
      </c>
      <c r="I45" s="583">
        <f>Samples!V45</f>
        <v>0.23113425925925929</v>
      </c>
      <c r="J45" s="584">
        <f>Samples!W45</f>
        <v>222.12</v>
      </c>
      <c r="K45" s="585">
        <f t="shared" si="3"/>
        <v>44389.385384259258</v>
      </c>
      <c r="L45" s="586">
        <f>K45-'Count 1 '!K45</f>
        <v>26.492233796292567</v>
      </c>
      <c r="M45" s="586">
        <f>Samples!AA45</f>
        <v>1.607</v>
      </c>
      <c r="N45" s="587">
        <f>Samples!Y45</f>
        <v>3.2000000000000001E-2</v>
      </c>
      <c r="O45" s="587">
        <f>Samples!Z45</f>
        <v>0.46400000000000002</v>
      </c>
      <c r="P45" s="497">
        <f t="shared" si="4"/>
        <v>0.18780447961067739</v>
      </c>
      <c r="Q45" s="497">
        <f t="shared" si="5"/>
        <v>5.3830154722222402E-3</v>
      </c>
      <c r="R45" s="594">
        <f t="shared" si="6"/>
        <v>4.57051520293296E-2</v>
      </c>
      <c r="S45" s="499">
        <f t="shared" si="7"/>
        <v>103.06368000000001</v>
      </c>
      <c r="T45" s="498">
        <f t="shared" si="8"/>
        <v>4.57051520293296E-2</v>
      </c>
      <c r="U45" s="500">
        <f t="shared" si="9"/>
        <v>0.19700496564366202</v>
      </c>
      <c r="V45" s="601">
        <f t="shared" si="10"/>
        <v>-2.6753074513754482</v>
      </c>
      <c r="W45" s="499">
        <f t="shared" si="11"/>
        <v>103.06368000000001</v>
      </c>
      <c r="X45" s="498">
        <f t="shared" si="12"/>
        <v>1.2002760952565156E-2</v>
      </c>
      <c r="Y45" s="500">
        <f t="shared" si="13"/>
        <v>0.75017255953532225</v>
      </c>
      <c r="Z45" s="601">
        <f t="shared" si="14"/>
        <v>0.34949749272775393</v>
      </c>
      <c r="AA45" s="552">
        <f t="shared" si="15"/>
        <v>7.1078400000000004</v>
      </c>
      <c r="AB45" s="621">
        <f t="shared" si="16"/>
        <v>1.248188372822053E-2</v>
      </c>
      <c r="AC45" s="500">
        <f t="shared" si="2"/>
        <v>1.4854930931247374E-3</v>
      </c>
      <c r="AD45" s="501">
        <f t="shared" si="17"/>
        <v>1.111</v>
      </c>
      <c r="AE45" s="500">
        <f t="shared" si="18"/>
        <v>6.5741829260621318E-2</v>
      </c>
      <c r="AF45" s="500">
        <f t="shared" si="19"/>
        <v>1.1223847734335429E-4</v>
      </c>
      <c r="AG45" s="500">
        <f t="shared" si="20"/>
        <v>7.8175893764130911E-6</v>
      </c>
      <c r="AH45" s="617">
        <f t="shared" si="21"/>
        <v>1.1234818837282203</v>
      </c>
      <c r="AI45" s="618">
        <f t="shared" si="22"/>
        <v>6.5758610115044303E-2</v>
      </c>
      <c r="AJ45" s="501">
        <f t="shared" si="23"/>
        <v>0.45151811627177951</v>
      </c>
      <c r="AK45" s="500">
        <f t="shared" si="24"/>
        <v>4.5729286149620275E-2</v>
      </c>
      <c r="AL45" s="501">
        <f t="shared" si="25"/>
        <v>3.1887761522656648E-2</v>
      </c>
      <c r="AM45" s="552">
        <f t="shared" si="26"/>
        <v>1.2002763498425122E-2</v>
      </c>
      <c r="AN45" s="618">
        <f>((((IF(G45="Grey",STDs!$AC$9,IF(G45="Orange",STDs!$AC$8,IF(G45="Green",STDs!$AC$10,STDs!$AC$11))))*2)*(N45-AF45))^2*0.01)/((1+(((IF(G45="Grey",STDs!$AC$9,IF(G45="Orange",STDs!$AC$8,IF(G45="Green",STDs!$AC$10,STDs!$AC$11))))*2)*(N45-AF45))*0.01))</f>
        <v>8.8826420670838583E-7</v>
      </c>
      <c r="AO45" s="615">
        <f>AJ45-AN45-IF(G45="Grey",Blanks!$O$7,IF(G45="Orange",Blanks!$O$6,IF(G45="Green",Blanks!$O$8,Blanks!$O$9)))</f>
        <v>0.42081134565463163</v>
      </c>
      <c r="AP45" s="598">
        <f t="shared" si="27"/>
        <v>4.5729286149620275E-2</v>
      </c>
      <c r="AQ45" s="498">
        <f>AO45/IF(G45="Grey",STDs!$AF$9,IF(G45="Orange",STDs!$AF$8,IF(G45="Green",STDs!$AF$10,STDs!$AF$11)))</f>
        <v>5.5831721020849194</v>
      </c>
      <c r="AR45" s="607">
        <f>SQRT(((AP45/IF(G45="Grey",STDs!$AF$9,IF(G45="Orange",STDs!$AF$8,IF(G45="Green",STDs!$AF$10,STDs!$AF$11))))^2)+(((AO45*(IF(G45="Grey",STDs!$AG$9,IF(G45="Orange",STDs!$AG$8,IF(G45="Green",STDs!$AG$10,STDs!$AG$11)))))/(IF(G45="Grey",STDs!$AF$9,IF(G45="Orange",STDs!$AF$8,IF(G45="Green",STDs!$AF$10,STDs!$AF$11))))))^2)</f>
        <v>0.61262349742750488</v>
      </c>
      <c r="AS45" s="594">
        <f t="shared" si="28"/>
        <v>5.3684347135431914</v>
      </c>
      <c r="AT45" s="607">
        <f t="shared" si="29"/>
        <v>0.61068077497302198</v>
      </c>
      <c r="AU45" s="562">
        <f>('Count 1 '!AR45-(AS45*EXP(Reference!$C$3*L45)))/(1-EXP(Reference!$C$3*L45))</f>
        <v>5.1942512703890431</v>
      </c>
      <c r="AV45" s="563">
        <f t="shared" si="30"/>
        <v>997.29134000184672</v>
      </c>
      <c r="AW45" s="564">
        <f>AS45-('Count 1 '!AY45*Q45)</f>
        <v>5.1942512703890431</v>
      </c>
      <c r="AX45" s="604">
        <f t="shared" si="31"/>
        <v>0.59086671636400157</v>
      </c>
    </row>
    <row r="46" spans="1:50" x14ac:dyDescent="0.35">
      <c r="A46" s="494">
        <f>Samples!A46</f>
        <v>46</v>
      </c>
      <c r="B46" s="494">
        <f>Samples!B46</f>
        <v>0</v>
      </c>
      <c r="C46" s="495">
        <f>Samples!C46</f>
        <v>44361</v>
      </c>
      <c r="D46" s="496">
        <f>Samples!D46</f>
        <v>0.99652777777777779</v>
      </c>
      <c r="E46" s="496" t="str">
        <f>Samples!E46</f>
        <v>SW</v>
      </c>
      <c r="F46" s="572">
        <f>Samples!G46</f>
        <v>199.9</v>
      </c>
      <c r="G46" s="581" t="str">
        <f>Samples!X46</f>
        <v>Grey</v>
      </c>
      <c r="H46" s="582">
        <f>Samples!T46</f>
        <v>44389</v>
      </c>
      <c r="I46" s="583">
        <f>Samples!V46</f>
        <v>0.41112268518518519</v>
      </c>
      <c r="J46" s="584">
        <f>Samples!W46</f>
        <v>231.77</v>
      </c>
      <c r="K46" s="585">
        <f t="shared" si="3"/>
        <v>44389.572074074073</v>
      </c>
      <c r="L46" s="586">
        <f>K46-'Count 1 '!K46</f>
        <v>27.090081018519413</v>
      </c>
      <c r="M46" s="586">
        <f>Samples!AA46</f>
        <v>2.1659999999999999</v>
      </c>
      <c r="N46" s="587">
        <f>Samples!Y46</f>
        <v>3.9E-2</v>
      </c>
      <c r="O46" s="587">
        <f>Samples!Z46</f>
        <v>0.71599999999999997</v>
      </c>
      <c r="P46" s="497">
        <f t="shared" si="4"/>
        <v>0.18793234087913063</v>
      </c>
      <c r="Q46" s="497">
        <f t="shared" si="5"/>
        <v>5.394472969796088E-3</v>
      </c>
      <c r="R46" s="594">
        <f t="shared" si="6"/>
        <v>5.5581197670185718E-2</v>
      </c>
      <c r="S46" s="499">
        <f t="shared" si="7"/>
        <v>165.94731999999999</v>
      </c>
      <c r="T46" s="498">
        <f t="shared" si="8"/>
        <v>5.5581197670185718E-2</v>
      </c>
      <c r="U46" s="500">
        <f t="shared" si="9"/>
        <v>0.15525474209549084</v>
      </c>
      <c r="V46" s="601">
        <f t="shared" si="10"/>
        <v>-4.6038731821129328</v>
      </c>
      <c r="W46" s="499">
        <f t="shared" si="11"/>
        <v>165.94731999999999</v>
      </c>
      <c r="X46" s="498">
        <f t="shared" si="12"/>
        <v>1.2971903019142642E-2</v>
      </c>
      <c r="Y46" s="500">
        <f t="shared" si="13"/>
        <v>0.66522579585346886</v>
      </c>
      <c r="Z46" s="601">
        <f t="shared" si="14"/>
        <v>0.2901454392422913</v>
      </c>
      <c r="AA46" s="552">
        <f t="shared" si="15"/>
        <v>9.0390300000000003</v>
      </c>
      <c r="AB46" s="621">
        <f t="shared" si="16"/>
        <v>2.0194149448721461E-2</v>
      </c>
      <c r="AC46" s="500">
        <f t="shared" si="2"/>
        <v>2.2966933111929042E-3</v>
      </c>
      <c r="AD46" s="501">
        <f t="shared" si="17"/>
        <v>1.411</v>
      </c>
      <c r="AE46" s="500">
        <f t="shared" si="18"/>
        <v>7.9666864735864679E-2</v>
      </c>
      <c r="AF46" s="500">
        <f t="shared" si="19"/>
        <v>1.7991697634652128E-4</v>
      </c>
      <c r="AG46" s="500">
        <f t="shared" si="20"/>
        <v>1.5282846927207134E-5</v>
      </c>
      <c r="AH46" s="617">
        <f t="shared" si="21"/>
        <v>1.4311941494487215</v>
      </c>
      <c r="AI46" s="618">
        <f t="shared" si="22"/>
        <v>7.9699963218361883E-2</v>
      </c>
      <c r="AJ46" s="501">
        <f t="shared" si="23"/>
        <v>0.69580585055127853</v>
      </c>
      <c r="AK46" s="500">
        <f t="shared" si="24"/>
        <v>5.5628628732136982E-2</v>
      </c>
      <c r="AL46" s="501">
        <f t="shared" si="25"/>
        <v>3.882008302365348E-2</v>
      </c>
      <c r="AM46" s="552">
        <f t="shared" si="26"/>
        <v>1.297191202188221E-2</v>
      </c>
      <c r="AN46" s="618">
        <f>((((IF(G46="Grey",STDs!$AC$9,IF(G46="Orange",STDs!$AC$8,IF(G46="Green",STDs!$AC$10,STDs!$AC$11))))*2)*(N46-AF46))^2*0.01)/((1+(((IF(G46="Grey",STDs!$AC$9,IF(G46="Orange",STDs!$AC$8,IF(G46="Green",STDs!$AC$10,STDs!$AC$11))))*2)*(N46-AF46))*0.01))</f>
        <v>1.3164310500670189E-6</v>
      </c>
      <c r="AO46" s="615">
        <f>AJ46-AN46-IF(G46="Grey",Blanks!$O$7,IF(G46="Orange",Blanks!$O$6,IF(G46="Green",Blanks!$O$8,Blanks!$O$9)))</f>
        <v>0.66509865176728733</v>
      </c>
      <c r="AP46" s="598">
        <f t="shared" si="27"/>
        <v>5.5628628732136982E-2</v>
      </c>
      <c r="AQ46" s="498">
        <f>AO46/IF(G46="Grey",STDs!$AF$9,IF(G46="Orange",STDs!$AF$8,IF(G46="Green",STDs!$AF$10,STDs!$AF$11)))</f>
        <v>8.8242873582810706</v>
      </c>
      <c r="AR46" s="607">
        <f>SQRT(((AP46/IF(G46="Grey",STDs!$AF$9,IF(G46="Orange",STDs!$AF$8,IF(G46="Green",STDs!$AF$10,STDs!$AF$11))))^2)+(((AO46*(IF(G46="Grey",STDs!$AG$9,IF(G46="Orange",STDs!$AG$8,IF(G46="Green",STDs!$AG$10,STDs!$AG$11)))))/(IF(G46="Grey",STDs!$AF$9,IF(G46="Orange",STDs!$AF$8,IF(G46="Green",STDs!$AF$10,STDs!$AF$11))))))^2)</f>
        <v>0.75014420611447696</v>
      </c>
      <c r="AS46" s="594">
        <f t="shared" si="28"/>
        <v>4.4143508545678189</v>
      </c>
      <c r="AT46" s="607">
        <f t="shared" si="29"/>
        <v>0.39794184408587663</v>
      </c>
      <c r="AU46" s="562">
        <f>('Count 1 '!AR46-(AS46*EXP(Reference!$C$3*L46)))/(1-EXP(Reference!$C$3*L46))</f>
        <v>4.4185212265202471</v>
      </c>
      <c r="AV46" s="563">
        <f t="shared" si="30"/>
        <v>818.30994043050737</v>
      </c>
      <c r="AW46" s="564">
        <f>AS46-('Count 1 '!AY46*Q46)</f>
        <v>4.4185212265202471</v>
      </c>
      <c r="AX46" s="604">
        <f t="shared" si="31"/>
        <v>0.39831779188883754</v>
      </c>
    </row>
    <row r="47" spans="1:50" x14ac:dyDescent="0.35">
      <c r="A47" s="494">
        <f>Samples!A47</f>
        <v>47</v>
      </c>
      <c r="B47" s="494">
        <f>Samples!B47</f>
        <v>0</v>
      </c>
      <c r="C47" s="495">
        <f>Samples!C47</f>
        <v>44362</v>
      </c>
      <c r="D47" s="496">
        <f>Samples!D47</f>
        <v>0.16666666666666666</v>
      </c>
      <c r="E47" s="496" t="str">
        <f>Samples!E47</f>
        <v>SW</v>
      </c>
      <c r="F47" s="572">
        <f>Samples!G47</f>
        <v>200.5</v>
      </c>
      <c r="G47" s="581" t="str">
        <f>Samples!X47</f>
        <v>Orange</v>
      </c>
      <c r="H47" s="582">
        <f>Samples!T47</f>
        <v>44391</v>
      </c>
      <c r="I47" s="583">
        <f>Samples!V47</f>
        <v>0.24020833333333336</v>
      </c>
      <c r="J47" s="584">
        <f>Samples!W47</f>
        <v>211.77</v>
      </c>
      <c r="K47" s="585">
        <f t="shared" si="3"/>
        <v>44391.387270833337</v>
      </c>
      <c r="L47" s="586">
        <f>K47-'Count 1 '!K47</f>
        <v>28.892039351856511</v>
      </c>
      <c r="M47" s="586">
        <f>Samples!AA47</f>
        <v>2.012</v>
      </c>
      <c r="N47" s="587">
        <f>Samples!Y47</f>
        <v>3.3000000000000002E-2</v>
      </c>
      <c r="O47" s="587">
        <f>Samples!Z47</f>
        <v>0.54300000000000004</v>
      </c>
      <c r="P47" s="497">
        <f t="shared" si="4"/>
        <v>0.17009481158782841</v>
      </c>
      <c r="Q47" s="497">
        <f t="shared" si="5"/>
        <v>3.9504380964177441E-3</v>
      </c>
      <c r="R47" s="594">
        <f t="shared" si="6"/>
        <v>5.0636968354183333E-2</v>
      </c>
      <c r="S47" s="499">
        <f t="shared" si="7"/>
        <v>114.99111000000002</v>
      </c>
      <c r="T47" s="498">
        <f t="shared" si="8"/>
        <v>5.0636968354183333E-2</v>
      </c>
      <c r="U47" s="500">
        <f t="shared" si="9"/>
        <v>0.18650817073364023</v>
      </c>
      <c r="V47" s="601">
        <f t="shared" si="10"/>
        <v>-4.3390830760863244</v>
      </c>
      <c r="W47" s="499">
        <f t="shared" si="11"/>
        <v>114.99111000000002</v>
      </c>
      <c r="X47" s="498">
        <f t="shared" si="12"/>
        <v>1.2483166168780795E-2</v>
      </c>
      <c r="Y47" s="500">
        <f t="shared" si="13"/>
        <v>0.75655552538065418</v>
      </c>
      <c r="Z47" s="601">
        <f t="shared" si="14"/>
        <v>0.33776613892344881</v>
      </c>
      <c r="AA47" s="552">
        <f t="shared" si="15"/>
        <v>6.9884100000000009</v>
      </c>
      <c r="AB47" s="621">
        <f t="shared" si="16"/>
        <v>2.0921391177306119E-2</v>
      </c>
      <c r="AC47" s="500">
        <f t="shared" si="2"/>
        <v>2.1335417106155617E-3</v>
      </c>
      <c r="AD47" s="501">
        <f t="shared" si="17"/>
        <v>1.4359999999999999</v>
      </c>
      <c r="AE47" s="500">
        <f t="shared" si="18"/>
        <v>7.2691365139213898E-2</v>
      </c>
      <c r="AF47" s="500">
        <f t="shared" si="19"/>
        <v>1.8625212584084272E-4</v>
      </c>
      <c r="AG47" s="500">
        <f t="shared" si="20"/>
        <v>1.4443445385714753E-5</v>
      </c>
      <c r="AH47" s="617">
        <f t="shared" si="21"/>
        <v>1.456921391177306</v>
      </c>
      <c r="AI47" s="618">
        <f t="shared" si="22"/>
        <v>7.2722668859396641E-2</v>
      </c>
      <c r="AJ47" s="501">
        <f t="shared" si="23"/>
        <v>0.52207860882269397</v>
      </c>
      <c r="AK47" s="500">
        <f t="shared" si="24"/>
        <v>5.06818958241846E-2</v>
      </c>
      <c r="AL47" s="501">
        <f t="shared" si="25"/>
        <v>3.2813747874159159E-2</v>
      </c>
      <c r="AM47" s="552">
        <f t="shared" si="26"/>
        <v>1.2483174524555362E-2</v>
      </c>
      <c r="AN47" s="618">
        <f>((((IF(G47="Grey",STDs!$AC$9,IF(G47="Orange",STDs!$AC$8,IF(G47="Green",STDs!$AC$10,STDs!$AC$11))))*2)*(N47-AF47))^2*0.01)/((1+(((IF(G47="Grey",STDs!$AC$9,IF(G47="Orange",STDs!$AC$8,IF(G47="Green",STDs!$AC$10,STDs!$AC$11))))*2)*(N47-AF47))*0.01))</f>
        <v>1.0719674975948352E-6</v>
      </c>
      <c r="AO47" s="615">
        <f>AJ47-AN47-IF(G47="Grey",Blanks!$O$7,IF(G47="Orange",Blanks!$O$6,IF(G47="Green",Blanks!$O$8,Blanks!$O$9)))</f>
        <v>0.51318864796630759</v>
      </c>
      <c r="AP47" s="598">
        <f t="shared" si="27"/>
        <v>5.06818958241846E-2</v>
      </c>
      <c r="AQ47" s="498">
        <f>AO47/IF(G47="Grey",STDs!$AF$9,IF(G47="Orange",STDs!$AF$8,IF(G47="Green",STDs!$AF$10,STDs!$AF$11)))</f>
        <v>6.6471049678474596</v>
      </c>
      <c r="AR47" s="607">
        <f>SQRT(((AP47/IF(G47="Grey",STDs!$AF$9,IF(G47="Orange",STDs!$AF$8,IF(G47="Green",STDs!$AF$10,STDs!$AF$11))))^2)+(((AO47*(IF(G47="Grey",STDs!$AG$9,IF(G47="Orange",STDs!$AG$8,IF(G47="Green",STDs!$AG$10,STDs!$AG$11)))))/(IF(G47="Grey",STDs!$AF$9,IF(G47="Orange",STDs!$AF$8,IF(G47="Green",STDs!$AF$10,STDs!$AF$11))))))^2)</f>
        <v>0.65782773954609775</v>
      </c>
      <c r="AS47" s="594">
        <f t="shared" si="28"/>
        <v>3.3152643231159398</v>
      </c>
      <c r="AT47" s="607">
        <f t="shared" si="29"/>
        <v>0.34283715311376733</v>
      </c>
      <c r="AU47" s="562">
        <f>('Count 1 '!AR47-(AS47*EXP(Reference!$C$3*L47)))/(1-EXP(Reference!$C$3*L47))</f>
        <v>3.3140726797392039</v>
      </c>
      <c r="AV47" s="563">
        <f t="shared" si="30"/>
        <v>839.21434590310889</v>
      </c>
      <c r="AW47" s="564">
        <f>AS47-('Count 1 '!AY47*Q47)</f>
        <v>3.3140726797392035</v>
      </c>
      <c r="AX47" s="604">
        <f t="shared" si="31"/>
        <v>0.34271392323434008</v>
      </c>
    </row>
    <row r="48" spans="1:50" x14ac:dyDescent="0.35">
      <c r="A48" s="494">
        <f>Samples!A48</f>
        <v>47</v>
      </c>
      <c r="B48" s="494">
        <f>Samples!B48</f>
        <v>2</v>
      </c>
      <c r="C48" s="495">
        <f>Samples!C48</f>
        <v>44362</v>
      </c>
      <c r="D48" s="496">
        <f>Samples!D48</f>
        <v>0.1763888888888889</v>
      </c>
      <c r="E48" s="496" t="str">
        <f>Samples!E48</f>
        <v>BW</v>
      </c>
      <c r="F48" s="572">
        <f>Samples!G48</f>
        <v>77.2</v>
      </c>
      <c r="G48" s="581" t="str">
        <f>Samples!X48</f>
        <v>Orange</v>
      </c>
      <c r="H48" s="582">
        <f>Samples!T48</f>
        <v>44389</v>
      </c>
      <c r="I48" s="583">
        <f>Samples!V48</f>
        <v>0.41114583333333332</v>
      </c>
      <c r="J48" s="584">
        <f>Samples!W48</f>
        <v>231.77</v>
      </c>
      <c r="K48" s="585">
        <f t="shared" si="3"/>
        <v>44389.572097222226</v>
      </c>
      <c r="L48" s="586">
        <f>K48-'Count 1 '!K48</f>
        <v>26.813486111117527</v>
      </c>
      <c r="M48" s="586">
        <f>Samples!AA48</f>
        <v>1.1819999999999999</v>
      </c>
      <c r="N48" s="587">
        <f>Samples!Y48</f>
        <v>1.2999999999999999E-2</v>
      </c>
      <c r="O48" s="587">
        <f>Samples!Z48</f>
        <v>0.23300000000000001</v>
      </c>
      <c r="P48" s="497">
        <f t="shared" si="4"/>
        <v>0.18999239995431941</v>
      </c>
      <c r="Q48" s="497">
        <f t="shared" si="5"/>
        <v>5.5813652984202794E-3</v>
      </c>
      <c r="R48" s="594">
        <f t="shared" si="6"/>
        <v>3.1706576374207145E-2</v>
      </c>
      <c r="S48" s="499">
        <f t="shared" si="7"/>
        <v>54.002410000000005</v>
      </c>
      <c r="T48" s="498">
        <f t="shared" si="8"/>
        <v>3.1706576374207145E-2</v>
      </c>
      <c r="U48" s="500">
        <f t="shared" si="9"/>
        <v>0.27215945385585527</v>
      </c>
      <c r="V48" s="601">
        <f t="shared" si="10"/>
        <v>-1.916240785912926</v>
      </c>
      <c r="W48" s="499">
        <f t="shared" si="11"/>
        <v>54.002410000000005</v>
      </c>
      <c r="X48" s="498">
        <f t="shared" si="12"/>
        <v>7.4893317000037235E-3</v>
      </c>
      <c r="Y48" s="500">
        <f t="shared" si="13"/>
        <v>1.1522048769236499</v>
      </c>
      <c r="Z48" s="601">
        <f t="shared" si="14"/>
        <v>0.55579781505217596</v>
      </c>
      <c r="AA48" s="552">
        <f t="shared" si="15"/>
        <v>3.01301</v>
      </c>
      <c r="AB48" s="621">
        <f t="shared" si="16"/>
        <v>8.8437373818945307E-3</v>
      </c>
      <c r="AC48" s="500">
        <f t="shared" si="2"/>
        <v>8.6312958272053385E-4</v>
      </c>
      <c r="AD48" s="501">
        <f t="shared" si="17"/>
        <v>0.93599999999999994</v>
      </c>
      <c r="AE48" s="500">
        <f t="shared" si="18"/>
        <v>4.5461016927248139E-2</v>
      </c>
      <c r="AF48" s="500">
        <f t="shared" si="19"/>
        <v>7.9951436239171245E-5</v>
      </c>
      <c r="AG48" s="500">
        <f t="shared" si="20"/>
        <v>3.8367298078624856E-6</v>
      </c>
      <c r="AH48" s="617">
        <f t="shared" si="21"/>
        <v>0.94484373738189442</v>
      </c>
      <c r="AI48" s="618">
        <f t="shared" si="22"/>
        <v>4.5469209941850865E-2</v>
      </c>
      <c r="AJ48" s="501">
        <f t="shared" si="23"/>
        <v>0.22415626261810548</v>
      </c>
      <c r="AK48" s="500">
        <f t="shared" si="24"/>
        <v>3.1718322434359576E-2</v>
      </c>
      <c r="AL48" s="501">
        <f t="shared" si="25"/>
        <v>1.2920048563760828E-2</v>
      </c>
      <c r="AM48" s="552">
        <f t="shared" si="26"/>
        <v>7.4893326827679572E-3</v>
      </c>
      <c r="AN48" s="618">
        <f>((((IF(G48="Grey",STDs!$AC$9,IF(G48="Orange",STDs!$AC$8,IF(G48="Green",STDs!$AC$10,STDs!$AC$11))))*2)*(N48-AF48))^2*0.01)/((1+(((IF(G48="Grey",STDs!$AC$9,IF(G48="Orange",STDs!$AC$8,IF(G48="Green",STDs!$AC$10,STDs!$AC$11))))*2)*(N48-AF48))*0.01))</f>
        <v>1.6619788627792689E-7</v>
      </c>
      <c r="AO48" s="615">
        <f>AJ48-AN48-IF(G48="Grey",Blanks!$O$7,IF(G48="Orange",Blanks!$O$6,IF(G48="Green",Blanks!$O$8,Blanks!$O$9)))</f>
        <v>0.2152672075313303</v>
      </c>
      <c r="AP48" s="598">
        <f t="shared" si="27"/>
        <v>3.1718322434359576E-2</v>
      </c>
      <c r="AQ48" s="498">
        <f>AO48/IF(G48="Grey",STDs!$AF$9,IF(G48="Orange",STDs!$AF$8,IF(G48="Green",STDs!$AF$10,STDs!$AF$11)))</f>
        <v>2.7882606723017358</v>
      </c>
      <c r="AR48" s="607">
        <f>SQRT(((AP48/IF(G48="Grey",STDs!$AF$9,IF(G48="Orange",STDs!$AF$8,IF(G48="Green",STDs!$AF$10,STDs!$AF$11))))^2)+(((AO48*(IF(G48="Grey",STDs!$AG$9,IF(G48="Orange",STDs!$AG$8,IF(G48="Green",STDs!$AG$10,STDs!$AG$11)))))/(IF(G48="Grey",STDs!$AF$9,IF(G48="Orange",STDs!$AF$8,IF(G48="Green",STDs!$AF$10,STDs!$AF$11))))))^2)</f>
        <v>0.41121809611629412</v>
      </c>
      <c r="AS48" s="594">
        <f t="shared" si="28"/>
        <v>3.6117366221525073</v>
      </c>
      <c r="AT48" s="607">
        <f t="shared" si="29"/>
        <v>0.54357443623071144</v>
      </c>
      <c r="AU48" s="562">
        <f>('Count 1 '!AR48-(AS48*EXP(Reference!$C$3*L48)))/(1-EXP(Reference!$C$3*L48))</f>
        <v>3.5509413300251405</v>
      </c>
      <c r="AV48" s="563">
        <f t="shared" si="30"/>
        <v>647.10629551066199</v>
      </c>
      <c r="AW48" s="564">
        <f>AS48-('Count 1 '!AY48*Q48)</f>
        <v>3.5509413300251405</v>
      </c>
      <c r="AX48" s="604">
        <f t="shared" si="31"/>
        <v>0.53442460884824861</v>
      </c>
    </row>
    <row r="49" spans="1:50" x14ac:dyDescent="0.35">
      <c r="A49" s="494">
        <f>Samples!A49</f>
        <v>49</v>
      </c>
      <c r="B49" s="494">
        <f>Samples!B49</f>
        <v>0</v>
      </c>
      <c r="C49" s="495">
        <f>Samples!C49</f>
        <v>44362</v>
      </c>
      <c r="D49" s="496">
        <f>Samples!D49</f>
        <v>0.65277777777777779</v>
      </c>
      <c r="E49" s="496" t="str">
        <f>Samples!E49</f>
        <v>SW</v>
      </c>
      <c r="F49" s="572">
        <f>Samples!G49</f>
        <v>200</v>
      </c>
      <c r="G49" s="581" t="str">
        <f>Samples!X49</f>
        <v>Grey</v>
      </c>
      <c r="H49" s="582">
        <f>Samples!T49</f>
        <v>44390</v>
      </c>
      <c r="I49" s="583">
        <f>Samples!V49</f>
        <v>0.51736111111111105</v>
      </c>
      <c r="J49" s="584">
        <f>Samples!W49</f>
        <v>344</v>
      </c>
      <c r="K49" s="585">
        <f t="shared" si="3"/>
        <v>44390.756249999999</v>
      </c>
      <c r="L49" s="586">
        <f>K49-'Count 1 '!K49</f>
        <v>27.038810185185866</v>
      </c>
      <c r="M49" s="586">
        <f>Samples!AA49</f>
        <v>2.27</v>
      </c>
      <c r="N49" s="587">
        <f>Samples!Y49</f>
        <v>2.9000000000000001E-2</v>
      </c>
      <c r="O49" s="587">
        <f>Samples!Z49</f>
        <v>0.55500000000000005</v>
      </c>
      <c r="P49" s="497">
        <f t="shared" si="4"/>
        <v>0.18201303470170149</v>
      </c>
      <c r="Q49" s="497">
        <f t="shared" si="5"/>
        <v>4.8812138597323692E-3</v>
      </c>
      <c r="R49" s="594">
        <f t="shared" si="6"/>
        <v>4.0166803370734597E-2</v>
      </c>
      <c r="S49" s="499">
        <f t="shared" si="7"/>
        <v>190.92000000000002</v>
      </c>
      <c r="T49" s="498">
        <f t="shared" si="8"/>
        <v>4.0166803370734597E-2</v>
      </c>
      <c r="U49" s="500">
        <f t="shared" si="9"/>
        <v>0.14474523737201656</v>
      </c>
      <c r="V49" s="601">
        <f t="shared" si="10"/>
        <v>-9.8757613369237909</v>
      </c>
      <c r="W49" s="499">
        <f t="shared" si="11"/>
        <v>190.92000000000002</v>
      </c>
      <c r="X49" s="498">
        <f t="shared" si="12"/>
        <v>9.1816297889533403E-3</v>
      </c>
      <c r="Y49" s="500">
        <f t="shared" si="13"/>
        <v>0.63321584751402338</v>
      </c>
      <c r="Z49" s="601">
        <f t="shared" si="14"/>
        <v>0.22734909103305409</v>
      </c>
      <c r="AA49" s="552">
        <f t="shared" si="15"/>
        <v>9.9760000000000009</v>
      </c>
      <c r="AB49" s="621">
        <f t="shared" si="16"/>
        <v>2.8913440608662043E-2</v>
      </c>
      <c r="AC49" s="500">
        <f t="shared" si="2"/>
        <v>1.9905030762009277E-3</v>
      </c>
      <c r="AD49" s="501">
        <f t="shared" si="17"/>
        <v>1.6859999999999999</v>
      </c>
      <c r="AE49" s="500">
        <f t="shared" si="18"/>
        <v>5.7541693680564422E-2</v>
      </c>
      <c r="AF49" s="500">
        <f t="shared" si="19"/>
        <v>2.5541139668204207E-4</v>
      </c>
      <c r="AG49" s="500">
        <f t="shared" si="20"/>
        <v>1.5763388862664459E-5</v>
      </c>
      <c r="AH49" s="617">
        <f t="shared" si="21"/>
        <v>1.7149134406086621</v>
      </c>
      <c r="AI49" s="618">
        <f t="shared" si="22"/>
        <v>5.7576111488396586E-2</v>
      </c>
      <c r="AJ49" s="501">
        <f t="shared" si="23"/>
        <v>0.52608655939133797</v>
      </c>
      <c r="AK49" s="500">
        <f t="shared" si="24"/>
        <v>4.0216093737701845E-2</v>
      </c>
      <c r="AL49" s="501">
        <f t="shared" si="25"/>
        <v>2.874458860331796E-2</v>
      </c>
      <c r="AM49" s="552">
        <f t="shared" si="26"/>
        <v>9.1816433205512728E-3</v>
      </c>
      <c r="AN49" s="618">
        <f>((((IF(G49="Grey",STDs!$AC$9,IF(G49="Orange",STDs!$AC$8,IF(G49="Green",STDs!$AC$10,STDs!$AC$11))))*2)*(N49-AF49))^2*0.01)/((1+(((IF(G49="Grey",STDs!$AC$9,IF(G49="Orange",STDs!$AC$8,IF(G49="Green",STDs!$AC$10,STDs!$AC$11))))*2)*(N49-AF49))*0.01))</f>
        <v>7.2178910853255884E-7</v>
      </c>
      <c r="AO49" s="615">
        <f>AJ49-AN49-IF(G49="Grey",Blanks!$O$7,IF(G49="Orange",Blanks!$O$6,IF(G49="Green",Blanks!$O$8,Blanks!$O$9)))</f>
        <v>0.4953799552492883</v>
      </c>
      <c r="AP49" s="598">
        <f t="shared" si="27"/>
        <v>4.0216093737701845E-2</v>
      </c>
      <c r="AQ49" s="498">
        <f>AO49/IF(G49="Grey",STDs!$AF$9,IF(G49="Orange",STDs!$AF$8,IF(G49="Green",STDs!$AF$10,STDs!$AF$11)))</f>
        <v>6.5725213320408979</v>
      </c>
      <c r="AR49" s="607">
        <f>SQRT(((AP49/IF(G49="Grey",STDs!$AF$9,IF(G49="Orange",STDs!$AF$8,IF(G49="Green",STDs!$AF$10,STDs!$AF$11))))^2)+(((AO49*(IF(G49="Grey",STDs!$AG$9,IF(G49="Orange",STDs!$AG$8,IF(G49="Green",STDs!$AG$10,STDs!$AG$11)))))/(IF(G49="Grey",STDs!$AF$9,IF(G49="Orange",STDs!$AF$8,IF(G49="Green",STDs!$AF$10,STDs!$AF$11))))))^2)</f>
        <v>0.54284062359126029</v>
      </c>
      <c r="AS49" s="594">
        <f t="shared" si="28"/>
        <v>3.286260666020449</v>
      </c>
      <c r="AT49" s="607">
        <f t="shared" si="29"/>
        <v>0.28877074627421484</v>
      </c>
      <c r="AU49" s="562">
        <f>('Count 1 '!AR49-(AS49*EXP(Reference!$C$3*L49)))/(1-EXP(Reference!$C$3*L49))</f>
        <v>3.2831995702035499</v>
      </c>
      <c r="AV49" s="563">
        <f t="shared" si="30"/>
        <v>673.24660636783301</v>
      </c>
      <c r="AW49" s="564">
        <f>AS49-('Count 1 '!AY49*Q49)</f>
        <v>3.2831995702035495</v>
      </c>
      <c r="AX49" s="604">
        <f t="shared" si="31"/>
        <v>0.2885017612443288</v>
      </c>
    </row>
    <row r="50" spans="1:50" x14ac:dyDescent="0.35">
      <c r="A50" s="494">
        <f>Samples!A50</f>
        <v>50</v>
      </c>
      <c r="B50" s="494">
        <f>Samples!B50</f>
        <v>0</v>
      </c>
      <c r="C50" s="495">
        <f>Samples!C50</f>
        <v>44362</v>
      </c>
      <c r="D50" s="496">
        <f>Samples!D50</f>
        <v>0.86249999999999993</v>
      </c>
      <c r="E50" s="496" t="str">
        <f>Samples!E50</f>
        <v>SW</v>
      </c>
      <c r="F50" s="572">
        <f>Samples!G50</f>
        <v>199.9</v>
      </c>
      <c r="G50" s="581" t="str">
        <f>Samples!X50</f>
        <v>Grey</v>
      </c>
      <c r="H50" s="582">
        <f>Samples!T50</f>
        <v>44391</v>
      </c>
      <c r="I50" s="583">
        <f>Samples!V50</f>
        <v>0.43251157407407409</v>
      </c>
      <c r="J50" s="584">
        <f>Samples!W50</f>
        <v>232.85</v>
      </c>
      <c r="K50" s="585">
        <f t="shared" si="3"/>
        <v>44391.594212962962</v>
      </c>
      <c r="L50" s="586">
        <f>K50-'Count 1 '!K50</f>
        <v>27.876643518524361</v>
      </c>
      <c r="M50" s="586">
        <f>Samples!AA50</f>
        <v>3.1779999999999999</v>
      </c>
      <c r="N50" s="587">
        <f>Samples!Y50</f>
        <v>4.2999999999999997E-2</v>
      </c>
      <c r="O50" s="587">
        <f>Samples!Z50</f>
        <v>0.95299999999999996</v>
      </c>
      <c r="P50" s="497">
        <f t="shared" si="4"/>
        <v>0.17521141938458659</v>
      </c>
      <c r="Q50" s="497">
        <f t="shared" si="5"/>
        <v>4.3336705607191885E-3</v>
      </c>
      <c r="R50" s="594">
        <f t="shared" si="6"/>
        <v>6.3974710485511066E-2</v>
      </c>
      <c r="S50" s="499">
        <f t="shared" si="7"/>
        <v>221.90604999999999</v>
      </c>
      <c r="T50" s="498">
        <f t="shared" si="8"/>
        <v>6.3974710485511066E-2</v>
      </c>
      <c r="U50" s="500">
        <f t="shared" si="9"/>
        <v>0.13425962326445137</v>
      </c>
      <c r="V50" s="601">
        <f t="shared" si="10"/>
        <v>-11.268182799720085</v>
      </c>
      <c r="W50" s="499">
        <f t="shared" si="11"/>
        <v>221.90604999999999</v>
      </c>
      <c r="X50" s="498">
        <f t="shared" si="12"/>
        <v>1.3589269345961792E-2</v>
      </c>
      <c r="Y50" s="500">
        <f t="shared" si="13"/>
        <v>0.6320590393470602</v>
      </c>
      <c r="Z50" s="601">
        <f t="shared" si="14"/>
        <v>0.21589653416008178</v>
      </c>
      <c r="AA50" s="552">
        <f t="shared" si="15"/>
        <v>10.012549999999999</v>
      </c>
      <c r="AB50" s="621">
        <f t="shared" si="16"/>
        <v>4.8673291214295936E-2</v>
      </c>
      <c r="AC50" s="500">
        <f t="shared" si="2"/>
        <v>4.1271551321380925E-3</v>
      </c>
      <c r="AD50" s="501">
        <f t="shared" si="17"/>
        <v>2.1819999999999999</v>
      </c>
      <c r="AE50" s="500">
        <f t="shared" si="18"/>
        <v>9.1488772014750613E-2</v>
      </c>
      <c r="AF50" s="500">
        <f t="shared" si="19"/>
        <v>4.2333469405940748E-4</v>
      </c>
      <c r="AG50" s="500">
        <f t="shared" si="20"/>
        <v>4.1996283936523255E-5</v>
      </c>
      <c r="AH50" s="617">
        <f t="shared" si="21"/>
        <v>2.2306732912142957</v>
      </c>
      <c r="AI50" s="618">
        <f t="shared" si="22"/>
        <v>9.1581814866553882E-2</v>
      </c>
      <c r="AJ50" s="501">
        <f t="shared" si="23"/>
        <v>0.90432670878570398</v>
      </c>
      <c r="AK50" s="500">
        <f t="shared" si="24"/>
        <v>6.4107698376947631E-2</v>
      </c>
      <c r="AL50" s="501">
        <f t="shared" si="25"/>
        <v>4.2576665305940592E-2</v>
      </c>
      <c r="AM50" s="552">
        <f t="shared" si="26"/>
        <v>1.3589334238473985E-2</v>
      </c>
      <c r="AN50" s="618">
        <f>((((IF(G50="Grey",STDs!$AC$9,IF(G50="Orange",STDs!$AC$8,IF(G50="Green",STDs!$AC$10,STDs!$AC$11))))*2)*(N50-AF50))^2*0.01)/((1+(((IF(G50="Grey",STDs!$AC$9,IF(G50="Orange",STDs!$AC$8,IF(G50="Green",STDs!$AC$10,STDs!$AC$11))))*2)*(N50-AF50))*0.01))</f>
        <v>1.583520401554621E-6</v>
      </c>
      <c r="AO50" s="615">
        <f>AJ50-AN50-IF(G50="Grey",Blanks!$O$7,IF(G50="Orange",Blanks!$O$6,IF(G50="Green",Blanks!$O$8,Blanks!$O$9)))</f>
        <v>0.87361924291236126</v>
      </c>
      <c r="AP50" s="598">
        <f t="shared" si="27"/>
        <v>6.4107698376947631E-2</v>
      </c>
      <c r="AQ50" s="498">
        <f>AO50/IF(G50="Grey",STDs!$AF$9,IF(G50="Orange",STDs!$AF$8,IF(G50="Green",STDs!$AF$10,STDs!$AF$11)))</f>
        <v>11.590862830195556</v>
      </c>
      <c r="AR50" s="607">
        <f>SQRT(((AP50/IF(G50="Grey",STDs!$AF$9,IF(G50="Orange",STDs!$AF$8,IF(G50="Green",STDs!$AF$10,STDs!$AF$11))))^2)+(((AO50*(IF(G50="Grey",STDs!$AG$9,IF(G50="Orange",STDs!$AG$8,IF(G50="Green",STDs!$AG$10,STDs!$AG$11)))))/(IF(G50="Grey",STDs!$AF$9,IF(G50="Orange",STDs!$AF$8,IF(G50="Green",STDs!$AF$10,STDs!$AF$11))))))^2)</f>
        <v>0.86860528511655188</v>
      </c>
      <c r="AS50" s="594">
        <f t="shared" si="28"/>
        <v>5.7983305803879714</v>
      </c>
      <c r="AT50" s="607">
        <f t="shared" si="29"/>
        <v>0.46804499724322246</v>
      </c>
      <c r="AU50" s="562">
        <f>('Count 1 '!AR50-(AS50*EXP(Reference!$C$3*L50)))/(1-EXP(Reference!$C$3*L50))</f>
        <v>5.8057306293577238</v>
      </c>
      <c r="AV50" s="563">
        <f t="shared" si="30"/>
        <v>1337.9721645075201</v>
      </c>
      <c r="AW50" s="564">
        <f>AS50-('Count 1 '!AY50*Q50)</f>
        <v>5.8057306293577238</v>
      </c>
      <c r="AX50" s="604">
        <f t="shared" si="31"/>
        <v>0.46864233398551902</v>
      </c>
    </row>
    <row r="51" spans="1:50" x14ac:dyDescent="0.35">
      <c r="A51" s="145"/>
      <c r="B51" s="2"/>
      <c r="C51" s="591"/>
      <c r="D51" s="2"/>
      <c r="G51" s="592"/>
      <c r="H51" s="257"/>
      <c r="AV51" s="563"/>
    </row>
    <row r="52" spans="1:50" x14ac:dyDescent="0.35">
      <c r="A52" s="145"/>
      <c r="B52" s="2"/>
    </row>
    <row r="53" spans="1:50" x14ac:dyDescent="0.35">
      <c r="A53" s="145"/>
      <c r="B53" s="2"/>
    </row>
  </sheetData>
  <mergeCells count="11">
    <mergeCell ref="AJ1:AM1"/>
    <mergeCell ref="AW1:AX1"/>
    <mergeCell ref="AQ1:AR1"/>
    <mergeCell ref="AS1:AT1"/>
    <mergeCell ref="AB1:AI1"/>
    <mergeCell ref="X1:AA1"/>
    <mergeCell ref="C1:D1"/>
    <mergeCell ref="H1:O1"/>
    <mergeCell ref="P1:Q1"/>
    <mergeCell ref="R1:S1"/>
    <mergeCell ref="T1:W1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E3670"/>
  <sheetViews>
    <sheetView tabSelected="1" zoomScale="95" zoomScaleNormal="95" workbookViewId="0">
      <pane xSplit="1" topLeftCell="F1" activePane="topRight" state="frozen"/>
      <selection pane="topRight" activeCell="L22" sqref="L22"/>
    </sheetView>
  </sheetViews>
  <sheetFormatPr defaultColWidth="11.1640625" defaultRowHeight="15.5" x14ac:dyDescent="0.35"/>
  <cols>
    <col min="1" max="1" width="11" style="20" customWidth="1"/>
    <col min="2" max="2" width="8" style="195" bestFit="1" customWidth="1"/>
    <col min="3" max="3" width="10.6640625" bestFit="1" customWidth="1"/>
    <col min="4" max="4" width="9.08203125" style="5" customWidth="1"/>
    <col min="5" max="5" width="16" style="25" customWidth="1"/>
    <col min="6" max="6" width="44.33203125" style="14" customWidth="1"/>
    <col min="7" max="7" width="7.83203125" style="15" bestFit="1" customWidth="1"/>
    <col min="8" max="8" width="13.33203125" style="184" bestFit="1" customWidth="1"/>
    <col min="9" max="9" width="13.33203125" style="184" customWidth="1"/>
    <col min="10" max="10" width="12.33203125" style="185" bestFit="1" customWidth="1"/>
    <col min="11" max="11" width="8.83203125" style="183" bestFit="1" customWidth="1"/>
    <col min="12" max="12" width="8.1640625" style="183" bestFit="1" customWidth="1"/>
    <col min="13" max="13" width="7.33203125" style="189" bestFit="1" customWidth="1"/>
    <col min="14" max="14" width="6.83203125" style="189" customWidth="1"/>
    <col min="15" max="15" width="7.33203125" style="190" bestFit="1" customWidth="1"/>
    <col min="16" max="16" width="6.33203125" style="191" customWidth="1"/>
    <col min="17" max="17" width="8" style="192" customWidth="1"/>
    <col min="18" max="18" width="9.1640625" style="193" customWidth="1"/>
    <col min="19" max="19" width="9.1640625" style="254" customWidth="1"/>
    <col min="20" max="20" width="11.5" style="259" customWidth="1"/>
    <col min="21" max="21" width="7.75" style="257" bestFit="1" customWidth="1"/>
    <col min="22" max="22" width="10.08203125" style="415" customWidth="1"/>
    <col min="23" max="23" width="14.1640625" style="247" bestFit="1" customWidth="1"/>
    <col min="24" max="24" width="8.1640625" style="244" bestFit="1" customWidth="1"/>
    <col min="25" max="25" width="6.25" style="245" bestFit="1" customWidth="1"/>
    <col min="26" max="26" width="6.83203125" style="245" customWidth="1"/>
    <col min="27" max="27" width="14.08203125" style="246" bestFit="1" customWidth="1"/>
    <col min="28" max="28" width="6.33203125" style="248" customWidth="1"/>
    <col min="29" max="29" width="8" style="249" customWidth="1"/>
    <col min="30" max="30" width="9.1640625" style="250" customWidth="1"/>
    <col min="31" max="31" width="9.1640625" style="251" customWidth="1"/>
    <col min="32" max="32" width="10.6640625" style="328" bestFit="1" customWidth="1"/>
    <col min="33" max="33" width="8.1640625" style="369" customWidth="1"/>
    <col min="34" max="34" width="8.75" style="370" bestFit="1" customWidth="1"/>
    <col min="35" max="35" width="8.1640625" style="377" bestFit="1" customWidth="1"/>
    <col min="36" max="36" width="6.25" style="310" bestFit="1" customWidth="1"/>
    <col min="37" max="37" width="6.83203125" style="310" customWidth="1"/>
    <col min="38" max="38" width="7.25" style="317" bestFit="1" customWidth="1"/>
    <col min="39" max="39" width="6.33203125" style="318" customWidth="1"/>
    <col min="40" max="40" width="8" style="319" customWidth="1"/>
    <col min="41" max="41" width="9.1640625" style="320" customWidth="1"/>
    <col min="42" max="42" width="9.1640625" style="356" customWidth="1"/>
    <col min="43" max="43" width="10.9140625" style="297" bestFit="1" customWidth="1"/>
    <col min="44" max="44" width="8.9140625" style="298" bestFit="1" customWidth="1"/>
    <col min="45" max="46" width="11.83203125" customWidth="1"/>
    <col min="47" max="47" width="9" bestFit="1" customWidth="1"/>
    <col min="50" max="50" width="15.5" bestFit="1" customWidth="1"/>
  </cols>
  <sheetData>
    <row r="1" spans="1:57" s="3" customFormat="1" ht="21.5" customHeight="1" thickBot="1" x14ac:dyDescent="0.4">
      <c r="A1" s="754" t="s">
        <v>127</v>
      </c>
      <c r="B1" s="754"/>
      <c r="C1" s="754"/>
      <c r="D1" s="754"/>
      <c r="E1" s="754"/>
      <c r="F1" s="754"/>
      <c r="G1" s="755"/>
      <c r="H1" s="764" t="s">
        <v>128</v>
      </c>
      <c r="I1" s="765"/>
      <c r="J1" s="766"/>
      <c r="K1" s="766"/>
      <c r="L1" s="179"/>
      <c r="M1" s="772" t="s">
        <v>15</v>
      </c>
      <c r="N1" s="772"/>
      <c r="O1" s="773"/>
      <c r="P1" s="774" t="s">
        <v>16</v>
      </c>
      <c r="Q1" s="772"/>
      <c r="R1" s="773"/>
      <c r="S1" s="252"/>
      <c r="T1" s="767" t="s">
        <v>129</v>
      </c>
      <c r="U1" s="768"/>
      <c r="V1" s="768"/>
      <c r="W1" s="769"/>
      <c r="X1" s="229"/>
      <c r="Y1" s="761" t="s">
        <v>17</v>
      </c>
      <c r="Z1" s="762"/>
      <c r="AA1" s="763"/>
      <c r="AB1" s="761" t="s">
        <v>18</v>
      </c>
      <c r="AC1" s="762"/>
      <c r="AD1" s="763"/>
      <c r="AE1" s="230"/>
      <c r="AF1" s="770" t="s">
        <v>138</v>
      </c>
      <c r="AG1" s="771"/>
      <c r="AH1" s="771"/>
      <c r="AI1" s="378"/>
      <c r="AJ1" s="758" t="s">
        <v>19</v>
      </c>
      <c r="AK1" s="758"/>
      <c r="AL1" s="759"/>
      <c r="AM1" s="760" t="s">
        <v>20</v>
      </c>
      <c r="AN1" s="758"/>
      <c r="AO1" s="759"/>
      <c r="AP1" s="352"/>
      <c r="AQ1" s="756" t="s">
        <v>13</v>
      </c>
      <c r="AR1" s="757"/>
      <c r="AS1" s="30"/>
      <c r="AT1" s="30"/>
      <c r="AU1" s="30"/>
    </row>
    <row r="2" spans="1:57" s="282" customFormat="1" ht="31" x14ac:dyDescent="0.35">
      <c r="A2" s="260" t="s">
        <v>113</v>
      </c>
      <c r="B2" s="261" t="s">
        <v>126</v>
      </c>
      <c r="C2" s="262" t="s">
        <v>1</v>
      </c>
      <c r="D2" s="260" t="s">
        <v>153</v>
      </c>
      <c r="E2" s="263" t="s">
        <v>4</v>
      </c>
      <c r="F2" s="264" t="s">
        <v>5</v>
      </c>
      <c r="G2" s="265" t="s">
        <v>3</v>
      </c>
      <c r="H2" s="266" t="s">
        <v>1</v>
      </c>
      <c r="I2" s="411" t="s">
        <v>154</v>
      </c>
      <c r="J2" s="267" t="s">
        <v>153</v>
      </c>
      <c r="K2" s="267" t="s">
        <v>26</v>
      </c>
      <c r="L2" s="268" t="s">
        <v>7</v>
      </c>
      <c r="M2" s="266">
        <v>219</v>
      </c>
      <c r="N2" s="267">
        <v>220</v>
      </c>
      <c r="O2" s="267" t="s">
        <v>12</v>
      </c>
      <c r="P2" s="269">
        <v>219</v>
      </c>
      <c r="Q2" s="270">
        <v>220</v>
      </c>
      <c r="R2" s="271" t="s">
        <v>12</v>
      </c>
      <c r="S2" s="272" t="s">
        <v>132</v>
      </c>
      <c r="T2" s="273" t="s">
        <v>1</v>
      </c>
      <c r="U2" s="274" t="s">
        <v>154</v>
      </c>
      <c r="V2" s="412" t="s">
        <v>153</v>
      </c>
      <c r="W2" s="275" t="s">
        <v>26</v>
      </c>
      <c r="X2" s="276" t="s">
        <v>7</v>
      </c>
      <c r="Y2" s="277">
        <v>219</v>
      </c>
      <c r="Z2" s="276">
        <v>220</v>
      </c>
      <c r="AA2" s="276" t="s">
        <v>12</v>
      </c>
      <c r="AB2" s="278">
        <v>219</v>
      </c>
      <c r="AC2" s="279">
        <v>220</v>
      </c>
      <c r="AD2" s="280" t="s">
        <v>12</v>
      </c>
      <c r="AE2" s="327" t="s">
        <v>132</v>
      </c>
      <c r="AF2" s="357" t="s">
        <v>1</v>
      </c>
      <c r="AG2" s="371" t="s">
        <v>2</v>
      </c>
      <c r="AH2" s="372" t="s">
        <v>26</v>
      </c>
      <c r="AI2" s="329" t="s">
        <v>7</v>
      </c>
      <c r="AJ2" s="300">
        <v>219</v>
      </c>
      <c r="AK2" s="301">
        <v>220</v>
      </c>
      <c r="AL2" s="301" t="s">
        <v>12</v>
      </c>
      <c r="AM2" s="302">
        <v>219</v>
      </c>
      <c r="AN2" s="303">
        <v>220</v>
      </c>
      <c r="AO2" s="304" t="s">
        <v>12</v>
      </c>
      <c r="AP2" s="353" t="s">
        <v>132</v>
      </c>
      <c r="AQ2" s="291">
        <v>219</v>
      </c>
      <c r="AR2" s="292">
        <v>220</v>
      </c>
      <c r="AS2" s="281" t="s">
        <v>30</v>
      </c>
      <c r="AT2" s="281" t="s">
        <v>29</v>
      </c>
      <c r="AU2" s="281" t="s">
        <v>31</v>
      </c>
      <c r="AW2" s="405"/>
      <c r="AX2" s="407" t="s">
        <v>155</v>
      </c>
      <c r="AY2" s="406"/>
    </row>
    <row r="3" spans="1:57" ht="16" thickBot="1" x14ac:dyDescent="0.4">
      <c r="A3" s="20">
        <v>1</v>
      </c>
      <c r="C3" s="26">
        <v>44351</v>
      </c>
      <c r="D3" s="27">
        <v>0.29901620370370369</v>
      </c>
      <c r="E3" s="31" t="s">
        <v>120</v>
      </c>
      <c r="F3" s="32" t="s">
        <v>6</v>
      </c>
      <c r="G3" s="33">
        <v>100</v>
      </c>
      <c r="H3" s="180">
        <v>44352</v>
      </c>
      <c r="I3" s="409">
        <v>0.52916666666666667</v>
      </c>
      <c r="J3" s="181">
        <f>I3-$AX$3</f>
        <v>0.44583333333333336</v>
      </c>
      <c r="K3" s="182">
        <v>40.4</v>
      </c>
      <c r="L3" s="183" t="s">
        <v>9</v>
      </c>
      <c r="M3" s="184">
        <v>1.0640000000000001</v>
      </c>
      <c r="N3" s="184">
        <v>15.272</v>
      </c>
      <c r="O3" s="185">
        <v>33.390999999999998</v>
      </c>
      <c r="P3" s="186">
        <f>(M3/$G3)*100</f>
        <v>1.0640000000000001</v>
      </c>
      <c r="Q3" s="187">
        <f>(N3/$G3)*100</f>
        <v>15.272</v>
      </c>
      <c r="R3" s="188">
        <f>(O3/$G3)*100</f>
        <v>33.390999999999998</v>
      </c>
      <c r="S3" s="253" t="s">
        <v>28</v>
      </c>
      <c r="T3" s="258">
        <v>44360</v>
      </c>
      <c r="U3" s="255">
        <v>0.60163194444444446</v>
      </c>
      <c r="V3" s="413">
        <f>U3-$AX$3</f>
        <v>0.51829861111111108</v>
      </c>
      <c r="W3" s="231">
        <v>132.47</v>
      </c>
      <c r="X3" s="229" t="s">
        <v>8</v>
      </c>
      <c r="Y3" s="232">
        <v>0.4</v>
      </c>
      <c r="Z3" s="232">
        <v>3.08</v>
      </c>
      <c r="AA3" s="233">
        <v>8.0619999999999994</v>
      </c>
      <c r="AB3" s="234">
        <f>(Y3/$G3)*100</f>
        <v>0.4</v>
      </c>
      <c r="AC3" s="235">
        <f>(Z3/$G3)*100</f>
        <v>3.08</v>
      </c>
      <c r="AD3" s="236">
        <f>(AA3/$G3)*100</f>
        <v>8.0619999999999994</v>
      </c>
      <c r="AE3" s="237" t="s">
        <v>28</v>
      </c>
      <c r="AF3" s="358">
        <v>43753</v>
      </c>
      <c r="AG3" s="365">
        <v>0.59722222222222221</v>
      </c>
      <c r="AH3" s="366">
        <v>1109</v>
      </c>
      <c r="AI3" s="373" t="s">
        <v>8</v>
      </c>
      <c r="AJ3" s="305">
        <v>9.0999999999999998E-2</v>
      </c>
      <c r="AK3" s="305">
        <v>0.69499999999999995</v>
      </c>
      <c r="AL3" s="306">
        <v>3.8130000000000002</v>
      </c>
      <c r="AM3" s="307">
        <f>(AJ3/$G3)*100</f>
        <v>9.0999999999999998E-2</v>
      </c>
      <c r="AN3" s="308">
        <f>(AK3/$G3)*100</f>
        <v>0.69499999999999995</v>
      </c>
      <c r="AO3" s="309">
        <f>(AL3/$G3)*100</f>
        <v>3.8130000000000006</v>
      </c>
      <c r="AP3" s="354"/>
      <c r="AQ3" s="293"/>
      <c r="AR3" s="294"/>
      <c r="AS3" s="34">
        <f>AVERAGE(AQ3:AQ49)</f>
        <v>0.88623169340635211</v>
      </c>
      <c r="AT3" s="34">
        <f>AVERAGE(AR3:AR49)</f>
        <v>0.80644543112158085</v>
      </c>
      <c r="AU3" s="30">
        <f>COUNT(AR5:AR49)</f>
        <v>4</v>
      </c>
      <c r="AX3" s="408">
        <v>8.3333333333333329E-2</v>
      </c>
    </row>
    <row r="4" spans="1:57" x14ac:dyDescent="0.35">
      <c r="A4" s="20">
        <v>2</v>
      </c>
      <c r="C4" s="26">
        <v>44351</v>
      </c>
      <c r="D4" s="27">
        <v>0.3833333333333333</v>
      </c>
      <c r="E4" s="31" t="s">
        <v>120</v>
      </c>
      <c r="F4" s="32" t="s">
        <v>6</v>
      </c>
      <c r="G4" s="33">
        <v>200.4</v>
      </c>
      <c r="H4" s="180">
        <v>44352</v>
      </c>
      <c r="I4" s="409">
        <v>0.40553240740740742</v>
      </c>
      <c r="J4" s="181">
        <f t="shared" ref="J4:J50" si="0">I4-$AX$3</f>
        <v>0.32219907407407411</v>
      </c>
      <c r="K4" s="182">
        <v>72.12</v>
      </c>
      <c r="L4" s="183" t="s">
        <v>130</v>
      </c>
      <c r="M4" s="184">
        <v>0.76300000000000001</v>
      </c>
      <c r="N4" s="184">
        <v>7.5430000000000001</v>
      </c>
      <c r="O4" s="185">
        <v>17.527000000000001</v>
      </c>
      <c r="P4" s="186">
        <f t="shared" ref="P4:P5" si="1">(M4/$G4)*100</f>
        <v>0.38073852295409183</v>
      </c>
      <c r="Q4" s="187">
        <f t="shared" ref="Q4:Q5" si="2">(N4/$G4)*100</f>
        <v>3.7639720558882233</v>
      </c>
      <c r="R4" s="188">
        <f t="shared" ref="R4:R5" si="3">(O4/$G4)*100</f>
        <v>8.7460079840319374</v>
      </c>
      <c r="S4" s="253" t="s">
        <v>28</v>
      </c>
      <c r="T4" s="258">
        <v>44360</v>
      </c>
      <c r="U4" s="255">
        <v>0.60093750000000001</v>
      </c>
      <c r="V4" s="413">
        <f t="shared" ref="V4:V50" si="4">U4-$AX$3</f>
        <v>0.51760416666666664</v>
      </c>
      <c r="W4" s="231">
        <v>241.5</v>
      </c>
      <c r="X4" s="229" t="s">
        <v>9</v>
      </c>
      <c r="Y4" s="232">
        <v>0.27700000000000002</v>
      </c>
      <c r="Z4" s="232">
        <v>1.528</v>
      </c>
      <c r="AA4" s="233">
        <v>5.2750000000000004</v>
      </c>
      <c r="AB4" s="234">
        <f t="shared" ref="AB4:AB5" si="5">(Y4/$G4)*100</f>
        <v>0.13822355289421159</v>
      </c>
      <c r="AC4" s="235">
        <f t="shared" ref="AC4:AC5" si="6">(Z4/$G4)*100</f>
        <v>0.76247504990019954</v>
      </c>
      <c r="AD4" s="236">
        <f t="shared" ref="AD4:AD5" si="7">(AA4/$G4)*100</f>
        <v>2.632235528942116</v>
      </c>
      <c r="AE4" s="237" t="s">
        <v>28</v>
      </c>
      <c r="AF4" s="358"/>
      <c r="AG4" s="365"/>
      <c r="AH4" s="366"/>
      <c r="AI4" s="373"/>
      <c r="AJ4" s="305"/>
      <c r="AK4" s="305"/>
      <c r="AL4" s="306"/>
      <c r="AM4" s="307"/>
      <c r="AN4" s="308"/>
      <c r="AO4" s="309"/>
      <c r="AP4" s="354"/>
      <c r="AQ4" s="293"/>
      <c r="AR4" s="294"/>
      <c r="AS4" s="35">
        <f>STDEV(AQ3:AQ49)</f>
        <v>0.14063029429745671</v>
      </c>
      <c r="AT4" s="35">
        <f>STDEV(AR3:AR49)</f>
        <v>0.27815585607202431</v>
      </c>
      <c r="AU4" s="30"/>
    </row>
    <row r="5" spans="1:57" ht="15" customHeight="1" x14ac:dyDescent="0.35">
      <c r="A5" s="20">
        <v>3</v>
      </c>
      <c r="C5" s="26">
        <v>44351</v>
      </c>
      <c r="D5" s="27">
        <v>0.4368055555555555</v>
      </c>
      <c r="E5" s="36" t="s">
        <v>120</v>
      </c>
      <c r="F5" s="32" t="s">
        <v>6</v>
      </c>
      <c r="G5" s="33">
        <v>200.5</v>
      </c>
      <c r="H5" s="180">
        <v>44352</v>
      </c>
      <c r="I5" s="409">
        <v>0.41111111111111115</v>
      </c>
      <c r="J5" s="181">
        <f t="shared" si="0"/>
        <v>0.32777777777777783</v>
      </c>
      <c r="K5" s="182">
        <v>144.72</v>
      </c>
      <c r="L5" s="183" t="s">
        <v>8</v>
      </c>
      <c r="M5" s="184">
        <v>0.30399999999999999</v>
      </c>
      <c r="N5" s="184">
        <v>3.262</v>
      </c>
      <c r="O5" s="185">
        <v>11.284000000000001</v>
      </c>
      <c r="P5" s="186">
        <f t="shared" si="1"/>
        <v>0.15162094763092271</v>
      </c>
      <c r="Q5" s="187">
        <f t="shared" si="2"/>
        <v>1.6269326683291772</v>
      </c>
      <c r="R5" s="200">
        <f t="shared" si="3"/>
        <v>5.6279301745635912</v>
      </c>
      <c r="S5" s="253" t="s">
        <v>28</v>
      </c>
      <c r="T5" s="258">
        <v>44360</v>
      </c>
      <c r="U5" s="255">
        <v>0.69305555555555554</v>
      </c>
      <c r="V5" s="413">
        <f t="shared" si="4"/>
        <v>0.60972222222222217</v>
      </c>
      <c r="W5" s="231">
        <v>277.43</v>
      </c>
      <c r="X5" s="229" t="s">
        <v>131</v>
      </c>
      <c r="Y5" s="232">
        <v>0.36399999999999999</v>
      </c>
      <c r="Z5" s="232">
        <v>2.0939999999999999</v>
      </c>
      <c r="AA5" s="233">
        <v>6.9169999999999998</v>
      </c>
      <c r="AB5" s="234">
        <f t="shared" si="5"/>
        <v>0.18154613466334163</v>
      </c>
      <c r="AC5" s="235">
        <f t="shared" si="6"/>
        <v>1.0443890274314214</v>
      </c>
      <c r="AD5" s="236">
        <f t="shared" si="7"/>
        <v>3.4498753117206982</v>
      </c>
      <c r="AE5" s="237" t="s">
        <v>28</v>
      </c>
      <c r="AF5" s="358"/>
      <c r="AG5" s="365"/>
      <c r="AH5" s="366"/>
      <c r="AI5" s="373"/>
      <c r="AJ5" s="305"/>
      <c r="AK5" s="305"/>
      <c r="AL5" s="306"/>
      <c r="AM5" s="307"/>
      <c r="AN5" s="308"/>
      <c r="AO5" s="309"/>
      <c r="AP5" s="354"/>
      <c r="AQ5" s="293"/>
      <c r="AR5" s="294"/>
      <c r="AS5" s="30"/>
      <c r="AT5" s="30"/>
      <c r="AU5" s="30"/>
    </row>
    <row r="6" spans="1:57" ht="16" customHeight="1" x14ac:dyDescent="0.35">
      <c r="A6" s="20">
        <v>4</v>
      </c>
      <c r="C6" s="26">
        <v>44351</v>
      </c>
      <c r="D6" s="27">
        <v>0.56527777777777777</v>
      </c>
      <c r="E6" s="31" t="s">
        <v>120</v>
      </c>
      <c r="F6" s="32" t="s">
        <v>6</v>
      </c>
      <c r="G6" s="33">
        <v>197.5</v>
      </c>
      <c r="H6" s="180">
        <v>44352</v>
      </c>
      <c r="I6" s="409">
        <v>0.53326388888888887</v>
      </c>
      <c r="J6" s="181">
        <f t="shared" si="0"/>
        <v>0.44993055555555556</v>
      </c>
      <c r="K6" s="182">
        <v>71.319999999999993</v>
      </c>
      <c r="L6" s="183" t="s">
        <v>131</v>
      </c>
      <c r="M6" s="184">
        <v>0.57499999999999996</v>
      </c>
      <c r="N6" s="184">
        <v>6.45</v>
      </c>
      <c r="O6" s="185">
        <v>15.452</v>
      </c>
      <c r="P6" s="186">
        <f t="shared" ref="P6:R8" si="8">(M6/$G6)*100</f>
        <v>0.29113924050632911</v>
      </c>
      <c r="Q6" s="187">
        <f t="shared" si="8"/>
        <v>3.2658227848101267</v>
      </c>
      <c r="R6" s="188">
        <f t="shared" si="8"/>
        <v>7.8237974683544307</v>
      </c>
      <c r="S6" s="253" t="s">
        <v>28</v>
      </c>
      <c r="T6" s="258">
        <v>44360</v>
      </c>
      <c r="U6" s="255">
        <v>0.69305555555555554</v>
      </c>
      <c r="V6" s="413">
        <f t="shared" si="4"/>
        <v>0.60972222222222217</v>
      </c>
      <c r="W6" s="231">
        <v>277.33</v>
      </c>
      <c r="X6" s="229" t="s">
        <v>130</v>
      </c>
      <c r="Y6" s="232">
        <v>0.26700000000000002</v>
      </c>
      <c r="Z6" s="232">
        <v>1.3740000000000001</v>
      </c>
      <c r="AA6" s="233">
        <v>4.8209999999999997</v>
      </c>
      <c r="AB6" s="234">
        <f>(Y6/$G6)*100</f>
        <v>0.13518987341772154</v>
      </c>
      <c r="AC6" s="235">
        <f t="shared" ref="AB6:AD8" si="9">(Z6/$G6)*100</f>
        <v>0.69569620253164566</v>
      </c>
      <c r="AD6" s="236">
        <f t="shared" si="9"/>
        <v>2.441012658227848</v>
      </c>
      <c r="AE6" s="237" t="s">
        <v>28</v>
      </c>
      <c r="AF6" s="358"/>
      <c r="AG6" s="365"/>
      <c r="AH6" s="366"/>
      <c r="AI6" s="373"/>
      <c r="AJ6" s="305"/>
      <c r="AK6" s="305"/>
      <c r="AL6" s="306"/>
      <c r="AM6" s="307"/>
      <c r="AN6" s="308"/>
      <c r="AO6" s="309"/>
      <c r="AP6" s="354"/>
      <c r="AQ6" s="293"/>
      <c r="AR6" s="294"/>
      <c r="AS6" s="30"/>
      <c r="AT6" s="30"/>
      <c r="AU6" s="49"/>
    </row>
    <row r="7" spans="1:57" ht="16" customHeight="1" x14ac:dyDescent="0.35">
      <c r="A7" s="20">
        <v>5</v>
      </c>
      <c r="C7" s="26">
        <v>44351</v>
      </c>
      <c r="D7" s="27">
        <v>0.73263888888888884</v>
      </c>
      <c r="E7" s="31" t="s">
        <v>120</v>
      </c>
      <c r="F7" s="32" t="s">
        <v>6</v>
      </c>
      <c r="G7" s="33">
        <v>199.6</v>
      </c>
      <c r="H7" s="180">
        <v>44352</v>
      </c>
      <c r="I7" s="409">
        <v>0.56024305555555554</v>
      </c>
      <c r="J7" s="181">
        <f t="shared" si="0"/>
        <v>0.47690972222222222</v>
      </c>
      <c r="K7" s="182">
        <v>267.67</v>
      </c>
      <c r="L7" s="183" t="s">
        <v>130</v>
      </c>
      <c r="M7" s="184">
        <v>7.8E-2</v>
      </c>
      <c r="N7" s="184">
        <v>0.84099999999999997</v>
      </c>
      <c r="O7" s="185">
        <v>4.181</v>
      </c>
      <c r="P7" s="186">
        <f t="shared" si="8"/>
        <v>3.9078156312625255E-2</v>
      </c>
      <c r="Q7" s="187">
        <f t="shared" si="8"/>
        <v>0.42134268537074149</v>
      </c>
      <c r="R7" s="188">
        <f t="shared" si="8"/>
        <v>2.0946893787575154</v>
      </c>
      <c r="S7" s="253" t="s">
        <v>28</v>
      </c>
      <c r="T7" s="258">
        <v>44361</v>
      </c>
      <c r="U7" s="255">
        <v>5.7743055555555554E-2</v>
      </c>
      <c r="V7" s="413">
        <v>0.97440972222222222</v>
      </c>
      <c r="W7" s="231">
        <v>394.23</v>
      </c>
      <c r="X7" s="229" t="s">
        <v>130</v>
      </c>
      <c r="Y7" s="232">
        <v>0.112</v>
      </c>
      <c r="Z7" s="232">
        <v>0.67200000000000004</v>
      </c>
      <c r="AA7" s="233">
        <v>3.0129999999999999</v>
      </c>
      <c r="AB7" s="234">
        <f t="shared" si="9"/>
        <v>5.6112224448897796E-2</v>
      </c>
      <c r="AC7" s="235">
        <f t="shared" si="9"/>
        <v>0.33667334669338683</v>
      </c>
      <c r="AD7" s="236">
        <f t="shared" si="9"/>
        <v>1.5095190380761523</v>
      </c>
      <c r="AE7" s="237" t="s">
        <v>28</v>
      </c>
      <c r="AF7" s="358"/>
      <c r="AG7" s="365"/>
      <c r="AH7" s="366"/>
      <c r="AI7" s="373"/>
      <c r="AJ7" s="305"/>
      <c r="AK7" s="305"/>
      <c r="AL7" s="306"/>
      <c r="AM7" s="307"/>
      <c r="AN7" s="308"/>
      <c r="AO7" s="309"/>
      <c r="AP7" s="354"/>
      <c r="AQ7" s="293"/>
      <c r="AR7" s="294"/>
      <c r="AS7" s="30"/>
      <c r="AT7" s="30"/>
      <c r="AU7" s="30"/>
      <c r="AX7" s="22"/>
    </row>
    <row r="8" spans="1:57" x14ac:dyDescent="0.35">
      <c r="A8" s="20">
        <v>6</v>
      </c>
      <c r="C8" s="26">
        <v>44351</v>
      </c>
      <c r="D8" s="27">
        <v>0.83333333333333337</v>
      </c>
      <c r="E8" s="31" t="s">
        <v>120</v>
      </c>
      <c r="F8" s="32" t="s">
        <v>6</v>
      </c>
      <c r="G8" s="33">
        <v>170.1</v>
      </c>
      <c r="H8" s="180">
        <v>44352</v>
      </c>
      <c r="I8" s="409">
        <v>0.62214120370370374</v>
      </c>
      <c r="J8" s="181">
        <f t="shared" si="0"/>
        <v>0.53880787037037037</v>
      </c>
      <c r="K8" s="182">
        <v>223.77</v>
      </c>
      <c r="L8" s="183" t="s">
        <v>8</v>
      </c>
      <c r="M8" s="184">
        <v>0.29499999999999998</v>
      </c>
      <c r="N8" s="184">
        <v>1.819</v>
      </c>
      <c r="O8" s="185">
        <v>6.1980000000000004</v>
      </c>
      <c r="P8" s="186">
        <f t="shared" si="8"/>
        <v>0.17342739564961787</v>
      </c>
      <c r="Q8" s="187">
        <f t="shared" si="8"/>
        <v>1.0693709582598472</v>
      </c>
      <c r="R8" s="188">
        <f t="shared" si="8"/>
        <v>3.643738977072311</v>
      </c>
      <c r="S8" s="253" t="s">
        <v>28</v>
      </c>
      <c r="T8" s="258">
        <v>44361</v>
      </c>
      <c r="U8" s="255">
        <v>0.40240740740740738</v>
      </c>
      <c r="V8" s="413">
        <f t="shared" si="4"/>
        <v>0.31907407407407407</v>
      </c>
      <c r="W8" s="231">
        <v>264.42</v>
      </c>
      <c r="X8" s="229" t="s">
        <v>9</v>
      </c>
      <c r="Y8" s="232">
        <v>0.17</v>
      </c>
      <c r="Z8" s="232">
        <v>0.60499999999999998</v>
      </c>
      <c r="AA8" s="233">
        <v>2.9910000000000001</v>
      </c>
      <c r="AB8" s="234">
        <f t="shared" si="9"/>
        <v>9.9941211052322176E-2</v>
      </c>
      <c r="AC8" s="235">
        <f t="shared" si="9"/>
        <v>0.35567313345091123</v>
      </c>
      <c r="AD8" s="236">
        <f t="shared" si="9"/>
        <v>1.7583774250440918</v>
      </c>
      <c r="AE8" s="237" t="s">
        <v>28</v>
      </c>
      <c r="AF8" s="358"/>
      <c r="AG8" s="365"/>
      <c r="AH8" s="366"/>
      <c r="AI8" s="373"/>
      <c r="AJ8" s="305"/>
      <c r="AK8" s="305"/>
      <c r="AL8" s="306"/>
      <c r="AM8" s="307"/>
      <c r="AN8" s="308"/>
      <c r="AO8" s="309"/>
      <c r="AP8" s="354"/>
      <c r="AQ8" s="293"/>
      <c r="AR8" s="294"/>
      <c r="AS8" s="30"/>
      <c r="AT8" s="30"/>
      <c r="AU8" s="30"/>
    </row>
    <row r="9" spans="1:57" ht="14.5" customHeight="1" x14ac:dyDescent="0.35">
      <c r="A9" s="20">
        <v>7</v>
      </c>
      <c r="C9" s="26">
        <v>44351</v>
      </c>
      <c r="D9" s="27">
        <v>0.22916666666666666</v>
      </c>
      <c r="E9" s="36" t="s">
        <v>120</v>
      </c>
      <c r="F9" s="32" t="s">
        <v>6</v>
      </c>
      <c r="G9" s="33">
        <v>166.7</v>
      </c>
      <c r="H9" s="180">
        <v>44352</v>
      </c>
      <c r="I9" s="409">
        <v>0.69236111111111109</v>
      </c>
      <c r="J9" s="181">
        <f t="shared" si="0"/>
        <v>0.60902777777777772</v>
      </c>
      <c r="K9" s="182">
        <v>201.98</v>
      </c>
      <c r="L9" s="183" t="s">
        <v>131</v>
      </c>
      <c r="M9" s="184">
        <v>0.40600000000000003</v>
      </c>
      <c r="N9" s="184">
        <v>2.9710000000000001</v>
      </c>
      <c r="O9" s="185">
        <v>8.7850000000000001</v>
      </c>
      <c r="P9" s="186">
        <f t="shared" ref="P9" si="10">(M9/$G9)*100</f>
        <v>0.24355128974205162</v>
      </c>
      <c r="Q9" s="187">
        <f t="shared" ref="Q9" si="11">(N9/$G9)*100</f>
        <v>1.7822435512897423</v>
      </c>
      <c r="R9" s="188">
        <f t="shared" ref="R9:R10" si="12">(O9/$G9)*100</f>
        <v>5.2699460107978409</v>
      </c>
      <c r="S9" s="253" t="s">
        <v>28</v>
      </c>
      <c r="T9" s="258">
        <v>44361</v>
      </c>
      <c r="U9" s="255">
        <v>0.40733796296296299</v>
      </c>
      <c r="V9" s="413">
        <f t="shared" si="4"/>
        <v>0.32400462962962967</v>
      </c>
      <c r="W9" s="231">
        <v>257.48</v>
      </c>
      <c r="X9" s="229" t="s">
        <v>131</v>
      </c>
      <c r="Y9" s="232">
        <v>0.109</v>
      </c>
      <c r="Z9" s="232">
        <v>0.746</v>
      </c>
      <c r="AA9" s="233">
        <v>3.5230000000000001</v>
      </c>
      <c r="AB9" s="234">
        <f t="shared" ref="AB9" si="13">(Y9/$G9)*100</f>
        <v>6.538692261547692E-2</v>
      </c>
      <c r="AC9" s="235">
        <f t="shared" ref="AC9" si="14">(Z9/$G9)*100</f>
        <v>0.44751049790041997</v>
      </c>
      <c r="AD9" s="236">
        <f t="shared" ref="AD9:AD15" si="15">(AA9/$G9)*100</f>
        <v>2.1133773245350933</v>
      </c>
      <c r="AE9" s="237" t="s">
        <v>28</v>
      </c>
      <c r="AF9" s="358"/>
      <c r="AG9" s="365"/>
      <c r="AH9" s="366"/>
      <c r="AI9" s="373"/>
      <c r="AJ9" s="305"/>
      <c r="AK9" s="305"/>
      <c r="AL9" s="306"/>
      <c r="AM9" s="307"/>
      <c r="AN9" s="308"/>
      <c r="AO9" s="309"/>
      <c r="AP9" s="354"/>
      <c r="AQ9" s="293"/>
      <c r="AR9" s="294"/>
      <c r="AS9" s="30"/>
      <c r="AT9" s="30"/>
      <c r="AU9" s="381"/>
      <c r="AV9" s="349"/>
      <c r="AW9" s="350"/>
      <c r="AX9" s="350"/>
      <c r="AY9" s="225"/>
      <c r="AZ9" s="225"/>
      <c r="BA9" s="350"/>
      <c r="BB9" s="226"/>
      <c r="BC9" s="227"/>
      <c r="BD9" s="228"/>
      <c r="BE9" s="228"/>
    </row>
    <row r="10" spans="1:57" ht="14.5" customHeight="1" x14ac:dyDescent="0.35">
      <c r="A10" s="20">
        <v>8</v>
      </c>
      <c r="C10" s="26">
        <v>44351</v>
      </c>
      <c r="D10" s="27">
        <v>0.84930555555555554</v>
      </c>
      <c r="E10" s="36" t="s">
        <v>120</v>
      </c>
      <c r="F10" s="32" t="s">
        <v>6</v>
      </c>
      <c r="G10" s="33">
        <v>187</v>
      </c>
      <c r="H10" s="180">
        <v>44352</v>
      </c>
      <c r="I10" s="409">
        <v>0.86699074074074067</v>
      </c>
      <c r="J10" s="181">
        <f t="shared" si="0"/>
        <v>0.7836574074074073</v>
      </c>
      <c r="K10" s="182">
        <v>180.92</v>
      </c>
      <c r="L10" s="183" t="s">
        <v>130</v>
      </c>
      <c r="M10" s="184">
        <v>0.26500000000000001</v>
      </c>
      <c r="N10" s="184">
        <v>2.2879999999999998</v>
      </c>
      <c r="O10" s="185">
        <v>7.76</v>
      </c>
      <c r="P10" s="186">
        <f>(M10/$G10)*100</f>
        <v>0.14171122994652408</v>
      </c>
      <c r="Q10" s="187">
        <f>(N10/$G10)*100</f>
        <v>1.2235294117647058</v>
      </c>
      <c r="R10" s="188">
        <f t="shared" si="12"/>
        <v>4.1497326203208553</v>
      </c>
      <c r="S10" s="253" t="s">
        <v>28</v>
      </c>
      <c r="T10" s="258">
        <v>44361</v>
      </c>
      <c r="U10" s="255">
        <v>0.40749999999999997</v>
      </c>
      <c r="V10" s="413">
        <f t="shared" si="4"/>
        <v>0.32416666666666666</v>
      </c>
      <c r="W10" s="231">
        <v>257.35000000000002</v>
      </c>
      <c r="X10" s="229" t="s">
        <v>130</v>
      </c>
      <c r="Y10" s="232">
        <v>0.19800000000000001</v>
      </c>
      <c r="Z10" s="232">
        <v>0.73799999999999999</v>
      </c>
      <c r="AA10" s="233">
        <v>3.3530000000000002</v>
      </c>
      <c r="AB10" s="234">
        <f>(Y10/$G10)*100</f>
        <v>0.10588235294117648</v>
      </c>
      <c r="AC10" s="235">
        <f>(Z10/$G10)*100</f>
        <v>0.3946524064171123</v>
      </c>
      <c r="AD10" s="236">
        <f t="shared" si="15"/>
        <v>1.7930481283422461</v>
      </c>
      <c r="AE10" s="237" t="s">
        <v>28</v>
      </c>
      <c r="AF10" s="358"/>
      <c r="AG10" s="365"/>
      <c r="AH10" s="366"/>
      <c r="AI10" s="373"/>
      <c r="AJ10" s="305"/>
      <c r="AK10" s="305"/>
      <c r="AL10" s="306"/>
      <c r="AM10" s="307"/>
      <c r="AN10" s="308"/>
      <c r="AO10" s="309"/>
      <c r="AP10" s="354"/>
      <c r="AQ10" s="293"/>
      <c r="AR10" s="294"/>
      <c r="AS10" s="30"/>
      <c r="AT10" s="30"/>
      <c r="AU10" s="30"/>
    </row>
    <row r="11" spans="1:57" ht="15" customHeight="1" x14ac:dyDescent="0.35">
      <c r="A11" s="20">
        <v>9</v>
      </c>
      <c r="B11" s="196"/>
      <c r="C11" s="26">
        <v>44352</v>
      </c>
      <c r="D11" s="27">
        <v>0.43333333333333335</v>
      </c>
      <c r="E11" s="31" t="s">
        <v>120</v>
      </c>
      <c r="F11" s="32" t="s">
        <v>6</v>
      </c>
      <c r="G11" s="33">
        <v>167.9</v>
      </c>
      <c r="H11" s="180">
        <v>44353</v>
      </c>
      <c r="I11" s="409">
        <v>0.30069444444444443</v>
      </c>
      <c r="J11" s="181">
        <f t="shared" si="0"/>
        <v>0.21736111111111112</v>
      </c>
      <c r="K11" s="182">
        <v>246.8</v>
      </c>
      <c r="L11" s="183" t="s">
        <v>9</v>
      </c>
      <c r="M11" s="184">
        <v>0.158</v>
      </c>
      <c r="N11" s="184">
        <v>1.4179999999999999</v>
      </c>
      <c r="O11" s="185">
        <v>6.4870000000000001</v>
      </c>
      <c r="P11" s="186">
        <f t="shared" ref="P11:P21" si="16">(M11/$G11)*100</f>
        <v>9.4103633114949375E-2</v>
      </c>
      <c r="Q11" s="187">
        <f t="shared" ref="Q11:Q12" si="17">(N11/$G11)*100</f>
        <v>0.84455032757593806</v>
      </c>
      <c r="R11" s="188">
        <f t="shared" ref="R11:R12" si="18">(O11/$G11)*100</f>
        <v>3.8636092912447886</v>
      </c>
      <c r="S11" s="253" t="s">
        <v>28</v>
      </c>
      <c r="T11" s="258">
        <v>44361</v>
      </c>
      <c r="U11" s="255">
        <v>0.98629629629629623</v>
      </c>
      <c r="V11" s="413">
        <f t="shared" si="4"/>
        <v>0.90296296296296286</v>
      </c>
      <c r="W11" s="238">
        <v>411.95</v>
      </c>
      <c r="X11" s="229" t="s">
        <v>9</v>
      </c>
      <c r="Y11" s="232">
        <v>0.184</v>
      </c>
      <c r="Z11" s="232">
        <v>0.88600000000000001</v>
      </c>
      <c r="AA11" s="233">
        <v>4.1559999999999997</v>
      </c>
      <c r="AB11" s="234">
        <f>(Y11/$G11)*100</f>
        <v>0.1095890410958904</v>
      </c>
      <c r="AC11" s="235">
        <f t="shared" ref="AC11:AC15" si="19">(Z11/$G11)*100</f>
        <v>0.52769505658129845</v>
      </c>
      <c r="AD11" s="236">
        <f t="shared" si="15"/>
        <v>2.4752829064919593</v>
      </c>
      <c r="AE11" s="237" t="s">
        <v>28</v>
      </c>
      <c r="AF11" s="358"/>
      <c r="AG11" s="365"/>
      <c r="AH11" s="366"/>
      <c r="AI11" s="373"/>
      <c r="AJ11" s="305"/>
      <c r="AK11" s="305"/>
      <c r="AL11" s="306"/>
      <c r="AM11" s="307"/>
      <c r="AN11" s="308"/>
      <c r="AO11" s="309"/>
      <c r="AP11" s="354"/>
      <c r="AQ11" s="293"/>
      <c r="AR11" s="294"/>
      <c r="AS11" s="30"/>
      <c r="AT11" s="30"/>
      <c r="AU11" s="30"/>
    </row>
    <row r="12" spans="1:57" ht="15" customHeight="1" x14ac:dyDescent="0.35">
      <c r="A12" s="20">
        <v>10</v>
      </c>
      <c r="B12" s="196"/>
      <c r="C12" s="26">
        <v>44352</v>
      </c>
      <c r="D12" s="27">
        <v>0.55763888888888891</v>
      </c>
      <c r="E12" s="31" t="s">
        <v>120</v>
      </c>
      <c r="F12" s="32" t="s">
        <v>6</v>
      </c>
      <c r="G12" s="33">
        <v>175.5</v>
      </c>
      <c r="H12" s="180">
        <v>44352</v>
      </c>
      <c r="I12" s="409">
        <v>0.88224537037037043</v>
      </c>
      <c r="J12" s="181">
        <f t="shared" si="0"/>
        <v>0.79891203703703706</v>
      </c>
      <c r="K12" s="182">
        <v>156.1</v>
      </c>
      <c r="L12" s="183" t="s">
        <v>8</v>
      </c>
      <c r="M12" s="184">
        <v>0.40400000000000003</v>
      </c>
      <c r="N12" s="184">
        <v>2.8759999999999999</v>
      </c>
      <c r="O12" s="185">
        <v>8.5459999999999994</v>
      </c>
      <c r="P12" s="186">
        <f t="shared" si="16"/>
        <v>0.23019943019943023</v>
      </c>
      <c r="Q12" s="187">
        <f t="shared" si="17"/>
        <v>1.6387464387464388</v>
      </c>
      <c r="R12" s="188">
        <f t="shared" si="18"/>
        <v>4.8695156695156694</v>
      </c>
      <c r="S12" s="253" t="s">
        <v>28</v>
      </c>
      <c r="T12" s="258">
        <v>44361</v>
      </c>
      <c r="U12" s="255">
        <v>0.98633101851851857</v>
      </c>
      <c r="V12" s="413">
        <f t="shared" si="4"/>
        <v>0.90299768518518519</v>
      </c>
      <c r="W12" s="238">
        <v>411.83</v>
      </c>
      <c r="X12" s="229" t="s">
        <v>8</v>
      </c>
      <c r="Y12" s="232">
        <v>0.153</v>
      </c>
      <c r="Z12" s="232">
        <v>0.77500000000000002</v>
      </c>
      <c r="AA12" s="233">
        <v>3.698</v>
      </c>
      <c r="AB12" s="234">
        <f>(Y12/$G12)*100</f>
        <v>8.7179487179487175E-2</v>
      </c>
      <c r="AC12" s="235">
        <f t="shared" si="19"/>
        <v>0.44159544159544162</v>
      </c>
      <c r="AD12" s="236">
        <f t="shared" si="15"/>
        <v>2.107122507122507</v>
      </c>
      <c r="AE12" s="237" t="s">
        <v>28</v>
      </c>
      <c r="AF12" s="358"/>
      <c r="AG12" s="365"/>
      <c r="AH12" s="366"/>
      <c r="AI12" s="373"/>
      <c r="AJ12" s="305"/>
      <c r="AK12" s="305"/>
      <c r="AL12" s="306"/>
      <c r="AM12" s="307"/>
      <c r="AN12" s="308"/>
      <c r="AO12" s="309"/>
      <c r="AP12" s="354"/>
      <c r="AQ12" s="293"/>
      <c r="AR12" s="294"/>
      <c r="AS12" s="30"/>
      <c r="AT12" s="30"/>
      <c r="AU12" s="30"/>
    </row>
    <row r="13" spans="1:57" ht="15" customHeight="1" x14ac:dyDescent="0.35">
      <c r="A13" s="20">
        <v>11</v>
      </c>
      <c r="B13" s="196"/>
      <c r="C13" s="26">
        <v>44352</v>
      </c>
      <c r="D13" s="27">
        <v>0.79791666666666661</v>
      </c>
      <c r="E13" s="31" t="s">
        <v>120</v>
      </c>
      <c r="F13" s="32" t="s">
        <v>6</v>
      </c>
      <c r="G13" s="33">
        <v>200.1</v>
      </c>
      <c r="H13" s="180">
        <v>44353</v>
      </c>
      <c r="I13" s="409">
        <v>0.4586574074074074</v>
      </c>
      <c r="J13" s="181">
        <f t="shared" si="0"/>
        <v>0.37532407407407409</v>
      </c>
      <c r="K13" s="182">
        <v>198.72</v>
      </c>
      <c r="L13" s="183" t="s">
        <v>131</v>
      </c>
      <c r="M13" s="184">
        <v>0.247</v>
      </c>
      <c r="N13" s="184">
        <v>1.746</v>
      </c>
      <c r="O13" s="185">
        <v>5.681</v>
      </c>
      <c r="P13" s="186">
        <f t="shared" si="16"/>
        <v>0.12343828085957022</v>
      </c>
      <c r="Q13" s="187">
        <f t="shared" ref="Q13:Q14" si="20">(N13/$G13)*100</f>
        <v>0.87256371814092948</v>
      </c>
      <c r="R13" s="188">
        <f t="shared" ref="R13:R14" si="21">(O13/$G13)*100</f>
        <v>2.8390804597701149</v>
      </c>
      <c r="S13" s="253" t="s">
        <v>28</v>
      </c>
      <c r="T13" s="258">
        <v>44361</v>
      </c>
      <c r="U13" s="255">
        <v>0.98642361111111121</v>
      </c>
      <c r="V13" s="413">
        <f t="shared" si="4"/>
        <v>0.90309027777777784</v>
      </c>
      <c r="W13" s="231">
        <v>411.85</v>
      </c>
      <c r="X13" s="229" t="s">
        <v>131</v>
      </c>
      <c r="Y13" s="232">
        <v>0.107</v>
      </c>
      <c r="Z13" s="232">
        <v>0.47299999999999998</v>
      </c>
      <c r="AA13" s="233">
        <v>3.0470000000000002</v>
      </c>
      <c r="AB13" s="234">
        <f>(Y13/$G13)*100</f>
        <v>5.3473263368315843E-2</v>
      </c>
      <c r="AC13" s="235">
        <f t="shared" si="19"/>
        <v>0.23638180909545228</v>
      </c>
      <c r="AD13" s="236">
        <f t="shared" si="15"/>
        <v>1.5227386306846578</v>
      </c>
      <c r="AE13" s="237" t="s">
        <v>28</v>
      </c>
      <c r="AF13" s="359"/>
      <c r="AG13" s="367"/>
      <c r="AH13" s="366"/>
      <c r="AI13" s="373"/>
      <c r="AJ13" s="305"/>
      <c r="AK13" s="305"/>
      <c r="AL13" s="306"/>
      <c r="AM13" s="307"/>
      <c r="AN13" s="308"/>
      <c r="AO13" s="309"/>
      <c r="AP13" s="354"/>
      <c r="AQ13" s="293"/>
      <c r="AR13" s="294"/>
      <c r="AS13" s="30"/>
      <c r="AT13" s="30"/>
      <c r="AU13" s="30"/>
    </row>
    <row r="14" spans="1:57" s="223" customFormat="1" ht="15" customHeight="1" x14ac:dyDescent="0.35">
      <c r="A14" s="206">
        <v>11</v>
      </c>
      <c r="B14" s="207"/>
      <c r="C14" s="208">
        <v>44352</v>
      </c>
      <c r="D14" s="209">
        <v>0.79791666666666661</v>
      </c>
      <c r="E14" s="210" t="s">
        <v>133</v>
      </c>
      <c r="F14" s="211" t="s">
        <v>134</v>
      </c>
      <c r="G14" s="212">
        <v>200.1</v>
      </c>
      <c r="H14" s="213">
        <v>44353</v>
      </c>
      <c r="I14" s="410">
        <v>0.45854166666666668</v>
      </c>
      <c r="J14" s="181">
        <f t="shared" si="0"/>
        <v>0.37520833333333337</v>
      </c>
      <c r="K14" s="214">
        <v>201.68</v>
      </c>
      <c r="L14" s="215" t="s">
        <v>130</v>
      </c>
      <c r="M14" s="216">
        <v>5.0000000000000001E-3</v>
      </c>
      <c r="N14" s="216">
        <v>0.14399999999999999</v>
      </c>
      <c r="O14" s="217">
        <v>1.145</v>
      </c>
      <c r="P14" s="218">
        <f t="shared" si="16"/>
        <v>2.4987506246876563E-3</v>
      </c>
      <c r="Q14" s="219">
        <f t="shared" si="20"/>
        <v>7.1964017991004506E-2</v>
      </c>
      <c r="R14" s="220">
        <f t="shared" si="21"/>
        <v>0.57221389305347325</v>
      </c>
      <c r="S14" s="339"/>
      <c r="T14" s="333"/>
      <c r="U14" s="334"/>
      <c r="V14" s="414"/>
      <c r="W14" s="335"/>
      <c r="X14" s="335"/>
      <c r="Y14" s="336"/>
      <c r="Z14" s="336"/>
      <c r="AA14" s="335"/>
      <c r="AB14" s="337"/>
      <c r="AC14" s="338"/>
      <c r="AD14" s="339"/>
      <c r="AE14" s="339"/>
      <c r="AF14" s="333"/>
      <c r="AG14" s="334"/>
      <c r="AH14" s="335"/>
      <c r="AI14" s="374"/>
      <c r="AJ14" s="336"/>
      <c r="AK14" s="336"/>
      <c r="AL14" s="335"/>
      <c r="AM14" s="337"/>
      <c r="AN14" s="338"/>
      <c r="AO14" s="339"/>
      <c r="AP14" s="355"/>
      <c r="AQ14" s="293">
        <f>1-(P14/P13)</f>
        <v>0.97975708502024295</v>
      </c>
      <c r="AR14" s="294">
        <f>1-(Q14/Q13)</f>
        <v>0.91752577319587625</v>
      </c>
      <c r="AS14" s="221"/>
      <c r="AT14" s="221"/>
      <c r="AU14" s="221"/>
    </row>
    <row r="15" spans="1:57" ht="15" customHeight="1" x14ac:dyDescent="0.35">
      <c r="A15" s="20">
        <v>12</v>
      </c>
      <c r="C15" s="26">
        <v>44352</v>
      </c>
      <c r="D15" s="27">
        <v>0.875</v>
      </c>
      <c r="E15" s="36" t="s">
        <v>120</v>
      </c>
      <c r="F15" s="32" t="s">
        <v>6</v>
      </c>
      <c r="G15" s="33">
        <v>185.7</v>
      </c>
      <c r="H15" s="180">
        <v>44353</v>
      </c>
      <c r="I15" s="409">
        <v>0.56722222222222218</v>
      </c>
      <c r="J15" s="181">
        <f t="shared" si="0"/>
        <v>0.48388888888888887</v>
      </c>
      <c r="K15" s="182">
        <v>206.37</v>
      </c>
      <c r="L15" s="183" t="s">
        <v>8</v>
      </c>
      <c r="M15" s="184">
        <v>0.23699999999999999</v>
      </c>
      <c r="N15" s="184">
        <v>2.1219999999999999</v>
      </c>
      <c r="O15" s="204">
        <v>6.2460000000000004</v>
      </c>
      <c r="P15" s="186">
        <f t="shared" si="16"/>
        <v>0.12762520193861068</v>
      </c>
      <c r="Q15" s="187">
        <f t="shared" ref="Q15" si="22">(N15/$G15)*100</f>
        <v>1.1427032848680667</v>
      </c>
      <c r="R15" s="188">
        <f t="shared" ref="R15" si="23">(O15/$G15)*100</f>
        <v>3.3634894991922462</v>
      </c>
      <c r="S15" s="253" t="s">
        <v>28</v>
      </c>
      <c r="T15" s="258">
        <v>44363</v>
      </c>
      <c r="U15" s="255">
        <v>0.35939814814814813</v>
      </c>
      <c r="V15" s="413">
        <f t="shared" si="4"/>
        <v>0.27606481481481482</v>
      </c>
      <c r="W15" s="231">
        <v>237.2</v>
      </c>
      <c r="X15" s="229" t="s">
        <v>8</v>
      </c>
      <c r="Y15" s="232">
        <v>0.14299999999999999</v>
      </c>
      <c r="Z15" s="232">
        <v>0.66200000000000003</v>
      </c>
      <c r="AA15" s="233">
        <v>3.0609999999999999</v>
      </c>
      <c r="AB15" s="234">
        <f>(Y15/$G15)*100</f>
        <v>7.7005923532579429E-2</v>
      </c>
      <c r="AC15" s="235">
        <f t="shared" si="19"/>
        <v>0.35648896068928382</v>
      </c>
      <c r="AD15" s="236">
        <f t="shared" si="15"/>
        <v>1.6483575659666128</v>
      </c>
      <c r="AE15" s="237" t="s">
        <v>28</v>
      </c>
      <c r="AF15" s="358"/>
      <c r="AG15" s="365"/>
      <c r="AH15" s="366"/>
      <c r="AI15" s="373"/>
      <c r="AJ15" s="305"/>
      <c r="AK15" s="305"/>
      <c r="AL15" s="306"/>
      <c r="AM15" s="307"/>
      <c r="AN15" s="308"/>
      <c r="AO15" s="309"/>
      <c r="AP15" s="354"/>
      <c r="AQ15" s="293"/>
      <c r="AR15" s="294"/>
      <c r="AS15" s="30"/>
      <c r="AT15" s="30"/>
      <c r="AU15" s="30"/>
    </row>
    <row r="16" spans="1:57" ht="15" customHeight="1" x14ac:dyDescent="0.35">
      <c r="A16" s="20">
        <v>13</v>
      </c>
      <c r="B16" s="196"/>
      <c r="C16" s="26">
        <v>44353</v>
      </c>
      <c r="D16" s="27">
        <v>0.22916666666666666</v>
      </c>
      <c r="E16" s="36" t="s">
        <v>120</v>
      </c>
      <c r="F16" s="32" t="s">
        <v>6</v>
      </c>
      <c r="G16" s="33">
        <v>179.5</v>
      </c>
      <c r="H16" s="180">
        <v>44353</v>
      </c>
      <c r="I16" s="409">
        <v>0.56724537037037037</v>
      </c>
      <c r="J16" s="181">
        <f t="shared" si="0"/>
        <v>0.48391203703703706</v>
      </c>
      <c r="K16" s="182">
        <v>278.27999999999997</v>
      </c>
      <c r="L16" s="183" t="s">
        <v>9</v>
      </c>
      <c r="M16" s="184">
        <v>0.14000000000000001</v>
      </c>
      <c r="N16" s="184">
        <v>1.0740000000000001</v>
      </c>
      <c r="O16" s="204">
        <v>4.6639999999999997</v>
      </c>
      <c r="P16" s="186">
        <f t="shared" si="16"/>
        <v>7.7994428969359347E-2</v>
      </c>
      <c r="Q16" s="187">
        <f t="shared" ref="Q16:Q18" si="24">(N16/$G16)*100</f>
        <v>0.59832869080779949</v>
      </c>
      <c r="R16" s="188">
        <f t="shared" ref="R16:R18" si="25">(O16/$G16)*100</f>
        <v>2.5983286908077994</v>
      </c>
      <c r="S16" s="253" t="s">
        <v>28</v>
      </c>
      <c r="T16" s="258">
        <v>44363</v>
      </c>
      <c r="U16" s="255">
        <v>0.35944444444444446</v>
      </c>
      <c r="V16" s="413">
        <f t="shared" si="4"/>
        <v>0.27611111111111114</v>
      </c>
      <c r="W16" s="239">
        <v>237.23</v>
      </c>
      <c r="X16" s="229" t="s">
        <v>130</v>
      </c>
      <c r="Y16" s="240">
        <v>0.17299999999999999</v>
      </c>
      <c r="Z16" s="240">
        <v>0.58599999999999997</v>
      </c>
      <c r="AA16" s="241">
        <v>2.7229999999999999</v>
      </c>
      <c r="AB16" s="234">
        <f t="shared" ref="AB16:AB18" si="26">(Y16/$G16)*100</f>
        <v>9.6378830083565445E-2</v>
      </c>
      <c r="AC16" s="235">
        <f>(Z16/$G16)*100</f>
        <v>0.32646239554317547</v>
      </c>
      <c r="AD16" s="236">
        <f t="shared" ref="AD16:AD18" si="27">(AA16/$G16)*100</f>
        <v>1.5169916434540389</v>
      </c>
      <c r="AE16" s="237" t="s">
        <v>28</v>
      </c>
      <c r="AF16" s="358"/>
      <c r="AG16" s="365"/>
      <c r="AH16" s="322"/>
      <c r="AI16" s="373"/>
      <c r="AJ16" s="312"/>
      <c r="AK16" s="312"/>
      <c r="AL16" s="313"/>
      <c r="AM16" s="307"/>
      <c r="AN16" s="308"/>
      <c r="AO16" s="309"/>
      <c r="AP16" s="354"/>
      <c r="AQ16" s="293"/>
      <c r="AR16" s="294"/>
      <c r="AS16" s="30"/>
      <c r="AT16" s="30"/>
      <c r="AU16" s="30"/>
    </row>
    <row r="17" spans="1:47" x14ac:dyDescent="0.35">
      <c r="A17" s="20">
        <v>13</v>
      </c>
      <c r="B17" s="196">
        <v>2</v>
      </c>
      <c r="C17" s="26">
        <v>44353</v>
      </c>
      <c r="D17" s="27">
        <v>0.25555555555555559</v>
      </c>
      <c r="E17" s="31" t="s">
        <v>121</v>
      </c>
      <c r="F17" s="32"/>
      <c r="G17" s="33">
        <v>66.599999999999994</v>
      </c>
      <c r="H17" s="180">
        <v>44353</v>
      </c>
      <c r="I17" s="409">
        <v>0.62714120370370374</v>
      </c>
      <c r="J17" s="181">
        <f t="shared" si="0"/>
        <v>0.54380787037037037</v>
      </c>
      <c r="K17" s="182">
        <v>190.45</v>
      </c>
      <c r="L17" s="183" t="s">
        <v>131</v>
      </c>
      <c r="M17" s="184">
        <v>0.33100000000000002</v>
      </c>
      <c r="N17" s="184">
        <v>2.6040000000000001</v>
      </c>
      <c r="O17" s="204">
        <v>7.43</v>
      </c>
      <c r="P17" s="186">
        <f t="shared" si="16"/>
        <v>0.49699699699699712</v>
      </c>
      <c r="Q17" s="187">
        <f t="shared" si="24"/>
        <v>3.9099099099099104</v>
      </c>
      <c r="R17" s="188">
        <f t="shared" si="25"/>
        <v>11.156156156156156</v>
      </c>
      <c r="S17" s="253" t="s">
        <v>28</v>
      </c>
      <c r="T17" s="258">
        <v>44363</v>
      </c>
      <c r="U17" s="255">
        <v>0.35942129629629632</v>
      </c>
      <c r="V17" s="413">
        <f t="shared" si="4"/>
        <v>0.27608796296296301</v>
      </c>
      <c r="W17" s="239">
        <v>237.22</v>
      </c>
      <c r="X17" s="229" t="s">
        <v>9</v>
      </c>
      <c r="Y17" s="240">
        <v>5.5E-2</v>
      </c>
      <c r="Z17" s="240">
        <v>0.46400000000000002</v>
      </c>
      <c r="AA17" s="242">
        <v>2.0569999999999999</v>
      </c>
      <c r="AB17" s="234">
        <f t="shared" si="26"/>
        <v>8.2582582582582595E-2</v>
      </c>
      <c r="AC17" s="235">
        <f t="shared" ref="AC17:AC18" si="28">(Z17/$G17)*100</f>
        <v>0.69669669669669676</v>
      </c>
      <c r="AD17" s="236">
        <f t="shared" si="27"/>
        <v>3.0885885885885886</v>
      </c>
      <c r="AE17" s="237" t="s">
        <v>28</v>
      </c>
      <c r="AF17" s="360"/>
      <c r="AG17" s="368"/>
      <c r="AH17" s="322"/>
      <c r="AI17" s="373"/>
      <c r="AJ17" s="312"/>
      <c r="AK17" s="312"/>
      <c r="AL17" s="313"/>
      <c r="AM17" s="307"/>
      <c r="AN17" s="308"/>
      <c r="AO17" s="309"/>
      <c r="AP17" s="354"/>
      <c r="AQ17" s="293"/>
      <c r="AR17" s="294"/>
      <c r="AS17" s="30"/>
      <c r="AT17" s="30"/>
      <c r="AU17" s="30"/>
    </row>
    <row r="18" spans="1:47" x14ac:dyDescent="0.35">
      <c r="A18" s="20">
        <v>14</v>
      </c>
      <c r="B18" s="196"/>
      <c r="C18" s="26">
        <v>44353</v>
      </c>
      <c r="D18" s="27">
        <v>0.40625</v>
      </c>
      <c r="E18" s="36" t="s">
        <v>120</v>
      </c>
      <c r="F18" s="32" t="s">
        <v>6</v>
      </c>
      <c r="G18" s="33">
        <v>181.3</v>
      </c>
      <c r="H18" s="180">
        <v>44353</v>
      </c>
      <c r="I18" s="409">
        <v>0.7947685185185186</v>
      </c>
      <c r="J18" s="181">
        <f t="shared" si="0"/>
        <v>0.71143518518518523</v>
      </c>
      <c r="K18" s="182">
        <v>123.23</v>
      </c>
      <c r="L18" s="183" t="s">
        <v>8</v>
      </c>
      <c r="M18" s="184">
        <v>0.51100000000000001</v>
      </c>
      <c r="N18" s="184">
        <v>3.3679999999999999</v>
      </c>
      <c r="O18" s="185">
        <v>9.3079999999999998</v>
      </c>
      <c r="P18" s="186">
        <f t="shared" si="16"/>
        <v>0.28185328185328185</v>
      </c>
      <c r="Q18" s="187">
        <f t="shared" si="24"/>
        <v>1.8576944291230004</v>
      </c>
      <c r="R18" s="188">
        <f t="shared" si="25"/>
        <v>5.1340319911748473</v>
      </c>
      <c r="S18" s="253" t="s">
        <v>28</v>
      </c>
      <c r="T18" s="258">
        <v>44363</v>
      </c>
      <c r="U18" s="255">
        <v>0.88968749999999996</v>
      </c>
      <c r="V18" s="413">
        <f t="shared" si="4"/>
        <v>0.80635416666666659</v>
      </c>
      <c r="W18" s="243">
        <v>466.15</v>
      </c>
      <c r="X18" s="229" t="s">
        <v>8</v>
      </c>
      <c r="Y18" s="240">
        <v>0.23599999999999999</v>
      </c>
      <c r="Z18" s="240">
        <v>0.77400000000000002</v>
      </c>
      <c r="AA18" s="241">
        <v>3.9670000000000001</v>
      </c>
      <c r="AB18" s="234">
        <f t="shared" si="26"/>
        <v>0.13017098731384444</v>
      </c>
      <c r="AC18" s="235">
        <f t="shared" si="28"/>
        <v>0.42691671263099834</v>
      </c>
      <c r="AD18" s="236">
        <f t="shared" si="27"/>
        <v>2.1880860452289026</v>
      </c>
      <c r="AE18" s="237" t="s">
        <v>28</v>
      </c>
      <c r="AF18" s="358"/>
      <c r="AG18" s="365"/>
      <c r="AH18" s="322"/>
      <c r="AI18" s="373"/>
      <c r="AJ18" s="312"/>
      <c r="AK18" s="312"/>
      <c r="AL18" s="313"/>
      <c r="AM18" s="307"/>
      <c r="AN18" s="308"/>
      <c r="AO18" s="309"/>
      <c r="AP18" s="354"/>
      <c r="AQ18" s="293"/>
      <c r="AR18" s="351"/>
      <c r="AS18" s="380"/>
      <c r="AT18" s="30"/>
      <c r="AU18" s="30"/>
    </row>
    <row r="19" spans="1:47" ht="18.5" customHeight="1" x14ac:dyDescent="0.35">
      <c r="A19" s="20">
        <v>14</v>
      </c>
      <c r="B19" s="196">
        <v>2</v>
      </c>
      <c r="C19" s="26">
        <v>44353</v>
      </c>
      <c r="D19" s="27">
        <v>0.4291666666666667</v>
      </c>
      <c r="E19" s="31" t="s">
        <v>121</v>
      </c>
      <c r="F19" s="32"/>
      <c r="G19" s="33">
        <v>70.614000000000004</v>
      </c>
      <c r="H19" s="180">
        <v>44353</v>
      </c>
      <c r="I19" s="409">
        <v>0.82634259259259257</v>
      </c>
      <c r="J19" s="181">
        <f t="shared" si="0"/>
        <v>0.7430092592592592</v>
      </c>
      <c r="K19" s="182">
        <v>146.22</v>
      </c>
      <c r="L19" s="183" t="s">
        <v>9</v>
      </c>
      <c r="M19" s="184">
        <v>0.27400000000000002</v>
      </c>
      <c r="N19" s="184">
        <v>2.1339999999999999</v>
      </c>
      <c r="O19" s="185">
        <v>6.867</v>
      </c>
      <c r="P19" s="186">
        <f t="shared" si="16"/>
        <v>0.38802503752796896</v>
      </c>
      <c r="Q19" s="187">
        <f t="shared" ref="Q19:Q21" si="29">(N19/$G19)*100</f>
        <v>3.0220636134477581</v>
      </c>
      <c r="R19" s="188">
        <f t="shared" ref="R19:R21" si="30">(O19/$G19)*100</f>
        <v>9.7247004843232219</v>
      </c>
      <c r="S19" s="253" t="s">
        <v>28</v>
      </c>
      <c r="T19" s="258">
        <v>44363</v>
      </c>
      <c r="U19" s="256">
        <v>0.92675925925925917</v>
      </c>
      <c r="V19" s="413">
        <f t="shared" si="4"/>
        <v>0.8434259259259258</v>
      </c>
      <c r="W19" s="239">
        <v>412.72</v>
      </c>
      <c r="X19" s="229" t="s">
        <v>9</v>
      </c>
      <c r="Y19" s="240">
        <v>0.107</v>
      </c>
      <c r="Z19" s="240">
        <v>0.439</v>
      </c>
      <c r="AA19" s="242">
        <v>2.2610000000000001</v>
      </c>
      <c r="AB19" s="234">
        <f t="shared" ref="AB19:AB21" si="31">(Y19/$G19)*100</f>
        <v>0.15152802560398787</v>
      </c>
      <c r="AC19" s="235">
        <f t="shared" ref="AC19:AC21" si="32">(Z19/$G19)*100</f>
        <v>0.62168974990795023</v>
      </c>
      <c r="AD19" s="236">
        <f t="shared" ref="AD19:AD21" si="33">(AA19/$G19)*100</f>
        <v>3.201914634491744</v>
      </c>
      <c r="AE19" s="237" t="s">
        <v>28</v>
      </c>
      <c r="AF19" s="361"/>
      <c r="AG19" s="321"/>
      <c r="AH19" s="322"/>
      <c r="AI19" s="373"/>
      <c r="AJ19" s="312"/>
      <c r="AK19" s="312"/>
      <c r="AL19" s="313"/>
      <c r="AM19" s="307"/>
      <c r="AN19" s="308"/>
      <c r="AO19" s="309"/>
      <c r="AP19" s="354"/>
      <c r="AQ19" s="293"/>
      <c r="AR19" s="294"/>
      <c r="AS19" s="379"/>
      <c r="AT19" s="30"/>
      <c r="AU19" s="30"/>
    </row>
    <row r="20" spans="1:47" ht="15.5" customHeight="1" x14ac:dyDescent="0.35">
      <c r="A20" s="20">
        <v>15</v>
      </c>
      <c r="B20" s="196"/>
      <c r="C20" s="26">
        <v>44353</v>
      </c>
      <c r="D20" s="27">
        <v>0.55555555555555558</v>
      </c>
      <c r="E20" s="31" t="s">
        <v>120</v>
      </c>
      <c r="F20" s="32" t="s">
        <v>6</v>
      </c>
      <c r="G20" s="33">
        <v>194.1</v>
      </c>
      <c r="H20" s="180">
        <v>44353</v>
      </c>
      <c r="I20" s="409">
        <v>0.92756944444444445</v>
      </c>
      <c r="J20" s="181">
        <f t="shared" si="0"/>
        <v>0.84423611111111108</v>
      </c>
      <c r="K20" s="182">
        <v>109.48</v>
      </c>
      <c r="L20" s="183" t="s">
        <v>8</v>
      </c>
      <c r="M20" s="184">
        <v>0.46600000000000003</v>
      </c>
      <c r="N20" s="184">
        <v>4.7679999999999998</v>
      </c>
      <c r="O20" s="185">
        <v>11.91</v>
      </c>
      <c r="P20" s="186">
        <f t="shared" si="16"/>
        <v>0.24008243173621846</v>
      </c>
      <c r="Q20" s="187">
        <f t="shared" si="29"/>
        <v>2.4564657393096341</v>
      </c>
      <c r="R20" s="188">
        <f t="shared" si="30"/>
        <v>6.1360123647604325</v>
      </c>
      <c r="S20" s="253" t="s">
        <v>28</v>
      </c>
      <c r="T20" s="258">
        <v>44363</v>
      </c>
      <c r="U20" s="256">
        <v>0.2742708333333333</v>
      </c>
      <c r="V20" s="413">
        <f t="shared" si="4"/>
        <v>0.19093749999999998</v>
      </c>
      <c r="W20" s="239">
        <v>201.77</v>
      </c>
      <c r="X20" s="229" t="s">
        <v>8</v>
      </c>
      <c r="Y20" s="240">
        <v>0.24299999999999999</v>
      </c>
      <c r="Z20" s="240">
        <v>1.0009999999999999</v>
      </c>
      <c r="AA20" s="241">
        <v>3.891</v>
      </c>
      <c r="AB20" s="234">
        <f t="shared" si="31"/>
        <v>0.12519319938176199</v>
      </c>
      <c r="AC20" s="235">
        <f t="shared" si="32"/>
        <v>0.51571354971664085</v>
      </c>
      <c r="AD20" s="236">
        <f t="shared" si="33"/>
        <v>2.0046367851622877</v>
      </c>
      <c r="AE20" s="237" t="s">
        <v>28</v>
      </c>
      <c r="AF20" s="361"/>
      <c r="AG20" s="321"/>
      <c r="AH20" s="322"/>
      <c r="AI20" s="373"/>
      <c r="AJ20" s="312"/>
      <c r="AK20" s="312"/>
      <c r="AL20" s="313"/>
      <c r="AM20" s="307"/>
      <c r="AN20" s="308"/>
      <c r="AO20" s="309"/>
      <c r="AP20" s="354"/>
      <c r="AQ20" s="293"/>
      <c r="AR20" s="294"/>
      <c r="AS20" s="30"/>
      <c r="AT20" s="30"/>
      <c r="AU20" s="30"/>
    </row>
    <row r="21" spans="1:47" ht="17.5" customHeight="1" x14ac:dyDescent="0.35">
      <c r="A21" s="20">
        <v>15</v>
      </c>
      <c r="B21" s="196">
        <v>11</v>
      </c>
      <c r="C21" s="26">
        <v>44353</v>
      </c>
      <c r="D21" s="27">
        <v>0.79166666666666663</v>
      </c>
      <c r="E21" s="31" t="s">
        <v>121</v>
      </c>
      <c r="F21" s="32"/>
      <c r="G21" s="33">
        <v>56</v>
      </c>
      <c r="H21" s="180">
        <v>44353</v>
      </c>
      <c r="I21" s="409">
        <v>0.96565972222222218</v>
      </c>
      <c r="J21" s="181">
        <f t="shared" si="0"/>
        <v>0.88232638888888881</v>
      </c>
      <c r="K21" s="182">
        <v>161.38</v>
      </c>
      <c r="L21" s="183" t="s">
        <v>9</v>
      </c>
      <c r="M21" s="184">
        <v>0.192</v>
      </c>
      <c r="N21" s="184">
        <v>1.419</v>
      </c>
      <c r="O21" s="185">
        <v>4.9390000000000001</v>
      </c>
      <c r="P21" s="186">
        <f t="shared" si="16"/>
        <v>0.34285714285714286</v>
      </c>
      <c r="Q21" s="187">
        <f t="shared" si="29"/>
        <v>2.5339285714285715</v>
      </c>
      <c r="R21" s="188">
        <f t="shared" si="30"/>
        <v>8.819642857142858</v>
      </c>
      <c r="S21" s="253" t="s">
        <v>28</v>
      </c>
      <c r="T21" s="258">
        <v>44363</v>
      </c>
      <c r="U21" s="256">
        <v>0.27403935185185185</v>
      </c>
      <c r="V21" s="413">
        <f t="shared" si="4"/>
        <v>0.19070601851851854</v>
      </c>
      <c r="W21" s="239">
        <v>202.15</v>
      </c>
      <c r="X21" s="229" t="s">
        <v>9</v>
      </c>
      <c r="Y21" s="240">
        <v>3.5000000000000003E-2</v>
      </c>
      <c r="Z21" s="240">
        <v>0.32200000000000001</v>
      </c>
      <c r="AA21" s="241">
        <v>1.603</v>
      </c>
      <c r="AB21" s="234">
        <f t="shared" si="31"/>
        <v>6.25E-2</v>
      </c>
      <c r="AC21" s="235">
        <f t="shared" si="32"/>
        <v>0.57499999999999996</v>
      </c>
      <c r="AD21" s="236">
        <f t="shared" si="33"/>
        <v>2.8625000000000003</v>
      </c>
      <c r="AE21" s="237" t="s">
        <v>28</v>
      </c>
      <c r="AF21" s="361"/>
      <c r="AG21" s="321"/>
      <c r="AH21" s="322"/>
      <c r="AI21" s="373"/>
      <c r="AJ21" s="312"/>
      <c r="AK21" s="312"/>
      <c r="AL21" s="313"/>
      <c r="AM21" s="307"/>
      <c r="AN21" s="308"/>
      <c r="AO21" s="309"/>
      <c r="AP21" s="354"/>
      <c r="AQ21" s="293"/>
      <c r="AR21" s="294"/>
      <c r="AS21" s="30"/>
      <c r="AT21" s="30"/>
      <c r="AU21" s="30"/>
    </row>
    <row r="22" spans="1:47" ht="18.5" customHeight="1" x14ac:dyDescent="0.35">
      <c r="A22" s="20">
        <v>16</v>
      </c>
      <c r="C22" s="26">
        <v>44353</v>
      </c>
      <c r="D22" s="27">
        <v>0.71250000000000002</v>
      </c>
      <c r="E22" s="36" t="s">
        <v>120</v>
      </c>
      <c r="F22" s="32" t="s">
        <v>6</v>
      </c>
      <c r="G22" s="33">
        <v>199.9</v>
      </c>
      <c r="H22" s="180">
        <v>44354</v>
      </c>
      <c r="I22" s="409">
        <v>0.4099652777777778</v>
      </c>
      <c r="J22" s="181">
        <f t="shared" si="0"/>
        <v>0.32663194444444449</v>
      </c>
      <c r="K22" s="183">
        <v>63.28</v>
      </c>
      <c r="L22" s="183" t="s">
        <v>131</v>
      </c>
      <c r="M22" s="184">
        <v>0.66400000000000003</v>
      </c>
      <c r="N22" s="184">
        <v>6.3520000000000003</v>
      </c>
      <c r="O22" s="185">
        <v>15.423</v>
      </c>
      <c r="P22" s="186">
        <f t="shared" ref="P22:P23" si="34">(M22/$G22)*100</f>
        <v>0.33216608304152079</v>
      </c>
      <c r="Q22" s="187">
        <f t="shared" ref="Q22:Q50" si="35">(N22/$G22)*100</f>
        <v>3.1775887943971988</v>
      </c>
      <c r="R22" s="188">
        <f t="shared" ref="R22:R23" si="36">(O22/$G22)*100</f>
        <v>7.7153576788394203</v>
      </c>
      <c r="S22" s="253" t="s">
        <v>28</v>
      </c>
      <c r="T22" s="258">
        <v>44364</v>
      </c>
      <c r="U22" s="256">
        <v>0.27328703703703705</v>
      </c>
      <c r="V22" s="413">
        <f t="shared" si="4"/>
        <v>0.18995370370370374</v>
      </c>
      <c r="W22" s="239">
        <v>203.28</v>
      </c>
      <c r="X22" s="229" t="s">
        <v>131</v>
      </c>
      <c r="Y22" s="240">
        <v>0.216</v>
      </c>
      <c r="Z22" s="240">
        <v>1.0820000000000001</v>
      </c>
      <c r="AA22" s="241">
        <v>4.2110000000000003</v>
      </c>
      <c r="AB22" s="234">
        <f t="shared" ref="AB22:AB23" si="37">(Y22/$G22)*100</f>
        <v>0.10805402701350676</v>
      </c>
      <c r="AC22" s="235">
        <f t="shared" ref="AC22:AC23" si="38">(Z22/$G22)*100</f>
        <v>0.54127063531765884</v>
      </c>
      <c r="AD22" s="236">
        <f t="shared" ref="AD22:AD23" si="39">(AA22/$G22)*100</f>
        <v>2.1065532766383193</v>
      </c>
      <c r="AE22" s="237" t="s">
        <v>28</v>
      </c>
      <c r="AF22" s="360"/>
      <c r="AG22" s="368"/>
      <c r="AH22" s="322"/>
      <c r="AI22" s="373"/>
      <c r="AJ22" s="312"/>
      <c r="AK22" s="312"/>
      <c r="AL22" s="313"/>
      <c r="AM22" s="307"/>
      <c r="AN22" s="308"/>
      <c r="AO22" s="309"/>
      <c r="AP22" s="354"/>
      <c r="AQ22" s="293"/>
      <c r="AR22" s="294"/>
      <c r="AS22" s="30"/>
      <c r="AT22" s="30"/>
      <c r="AU22" s="30"/>
    </row>
    <row r="23" spans="1:47" ht="20" customHeight="1" x14ac:dyDescent="0.35">
      <c r="A23" s="20">
        <v>17</v>
      </c>
      <c r="C23" s="26">
        <v>44353</v>
      </c>
      <c r="D23" s="27">
        <v>0.89583333333333337</v>
      </c>
      <c r="E23" s="36" t="s">
        <v>120</v>
      </c>
      <c r="F23" s="32" t="s">
        <v>6</v>
      </c>
      <c r="G23" s="33">
        <v>199.9</v>
      </c>
      <c r="H23" s="180">
        <v>44354</v>
      </c>
      <c r="I23" s="409">
        <v>0.40991898148148148</v>
      </c>
      <c r="J23" s="181">
        <f t="shared" si="0"/>
        <v>0.32658564814814817</v>
      </c>
      <c r="K23" s="183">
        <v>155.41999999999999</v>
      </c>
      <c r="L23" s="183" t="s">
        <v>130</v>
      </c>
      <c r="M23" s="184">
        <v>0.40500000000000003</v>
      </c>
      <c r="N23" s="184">
        <v>2.6960000000000002</v>
      </c>
      <c r="O23" s="185">
        <v>7.3739999999999997</v>
      </c>
      <c r="P23" s="186">
        <f t="shared" si="34"/>
        <v>0.20260130065032517</v>
      </c>
      <c r="Q23" s="187">
        <f t="shared" si="35"/>
        <v>1.3486743371685845</v>
      </c>
      <c r="R23" s="188">
        <f t="shared" si="36"/>
        <v>3.6888444222111052</v>
      </c>
      <c r="S23" s="253" t="s">
        <v>28</v>
      </c>
      <c r="T23" s="258">
        <v>44364</v>
      </c>
      <c r="U23" s="256">
        <v>0.27326388888888892</v>
      </c>
      <c r="V23" s="413">
        <f t="shared" si="4"/>
        <v>0.1899305555555556</v>
      </c>
      <c r="W23" s="231">
        <v>203.3</v>
      </c>
      <c r="X23" s="229" t="s">
        <v>130</v>
      </c>
      <c r="Y23" s="232">
        <v>0.17699999999999999</v>
      </c>
      <c r="Z23" s="232">
        <v>0.64900000000000002</v>
      </c>
      <c r="AA23" s="233">
        <v>3.0990000000000002</v>
      </c>
      <c r="AB23" s="234">
        <f t="shared" si="37"/>
        <v>8.8544272136068025E-2</v>
      </c>
      <c r="AC23" s="235">
        <f t="shared" si="38"/>
        <v>0.3246623311655828</v>
      </c>
      <c r="AD23" s="236">
        <f t="shared" si="39"/>
        <v>1.5502751375687844</v>
      </c>
      <c r="AE23" s="237" t="s">
        <v>28</v>
      </c>
      <c r="AF23" s="358"/>
      <c r="AG23" s="365"/>
      <c r="AH23" s="366"/>
      <c r="AI23" s="373"/>
      <c r="AJ23" s="305"/>
      <c r="AK23" s="305"/>
      <c r="AL23" s="306"/>
      <c r="AM23" s="307"/>
      <c r="AN23" s="308"/>
      <c r="AO23" s="309"/>
      <c r="AP23" s="354"/>
      <c r="AQ23" s="293"/>
      <c r="AR23" s="294"/>
      <c r="AS23" s="30"/>
      <c r="AT23" s="37"/>
      <c r="AU23" s="37"/>
    </row>
    <row r="24" spans="1:47" x14ac:dyDescent="0.35">
      <c r="A24" s="20">
        <v>17</v>
      </c>
      <c r="B24" s="195">
        <v>2</v>
      </c>
      <c r="C24" s="26">
        <v>44353</v>
      </c>
      <c r="D24" s="27">
        <v>0.92569444444444438</v>
      </c>
      <c r="E24" s="31" t="s">
        <v>121</v>
      </c>
      <c r="F24" s="32"/>
      <c r="G24" s="33">
        <v>58</v>
      </c>
      <c r="H24" s="180">
        <v>44354</v>
      </c>
      <c r="I24" s="409">
        <v>0.65393518518518523</v>
      </c>
      <c r="J24" s="181">
        <f t="shared" si="0"/>
        <v>0.57060185185185186</v>
      </c>
      <c r="K24" s="183">
        <v>241.02</v>
      </c>
      <c r="L24" s="183" t="s">
        <v>130</v>
      </c>
      <c r="M24" s="184">
        <v>9.5000000000000001E-2</v>
      </c>
      <c r="N24" s="184">
        <v>0.72199999999999998</v>
      </c>
      <c r="O24" s="185">
        <v>3.1989999999999998</v>
      </c>
      <c r="P24" s="186">
        <f t="shared" ref="P24:P27" si="40">(M24/$G24)*100</f>
        <v>0.16379310344827586</v>
      </c>
      <c r="Q24" s="187">
        <f t="shared" si="35"/>
        <v>1.2448275862068965</v>
      </c>
      <c r="R24" s="188">
        <f t="shared" ref="R24:R27" si="41">(O24/$G24)*100</f>
        <v>5.5155172413793103</v>
      </c>
      <c r="S24" s="253" t="s">
        <v>28</v>
      </c>
      <c r="T24" s="258">
        <v>44365</v>
      </c>
      <c r="U24" s="256">
        <v>2.9861111111111113E-2</v>
      </c>
      <c r="V24" s="413">
        <v>0.94652777777777775</v>
      </c>
      <c r="W24" s="231">
        <v>240.83</v>
      </c>
      <c r="X24" s="229" t="s">
        <v>130</v>
      </c>
      <c r="Y24" s="232">
        <v>6.2E-2</v>
      </c>
      <c r="Z24" s="232">
        <v>0.249</v>
      </c>
      <c r="AA24" s="233">
        <v>1.4330000000000001</v>
      </c>
      <c r="AB24" s="234">
        <f t="shared" ref="AB24:AB27" si="42">(Y24/$G24)*100</f>
        <v>0.10689655172413794</v>
      </c>
      <c r="AC24" s="235">
        <f t="shared" ref="AC24:AC27" si="43">(Z24/$G24)*100</f>
        <v>0.42931034482758623</v>
      </c>
      <c r="AD24" s="236">
        <f t="shared" ref="AD24:AD27" si="44">(AA24/$G24)*100</f>
        <v>2.4706896551724138</v>
      </c>
      <c r="AE24" s="237" t="s">
        <v>28</v>
      </c>
      <c r="AF24" s="360"/>
      <c r="AG24" s="365"/>
      <c r="AH24" s="366"/>
      <c r="AI24" s="373"/>
      <c r="AJ24" s="305"/>
      <c r="AK24" s="305"/>
      <c r="AL24" s="306"/>
      <c r="AM24" s="307"/>
      <c r="AN24" s="308"/>
      <c r="AO24" s="309"/>
      <c r="AP24" s="354"/>
      <c r="AQ24" s="293"/>
      <c r="AR24" s="294"/>
      <c r="AS24" s="30"/>
      <c r="AT24" s="30"/>
      <c r="AU24" s="30"/>
    </row>
    <row r="25" spans="1:47" ht="17.5" customHeight="1" x14ac:dyDescent="0.35">
      <c r="A25" s="20">
        <v>18</v>
      </c>
      <c r="C25" s="26">
        <v>44354</v>
      </c>
      <c r="D25" s="27">
        <v>5.319444444444444E-2</v>
      </c>
      <c r="E25" s="36" t="s">
        <v>120</v>
      </c>
      <c r="F25" s="32" t="s">
        <v>6</v>
      </c>
      <c r="G25" s="33">
        <v>193.8</v>
      </c>
      <c r="H25" s="180">
        <v>44355</v>
      </c>
      <c r="I25" s="409">
        <v>0.41744212962962962</v>
      </c>
      <c r="J25" s="181">
        <f t="shared" si="0"/>
        <v>0.33410879629629631</v>
      </c>
      <c r="K25" s="183">
        <v>254.03</v>
      </c>
      <c r="L25" s="183" t="s">
        <v>9</v>
      </c>
      <c r="M25" s="184">
        <v>0.28699999999999998</v>
      </c>
      <c r="N25" s="184">
        <v>1.35</v>
      </c>
      <c r="O25" s="185">
        <v>5.0069999999999997</v>
      </c>
      <c r="P25" s="186">
        <f t="shared" si="40"/>
        <v>0.14809081527347778</v>
      </c>
      <c r="Q25" s="187">
        <f t="shared" si="35"/>
        <v>0.69659442724458198</v>
      </c>
      <c r="R25" s="188">
        <f t="shared" si="41"/>
        <v>2.5835913312693495</v>
      </c>
      <c r="S25" s="253" t="s">
        <v>28</v>
      </c>
      <c r="T25" s="258">
        <v>44365</v>
      </c>
      <c r="U25" s="256">
        <v>0.30972222222222223</v>
      </c>
      <c r="V25" s="413">
        <f t="shared" si="4"/>
        <v>0.22638888888888892</v>
      </c>
      <c r="W25" s="231">
        <v>218.73</v>
      </c>
      <c r="X25" s="229" t="s">
        <v>9</v>
      </c>
      <c r="Y25" s="232">
        <v>0.105</v>
      </c>
      <c r="Z25" s="232">
        <v>0.38400000000000001</v>
      </c>
      <c r="AA25" s="233">
        <v>2.3410000000000002</v>
      </c>
      <c r="AB25" s="234">
        <f t="shared" si="42"/>
        <v>5.4179566563467486E-2</v>
      </c>
      <c r="AC25" s="235">
        <f t="shared" si="43"/>
        <v>0.19814241486068113</v>
      </c>
      <c r="AD25" s="236">
        <f t="shared" si="44"/>
        <v>1.2079463364293086</v>
      </c>
      <c r="AE25" s="237" t="s">
        <v>28</v>
      </c>
      <c r="AF25" s="358"/>
      <c r="AG25" s="365"/>
      <c r="AH25" s="366"/>
      <c r="AI25" s="373"/>
      <c r="AJ25" s="305"/>
      <c r="AK25" s="305"/>
      <c r="AL25" s="306"/>
      <c r="AM25" s="307"/>
      <c r="AN25" s="308"/>
      <c r="AO25" s="309"/>
      <c r="AP25" s="354"/>
      <c r="AQ25" s="293"/>
      <c r="AR25" s="294"/>
      <c r="AS25" s="30"/>
      <c r="AT25" s="30"/>
      <c r="AU25" s="30"/>
    </row>
    <row r="26" spans="1:47" x14ac:dyDescent="0.35">
      <c r="A26" s="20">
        <v>18</v>
      </c>
      <c r="B26" s="195">
        <v>2</v>
      </c>
      <c r="C26" s="26">
        <v>44354</v>
      </c>
      <c r="D26" s="27">
        <v>8.1932870370370378E-2</v>
      </c>
      <c r="E26" s="31" t="s">
        <v>121</v>
      </c>
      <c r="F26" s="32"/>
      <c r="G26" s="33">
        <v>60.04</v>
      </c>
      <c r="H26" s="180">
        <v>44354</v>
      </c>
      <c r="I26" s="409">
        <v>0.65347222222222223</v>
      </c>
      <c r="J26" s="181">
        <f t="shared" si="0"/>
        <v>0.57013888888888886</v>
      </c>
      <c r="K26" s="183">
        <v>240.9</v>
      </c>
      <c r="L26" s="183" t="s">
        <v>131</v>
      </c>
      <c r="M26" s="184">
        <v>0.11600000000000001</v>
      </c>
      <c r="N26" s="184">
        <v>0.91300000000000003</v>
      </c>
      <c r="O26" s="185">
        <v>4.0060000000000002</v>
      </c>
      <c r="P26" s="186">
        <f t="shared" si="40"/>
        <v>0.1932045303131246</v>
      </c>
      <c r="Q26" s="187">
        <f t="shared" si="35"/>
        <v>1.5206528980679548</v>
      </c>
      <c r="R26" s="188">
        <f t="shared" si="41"/>
        <v>6.6722185209860108</v>
      </c>
      <c r="S26" s="253" t="s">
        <v>28</v>
      </c>
      <c r="T26" s="258">
        <v>44365</v>
      </c>
      <c r="U26" s="255">
        <v>4.7418981481481486E-2</v>
      </c>
      <c r="V26" s="413">
        <v>0.46408564814814812</v>
      </c>
      <c r="W26" s="231">
        <v>240.7</v>
      </c>
      <c r="X26" s="229" t="s">
        <v>131</v>
      </c>
      <c r="Y26" s="232">
        <v>0.05</v>
      </c>
      <c r="Z26" s="232">
        <v>0.249</v>
      </c>
      <c r="AA26" s="233">
        <v>1.8160000000000001</v>
      </c>
      <c r="AB26" s="234">
        <f t="shared" si="42"/>
        <v>8.3277814790139904E-2</v>
      </c>
      <c r="AC26" s="235">
        <f t="shared" si="43"/>
        <v>0.41472351765489673</v>
      </c>
      <c r="AD26" s="236">
        <f t="shared" si="44"/>
        <v>3.0246502331778813</v>
      </c>
      <c r="AE26" s="237" t="s">
        <v>28</v>
      </c>
      <c r="AF26" s="362"/>
      <c r="AG26" s="367"/>
      <c r="AH26" s="366"/>
      <c r="AI26" s="373"/>
      <c r="AJ26" s="305"/>
      <c r="AK26" s="305"/>
      <c r="AL26" s="306"/>
      <c r="AM26" s="307"/>
      <c r="AN26" s="308"/>
      <c r="AO26" s="309"/>
      <c r="AP26" s="354"/>
      <c r="AQ26" s="293"/>
      <c r="AR26" s="294"/>
      <c r="AS26" s="30"/>
      <c r="AT26" s="30"/>
      <c r="AU26" s="30"/>
    </row>
    <row r="27" spans="1:47" s="24" customFormat="1" x14ac:dyDescent="0.35">
      <c r="A27" s="23">
        <v>19</v>
      </c>
      <c r="B27" s="196"/>
      <c r="C27" s="28">
        <v>44354</v>
      </c>
      <c r="D27" s="29">
        <v>0.25</v>
      </c>
      <c r="E27" s="38" t="s">
        <v>120</v>
      </c>
      <c r="F27" s="32" t="s">
        <v>6</v>
      </c>
      <c r="G27" s="39">
        <v>200.2</v>
      </c>
      <c r="H27" s="180">
        <v>44354</v>
      </c>
      <c r="I27" s="409">
        <v>0.82475694444444436</v>
      </c>
      <c r="J27" s="181">
        <f t="shared" si="0"/>
        <v>0.74142361111111099</v>
      </c>
      <c r="K27" s="183">
        <v>151.63</v>
      </c>
      <c r="L27" s="183" t="s">
        <v>8</v>
      </c>
      <c r="M27" s="184">
        <v>0.33</v>
      </c>
      <c r="N27" s="184">
        <v>2.9540000000000002</v>
      </c>
      <c r="O27" s="185">
        <v>7.67</v>
      </c>
      <c r="P27" s="186">
        <f t="shared" si="40"/>
        <v>0.16483516483516486</v>
      </c>
      <c r="Q27" s="187">
        <f t="shared" si="35"/>
        <v>1.4755244755244756</v>
      </c>
      <c r="R27" s="188">
        <f t="shared" si="41"/>
        <v>3.831168831168831</v>
      </c>
      <c r="S27" s="253" t="s">
        <v>28</v>
      </c>
      <c r="T27" s="258">
        <v>44365</v>
      </c>
      <c r="U27" s="255">
        <v>0.30972222222222223</v>
      </c>
      <c r="V27" s="413">
        <f t="shared" si="4"/>
        <v>0.22638888888888892</v>
      </c>
      <c r="W27" s="231">
        <v>218.7</v>
      </c>
      <c r="X27" s="229" t="s">
        <v>8</v>
      </c>
      <c r="Y27" s="232">
        <v>0.14599999999999999</v>
      </c>
      <c r="Z27" s="232">
        <v>0.70399999999999996</v>
      </c>
      <c r="AA27" s="233">
        <v>2.9809999999999999</v>
      </c>
      <c r="AB27" s="234">
        <f t="shared" si="42"/>
        <v>7.2927072927072928E-2</v>
      </c>
      <c r="AC27" s="235">
        <f t="shared" si="43"/>
        <v>0.35164835164835162</v>
      </c>
      <c r="AD27" s="236">
        <f t="shared" si="44"/>
        <v>1.4890109890109891</v>
      </c>
      <c r="AE27" s="237" t="s">
        <v>28</v>
      </c>
      <c r="AF27" s="358"/>
      <c r="AG27" s="367"/>
      <c r="AH27" s="366"/>
      <c r="AI27" s="373"/>
      <c r="AJ27" s="305"/>
      <c r="AK27" s="305"/>
      <c r="AL27" s="306"/>
      <c r="AM27" s="307"/>
      <c r="AN27" s="308"/>
      <c r="AO27" s="309"/>
      <c r="AP27" s="354"/>
      <c r="AQ27" s="293"/>
      <c r="AR27" s="294"/>
      <c r="AS27" s="40"/>
      <c r="AT27" s="40"/>
      <c r="AU27" s="40"/>
    </row>
    <row r="28" spans="1:47" ht="18.5" customHeight="1" x14ac:dyDescent="0.35">
      <c r="A28" s="20">
        <v>20</v>
      </c>
      <c r="C28" s="28">
        <v>44354</v>
      </c>
      <c r="D28" s="27">
        <v>0.45833333333333331</v>
      </c>
      <c r="E28" s="36" t="s">
        <v>120</v>
      </c>
      <c r="F28" s="32" t="s">
        <v>6</v>
      </c>
      <c r="G28" s="33">
        <v>200.1</v>
      </c>
      <c r="H28" s="180">
        <v>44355</v>
      </c>
      <c r="I28" s="409">
        <v>0.70681712962962961</v>
      </c>
      <c r="J28" s="181">
        <f t="shared" si="0"/>
        <v>0.62348379629629624</v>
      </c>
      <c r="K28" s="183">
        <v>116.27</v>
      </c>
      <c r="L28" s="183" t="s">
        <v>131</v>
      </c>
      <c r="M28" s="184">
        <v>0.39600000000000002</v>
      </c>
      <c r="N28" s="184">
        <v>3.7069999999999999</v>
      </c>
      <c r="O28" s="185">
        <v>10.416</v>
      </c>
      <c r="P28" s="186">
        <f t="shared" ref="P28:P29" si="45">(M28/$G28)*100</f>
        <v>0.19790104947526235</v>
      </c>
      <c r="Q28" s="187">
        <f t="shared" si="35"/>
        <v>1.8525737131434283</v>
      </c>
      <c r="R28" s="188">
        <f t="shared" ref="R28:R29" si="46">(O28/$G28)*100</f>
        <v>5.2053973013493255</v>
      </c>
      <c r="S28" s="253" t="s">
        <v>28</v>
      </c>
      <c r="T28" s="258">
        <v>44365</v>
      </c>
      <c r="U28" s="255">
        <v>0.30974537037037037</v>
      </c>
      <c r="V28" s="413">
        <f t="shared" si="4"/>
        <v>0.22641203703703705</v>
      </c>
      <c r="W28" s="231">
        <v>218.73</v>
      </c>
      <c r="X28" s="229" t="s">
        <v>131</v>
      </c>
      <c r="Y28" s="232">
        <v>0.192</v>
      </c>
      <c r="Z28" s="232">
        <v>0.77300000000000002</v>
      </c>
      <c r="AA28" s="233">
        <v>3.3239999999999998</v>
      </c>
      <c r="AB28" s="234">
        <f t="shared" ref="AB28:AB29" si="47">(Y28/$G28)*100</f>
        <v>9.5952023988005994E-2</v>
      </c>
      <c r="AC28" s="235">
        <f t="shared" ref="AC28:AC29" si="48">(Z28/$G28)*100</f>
        <v>0.38630684657671166</v>
      </c>
      <c r="AD28" s="236">
        <f t="shared" ref="AD28:AD29" si="49">(AA28/$G28)*100</f>
        <v>1.6611694152923537</v>
      </c>
      <c r="AE28" s="237" t="s">
        <v>28</v>
      </c>
      <c r="AF28" s="358"/>
      <c r="AG28" s="365"/>
      <c r="AH28" s="366"/>
      <c r="AI28" s="373"/>
      <c r="AJ28" s="305"/>
      <c r="AK28" s="305"/>
      <c r="AL28" s="306"/>
      <c r="AM28" s="307"/>
      <c r="AN28" s="308"/>
      <c r="AO28" s="309"/>
      <c r="AP28" s="354"/>
      <c r="AQ28" s="293"/>
      <c r="AR28" s="294"/>
      <c r="AS28" s="30"/>
      <c r="AT28" s="30"/>
      <c r="AU28" s="30"/>
    </row>
    <row r="29" spans="1:47" x14ac:dyDescent="0.35">
      <c r="A29" s="20">
        <v>21</v>
      </c>
      <c r="C29" s="28">
        <v>44354</v>
      </c>
      <c r="D29" s="27">
        <v>0.65277777777777779</v>
      </c>
      <c r="E29" s="36" t="s">
        <v>120</v>
      </c>
      <c r="F29" s="32" t="s">
        <v>6</v>
      </c>
      <c r="G29" s="33">
        <v>201.1</v>
      </c>
      <c r="H29" s="180">
        <v>44355</v>
      </c>
      <c r="I29" s="409">
        <v>0.39619212962962963</v>
      </c>
      <c r="J29" s="181">
        <f t="shared" si="0"/>
        <v>0.31285879629629632</v>
      </c>
      <c r="K29" s="183">
        <v>135.69999999999999</v>
      </c>
      <c r="L29" s="183" t="s">
        <v>8</v>
      </c>
      <c r="M29" s="184">
        <v>0.45700000000000002</v>
      </c>
      <c r="N29" s="184">
        <v>4.4290000000000003</v>
      </c>
      <c r="O29" s="185">
        <v>10.951000000000001</v>
      </c>
      <c r="P29" s="186">
        <f t="shared" si="45"/>
        <v>0.22725012431626057</v>
      </c>
      <c r="Q29" s="187">
        <f t="shared" si="35"/>
        <v>2.2023868722028843</v>
      </c>
      <c r="R29" s="188">
        <f t="shared" si="46"/>
        <v>5.4455494778717064</v>
      </c>
      <c r="S29" s="253" t="s">
        <v>28</v>
      </c>
      <c r="T29" s="258">
        <v>44366</v>
      </c>
      <c r="U29" s="255">
        <v>0.38347222222222221</v>
      </c>
      <c r="V29" s="413">
        <f t="shared" si="4"/>
        <v>0.3001388888888889</v>
      </c>
      <c r="W29" s="231">
        <v>292.68</v>
      </c>
      <c r="X29" s="229" t="s">
        <v>8</v>
      </c>
      <c r="Y29" s="232">
        <v>0.17799999999999999</v>
      </c>
      <c r="Z29" s="232">
        <v>0.98399999999999999</v>
      </c>
      <c r="AA29" s="233">
        <v>3.8919999999999999</v>
      </c>
      <c r="AB29" s="234">
        <f t="shared" si="47"/>
        <v>8.851317752362009E-2</v>
      </c>
      <c r="AC29" s="235">
        <f t="shared" si="48"/>
        <v>0.48930880159124818</v>
      </c>
      <c r="AD29" s="236">
        <f t="shared" si="49"/>
        <v>1.9353555445052213</v>
      </c>
      <c r="AE29" s="237" t="s">
        <v>28</v>
      </c>
      <c r="AF29" s="358"/>
      <c r="AG29" s="365"/>
      <c r="AH29" s="366"/>
      <c r="AI29" s="373"/>
      <c r="AJ29" s="305"/>
      <c r="AK29" s="305"/>
      <c r="AL29" s="306"/>
      <c r="AM29" s="307"/>
      <c r="AN29" s="308"/>
      <c r="AO29" s="309"/>
      <c r="AP29" s="354"/>
      <c r="AQ29" s="293"/>
      <c r="AR29" s="294"/>
      <c r="AS29" s="30"/>
      <c r="AT29" s="30"/>
      <c r="AU29" s="30"/>
    </row>
    <row r="30" spans="1:47" x14ac:dyDescent="0.35">
      <c r="A30" s="20">
        <v>22</v>
      </c>
      <c r="C30" s="26">
        <v>44355</v>
      </c>
      <c r="D30" s="27">
        <v>5.9722222222222225E-2</v>
      </c>
      <c r="E30" s="31" t="s">
        <v>120</v>
      </c>
      <c r="F30" s="32" t="s">
        <v>6</v>
      </c>
      <c r="G30" s="33">
        <v>200.2</v>
      </c>
      <c r="H30" s="180">
        <v>44355</v>
      </c>
      <c r="I30" s="409">
        <v>0.55949074074074068</v>
      </c>
      <c r="J30" s="181">
        <f t="shared" si="0"/>
        <v>0.47615740740740736</v>
      </c>
      <c r="K30" s="183">
        <v>117.3</v>
      </c>
      <c r="L30" s="183" t="s">
        <v>131</v>
      </c>
      <c r="M30" s="184">
        <v>0.443</v>
      </c>
      <c r="N30" s="184">
        <v>3.504</v>
      </c>
      <c r="O30" s="185">
        <v>9.8290000000000006</v>
      </c>
      <c r="P30" s="186">
        <f t="shared" ref="P30:P34" si="50">(M30/$G30)*100</f>
        <v>0.22127872127872131</v>
      </c>
      <c r="Q30" s="187">
        <f t="shared" si="35"/>
        <v>1.7502497502497505</v>
      </c>
      <c r="R30" s="188">
        <f t="shared" ref="R30:R34" si="51">(O30/$G30)*100</f>
        <v>4.9095904095904102</v>
      </c>
      <c r="S30" s="253" t="s">
        <v>28</v>
      </c>
      <c r="T30" s="258">
        <v>44365</v>
      </c>
      <c r="U30" s="255">
        <v>0.59768518518518521</v>
      </c>
      <c r="V30" s="413">
        <f t="shared" si="4"/>
        <v>0.51435185185185184</v>
      </c>
      <c r="W30" s="231">
        <v>249.93</v>
      </c>
      <c r="X30" s="229" t="s">
        <v>131</v>
      </c>
      <c r="Y30" s="232">
        <v>9.1999999999999998E-2</v>
      </c>
      <c r="Z30" s="232">
        <v>0.59199999999999997</v>
      </c>
      <c r="AA30" s="233">
        <v>2.9329999999999998</v>
      </c>
      <c r="AB30" s="234">
        <f t="shared" ref="AB30" si="52">(Y30/$G30)*100</f>
        <v>4.5954045954045952E-2</v>
      </c>
      <c r="AC30" s="235">
        <f t="shared" ref="AC30" si="53">(Z30/$G30)*100</f>
        <v>0.29570429570429568</v>
      </c>
      <c r="AD30" s="236">
        <f t="shared" ref="AD30" si="54">(AA30/$G30)*100</f>
        <v>1.465034965034965</v>
      </c>
      <c r="AE30" s="237" t="s">
        <v>28</v>
      </c>
      <c r="AF30" s="360"/>
      <c r="AG30" s="365"/>
      <c r="AH30" s="366"/>
      <c r="AI30" s="373"/>
      <c r="AJ30" s="305"/>
      <c r="AK30" s="305"/>
      <c r="AL30" s="306"/>
      <c r="AM30" s="307"/>
      <c r="AN30" s="308"/>
      <c r="AO30" s="309"/>
      <c r="AP30" s="354"/>
      <c r="AQ30" s="293"/>
      <c r="AR30" s="294"/>
      <c r="AS30" s="30"/>
      <c r="AT30" s="30"/>
      <c r="AU30" s="30"/>
    </row>
    <row r="31" spans="1:47" x14ac:dyDescent="0.35">
      <c r="A31" s="20">
        <v>23</v>
      </c>
      <c r="C31" s="26">
        <v>44355</v>
      </c>
      <c r="D31" s="27">
        <v>0.20138888888888887</v>
      </c>
      <c r="E31" s="36" t="s">
        <v>120</v>
      </c>
      <c r="F31" s="32" t="s">
        <v>6</v>
      </c>
      <c r="G31" s="33">
        <v>190.8</v>
      </c>
      <c r="H31" s="180">
        <v>44355</v>
      </c>
      <c r="I31" s="409">
        <v>0.53752314814814817</v>
      </c>
      <c r="J31" s="181">
        <f t="shared" si="0"/>
        <v>0.45418981481481485</v>
      </c>
      <c r="K31" s="183">
        <v>150.15</v>
      </c>
      <c r="L31" s="183" t="s">
        <v>8</v>
      </c>
      <c r="M31" s="184">
        <v>0.42</v>
      </c>
      <c r="N31" s="184">
        <v>3.9430000000000001</v>
      </c>
      <c r="O31" s="185">
        <v>10.45</v>
      </c>
      <c r="P31" s="186">
        <f t="shared" si="50"/>
        <v>0.22012578616352202</v>
      </c>
      <c r="Q31" s="187">
        <f t="shared" si="35"/>
        <v>2.0665618448637315</v>
      </c>
      <c r="R31" s="188">
        <f t="shared" si="51"/>
        <v>5.4769392033542967</v>
      </c>
      <c r="S31" s="253" t="s">
        <v>28</v>
      </c>
      <c r="T31" s="258">
        <v>44366</v>
      </c>
      <c r="U31" s="255">
        <v>9.975694444444444E-2</v>
      </c>
      <c r="V31" s="413">
        <f t="shared" si="4"/>
        <v>1.6423611111111111E-2</v>
      </c>
      <c r="W31" s="241">
        <v>250.37</v>
      </c>
      <c r="X31" s="241" t="s">
        <v>8</v>
      </c>
      <c r="Y31" s="240">
        <v>0.14799999999999999</v>
      </c>
      <c r="Z31" s="240">
        <v>0.69899999999999995</v>
      </c>
      <c r="AA31" s="241">
        <v>3.1909999999999998</v>
      </c>
      <c r="AB31" s="234">
        <f t="shared" ref="AB31" si="55">(Y31/$G31)*100</f>
        <v>7.7568134171907749E-2</v>
      </c>
      <c r="AC31" s="235">
        <f t="shared" ref="AC31" si="56">(Z31/$G31)*100</f>
        <v>0.36635220125786161</v>
      </c>
      <c r="AD31" s="236">
        <f t="shared" ref="AD31" si="57">(AA31/$G31)*100</f>
        <v>1.6724318658280921</v>
      </c>
      <c r="AE31" s="237" t="s">
        <v>28</v>
      </c>
      <c r="AF31" s="358"/>
      <c r="AG31" s="365"/>
      <c r="AH31" s="322"/>
      <c r="AI31" s="375"/>
      <c r="AJ31" s="312"/>
      <c r="AK31" s="312"/>
      <c r="AL31" s="313"/>
      <c r="AM31" s="314"/>
      <c r="AN31" s="315"/>
      <c r="AO31" s="316"/>
      <c r="AP31" s="354"/>
      <c r="AQ31" s="293"/>
      <c r="AR31" s="294"/>
      <c r="AS31" s="30"/>
      <c r="AT31" s="30"/>
      <c r="AU31" s="30"/>
    </row>
    <row r="32" spans="1:47" x14ac:dyDescent="0.35">
      <c r="A32" s="20">
        <v>24</v>
      </c>
      <c r="C32" s="26">
        <v>44355</v>
      </c>
      <c r="D32" s="27">
        <v>0.37152777777777773</v>
      </c>
      <c r="E32" s="31" t="s">
        <v>120</v>
      </c>
      <c r="F32" s="32" t="s">
        <v>6</v>
      </c>
      <c r="G32" s="33">
        <v>200.7</v>
      </c>
      <c r="H32" s="180">
        <v>44355</v>
      </c>
      <c r="I32" s="409">
        <v>0.70708333333333329</v>
      </c>
      <c r="J32" s="181">
        <f t="shared" si="0"/>
        <v>0.62374999999999992</v>
      </c>
      <c r="K32" s="183">
        <v>126.77</v>
      </c>
      <c r="L32" s="183" t="s">
        <v>9</v>
      </c>
      <c r="M32" s="184">
        <v>0.45800000000000002</v>
      </c>
      <c r="N32" s="184">
        <v>3.1949999999999998</v>
      </c>
      <c r="O32" s="185">
        <v>9.23</v>
      </c>
      <c r="P32" s="186">
        <f t="shared" si="50"/>
        <v>0.22820129546586948</v>
      </c>
      <c r="Q32" s="187">
        <f t="shared" si="35"/>
        <v>1.5919282511210762</v>
      </c>
      <c r="R32" s="188">
        <f t="shared" si="51"/>
        <v>4.5989038365719983</v>
      </c>
      <c r="S32" s="253" t="s">
        <v>28</v>
      </c>
      <c r="T32" s="258">
        <v>44366</v>
      </c>
      <c r="U32" s="255">
        <v>9.975694444444444E-2</v>
      </c>
      <c r="V32" s="413">
        <f t="shared" si="4"/>
        <v>1.6423611111111111E-2</v>
      </c>
      <c r="W32" s="231">
        <v>250</v>
      </c>
      <c r="X32" s="229" t="s">
        <v>9</v>
      </c>
      <c r="Y32" s="232">
        <v>0.18</v>
      </c>
      <c r="Z32" s="232">
        <v>0.76300000000000001</v>
      </c>
      <c r="AA32" s="233">
        <v>3.77</v>
      </c>
      <c r="AB32" s="234">
        <f t="shared" ref="AB32:AB35" si="58">(Y32/$G32)*100</f>
        <v>8.9686098654708515E-2</v>
      </c>
      <c r="AC32" s="235">
        <f t="shared" ref="AC32:AC35" si="59">(Z32/$G32)*100</f>
        <v>0.38016940707523672</v>
      </c>
      <c r="AD32" s="236">
        <f t="shared" ref="AD32:AD35" si="60">(AA32/$G32)*100</f>
        <v>1.8784255107125063</v>
      </c>
      <c r="AE32" s="237" t="s">
        <v>28</v>
      </c>
      <c r="AF32" s="362"/>
      <c r="AG32" s="367"/>
      <c r="AH32" s="366"/>
      <c r="AI32" s="373"/>
      <c r="AJ32" s="305"/>
      <c r="AK32" s="305"/>
      <c r="AL32" s="306"/>
      <c r="AM32" s="307"/>
      <c r="AN32" s="308"/>
      <c r="AO32" s="309"/>
      <c r="AP32" s="354"/>
      <c r="AQ32" s="295"/>
      <c r="AR32" s="296"/>
      <c r="AS32" s="30"/>
      <c r="AT32" s="30"/>
      <c r="AU32" s="30"/>
    </row>
    <row r="33" spans="1:47" x14ac:dyDescent="0.35">
      <c r="A33" s="20">
        <v>25</v>
      </c>
      <c r="C33" s="26">
        <v>44355</v>
      </c>
      <c r="D33" s="27">
        <v>0.52777777777777779</v>
      </c>
      <c r="E33" s="31" t="s">
        <v>120</v>
      </c>
      <c r="F33" s="32" t="s">
        <v>6</v>
      </c>
      <c r="G33" s="33">
        <v>199.9</v>
      </c>
      <c r="H33" s="180">
        <v>44356</v>
      </c>
      <c r="I33" s="409">
        <v>0.39158564814814811</v>
      </c>
      <c r="J33" s="181">
        <f t="shared" si="0"/>
        <v>0.3082523148148148</v>
      </c>
      <c r="K33" s="183">
        <v>292.77999999999997</v>
      </c>
      <c r="L33" s="183" t="s">
        <v>8</v>
      </c>
      <c r="M33" s="184">
        <v>0.14699999999999999</v>
      </c>
      <c r="N33" s="184">
        <v>0.82</v>
      </c>
      <c r="O33" s="185">
        <v>3.931</v>
      </c>
      <c r="P33" s="186">
        <f t="shared" si="50"/>
        <v>7.3536768384192097E-2</v>
      </c>
      <c r="Q33" s="187">
        <f t="shared" si="35"/>
        <v>0.41020510255127557</v>
      </c>
      <c r="R33" s="188">
        <f t="shared" si="51"/>
        <v>1.9664832416208102</v>
      </c>
      <c r="S33" s="253" t="s">
        <v>28</v>
      </c>
      <c r="T33" s="258">
        <v>44367</v>
      </c>
      <c r="U33" s="255">
        <v>0.41609953703703706</v>
      </c>
      <c r="V33" s="413">
        <f t="shared" si="4"/>
        <v>0.33276620370370374</v>
      </c>
      <c r="W33" s="231">
        <v>247.97</v>
      </c>
      <c r="X33" s="229" t="s">
        <v>8</v>
      </c>
      <c r="Y33" s="232">
        <v>0.17299999999999999</v>
      </c>
      <c r="Z33" s="232">
        <v>0.71799999999999997</v>
      </c>
      <c r="AA33" s="233">
        <v>3.133</v>
      </c>
      <c r="AB33" s="234">
        <f t="shared" si="58"/>
        <v>8.6543271635817903E-2</v>
      </c>
      <c r="AC33" s="235">
        <f t="shared" si="59"/>
        <v>0.35917958979489745</v>
      </c>
      <c r="AD33" s="236">
        <f t="shared" si="60"/>
        <v>1.5672836418209106</v>
      </c>
      <c r="AE33" s="237" t="s">
        <v>28</v>
      </c>
      <c r="AF33" s="362"/>
      <c r="AG33" s="367"/>
      <c r="AH33" s="366"/>
      <c r="AI33" s="373"/>
      <c r="AJ33" s="305"/>
      <c r="AK33" s="305"/>
      <c r="AL33" s="306"/>
      <c r="AM33" s="307"/>
      <c r="AN33" s="308"/>
      <c r="AO33" s="309"/>
      <c r="AP33" s="354"/>
      <c r="AQ33" s="295"/>
      <c r="AR33" s="296"/>
      <c r="AS33" s="30"/>
      <c r="AT33" s="30"/>
      <c r="AU33" s="30"/>
    </row>
    <row r="34" spans="1:47" s="223" customFormat="1" x14ac:dyDescent="0.35">
      <c r="A34" s="206">
        <v>25</v>
      </c>
      <c r="B34" s="222"/>
      <c r="C34" s="208">
        <v>44356</v>
      </c>
      <c r="D34" s="209">
        <v>0.56944444444444398</v>
      </c>
      <c r="E34" s="210" t="s">
        <v>133</v>
      </c>
      <c r="F34" s="211" t="s">
        <v>135</v>
      </c>
      <c r="G34" s="212">
        <v>199.9</v>
      </c>
      <c r="H34" s="180">
        <v>44356</v>
      </c>
      <c r="I34" s="410">
        <v>0.44162037037037033</v>
      </c>
      <c r="J34" s="181">
        <f t="shared" si="0"/>
        <v>0.35828703703703701</v>
      </c>
      <c r="K34" s="215">
        <v>255.88</v>
      </c>
      <c r="L34" s="215" t="s">
        <v>9</v>
      </c>
      <c r="M34" s="216">
        <v>4.7E-2</v>
      </c>
      <c r="N34" s="216">
        <v>0.5</v>
      </c>
      <c r="O34" s="224">
        <v>1.9890000000000001</v>
      </c>
      <c r="P34" s="218">
        <f t="shared" si="50"/>
        <v>2.351175587793897E-2</v>
      </c>
      <c r="Q34" s="219">
        <f t="shared" si="35"/>
        <v>0.25012506253126565</v>
      </c>
      <c r="R34" s="220">
        <f t="shared" si="51"/>
        <v>0.99499749874937471</v>
      </c>
      <c r="S34" s="339"/>
      <c r="T34" s="333"/>
      <c r="U34" s="334"/>
      <c r="V34" s="414"/>
      <c r="W34" s="335"/>
      <c r="X34" s="335"/>
      <c r="Y34" s="336"/>
      <c r="Z34" s="336"/>
      <c r="AA34" s="335"/>
      <c r="AB34" s="337"/>
      <c r="AC34" s="338"/>
      <c r="AD34" s="339"/>
      <c r="AE34" s="339"/>
      <c r="AF34" s="333"/>
      <c r="AG34" s="334"/>
      <c r="AH34" s="335"/>
      <c r="AI34" s="374"/>
      <c r="AJ34" s="336"/>
      <c r="AK34" s="336"/>
      <c r="AL34" s="335"/>
      <c r="AM34" s="337"/>
      <c r="AN34" s="338"/>
      <c r="AO34" s="339"/>
      <c r="AP34" s="355"/>
      <c r="AQ34" s="293">
        <f>1-(P34/P33)</f>
        <v>0.68027210884353739</v>
      </c>
      <c r="AR34" s="294">
        <f>1-(Q34/Q33)</f>
        <v>0.39024390243902429</v>
      </c>
      <c r="AS34" s="221"/>
      <c r="AT34" s="221"/>
      <c r="AU34" s="221"/>
    </row>
    <row r="35" spans="1:47" x14ac:dyDescent="0.35">
      <c r="A35" s="20">
        <v>26</v>
      </c>
      <c r="C35" s="26">
        <v>44355</v>
      </c>
      <c r="D35" s="27">
        <v>0.75902777777777775</v>
      </c>
      <c r="E35" s="31" t="s">
        <v>120</v>
      </c>
      <c r="F35" s="32" t="s">
        <v>6</v>
      </c>
      <c r="G35" s="33">
        <v>200</v>
      </c>
      <c r="H35" s="180">
        <v>44356</v>
      </c>
      <c r="I35" s="409">
        <v>0.61910879629629634</v>
      </c>
      <c r="J35" s="181">
        <f t="shared" si="0"/>
        <v>0.53577546296296297</v>
      </c>
      <c r="K35" s="183">
        <v>157.83000000000001</v>
      </c>
      <c r="L35" s="183" t="s">
        <v>130</v>
      </c>
      <c r="M35" s="184">
        <v>0.46899999999999997</v>
      </c>
      <c r="N35" s="184">
        <v>4.9800000000000004</v>
      </c>
      <c r="O35" s="185">
        <v>12.241</v>
      </c>
      <c r="P35" s="186">
        <f t="shared" ref="P35:P39" si="61">(M35/$G35)*100</f>
        <v>0.23449999999999999</v>
      </c>
      <c r="Q35" s="187">
        <f t="shared" si="35"/>
        <v>2.4900000000000002</v>
      </c>
      <c r="R35" s="188">
        <f t="shared" ref="R35:R39" si="62">(O35/$G35)*100</f>
        <v>6.1204999999999998</v>
      </c>
      <c r="S35" s="253" t="s">
        <v>28</v>
      </c>
      <c r="T35" s="258">
        <v>44365</v>
      </c>
      <c r="U35" s="255">
        <v>0.59765046296296298</v>
      </c>
      <c r="V35" s="413">
        <f t="shared" si="4"/>
        <v>0.51431712962962961</v>
      </c>
      <c r="W35" s="231">
        <v>249.93</v>
      </c>
      <c r="X35" s="229" t="s">
        <v>130</v>
      </c>
      <c r="Y35" s="232">
        <v>0.14799999999999999</v>
      </c>
      <c r="Z35" s="232">
        <v>0.93600000000000005</v>
      </c>
      <c r="AA35" s="233">
        <v>3.5369999999999999</v>
      </c>
      <c r="AB35" s="234">
        <f t="shared" si="58"/>
        <v>7.3999999999999996E-2</v>
      </c>
      <c r="AC35" s="235">
        <f t="shared" si="59"/>
        <v>0.46800000000000003</v>
      </c>
      <c r="AD35" s="236">
        <f t="shared" si="60"/>
        <v>1.7685</v>
      </c>
      <c r="AE35" s="237" t="s">
        <v>28</v>
      </c>
      <c r="AF35" s="360"/>
      <c r="AG35" s="365"/>
      <c r="AH35" s="366"/>
      <c r="AI35" s="373"/>
      <c r="AJ35" s="305"/>
      <c r="AK35" s="305"/>
      <c r="AL35" s="306"/>
      <c r="AM35" s="307"/>
      <c r="AN35" s="308"/>
      <c r="AO35" s="309"/>
      <c r="AP35" s="354"/>
      <c r="AQ35" s="293"/>
      <c r="AR35" s="294"/>
      <c r="AS35" s="30"/>
      <c r="AT35" s="30"/>
      <c r="AU35" s="30"/>
    </row>
    <row r="36" spans="1:47" x14ac:dyDescent="0.35">
      <c r="A36" s="20">
        <v>27</v>
      </c>
      <c r="C36" s="26">
        <v>44355</v>
      </c>
      <c r="D36" s="27">
        <v>0.90763888888888899</v>
      </c>
      <c r="E36" s="36" t="s">
        <v>120</v>
      </c>
      <c r="F36" s="32" t="s">
        <v>6</v>
      </c>
      <c r="G36" s="33">
        <v>200.3</v>
      </c>
      <c r="H36" s="180">
        <v>44356</v>
      </c>
      <c r="I36" s="409">
        <v>0.7424884259259259</v>
      </c>
      <c r="J36" s="181">
        <f t="shared" si="0"/>
        <v>0.65915509259259253</v>
      </c>
      <c r="K36" s="183">
        <v>101.38</v>
      </c>
      <c r="L36" s="183" t="s">
        <v>8</v>
      </c>
      <c r="M36" s="184">
        <v>0.375</v>
      </c>
      <c r="N36" s="184">
        <v>4.6749999999999998</v>
      </c>
      <c r="O36" s="185">
        <v>11.747</v>
      </c>
      <c r="P36" s="186">
        <f t="shared" si="61"/>
        <v>0.18721917124313528</v>
      </c>
      <c r="Q36" s="187">
        <f t="shared" si="35"/>
        <v>2.333999001497753</v>
      </c>
      <c r="R36" s="188">
        <f t="shared" si="62"/>
        <v>5.8647029455816266</v>
      </c>
      <c r="S36" s="253" t="s">
        <v>28</v>
      </c>
      <c r="T36" s="258">
        <v>44368</v>
      </c>
      <c r="U36" s="255">
        <v>0.37503472222222217</v>
      </c>
      <c r="V36" s="413">
        <f t="shared" si="4"/>
        <v>0.29170138888888886</v>
      </c>
      <c r="W36" s="241">
        <v>222.72</v>
      </c>
      <c r="X36" s="241" t="s">
        <v>8</v>
      </c>
      <c r="Y36" s="240">
        <v>0.11700000000000001</v>
      </c>
      <c r="Z36" s="240">
        <v>0.61499999999999999</v>
      </c>
      <c r="AA36" s="241">
        <v>2.8740000000000001</v>
      </c>
      <c r="AB36" s="234">
        <f t="shared" ref="AB36:AB37" si="63">(Y36/$G36)*100</f>
        <v>5.8412381427858213E-2</v>
      </c>
      <c r="AC36" s="235">
        <f t="shared" ref="AC36:AC37" si="64">(Z36/$G36)*100</f>
        <v>0.30703944083874185</v>
      </c>
      <c r="AD36" s="290">
        <f t="shared" ref="AD36:AD37" si="65">(AA36/$G36)*100</f>
        <v>1.4348477284073891</v>
      </c>
      <c r="AE36" s="237" t="s">
        <v>28</v>
      </c>
      <c r="AF36" s="358"/>
      <c r="AG36" s="365"/>
      <c r="AH36" s="322"/>
      <c r="AI36" s="375"/>
      <c r="AJ36" s="312"/>
      <c r="AK36" s="312"/>
      <c r="AL36" s="313"/>
      <c r="AM36" s="314"/>
      <c r="AN36" s="315"/>
      <c r="AO36" s="316"/>
      <c r="AP36" s="354"/>
      <c r="AQ36" s="293"/>
      <c r="AR36" s="294"/>
      <c r="AS36" s="30"/>
      <c r="AT36" s="30"/>
      <c r="AU36" s="30"/>
    </row>
    <row r="37" spans="1:47" x14ac:dyDescent="0.35">
      <c r="A37" s="20">
        <v>32</v>
      </c>
      <c r="B37" s="195">
        <v>2</v>
      </c>
      <c r="C37" s="26">
        <v>44357</v>
      </c>
      <c r="D37" s="27">
        <v>0.24944444444444444</v>
      </c>
      <c r="E37" s="324" t="s">
        <v>121</v>
      </c>
      <c r="F37" s="32"/>
      <c r="G37" s="33">
        <v>79.599999999999994</v>
      </c>
      <c r="H37" s="180">
        <v>44357</v>
      </c>
      <c r="I37" s="409">
        <v>0.63622685185185179</v>
      </c>
      <c r="J37" s="181">
        <f t="shared" si="0"/>
        <v>0.55289351851851842</v>
      </c>
      <c r="K37" s="183">
        <v>242.53</v>
      </c>
      <c r="L37" s="183" t="s">
        <v>8</v>
      </c>
      <c r="M37" s="184">
        <v>9.0999999999999998E-2</v>
      </c>
      <c r="N37" s="184">
        <v>0.70899999999999996</v>
      </c>
      <c r="O37" s="185">
        <v>2.4780000000000002</v>
      </c>
      <c r="P37" s="186">
        <f t="shared" si="61"/>
        <v>0.11432160804020101</v>
      </c>
      <c r="Q37" s="187">
        <f t="shared" si="35"/>
        <v>0.89070351758793964</v>
      </c>
      <c r="R37" s="188">
        <f t="shared" si="62"/>
        <v>3.1130653266331665</v>
      </c>
      <c r="S37" s="253" t="s">
        <v>28</v>
      </c>
      <c r="T37" s="258">
        <v>44368</v>
      </c>
      <c r="U37" s="255">
        <v>0.37506944444444446</v>
      </c>
      <c r="V37" s="413">
        <f t="shared" si="4"/>
        <v>0.29173611111111114</v>
      </c>
      <c r="W37" s="346">
        <v>222.68</v>
      </c>
      <c r="X37" s="347" t="s">
        <v>130</v>
      </c>
      <c r="Y37" s="240">
        <v>3.5999999999999997E-2</v>
      </c>
      <c r="Z37" s="240">
        <v>0.17100000000000001</v>
      </c>
      <c r="AA37" s="346">
        <v>1.208</v>
      </c>
      <c r="AB37" s="234">
        <f t="shared" si="63"/>
        <v>4.5226130653266333E-2</v>
      </c>
      <c r="AC37" s="235">
        <f t="shared" si="64"/>
        <v>0.21482412060301512</v>
      </c>
      <c r="AD37" s="290">
        <f t="shared" si="65"/>
        <v>1.5175879396984926</v>
      </c>
      <c r="AE37" s="237" t="s">
        <v>28</v>
      </c>
      <c r="AF37" s="361"/>
      <c r="AG37" s="365"/>
      <c r="AH37" s="326"/>
      <c r="AI37" s="376"/>
      <c r="AJ37" s="312"/>
      <c r="AK37" s="312"/>
      <c r="AL37" s="311"/>
      <c r="AM37" s="314"/>
      <c r="AN37" s="315"/>
      <c r="AO37" s="323"/>
      <c r="AP37" s="354"/>
      <c r="AQ37" s="351"/>
      <c r="AR37" s="294"/>
      <c r="AS37" s="30"/>
      <c r="AT37" s="30"/>
      <c r="AU37" s="30"/>
    </row>
    <row r="38" spans="1:47" s="223" customFormat="1" ht="16" thickBot="1" x14ac:dyDescent="0.4">
      <c r="A38" s="206">
        <v>32</v>
      </c>
      <c r="B38" s="222">
        <v>2</v>
      </c>
      <c r="C38" s="208">
        <v>44357</v>
      </c>
      <c r="D38" s="209">
        <v>0.24944444444444444</v>
      </c>
      <c r="E38" s="325" t="s">
        <v>136</v>
      </c>
      <c r="F38" s="211"/>
      <c r="G38" s="212">
        <v>79.599999999999994</v>
      </c>
      <c r="H38" s="213">
        <v>44359</v>
      </c>
      <c r="I38" s="410">
        <v>0.42751157407407409</v>
      </c>
      <c r="J38" s="181">
        <f t="shared" si="0"/>
        <v>0.34417824074074077</v>
      </c>
      <c r="K38" s="215">
        <v>243.63</v>
      </c>
      <c r="L38" s="215" t="s">
        <v>8</v>
      </c>
      <c r="M38" s="216">
        <v>8.0000000000000002E-3</v>
      </c>
      <c r="N38" s="216">
        <v>2.9000000000000001E-2</v>
      </c>
      <c r="O38" s="224">
        <v>0.50900000000000001</v>
      </c>
      <c r="P38" s="218">
        <f t="shared" ref="P38" si="66">(M38/$G38)*100</f>
        <v>1.0050251256281409E-2</v>
      </c>
      <c r="Q38" s="219">
        <f t="shared" ref="Q38" si="67">(N38/$G38)*100</f>
        <v>3.6432160804020106E-2</v>
      </c>
      <c r="R38" s="220">
        <f t="shared" ref="R38" si="68">(O38/$G38)*100</f>
        <v>0.63944723618090449</v>
      </c>
      <c r="S38" s="339"/>
      <c r="T38" s="340"/>
      <c r="U38" s="341"/>
      <c r="V38" s="341"/>
      <c r="W38" s="342"/>
      <c r="X38" s="342"/>
      <c r="Y38" s="342"/>
      <c r="Z38" s="342"/>
      <c r="AA38" s="348"/>
      <c r="AB38" s="343"/>
      <c r="AC38" s="344"/>
      <c r="AD38" s="343"/>
      <c r="AE38" s="345"/>
      <c r="AF38" s="333"/>
      <c r="AG38" s="334"/>
      <c r="AH38" s="335"/>
      <c r="AI38" s="374"/>
      <c r="AJ38" s="336"/>
      <c r="AK38" s="336"/>
      <c r="AL38" s="335"/>
      <c r="AM38" s="337"/>
      <c r="AN38" s="338"/>
      <c r="AO38" s="339"/>
      <c r="AP38" s="355"/>
      <c r="AQ38" s="351">
        <f>1-(P38/P37)</f>
        <v>0.91208791208791207</v>
      </c>
      <c r="AR38" s="294">
        <f>1-(Q38/Q37)</f>
        <v>0.95909732016925242</v>
      </c>
      <c r="AS38" s="221"/>
      <c r="AT38" s="221"/>
      <c r="AU38" s="221"/>
    </row>
    <row r="39" spans="1:47" x14ac:dyDescent="0.35">
      <c r="A39" s="20">
        <v>43</v>
      </c>
      <c r="C39" s="26">
        <v>44361</v>
      </c>
      <c r="D39" s="27">
        <v>0.19027777777777777</v>
      </c>
      <c r="E39" s="31" t="s">
        <v>120</v>
      </c>
      <c r="F39" s="32" t="s">
        <v>6</v>
      </c>
      <c r="G39" s="33">
        <v>200.1</v>
      </c>
      <c r="H39" s="180">
        <v>44361</v>
      </c>
      <c r="I39" s="409">
        <v>0.70829861111111114</v>
      </c>
      <c r="J39" s="181">
        <f t="shared" si="0"/>
        <v>0.62496527777777777</v>
      </c>
      <c r="K39" s="183">
        <v>243.08</v>
      </c>
      <c r="L39" s="183" t="s">
        <v>8</v>
      </c>
      <c r="M39" s="184">
        <v>3.3000000000000002E-2</v>
      </c>
      <c r="N39" s="184">
        <v>0.21</v>
      </c>
      <c r="O39" s="185">
        <v>1.3740000000000001</v>
      </c>
      <c r="P39" s="186">
        <f t="shared" si="61"/>
        <v>1.6491754122938532E-2</v>
      </c>
      <c r="Q39" s="187">
        <f t="shared" si="35"/>
        <v>0.10494752623688156</v>
      </c>
      <c r="R39" s="188">
        <f t="shared" si="62"/>
        <v>0.68665667166416799</v>
      </c>
      <c r="S39" s="253" t="s">
        <v>28</v>
      </c>
      <c r="T39" s="258">
        <v>44386</v>
      </c>
      <c r="U39" s="255">
        <v>0.32045138888888891</v>
      </c>
      <c r="V39" s="413">
        <f t="shared" si="4"/>
        <v>0.2371180555555556</v>
      </c>
      <c r="W39" s="231">
        <v>269.77</v>
      </c>
      <c r="X39" s="229" t="s">
        <v>8</v>
      </c>
      <c r="Y39" s="287">
        <v>4.8000000000000001E-2</v>
      </c>
      <c r="Z39" s="287">
        <v>0.437</v>
      </c>
      <c r="AA39" s="287">
        <v>1.879</v>
      </c>
      <c r="AB39" s="289">
        <f t="shared" ref="AB39" si="69">(Y39/$G39)*100</f>
        <v>2.3988005997001498E-2</v>
      </c>
      <c r="AC39" s="288">
        <f t="shared" ref="AC39" si="70">(Z39/$G39)*100</f>
        <v>0.21839080459770116</v>
      </c>
      <c r="AD39" s="290">
        <f t="shared" ref="AD39" si="71">(AA39/$G39)*100</f>
        <v>0.9390304847576213</v>
      </c>
      <c r="AE39" s="237" t="s">
        <v>28</v>
      </c>
      <c r="AF39" s="362"/>
      <c r="AG39" s="367"/>
      <c r="AH39" s="366"/>
      <c r="AI39" s="373"/>
      <c r="AJ39" s="305"/>
      <c r="AK39" s="305"/>
      <c r="AL39" s="306"/>
      <c r="AM39" s="307"/>
      <c r="AN39" s="308"/>
      <c r="AO39" s="309"/>
      <c r="AP39" s="354"/>
      <c r="AQ39" s="295"/>
      <c r="AR39" s="296"/>
      <c r="AS39" s="30"/>
      <c r="AT39" s="30"/>
      <c r="AU39" s="30"/>
    </row>
    <row r="40" spans="1:47" x14ac:dyDescent="0.35">
      <c r="A40" s="23">
        <v>43</v>
      </c>
      <c r="B40" s="196">
        <v>1</v>
      </c>
      <c r="C40" s="28">
        <v>44361</v>
      </c>
      <c r="D40" s="199">
        <v>0.1933449074074074</v>
      </c>
      <c r="E40" s="197" t="s">
        <v>121</v>
      </c>
      <c r="F40" s="176"/>
      <c r="G40" s="198">
        <v>76.3</v>
      </c>
      <c r="H40" s="180">
        <v>44362</v>
      </c>
      <c r="I40" s="409">
        <v>0.39460648148148153</v>
      </c>
      <c r="J40" s="181">
        <f t="shared" si="0"/>
        <v>0.31127314814814822</v>
      </c>
      <c r="K40" s="183">
        <v>246.65</v>
      </c>
      <c r="L40" s="183" t="s">
        <v>130</v>
      </c>
      <c r="M40" s="184">
        <v>0.105</v>
      </c>
      <c r="N40" s="184">
        <v>1.3580000000000001</v>
      </c>
      <c r="O40" s="185">
        <v>4.1719999999999997</v>
      </c>
      <c r="P40" s="186">
        <f t="shared" ref="P40:P50" si="72">(M40/$G40)*100</f>
        <v>0.13761467889908258</v>
      </c>
      <c r="Q40" s="187">
        <f t="shared" si="35"/>
        <v>1.7798165137614681</v>
      </c>
      <c r="R40" s="188">
        <f t="shared" ref="R40:R50" si="73">(O40/$G40)*100</f>
        <v>5.4678899082568808</v>
      </c>
      <c r="S40" s="253" t="s">
        <v>28</v>
      </c>
      <c r="T40" s="258">
        <v>44383</v>
      </c>
      <c r="U40" s="255">
        <v>0.54027777777777775</v>
      </c>
      <c r="V40" s="413">
        <f t="shared" si="4"/>
        <v>0.45694444444444443</v>
      </c>
      <c r="W40" s="231">
        <v>235.8</v>
      </c>
      <c r="X40" s="229" t="s">
        <v>9</v>
      </c>
      <c r="Y40" s="232">
        <v>3.7999999999999999E-2</v>
      </c>
      <c r="Z40" s="232">
        <v>0.17</v>
      </c>
      <c r="AA40" s="287">
        <v>1.1319999999999999</v>
      </c>
      <c r="AB40" s="289">
        <f t="shared" ref="AB40:AB50" si="74">(Y40/$G40)*100</f>
        <v>4.9803407601572744E-2</v>
      </c>
      <c r="AC40" s="288">
        <f t="shared" ref="AC40:AC50" si="75">(Z40/$G40)*100</f>
        <v>0.22280471821756226</v>
      </c>
      <c r="AD40" s="290">
        <f t="shared" ref="AD40:AD50" si="76">(AA40/$G40)*100</f>
        <v>1.4836173001310615</v>
      </c>
      <c r="AE40" s="237" t="s">
        <v>28</v>
      </c>
      <c r="AF40" s="362"/>
      <c r="AG40" s="367"/>
      <c r="AH40" s="366"/>
      <c r="AI40" s="373"/>
      <c r="AJ40" s="305"/>
      <c r="AK40" s="305"/>
      <c r="AL40" s="306"/>
      <c r="AM40" s="307"/>
      <c r="AN40" s="308"/>
      <c r="AO40" s="309"/>
      <c r="AP40" s="354"/>
      <c r="AQ40" s="295"/>
      <c r="AR40" s="296"/>
      <c r="AS40" s="30"/>
      <c r="AT40" s="30"/>
      <c r="AU40" s="30"/>
    </row>
    <row r="41" spans="1:47" x14ac:dyDescent="0.35">
      <c r="A41" s="20">
        <v>44</v>
      </c>
      <c r="C41" s="26">
        <v>44361</v>
      </c>
      <c r="D41" s="27">
        <v>0.53125</v>
      </c>
      <c r="E41" s="31" t="s">
        <v>120</v>
      </c>
      <c r="F41" s="32" t="s">
        <v>6</v>
      </c>
      <c r="G41" s="33">
        <v>200.4</v>
      </c>
      <c r="H41" s="180">
        <v>44362</v>
      </c>
      <c r="I41" s="409">
        <v>0.66466435185185191</v>
      </c>
      <c r="J41" s="181">
        <f t="shared" si="0"/>
        <v>0.58133101851851854</v>
      </c>
      <c r="K41" s="183">
        <v>97</v>
      </c>
      <c r="L41" s="183" t="s">
        <v>8</v>
      </c>
      <c r="M41" s="184">
        <v>0.54600000000000004</v>
      </c>
      <c r="N41" s="184">
        <v>4.742</v>
      </c>
      <c r="O41" s="185">
        <v>12.66</v>
      </c>
      <c r="P41" s="186">
        <f t="shared" si="72"/>
        <v>0.27245508982035926</v>
      </c>
      <c r="Q41" s="187">
        <f t="shared" si="35"/>
        <v>2.3662674650698601</v>
      </c>
      <c r="R41" s="188">
        <f t="shared" si="73"/>
        <v>6.317365269461078</v>
      </c>
      <c r="S41" s="253" t="s">
        <v>28</v>
      </c>
      <c r="T41" s="258">
        <v>44385</v>
      </c>
      <c r="U41" s="255">
        <v>0.31364583333333335</v>
      </c>
      <c r="V41" s="413">
        <f t="shared" si="4"/>
        <v>0.23031250000000003</v>
      </c>
      <c r="W41" s="231">
        <v>242.48</v>
      </c>
      <c r="X41" s="229" t="s">
        <v>8</v>
      </c>
      <c r="Y41" s="232">
        <v>0.13200000000000001</v>
      </c>
      <c r="Z41" s="232">
        <v>0.64700000000000002</v>
      </c>
      <c r="AA41" s="287">
        <v>2.4329999999999998</v>
      </c>
      <c r="AB41" s="289">
        <f t="shared" si="74"/>
        <v>6.5868263473053898E-2</v>
      </c>
      <c r="AC41" s="288">
        <f t="shared" si="75"/>
        <v>0.32285429141716571</v>
      </c>
      <c r="AD41" s="290">
        <f t="shared" si="76"/>
        <v>1.2140718562874251</v>
      </c>
      <c r="AE41" s="237" t="s">
        <v>28</v>
      </c>
      <c r="AF41" s="358"/>
      <c r="AG41" s="365"/>
      <c r="AH41" s="366"/>
      <c r="AI41" s="373"/>
      <c r="AJ41" s="305"/>
      <c r="AK41" s="305"/>
      <c r="AL41" s="306"/>
      <c r="AM41" s="307"/>
      <c r="AN41" s="308"/>
      <c r="AO41" s="309"/>
      <c r="AP41" s="354"/>
      <c r="AQ41" s="295"/>
      <c r="AR41" s="296"/>
      <c r="AS41" s="30"/>
      <c r="AT41" s="30"/>
      <c r="AU41" s="30"/>
    </row>
    <row r="42" spans="1:47" x14ac:dyDescent="0.35">
      <c r="A42" s="20">
        <v>44</v>
      </c>
      <c r="B42" s="195">
        <v>1</v>
      </c>
      <c r="C42" s="1">
        <v>44361</v>
      </c>
      <c r="D42" s="27">
        <v>0.53125</v>
      </c>
      <c r="E42" s="194" t="s">
        <v>121</v>
      </c>
      <c r="G42" s="201">
        <v>90.5</v>
      </c>
      <c r="H42" s="180">
        <v>44362</v>
      </c>
      <c r="I42" s="409">
        <v>0.66473379629629636</v>
      </c>
      <c r="J42" s="181">
        <f t="shared" si="0"/>
        <v>0.58140046296296299</v>
      </c>
      <c r="K42" s="183">
        <v>238.73</v>
      </c>
      <c r="L42" s="183" t="s">
        <v>131</v>
      </c>
      <c r="M42" s="184">
        <v>0.33100000000000002</v>
      </c>
      <c r="N42" s="184">
        <v>2.58</v>
      </c>
      <c r="O42" s="185">
        <v>8.3149999999999995</v>
      </c>
      <c r="P42" s="186">
        <f t="shared" si="72"/>
        <v>0.36574585635359119</v>
      </c>
      <c r="Q42" s="187">
        <f t="shared" si="35"/>
        <v>2.8508287292817682</v>
      </c>
      <c r="R42" s="188">
        <f t="shared" si="73"/>
        <v>9.1878453038674017</v>
      </c>
      <c r="S42" s="253" t="s">
        <v>28</v>
      </c>
      <c r="T42" s="258">
        <v>44385</v>
      </c>
      <c r="U42" s="255">
        <v>0.5432407407407408</v>
      </c>
      <c r="V42" s="413">
        <f t="shared" si="4"/>
        <v>0.45990740740740749</v>
      </c>
      <c r="W42" s="231">
        <v>232.38</v>
      </c>
      <c r="X42" s="229" t="s">
        <v>8</v>
      </c>
      <c r="Y42" s="232">
        <v>0.03</v>
      </c>
      <c r="Z42" s="232">
        <v>0.19800000000000001</v>
      </c>
      <c r="AA42" s="287">
        <v>1.76</v>
      </c>
      <c r="AB42" s="289">
        <f t="shared" si="74"/>
        <v>3.3149171270718231E-2</v>
      </c>
      <c r="AC42" s="288">
        <f t="shared" si="75"/>
        <v>0.21878453038674034</v>
      </c>
      <c r="AD42" s="290">
        <f t="shared" si="76"/>
        <v>1.9447513812154698</v>
      </c>
      <c r="AE42" s="237" t="s">
        <v>28</v>
      </c>
      <c r="AF42" s="358"/>
      <c r="AG42" s="365"/>
      <c r="AH42" s="366"/>
      <c r="AI42" s="373"/>
      <c r="AJ42" s="305"/>
      <c r="AK42" s="305"/>
      <c r="AL42" s="306"/>
      <c r="AM42" s="307"/>
      <c r="AN42" s="308"/>
      <c r="AO42" s="309"/>
      <c r="AP42" s="354"/>
      <c r="AQ42" s="295"/>
      <c r="AR42" s="296"/>
      <c r="AS42" s="30"/>
      <c r="AT42" s="30"/>
      <c r="AU42" s="30"/>
    </row>
    <row r="43" spans="1:47" s="223" customFormat="1" x14ac:dyDescent="0.35">
      <c r="A43" s="206">
        <v>44</v>
      </c>
      <c r="B43" s="222"/>
      <c r="C43" s="283">
        <v>44361</v>
      </c>
      <c r="D43" s="209">
        <v>0.53125</v>
      </c>
      <c r="E43" s="284" t="s">
        <v>136</v>
      </c>
      <c r="F43" s="285" t="s">
        <v>137</v>
      </c>
      <c r="G43" s="286">
        <v>90.5</v>
      </c>
      <c r="H43" s="180">
        <v>44362</v>
      </c>
      <c r="I43" s="410">
        <v>0.97660879629629627</v>
      </c>
      <c r="J43" s="181">
        <f t="shared" si="0"/>
        <v>0.8932754629629629</v>
      </c>
      <c r="K43" s="215">
        <v>462.6</v>
      </c>
      <c r="L43" s="215" t="s">
        <v>131</v>
      </c>
      <c r="M43" s="216">
        <v>8.9999999999999993E-3</v>
      </c>
      <c r="N43" s="216">
        <v>0.106</v>
      </c>
      <c r="O43" s="224">
        <v>1.36</v>
      </c>
      <c r="P43" s="218">
        <f t="shared" si="72"/>
        <v>9.9447513812154689E-3</v>
      </c>
      <c r="Q43" s="219">
        <f t="shared" si="35"/>
        <v>0.11712707182320442</v>
      </c>
      <c r="R43" s="220">
        <f t="shared" si="73"/>
        <v>1.5027624309392267</v>
      </c>
      <c r="S43" s="339"/>
      <c r="T43" s="333"/>
      <c r="U43" s="334"/>
      <c r="V43" s="414"/>
      <c r="W43" s="335"/>
      <c r="X43" s="335"/>
      <c r="Y43" s="336"/>
      <c r="Z43" s="336"/>
      <c r="AA43" s="335"/>
      <c r="AB43" s="337"/>
      <c r="AC43" s="338"/>
      <c r="AD43" s="339"/>
      <c r="AE43" s="339"/>
      <c r="AF43" s="333"/>
      <c r="AG43" s="334"/>
      <c r="AH43" s="335"/>
      <c r="AI43" s="374"/>
      <c r="AJ43" s="336"/>
      <c r="AK43" s="336"/>
      <c r="AL43" s="335"/>
      <c r="AM43" s="337"/>
      <c r="AN43" s="338"/>
      <c r="AO43" s="339"/>
      <c r="AP43" s="355"/>
      <c r="AQ43" s="293">
        <f>1-(P43/P42)</f>
        <v>0.97280966767371602</v>
      </c>
      <c r="AR43" s="294">
        <f>1-(Q43/Q42)</f>
        <v>0.95891472868217054</v>
      </c>
      <c r="AS43" s="221"/>
      <c r="AT43" s="221"/>
      <c r="AU43" s="221"/>
    </row>
    <row r="44" spans="1:47" x14ac:dyDescent="0.35">
      <c r="A44" s="20">
        <v>45</v>
      </c>
      <c r="C44" s="26">
        <v>44361</v>
      </c>
      <c r="D44" s="27">
        <v>0.79861111111111116</v>
      </c>
      <c r="E44" s="36" t="s">
        <v>120</v>
      </c>
      <c r="F44" s="32" t="s">
        <v>6</v>
      </c>
      <c r="G44" s="202">
        <v>200.1</v>
      </c>
      <c r="H44" s="180">
        <v>44362</v>
      </c>
      <c r="I44" s="409">
        <v>0.39461805555555557</v>
      </c>
      <c r="J44" s="181">
        <f t="shared" si="0"/>
        <v>0.31128472222222225</v>
      </c>
      <c r="K44" s="183">
        <v>246.88</v>
      </c>
      <c r="L44" s="183" t="s">
        <v>131</v>
      </c>
      <c r="M44" s="184">
        <v>7.2999999999999995E-2</v>
      </c>
      <c r="N44" s="184">
        <v>0.82199999999999995</v>
      </c>
      <c r="O44" s="185">
        <v>3.3210000000000002</v>
      </c>
      <c r="P44" s="186">
        <f t="shared" si="72"/>
        <v>3.6481759120439779E-2</v>
      </c>
      <c r="Q44" s="187">
        <f t="shared" si="35"/>
        <v>0.41079460269865065</v>
      </c>
      <c r="R44" s="188">
        <f t="shared" si="73"/>
        <v>1.6596701649175414</v>
      </c>
      <c r="S44" s="253" t="s">
        <v>28</v>
      </c>
      <c r="T44" s="258">
        <v>44389</v>
      </c>
      <c r="U44" s="255">
        <v>0.31456018518518519</v>
      </c>
      <c r="V44" s="413">
        <f t="shared" si="4"/>
        <v>0.23122685185185188</v>
      </c>
      <c r="W44" s="231">
        <v>222.07</v>
      </c>
      <c r="X44" s="229" t="s">
        <v>9</v>
      </c>
      <c r="Y44" s="232">
        <v>4.1000000000000002E-2</v>
      </c>
      <c r="Z44" s="232">
        <v>0.874</v>
      </c>
      <c r="AA44" s="287">
        <v>2.8690000000000002</v>
      </c>
      <c r="AB44" s="289">
        <f t="shared" si="74"/>
        <v>2.0489755122438783E-2</v>
      </c>
      <c r="AC44" s="288">
        <f t="shared" si="75"/>
        <v>0.43678160919540232</v>
      </c>
      <c r="AD44" s="290">
        <f t="shared" si="76"/>
        <v>1.4337831084457773</v>
      </c>
      <c r="AE44" s="237" t="s">
        <v>28</v>
      </c>
      <c r="AF44" s="358"/>
      <c r="AG44" s="365"/>
      <c r="AH44" s="366"/>
      <c r="AI44" s="373"/>
      <c r="AJ44" s="305"/>
      <c r="AK44" s="305"/>
      <c r="AL44" s="306"/>
      <c r="AM44" s="307"/>
      <c r="AN44" s="308"/>
      <c r="AO44" s="309"/>
      <c r="AP44" s="354"/>
      <c r="AQ44" s="295"/>
      <c r="AR44" s="296"/>
      <c r="AS44" s="30"/>
    </row>
    <row r="45" spans="1:47" x14ac:dyDescent="0.35">
      <c r="A45" s="20">
        <v>45</v>
      </c>
      <c r="B45" s="195">
        <v>1</v>
      </c>
      <c r="C45" s="26">
        <v>44361</v>
      </c>
      <c r="D45" s="27">
        <v>0.79861111111111116</v>
      </c>
      <c r="E45" s="36" t="s">
        <v>121</v>
      </c>
      <c r="F45" s="176"/>
      <c r="G45" s="203">
        <v>104</v>
      </c>
      <c r="H45" s="180">
        <v>44362</v>
      </c>
      <c r="I45" s="409">
        <v>0.84469907407407396</v>
      </c>
      <c r="J45" s="181">
        <f t="shared" si="0"/>
        <v>0.76136574074074059</v>
      </c>
      <c r="K45" s="183">
        <v>189.77</v>
      </c>
      <c r="L45" s="183" t="s">
        <v>8</v>
      </c>
      <c r="M45" s="184">
        <v>0.34799999999999998</v>
      </c>
      <c r="N45" s="184">
        <v>2.74</v>
      </c>
      <c r="O45" s="185">
        <v>7.8730000000000002</v>
      </c>
      <c r="P45" s="186">
        <f t="shared" si="72"/>
        <v>0.33461538461538459</v>
      </c>
      <c r="Q45" s="187">
        <f t="shared" si="35"/>
        <v>2.634615384615385</v>
      </c>
      <c r="R45" s="188">
        <f t="shared" si="73"/>
        <v>7.5701923076923086</v>
      </c>
      <c r="S45" s="253" t="s">
        <v>28</v>
      </c>
      <c r="T45" s="258">
        <v>44389</v>
      </c>
      <c r="U45" s="255">
        <v>0.3144675925925926</v>
      </c>
      <c r="V45" s="413">
        <f t="shared" si="4"/>
        <v>0.23113425925925929</v>
      </c>
      <c r="W45" s="231">
        <v>222.12</v>
      </c>
      <c r="X45" s="229" t="s">
        <v>8</v>
      </c>
      <c r="Y45" s="232">
        <v>3.2000000000000001E-2</v>
      </c>
      <c r="Z45" s="232">
        <v>0.46400000000000002</v>
      </c>
      <c r="AA45" s="287">
        <v>1.607</v>
      </c>
      <c r="AB45" s="289">
        <f t="shared" si="74"/>
        <v>3.0769230769230771E-2</v>
      </c>
      <c r="AC45" s="288">
        <f t="shared" si="75"/>
        <v>0.44615384615384623</v>
      </c>
      <c r="AD45" s="290">
        <f t="shared" si="76"/>
        <v>1.5451923076923078</v>
      </c>
      <c r="AE45" s="237" t="s">
        <v>28</v>
      </c>
      <c r="AF45" s="358"/>
      <c r="AG45" s="365"/>
      <c r="AH45" s="366"/>
      <c r="AI45" s="373"/>
      <c r="AJ45" s="305"/>
      <c r="AK45" s="305"/>
      <c r="AL45" s="306"/>
      <c r="AM45" s="307"/>
      <c r="AN45" s="308"/>
      <c r="AO45" s="309"/>
      <c r="AP45" s="354"/>
      <c r="AQ45" s="295"/>
      <c r="AR45" s="296"/>
      <c r="AS45" s="30"/>
    </row>
    <row r="46" spans="1:47" x14ac:dyDescent="0.35">
      <c r="A46" s="20">
        <v>46</v>
      </c>
      <c r="C46" s="26">
        <v>44361</v>
      </c>
      <c r="D46" s="27">
        <v>0.99652777777777779</v>
      </c>
      <c r="E46" s="36" t="s">
        <v>120</v>
      </c>
      <c r="F46" s="32" t="s">
        <v>6</v>
      </c>
      <c r="G46" s="202">
        <v>199.9</v>
      </c>
      <c r="H46" s="180">
        <v>44362</v>
      </c>
      <c r="I46" s="409">
        <v>0.39458333333333334</v>
      </c>
      <c r="J46" s="181">
        <f t="shared" si="0"/>
        <v>0.31125000000000003</v>
      </c>
      <c r="K46" s="183">
        <v>245.87</v>
      </c>
      <c r="L46" s="183" t="s">
        <v>8</v>
      </c>
      <c r="M46" s="184">
        <v>0.13800000000000001</v>
      </c>
      <c r="N46" s="184">
        <v>0.63400000000000001</v>
      </c>
      <c r="O46" s="185">
        <v>2.843</v>
      </c>
      <c r="P46" s="186">
        <f t="shared" si="72"/>
        <v>6.9034517258629316E-2</v>
      </c>
      <c r="Q46" s="187">
        <f t="shared" si="35"/>
        <v>0.31715857928964486</v>
      </c>
      <c r="R46" s="188">
        <f t="shared" si="73"/>
        <v>1.4222111055527764</v>
      </c>
      <c r="S46" s="253" t="s">
        <v>28</v>
      </c>
      <c r="T46" s="258">
        <v>44389</v>
      </c>
      <c r="U46" s="255">
        <v>0.4944560185185185</v>
      </c>
      <c r="V46" s="413">
        <f t="shared" si="4"/>
        <v>0.41112268518518519</v>
      </c>
      <c r="W46" s="231">
        <v>231.77</v>
      </c>
      <c r="X46" s="229" t="s">
        <v>8</v>
      </c>
      <c r="Y46" s="232">
        <v>3.9E-2</v>
      </c>
      <c r="Z46" s="232">
        <v>0.71599999999999997</v>
      </c>
      <c r="AA46" s="287">
        <v>2.1659999999999999</v>
      </c>
      <c r="AB46" s="289">
        <f t="shared" si="74"/>
        <v>1.950975487743872E-2</v>
      </c>
      <c r="AC46" s="288">
        <f t="shared" si="75"/>
        <v>0.35817908954477234</v>
      </c>
      <c r="AD46" s="290">
        <f t="shared" si="76"/>
        <v>1.0835417708854427</v>
      </c>
      <c r="AE46" s="237" t="s">
        <v>28</v>
      </c>
      <c r="AF46" s="358"/>
      <c r="AG46" s="365"/>
      <c r="AH46" s="366"/>
      <c r="AI46" s="373"/>
      <c r="AJ46" s="305"/>
      <c r="AK46" s="305"/>
      <c r="AL46" s="306"/>
      <c r="AM46" s="307"/>
      <c r="AN46" s="308"/>
      <c r="AO46" s="309"/>
      <c r="AP46" s="354"/>
      <c r="AQ46" s="295"/>
      <c r="AR46" s="296"/>
      <c r="AS46" s="30"/>
    </row>
    <row r="47" spans="1:47" x14ac:dyDescent="0.35">
      <c r="A47" s="20">
        <v>47</v>
      </c>
      <c r="C47" s="26">
        <v>44362</v>
      </c>
      <c r="D47" s="27">
        <v>0.16666666666666666</v>
      </c>
      <c r="E47" s="36" t="s">
        <v>120</v>
      </c>
      <c r="F47" s="32" t="s">
        <v>6</v>
      </c>
      <c r="G47" s="202">
        <v>200.5</v>
      </c>
      <c r="H47" s="180">
        <v>44362</v>
      </c>
      <c r="I47" s="409">
        <v>0.41182870370370367</v>
      </c>
      <c r="J47" s="181">
        <f t="shared" si="0"/>
        <v>0.32849537037037035</v>
      </c>
      <c r="K47" s="183">
        <v>240.1</v>
      </c>
      <c r="L47" s="183" t="s">
        <v>9</v>
      </c>
      <c r="M47" s="184">
        <v>9.6000000000000002E-2</v>
      </c>
      <c r="N47" s="184">
        <v>0.60399999999999998</v>
      </c>
      <c r="O47" s="185">
        <v>2.6360000000000001</v>
      </c>
      <c r="P47" s="186">
        <f t="shared" si="72"/>
        <v>4.7880299251870324E-2</v>
      </c>
      <c r="Q47" s="187">
        <f t="shared" si="35"/>
        <v>0.30124688279301742</v>
      </c>
      <c r="R47" s="188">
        <f t="shared" si="73"/>
        <v>1.3147132169576061</v>
      </c>
      <c r="S47" s="253" t="s">
        <v>28</v>
      </c>
      <c r="T47" s="258">
        <v>44391</v>
      </c>
      <c r="U47" s="255">
        <v>0.32354166666666667</v>
      </c>
      <c r="V47" s="413">
        <f t="shared" si="4"/>
        <v>0.24020833333333336</v>
      </c>
      <c r="W47" s="231">
        <v>211.77</v>
      </c>
      <c r="X47" s="229" t="s">
        <v>9</v>
      </c>
      <c r="Y47" s="232">
        <v>3.3000000000000002E-2</v>
      </c>
      <c r="Z47" s="232">
        <v>0.54300000000000004</v>
      </c>
      <c r="AA47" s="287">
        <v>2.012</v>
      </c>
      <c r="AB47" s="289">
        <f t="shared" si="74"/>
        <v>1.6458852867830425E-2</v>
      </c>
      <c r="AC47" s="288">
        <f t="shared" si="75"/>
        <v>0.27082294264339157</v>
      </c>
      <c r="AD47" s="290">
        <f t="shared" si="76"/>
        <v>1.0034912718204489</v>
      </c>
      <c r="AE47" s="237" t="s">
        <v>28</v>
      </c>
      <c r="AF47" s="358"/>
      <c r="AG47" s="365"/>
      <c r="AH47" s="366"/>
      <c r="AI47" s="373"/>
      <c r="AJ47" s="305"/>
      <c r="AK47" s="305"/>
      <c r="AL47" s="306"/>
      <c r="AM47" s="307"/>
      <c r="AN47" s="308"/>
      <c r="AO47" s="309"/>
      <c r="AP47" s="354"/>
      <c r="AQ47" s="295"/>
      <c r="AR47" s="296"/>
      <c r="AS47" s="30"/>
    </row>
    <row r="48" spans="1:47" ht="15" customHeight="1" x14ac:dyDescent="0.35">
      <c r="A48" s="20">
        <v>47</v>
      </c>
      <c r="B48" s="195">
        <v>2</v>
      </c>
      <c r="C48" s="26">
        <v>44362</v>
      </c>
      <c r="D48" s="27">
        <v>0.1763888888888889</v>
      </c>
      <c r="E48" s="36" t="s">
        <v>121</v>
      </c>
      <c r="F48" s="176"/>
      <c r="G48" s="203">
        <v>77.2</v>
      </c>
      <c r="H48" s="180">
        <v>44362</v>
      </c>
      <c r="I48" s="409">
        <v>0.66468749999999999</v>
      </c>
      <c r="J48" s="181">
        <f t="shared" si="0"/>
        <v>0.58135416666666662</v>
      </c>
      <c r="K48" s="183">
        <v>255.25</v>
      </c>
      <c r="L48" s="183" t="s">
        <v>9</v>
      </c>
      <c r="M48" s="184">
        <v>9.4E-2</v>
      </c>
      <c r="N48" s="184">
        <v>0.85799999999999998</v>
      </c>
      <c r="O48" s="185">
        <v>3.2909999999999999</v>
      </c>
      <c r="P48" s="186">
        <f t="shared" si="72"/>
        <v>0.12176165803108809</v>
      </c>
      <c r="Q48" s="187">
        <f t="shared" si="35"/>
        <v>1.1113989637305699</v>
      </c>
      <c r="R48" s="188">
        <f t="shared" si="73"/>
        <v>4.2629533678756468</v>
      </c>
      <c r="S48" s="253" t="s">
        <v>28</v>
      </c>
      <c r="T48" s="258">
        <v>44389</v>
      </c>
      <c r="U48" s="255">
        <v>0.49447916666666664</v>
      </c>
      <c r="V48" s="413">
        <f t="shared" si="4"/>
        <v>0.41114583333333332</v>
      </c>
      <c r="W48" s="231">
        <v>231.77</v>
      </c>
      <c r="X48" s="229" t="s">
        <v>9</v>
      </c>
      <c r="Y48" s="232">
        <v>1.2999999999999999E-2</v>
      </c>
      <c r="Z48" s="232">
        <v>0.23300000000000001</v>
      </c>
      <c r="AA48" s="287">
        <v>1.1819999999999999</v>
      </c>
      <c r="AB48" s="289">
        <f t="shared" si="74"/>
        <v>1.683937823834197E-2</v>
      </c>
      <c r="AC48" s="288">
        <f t="shared" si="75"/>
        <v>0.30181347150259069</v>
      </c>
      <c r="AD48" s="290">
        <f t="shared" si="76"/>
        <v>1.5310880829015543</v>
      </c>
      <c r="AE48" s="237" t="s">
        <v>28</v>
      </c>
      <c r="AF48" s="358"/>
      <c r="AG48" s="365"/>
      <c r="AH48" s="366"/>
      <c r="AI48" s="373"/>
      <c r="AJ48" s="305"/>
      <c r="AK48" s="305"/>
      <c r="AL48" s="306"/>
      <c r="AM48" s="307"/>
      <c r="AN48" s="308"/>
      <c r="AO48" s="309"/>
      <c r="AP48" s="354"/>
      <c r="AQ48" s="295"/>
      <c r="AR48" s="296"/>
      <c r="AS48" s="30"/>
    </row>
    <row r="49" spans="1:45" x14ac:dyDescent="0.35">
      <c r="A49" s="20">
        <v>49</v>
      </c>
      <c r="C49" s="26">
        <v>44362</v>
      </c>
      <c r="D49" s="27">
        <v>0.65277777777777779</v>
      </c>
      <c r="E49" s="36" t="s">
        <v>120</v>
      </c>
      <c r="F49" s="32" t="s">
        <v>6</v>
      </c>
      <c r="G49" s="201">
        <v>200</v>
      </c>
      <c r="H49" s="180">
        <v>44363</v>
      </c>
      <c r="I49" s="409">
        <v>0.58585648148148151</v>
      </c>
      <c r="J49" s="181">
        <f t="shared" si="0"/>
        <v>0.50252314814814814</v>
      </c>
      <c r="K49" s="183">
        <v>309.48</v>
      </c>
      <c r="L49" s="183" t="s">
        <v>8</v>
      </c>
      <c r="M49" s="184">
        <v>4.4999999999999998E-2</v>
      </c>
      <c r="N49" s="184">
        <v>0.65600000000000003</v>
      </c>
      <c r="O49" s="185">
        <v>2.9790000000000001</v>
      </c>
      <c r="P49" s="186">
        <f t="shared" si="72"/>
        <v>2.2499999999999999E-2</v>
      </c>
      <c r="Q49" s="187">
        <f t="shared" si="35"/>
        <v>0.32800000000000001</v>
      </c>
      <c r="R49" s="188">
        <f t="shared" si="73"/>
        <v>1.4895</v>
      </c>
      <c r="S49" s="253" t="s">
        <v>28</v>
      </c>
      <c r="T49" s="258">
        <v>44390</v>
      </c>
      <c r="U49" s="255">
        <v>0.60069444444444442</v>
      </c>
      <c r="V49" s="413">
        <f t="shared" si="4"/>
        <v>0.51736111111111105</v>
      </c>
      <c r="W49" s="231">
        <v>344</v>
      </c>
      <c r="X49" s="229" t="s">
        <v>8</v>
      </c>
      <c r="Y49" s="232">
        <v>2.9000000000000001E-2</v>
      </c>
      <c r="Z49" s="232">
        <v>0.55500000000000005</v>
      </c>
      <c r="AA49" s="287">
        <v>2.27</v>
      </c>
      <c r="AB49" s="289">
        <f t="shared" si="74"/>
        <v>1.4500000000000001E-2</v>
      </c>
      <c r="AC49" s="288">
        <f t="shared" si="75"/>
        <v>0.27750000000000002</v>
      </c>
      <c r="AD49" s="290">
        <f t="shared" si="76"/>
        <v>1.135</v>
      </c>
      <c r="AE49" s="237" t="s">
        <v>28</v>
      </c>
      <c r="AF49" s="358"/>
      <c r="AG49" s="365"/>
      <c r="AH49" s="366"/>
      <c r="AI49" s="373"/>
      <c r="AJ49" s="305"/>
      <c r="AK49" s="305"/>
      <c r="AL49" s="306"/>
      <c r="AM49" s="307"/>
      <c r="AN49" s="308"/>
      <c r="AO49" s="309"/>
      <c r="AP49" s="354"/>
      <c r="AQ49" s="295"/>
      <c r="AR49" s="296"/>
      <c r="AS49" s="30"/>
    </row>
    <row r="50" spans="1:45" x14ac:dyDescent="0.35">
      <c r="A50" s="20">
        <v>50</v>
      </c>
      <c r="C50" s="26">
        <v>44362</v>
      </c>
      <c r="D50" s="27">
        <v>0.86249999999999993</v>
      </c>
      <c r="E50" s="36" t="s">
        <v>120</v>
      </c>
      <c r="F50" s="32" t="s">
        <v>6</v>
      </c>
      <c r="G50" s="201">
        <v>199.9</v>
      </c>
      <c r="H50" s="180">
        <v>44363</v>
      </c>
      <c r="I50" s="409">
        <v>0.58590277777777777</v>
      </c>
      <c r="J50" s="181">
        <f t="shared" si="0"/>
        <v>0.5025694444444444</v>
      </c>
      <c r="K50" s="183">
        <v>309.60000000000002</v>
      </c>
      <c r="L50" s="183" t="s">
        <v>130</v>
      </c>
      <c r="M50" s="189">
        <v>8.1000000000000003E-2</v>
      </c>
      <c r="N50" s="189">
        <v>0.67500000000000004</v>
      </c>
      <c r="O50" s="190">
        <v>3.0139999999999998</v>
      </c>
      <c r="P50" s="186">
        <f t="shared" si="72"/>
        <v>4.0520260130065038E-2</v>
      </c>
      <c r="Q50" s="187">
        <f t="shared" si="35"/>
        <v>0.33766883441720863</v>
      </c>
      <c r="R50" s="188">
        <f t="shared" si="73"/>
        <v>1.5077538769384691</v>
      </c>
      <c r="S50" s="793" t="s">
        <v>28</v>
      </c>
      <c r="T50" s="258">
        <v>44391</v>
      </c>
      <c r="U50" s="255">
        <v>0.5158449074074074</v>
      </c>
      <c r="V50" s="413">
        <f t="shared" si="4"/>
        <v>0.43251157407407409</v>
      </c>
      <c r="W50" s="231">
        <v>232.85</v>
      </c>
      <c r="X50" s="229" t="s">
        <v>8</v>
      </c>
      <c r="Y50" s="245">
        <v>4.2999999999999997E-2</v>
      </c>
      <c r="Z50" s="245">
        <v>0.95299999999999996</v>
      </c>
      <c r="AA50" s="287">
        <v>3.1779999999999999</v>
      </c>
      <c r="AB50" s="289">
        <f t="shared" si="74"/>
        <v>2.1510755377688841E-2</v>
      </c>
      <c r="AC50" s="288">
        <f t="shared" si="75"/>
        <v>0.47673836918459228</v>
      </c>
      <c r="AD50" s="290">
        <f t="shared" si="76"/>
        <v>1.5897948974487244</v>
      </c>
      <c r="AE50" s="794" t="s">
        <v>28</v>
      </c>
      <c r="AF50" s="359"/>
    </row>
    <row r="51" spans="1:45" x14ac:dyDescent="0.35">
      <c r="I51" s="205"/>
      <c r="AF51" s="359"/>
    </row>
    <row r="52" spans="1:45" x14ac:dyDescent="0.35">
      <c r="AF52" s="359"/>
    </row>
    <row r="53" spans="1:45" x14ac:dyDescent="0.35">
      <c r="AF53" s="359"/>
    </row>
    <row r="54" spans="1:45" x14ac:dyDescent="0.35">
      <c r="AF54" s="359"/>
    </row>
    <row r="55" spans="1:45" x14ac:dyDescent="0.35">
      <c r="AF55" s="359"/>
    </row>
    <row r="56" spans="1:45" x14ac:dyDescent="0.35">
      <c r="AF56" s="359"/>
    </row>
    <row r="57" spans="1:45" x14ac:dyDescent="0.35">
      <c r="AF57" s="359"/>
    </row>
    <row r="58" spans="1:45" x14ac:dyDescent="0.35">
      <c r="AF58" s="359"/>
    </row>
    <row r="59" spans="1:45" x14ac:dyDescent="0.35">
      <c r="AF59" s="359"/>
    </row>
    <row r="60" spans="1:45" x14ac:dyDescent="0.35">
      <c r="AF60" s="359"/>
    </row>
    <row r="61" spans="1:45" x14ac:dyDescent="0.35">
      <c r="AF61" s="359"/>
    </row>
    <row r="62" spans="1:45" x14ac:dyDescent="0.35">
      <c r="AF62" s="359"/>
    </row>
    <row r="63" spans="1:45" x14ac:dyDescent="0.35">
      <c r="AF63" s="359"/>
    </row>
    <row r="64" spans="1:45" x14ac:dyDescent="0.35">
      <c r="AF64" s="359"/>
    </row>
    <row r="65" spans="32:32" x14ac:dyDescent="0.35">
      <c r="AF65" s="359"/>
    </row>
    <row r="66" spans="32:32" x14ac:dyDescent="0.35">
      <c r="AF66" s="359"/>
    </row>
    <row r="67" spans="32:32" x14ac:dyDescent="0.35">
      <c r="AF67" s="359"/>
    </row>
    <row r="68" spans="32:32" x14ac:dyDescent="0.35">
      <c r="AF68" s="359"/>
    </row>
    <row r="69" spans="32:32" x14ac:dyDescent="0.35">
      <c r="AF69" s="359"/>
    </row>
    <row r="70" spans="32:32" x14ac:dyDescent="0.35">
      <c r="AF70" s="359"/>
    </row>
    <row r="71" spans="32:32" x14ac:dyDescent="0.35">
      <c r="AF71" s="359"/>
    </row>
    <row r="72" spans="32:32" x14ac:dyDescent="0.35">
      <c r="AF72" s="359"/>
    </row>
    <row r="73" spans="32:32" x14ac:dyDescent="0.35">
      <c r="AF73" s="359"/>
    </row>
    <row r="74" spans="32:32" x14ac:dyDescent="0.35">
      <c r="AF74" s="359"/>
    </row>
    <row r="75" spans="32:32" x14ac:dyDescent="0.35">
      <c r="AF75" s="359"/>
    </row>
    <row r="76" spans="32:32" x14ac:dyDescent="0.35">
      <c r="AF76" s="359"/>
    </row>
    <row r="77" spans="32:32" x14ac:dyDescent="0.35">
      <c r="AF77" s="359"/>
    </row>
    <row r="78" spans="32:32" x14ac:dyDescent="0.35">
      <c r="AF78" s="359"/>
    </row>
    <row r="79" spans="32:32" x14ac:dyDescent="0.35">
      <c r="AF79" s="359"/>
    </row>
    <row r="80" spans="32:32" x14ac:dyDescent="0.35">
      <c r="AF80" s="359"/>
    </row>
    <row r="81" spans="32:32" x14ac:dyDescent="0.35">
      <c r="AF81" s="359"/>
    </row>
    <row r="82" spans="32:32" x14ac:dyDescent="0.35">
      <c r="AF82" s="359"/>
    </row>
    <row r="83" spans="32:32" x14ac:dyDescent="0.35">
      <c r="AF83" s="359"/>
    </row>
    <row r="84" spans="32:32" x14ac:dyDescent="0.35">
      <c r="AF84" s="359"/>
    </row>
    <row r="85" spans="32:32" x14ac:dyDescent="0.35">
      <c r="AF85" s="359"/>
    </row>
    <row r="86" spans="32:32" x14ac:dyDescent="0.35">
      <c r="AF86" s="359"/>
    </row>
    <row r="87" spans="32:32" x14ac:dyDescent="0.35">
      <c r="AF87" s="359"/>
    </row>
    <row r="88" spans="32:32" x14ac:dyDescent="0.35">
      <c r="AF88" s="359"/>
    </row>
    <row r="89" spans="32:32" x14ac:dyDescent="0.35">
      <c r="AF89" s="359"/>
    </row>
    <row r="90" spans="32:32" x14ac:dyDescent="0.35">
      <c r="AF90" s="359"/>
    </row>
    <row r="91" spans="32:32" x14ac:dyDescent="0.35">
      <c r="AF91" s="359"/>
    </row>
    <row r="92" spans="32:32" x14ac:dyDescent="0.35">
      <c r="AF92" s="359"/>
    </row>
    <row r="93" spans="32:32" x14ac:dyDescent="0.35">
      <c r="AF93" s="359"/>
    </row>
    <row r="94" spans="32:32" x14ac:dyDescent="0.35">
      <c r="AF94" s="359"/>
    </row>
    <row r="95" spans="32:32" x14ac:dyDescent="0.35">
      <c r="AF95" s="359"/>
    </row>
    <row r="96" spans="32:32" x14ac:dyDescent="0.35">
      <c r="AF96" s="359"/>
    </row>
    <row r="97" spans="32:32" x14ac:dyDescent="0.35">
      <c r="AF97" s="359"/>
    </row>
    <row r="98" spans="32:32" x14ac:dyDescent="0.35">
      <c r="AF98" s="359"/>
    </row>
    <row r="99" spans="32:32" x14ac:dyDescent="0.35">
      <c r="AF99" s="359"/>
    </row>
    <row r="100" spans="32:32" x14ac:dyDescent="0.35">
      <c r="AF100" s="359"/>
    </row>
    <row r="101" spans="32:32" x14ac:dyDescent="0.35">
      <c r="AF101" s="359"/>
    </row>
    <row r="102" spans="32:32" x14ac:dyDescent="0.35">
      <c r="AF102" s="359"/>
    </row>
    <row r="103" spans="32:32" x14ac:dyDescent="0.35">
      <c r="AF103" s="359"/>
    </row>
    <row r="104" spans="32:32" x14ac:dyDescent="0.35">
      <c r="AF104" s="359"/>
    </row>
    <row r="105" spans="32:32" x14ac:dyDescent="0.35">
      <c r="AF105" s="359"/>
    </row>
    <row r="106" spans="32:32" x14ac:dyDescent="0.35">
      <c r="AF106" s="359"/>
    </row>
    <row r="107" spans="32:32" x14ac:dyDescent="0.35">
      <c r="AF107" s="359"/>
    </row>
    <row r="108" spans="32:32" x14ac:dyDescent="0.35">
      <c r="AF108" s="359"/>
    </row>
    <row r="109" spans="32:32" x14ac:dyDescent="0.35">
      <c r="AF109" s="359"/>
    </row>
    <row r="110" spans="32:32" x14ac:dyDescent="0.35">
      <c r="AF110" s="359"/>
    </row>
    <row r="111" spans="32:32" x14ac:dyDescent="0.35">
      <c r="AF111" s="359"/>
    </row>
    <row r="112" spans="32:32" x14ac:dyDescent="0.35">
      <c r="AF112" s="359"/>
    </row>
    <row r="113" spans="32:32" x14ac:dyDescent="0.35">
      <c r="AF113" s="359"/>
    </row>
    <row r="114" spans="32:32" x14ac:dyDescent="0.35">
      <c r="AF114" s="359"/>
    </row>
    <row r="115" spans="32:32" x14ac:dyDescent="0.35">
      <c r="AF115" s="359"/>
    </row>
    <row r="116" spans="32:32" x14ac:dyDescent="0.35">
      <c r="AF116" s="359"/>
    </row>
    <row r="117" spans="32:32" x14ac:dyDescent="0.35">
      <c r="AF117" s="359"/>
    </row>
    <row r="118" spans="32:32" x14ac:dyDescent="0.35">
      <c r="AF118" s="359"/>
    </row>
    <row r="119" spans="32:32" x14ac:dyDescent="0.35">
      <c r="AF119" s="359"/>
    </row>
    <row r="120" spans="32:32" x14ac:dyDescent="0.35">
      <c r="AF120" s="359"/>
    </row>
    <row r="121" spans="32:32" x14ac:dyDescent="0.35">
      <c r="AF121" s="359"/>
    </row>
    <row r="122" spans="32:32" x14ac:dyDescent="0.35">
      <c r="AF122" s="359"/>
    </row>
    <row r="123" spans="32:32" x14ac:dyDescent="0.35">
      <c r="AF123" s="359"/>
    </row>
    <row r="124" spans="32:32" x14ac:dyDescent="0.35">
      <c r="AF124" s="359"/>
    </row>
    <row r="125" spans="32:32" x14ac:dyDescent="0.35">
      <c r="AF125" s="359"/>
    </row>
    <row r="126" spans="32:32" x14ac:dyDescent="0.35">
      <c r="AF126" s="359"/>
    </row>
    <row r="127" spans="32:32" x14ac:dyDescent="0.35">
      <c r="AF127" s="359"/>
    </row>
    <row r="128" spans="32:32" x14ac:dyDescent="0.35">
      <c r="AF128" s="359"/>
    </row>
    <row r="129" spans="32:32" x14ac:dyDescent="0.35">
      <c r="AF129" s="359"/>
    </row>
    <row r="130" spans="32:32" x14ac:dyDescent="0.35">
      <c r="AF130" s="359"/>
    </row>
    <row r="131" spans="32:32" x14ac:dyDescent="0.35">
      <c r="AF131" s="359"/>
    </row>
    <row r="132" spans="32:32" x14ac:dyDescent="0.35">
      <c r="AF132" s="359"/>
    </row>
    <row r="133" spans="32:32" x14ac:dyDescent="0.35">
      <c r="AF133" s="359"/>
    </row>
    <row r="134" spans="32:32" x14ac:dyDescent="0.35">
      <c r="AF134" s="359"/>
    </row>
    <row r="135" spans="32:32" x14ac:dyDescent="0.35">
      <c r="AF135" s="359"/>
    </row>
    <row r="136" spans="32:32" x14ac:dyDescent="0.35">
      <c r="AF136" s="359"/>
    </row>
    <row r="137" spans="32:32" x14ac:dyDescent="0.35">
      <c r="AF137" s="359"/>
    </row>
    <row r="138" spans="32:32" x14ac:dyDescent="0.35">
      <c r="AF138" s="359"/>
    </row>
    <row r="139" spans="32:32" x14ac:dyDescent="0.35">
      <c r="AF139" s="359"/>
    </row>
    <row r="140" spans="32:32" x14ac:dyDescent="0.35">
      <c r="AF140" s="359"/>
    </row>
    <row r="141" spans="32:32" x14ac:dyDescent="0.35">
      <c r="AF141" s="359"/>
    </row>
    <row r="142" spans="32:32" x14ac:dyDescent="0.35">
      <c r="AF142" s="359"/>
    </row>
    <row r="143" spans="32:32" x14ac:dyDescent="0.35">
      <c r="AF143" s="359"/>
    </row>
    <row r="144" spans="32:32" x14ac:dyDescent="0.35">
      <c r="AF144" s="359"/>
    </row>
    <row r="145" spans="32:32" x14ac:dyDescent="0.35">
      <c r="AF145" s="359"/>
    </row>
    <row r="146" spans="32:32" x14ac:dyDescent="0.35">
      <c r="AF146" s="359"/>
    </row>
    <row r="147" spans="32:32" x14ac:dyDescent="0.35">
      <c r="AF147" s="359"/>
    </row>
    <row r="148" spans="32:32" x14ac:dyDescent="0.35">
      <c r="AF148" s="359"/>
    </row>
    <row r="149" spans="32:32" x14ac:dyDescent="0.35">
      <c r="AF149" s="359"/>
    </row>
    <row r="150" spans="32:32" x14ac:dyDescent="0.35">
      <c r="AF150" s="359"/>
    </row>
    <row r="151" spans="32:32" x14ac:dyDescent="0.35">
      <c r="AF151" s="359"/>
    </row>
    <row r="152" spans="32:32" x14ac:dyDescent="0.35">
      <c r="AF152" s="359"/>
    </row>
    <row r="153" spans="32:32" x14ac:dyDescent="0.35">
      <c r="AF153" s="359"/>
    </row>
    <row r="154" spans="32:32" x14ac:dyDescent="0.35">
      <c r="AF154" s="359"/>
    </row>
    <row r="155" spans="32:32" x14ac:dyDescent="0.35">
      <c r="AF155" s="359"/>
    </row>
    <row r="156" spans="32:32" x14ac:dyDescent="0.35">
      <c r="AF156" s="359"/>
    </row>
    <row r="157" spans="32:32" x14ac:dyDescent="0.35">
      <c r="AF157" s="359"/>
    </row>
    <row r="158" spans="32:32" x14ac:dyDescent="0.35">
      <c r="AF158" s="359"/>
    </row>
    <row r="159" spans="32:32" x14ac:dyDescent="0.35">
      <c r="AF159" s="359"/>
    </row>
    <row r="160" spans="32:32" x14ac:dyDescent="0.35">
      <c r="AF160" s="359"/>
    </row>
    <row r="161" spans="32:32" x14ac:dyDescent="0.35">
      <c r="AF161" s="359"/>
    </row>
    <row r="162" spans="32:32" x14ac:dyDescent="0.35">
      <c r="AF162" s="359"/>
    </row>
    <row r="163" spans="32:32" x14ac:dyDescent="0.35">
      <c r="AF163" s="359"/>
    </row>
    <row r="164" spans="32:32" x14ac:dyDescent="0.35">
      <c r="AF164" s="359"/>
    </row>
    <row r="165" spans="32:32" x14ac:dyDescent="0.35">
      <c r="AF165" s="359"/>
    </row>
    <row r="166" spans="32:32" x14ac:dyDescent="0.35">
      <c r="AF166" s="359"/>
    </row>
    <row r="167" spans="32:32" x14ac:dyDescent="0.35">
      <c r="AF167" s="359"/>
    </row>
    <row r="168" spans="32:32" x14ac:dyDescent="0.35">
      <c r="AF168" s="359"/>
    </row>
    <row r="169" spans="32:32" x14ac:dyDescent="0.35">
      <c r="AF169" s="359"/>
    </row>
    <row r="170" spans="32:32" x14ac:dyDescent="0.35">
      <c r="AF170" s="359"/>
    </row>
    <row r="171" spans="32:32" x14ac:dyDescent="0.35">
      <c r="AF171" s="359"/>
    </row>
    <row r="172" spans="32:32" x14ac:dyDescent="0.35">
      <c r="AF172" s="359"/>
    </row>
    <row r="173" spans="32:32" x14ac:dyDescent="0.35">
      <c r="AF173" s="359"/>
    </row>
    <row r="174" spans="32:32" x14ac:dyDescent="0.35">
      <c r="AF174" s="359"/>
    </row>
    <row r="175" spans="32:32" x14ac:dyDescent="0.35">
      <c r="AF175" s="359"/>
    </row>
    <row r="176" spans="32:32" x14ac:dyDescent="0.35">
      <c r="AF176" s="359"/>
    </row>
    <row r="177" spans="32:32" x14ac:dyDescent="0.35">
      <c r="AF177" s="359"/>
    </row>
    <row r="178" spans="32:32" x14ac:dyDescent="0.35">
      <c r="AF178" s="359"/>
    </row>
    <row r="179" spans="32:32" x14ac:dyDescent="0.35">
      <c r="AF179" s="359"/>
    </row>
    <row r="180" spans="32:32" x14ac:dyDescent="0.35">
      <c r="AF180" s="359"/>
    </row>
    <row r="181" spans="32:32" x14ac:dyDescent="0.35">
      <c r="AF181" s="359"/>
    </row>
    <row r="182" spans="32:32" x14ac:dyDescent="0.35">
      <c r="AF182" s="359"/>
    </row>
    <row r="183" spans="32:32" x14ac:dyDescent="0.35">
      <c r="AF183" s="359"/>
    </row>
    <row r="184" spans="32:32" x14ac:dyDescent="0.35">
      <c r="AF184" s="359"/>
    </row>
    <row r="185" spans="32:32" x14ac:dyDescent="0.35">
      <c r="AF185" s="359"/>
    </row>
    <row r="186" spans="32:32" x14ac:dyDescent="0.35">
      <c r="AF186" s="359"/>
    </row>
    <row r="187" spans="32:32" x14ac:dyDescent="0.35">
      <c r="AF187" s="359"/>
    </row>
    <row r="188" spans="32:32" x14ac:dyDescent="0.35">
      <c r="AF188" s="359"/>
    </row>
    <row r="189" spans="32:32" x14ac:dyDescent="0.35">
      <c r="AF189" s="359"/>
    </row>
    <row r="190" spans="32:32" x14ac:dyDescent="0.35">
      <c r="AF190" s="359"/>
    </row>
    <row r="191" spans="32:32" x14ac:dyDescent="0.35">
      <c r="AF191" s="359"/>
    </row>
    <row r="192" spans="32:32" x14ac:dyDescent="0.35">
      <c r="AF192" s="359"/>
    </row>
    <row r="193" spans="32:32" x14ac:dyDescent="0.35">
      <c r="AF193" s="359"/>
    </row>
    <row r="194" spans="32:32" x14ac:dyDescent="0.35">
      <c r="AF194" s="359"/>
    </row>
    <row r="195" spans="32:32" x14ac:dyDescent="0.35">
      <c r="AF195" s="359"/>
    </row>
    <row r="196" spans="32:32" x14ac:dyDescent="0.35">
      <c r="AF196" s="359"/>
    </row>
    <row r="197" spans="32:32" x14ac:dyDescent="0.35">
      <c r="AF197" s="359"/>
    </row>
    <row r="198" spans="32:32" x14ac:dyDescent="0.35">
      <c r="AF198" s="359"/>
    </row>
    <row r="199" spans="32:32" x14ac:dyDescent="0.35">
      <c r="AF199" s="359"/>
    </row>
    <row r="200" spans="32:32" x14ac:dyDescent="0.35">
      <c r="AF200" s="359"/>
    </row>
    <row r="201" spans="32:32" x14ac:dyDescent="0.35">
      <c r="AF201" s="359"/>
    </row>
    <row r="202" spans="32:32" x14ac:dyDescent="0.35">
      <c r="AF202" s="359"/>
    </row>
    <row r="203" spans="32:32" x14ac:dyDescent="0.35">
      <c r="AF203" s="359"/>
    </row>
    <row r="204" spans="32:32" x14ac:dyDescent="0.35">
      <c r="AF204" s="359"/>
    </row>
    <row r="205" spans="32:32" x14ac:dyDescent="0.35">
      <c r="AF205" s="359"/>
    </row>
    <row r="206" spans="32:32" x14ac:dyDescent="0.35">
      <c r="AF206" s="359"/>
    </row>
    <row r="207" spans="32:32" x14ac:dyDescent="0.35">
      <c r="AF207" s="359"/>
    </row>
    <row r="208" spans="32:32" x14ac:dyDescent="0.35">
      <c r="AF208" s="359"/>
    </row>
    <row r="209" spans="32:32" x14ac:dyDescent="0.35">
      <c r="AF209" s="359"/>
    </row>
    <row r="210" spans="32:32" x14ac:dyDescent="0.35">
      <c r="AF210" s="359"/>
    </row>
    <row r="211" spans="32:32" x14ac:dyDescent="0.35">
      <c r="AF211" s="359"/>
    </row>
    <row r="212" spans="32:32" x14ac:dyDescent="0.35">
      <c r="AF212" s="359"/>
    </row>
    <row r="213" spans="32:32" x14ac:dyDescent="0.35">
      <c r="AF213" s="359"/>
    </row>
    <row r="214" spans="32:32" x14ac:dyDescent="0.35">
      <c r="AF214" s="359"/>
    </row>
    <row r="215" spans="32:32" x14ac:dyDescent="0.35">
      <c r="AF215" s="359"/>
    </row>
    <row r="216" spans="32:32" x14ac:dyDescent="0.35">
      <c r="AF216" s="359"/>
    </row>
    <row r="217" spans="32:32" x14ac:dyDescent="0.35">
      <c r="AF217" s="359"/>
    </row>
    <row r="218" spans="32:32" x14ac:dyDescent="0.35">
      <c r="AF218" s="359"/>
    </row>
    <row r="219" spans="32:32" x14ac:dyDescent="0.35">
      <c r="AF219" s="359"/>
    </row>
    <row r="220" spans="32:32" x14ac:dyDescent="0.35">
      <c r="AF220" s="359"/>
    </row>
    <row r="221" spans="32:32" x14ac:dyDescent="0.35">
      <c r="AF221" s="359"/>
    </row>
    <row r="222" spans="32:32" x14ac:dyDescent="0.35">
      <c r="AF222" s="359"/>
    </row>
    <row r="223" spans="32:32" x14ac:dyDescent="0.35">
      <c r="AF223" s="359"/>
    </row>
    <row r="224" spans="32:32" x14ac:dyDescent="0.35">
      <c r="AF224" s="359"/>
    </row>
    <row r="225" spans="32:32" x14ac:dyDescent="0.35">
      <c r="AF225" s="359"/>
    </row>
    <row r="226" spans="32:32" x14ac:dyDescent="0.35">
      <c r="AF226" s="359"/>
    </row>
    <row r="227" spans="32:32" x14ac:dyDescent="0.35">
      <c r="AF227" s="359"/>
    </row>
    <row r="228" spans="32:32" x14ac:dyDescent="0.35">
      <c r="AF228" s="359"/>
    </row>
    <row r="229" spans="32:32" x14ac:dyDescent="0.35">
      <c r="AF229" s="359"/>
    </row>
    <row r="230" spans="32:32" x14ac:dyDescent="0.35">
      <c r="AF230" s="359"/>
    </row>
    <row r="231" spans="32:32" x14ac:dyDescent="0.35">
      <c r="AF231" s="359"/>
    </row>
    <row r="232" spans="32:32" x14ac:dyDescent="0.35">
      <c r="AF232" s="359"/>
    </row>
    <row r="233" spans="32:32" x14ac:dyDescent="0.35">
      <c r="AF233" s="359"/>
    </row>
    <row r="234" spans="32:32" x14ac:dyDescent="0.35">
      <c r="AF234" s="359"/>
    </row>
    <row r="235" spans="32:32" x14ac:dyDescent="0.35">
      <c r="AF235" s="359"/>
    </row>
    <row r="236" spans="32:32" x14ac:dyDescent="0.35">
      <c r="AF236" s="359"/>
    </row>
    <row r="237" spans="32:32" x14ac:dyDescent="0.35">
      <c r="AF237" s="359"/>
    </row>
    <row r="238" spans="32:32" x14ac:dyDescent="0.35">
      <c r="AF238" s="359"/>
    </row>
    <row r="239" spans="32:32" x14ac:dyDescent="0.35">
      <c r="AF239" s="359"/>
    </row>
    <row r="240" spans="32:32" x14ac:dyDescent="0.35">
      <c r="AF240" s="359"/>
    </row>
    <row r="241" spans="32:32" x14ac:dyDescent="0.35">
      <c r="AF241" s="359"/>
    </row>
    <row r="242" spans="32:32" x14ac:dyDescent="0.35">
      <c r="AF242" s="359"/>
    </row>
    <row r="243" spans="32:32" x14ac:dyDescent="0.35">
      <c r="AF243" s="359"/>
    </row>
    <row r="244" spans="32:32" x14ac:dyDescent="0.35">
      <c r="AF244" s="359"/>
    </row>
    <row r="245" spans="32:32" x14ac:dyDescent="0.35">
      <c r="AF245" s="359"/>
    </row>
    <row r="246" spans="32:32" x14ac:dyDescent="0.35">
      <c r="AF246" s="359"/>
    </row>
    <row r="247" spans="32:32" x14ac:dyDescent="0.35">
      <c r="AF247" s="359"/>
    </row>
    <row r="248" spans="32:32" x14ac:dyDescent="0.35">
      <c r="AF248" s="359"/>
    </row>
    <row r="249" spans="32:32" x14ac:dyDescent="0.35">
      <c r="AF249" s="359"/>
    </row>
    <row r="250" spans="32:32" x14ac:dyDescent="0.35">
      <c r="AF250" s="359"/>
    </row>
    <row r="251" spans="32:32" x14ac:dyDescent="0.35">
      <c r="AF251" s="359"/>
    </row>
    <row r="252" spans="32:32" x14ac:dyDescent="0.35">
      <c r="AF252" s="359"/>
    </row>
    <row r="253" spans="32:32" x14ac:dyDescent="0.35">
      <c r="AF253" s="359"/>
    </row>
    <row r="254" spans="32:32" x14ac:dyDescent="0.35">
      <c r="AF254" s="359"/>
    </row>
    <row r="255" spans="32:32" x14ac:dyDescent="0.35">
      <c r="AF255" s="359"/>
    </row>
    <row r="256" spans="32:32" x14ac:dyDescent="0.35">
      <c r="AF256" s="359"/>
    </row>
    <row r="257" spans="32:32" x14ac:dyDescent="0.35">
      <c r="AF257" s="359"/>
    </row>
    <row r="258" spans="32:32" x14ac:dyDescent="0.35">
      <c r="AF258" s="359"/>
    </row>
    <row r="259" spans="32:32" x14ac:dyDescent="0.35">
      <c r="AF259" s="359"/>
    </row>
    <row r="260" spans="32:32" x14ac:dyDescent="0.35">
      <c r="AF260" s="359"/>
    </row>
    <row r="261" spans="32:32" x14ac:dyDescent="0.35">
      <c r="AF261" s="359"/>
    </row>
    <row r="262" spans="32:32" x14ac:dyDescent="0.35">
      <c r="AF262" s="359"/>
    </row>
    <row r="263" spans="32:32" x14ac:dyDescent="0.35">
      <c r="AF263" s="359"/>
    </row>
    <row r="264" spans="32:32" x14ac:dyDescent="0.35">
      <c r="AF264" s="359"/>
    </row>
    <row r="265" spans="32:32" x14ac:dyDescent="0.35">
      <c r="AF265" s="359"/>
    </row>
    <row r="266" spans="32:32" x14ac:dyDescent="0.35">
      <c r="AF266" s="359"/>
    </row>
    <row r="267" spans="32:32" x14ac:dyDescent="0.35">
      <c r="AF267" s="359"/>
    </row>
    <row r="268" spans="32:32" x14ac:dyDescent="0.35">
      <c r="AF268" s="359"/>
    </row>
    <row r="269" spans="32:32" x14ac:dyDescent="0.35">
      <c r="AF269" s="359"/>
    </row>
    <row r="270" spans="32:32" x14ac:dyDescent="0.35">
      <c r="AF270" s="359"/>
    </row>
    <row r="271" spans="32:32" x14ac:dyDescent="0.35">
      <c r="AF271" s="359"/>
    </row>
    <row r="272" spans="32:32" x14ac:dyDescent="0.35">
      <c r="AF272" s="359"/>
    </row>
    <row r="273" spans="32:32" x14ac:dyDescent="0.35">
      <c r="AF273" s="359"/>
    </row>
    <row r="274" spans="32:32" x14ac:dyDescent="0.35">
      <c r="AF274" s="359"/>
    </row>
    <row r="275" spans="32:32" x14ac:dyDescent="0.35">
      <c r="AF275" s="359"/>
    </row>
    <row r="276" spans="32:32" x14ac:dyDescent="0.35">
      <c r="AF276" s="359"/>
    </row>
    <row r="277" spans="32:32" x14ac:dyDescent="0.35">
      <c r="AF277" s="359"/>
    </row>
    <row r="278" spans="32:32" x14ac:dyDescent="0.35">
      <c r="AF278" s="359"/>
    </row>
    <row r="279" spans="32:32" x14ac:dyDescent="0.35">
      <c r="AF279" s="359"/>
    </row>
    <row r="280" spans="32:32" x14ac:dyDescent="0.35">
      <c r="AF280" s="359"/>
    </row>
    <row r="281" spans="32:32" x14ac:dyDescent="0.35">
      <c r="AF281" s="359"/>
    </row>
    <row r="282" spans="32:32" x14ac:dyDescent="0.35">
      <c r="AF282" s="359"/>
    </row>
    <row r="283" spans="32:32" x14ac:dyDescent="0.35">
      <c r="AF283" s="359"/>
    </row>
    <row r="284" spans="32:32" x14ac:dyDescent="0.35">
      <c r="AF284" s="359"/>
    </row>
    <row r="285" spans="32:32" x14ac:dyDescent="0.35">
      <c r="AF285" s="359"/>
    </row>
    <row r="286" spans="32:32" x14ac:dyDescent="0.35">
      <c r="AF286" s="359"/>
    </row>
    <row r="287" spans="32:32" x14ac:dyDescent="0.35">
      <c r="AF287" s="359"/>
    </row>
    <row r="288" spans="32:32" x14ac:dyDescent="0.35">
      <c r="AF288" s="359"/>
    </row>
    <row r="289" spans="32:32" x14ac:dyDescent="0.35">
      <c r="AF289" s="359"/>
    </row>
    <row r="290" spans="32:32" x14ac:dyDescent="0.35">
      <c r="AF290" s="359"/>
    </row>
    <row r="291" spans="32:32" x14ac:dyDescent="0.35">
      <c r="AF291" s="359"/>
    </row>
    <row r="292" spans="32:32" x14ac:dyDescent="0.35">
      <c r="AF292" s="359"/>
    </row>
    <row r="293" spans="32:32" x14ac:dyDescent="0.35">
      <c r="AF293" s="359"/>
    </row>
    <row r="294" spans="32:32" x14ac:dyDescent="0.35">
      <c r="AF294" s="359"/>
    </row>
    <row r="295" spans="32:32" x14ac:dyDescent="0.35">
      <c r="AF295" s="359"/>
    </row>
    <row r="296" spans="32:32" x14ac:dyDescent="0.35">
      <c r="AF296" s="359"/>
    </row>
    <row r="297" spans="32:32" x14ac:dyDescent="0.35">
      <c r="AF297" s="359"/>
    </row>
    <row r="298" spans="32:32" x14ac:dyDescent="0.35">
      <c r="AF298" s="359"/>
    </row>
    <row r="299" spans="32:32" x14ac:dyDescent="0.35">
      <c r="AF299" s="359"/>
    </row>
    <row r="300" spans="32:32" x14ac:dyDescent="0.35">
      <c r="AF300" s="359"/>
    </row>
    <row r="301" spans="32:32" x14ac:dyDescent="0.35">
      <c r="AF301" s="359"/>
    </row>
    <row r="302" spans="32:32" x14ac:dyDescent="0.35">
      <c r="AF302" s="359"/>
    </row>
    <row r="303" spans="32:32" x14ac:dyDescent="0.35">
      <c r="AF303" s="359"/>
    </row>
    <row r="304" spans="32:32" x14ac:dyDescent="0.35">
      <c r="AF304" s="359"/>
    </row>
    <row r="305" spans="32:32" x14ac:dyDescent="0.35">
      <c r="AF305" s="359"/>
    </row>
    <row r="306" spans="32:32" x14ac:dyDescent="0.35">
      <c r="AF306" s="359"/>
    </row>
    <row r="307" spans="32:32" x14ac:dyDescent="0.35">
      <c r="AF307" s="359"/>
    </row>
    <row r="308" spans="32:32" x14ac:dyDescent="0.35">
      <c r="AF308" s="359"/>
    </row>
    <row r="309" spans="32:32" x14ac:dyDescent="0.35">
      <c r="AF309" s="359"/>
    </row>
    <row r="310" spans="32:32" x14ac:dyDescent="0.35">
      <c r="AF310" s="359"/>
    </row>
    <row r="311" spans="32:32" x14ac:dyDescent="0.35">
      <c r="AF311" s="359"/>
    </row>
    <row r="312" spans="32:32" x14ac:dyDescent="0.35">
      <c r="AF312" s="359"/>
    </row>
    <row r="313" spans="32:32" x14ac:dyDescent="0.35">
      <c r="AF313" s="359"/>
    </row>
    <row r="314" spans="32:32" x14ac:dyDescent="0.35">
      <c r="AF314" s="359"/>
    </row>
    <row r="315" spans="32:32" x14ac:dyDescent="0.35">
      <c r="AF315" s="359"/>
    </row>
    <row r="316" spans="32:32" x14ac:dyDescent="0.35">
      <c r="AF316" s="359"/>
    </row>
    <row r="317" spans="32:32" x14ac:dyDescent="0.35">
      <c r="AF317" s="359"/>
    </row>
    <row r="318" spans="32:32" x14ac:dyDescent="0.35">
      <c r="AF318" s="359"/>
    </row>
    <row r="319" spans="32:32" x14ac:dyDescent="0.35">
      <c r="AF319" s="359"/>
    </row>
    <row r="320" spans="32:32" x14ac:dyDescent="0.35">
      <c r="AF320" s="359"/>
    </row>
    <row r="321" spans="32:32" x14ac:dyDescent="0.35">
      <c r="AF321" s="359"/>
    </row>
    <row r="322" spans="32:32" x14ac:dyDescent="0.35">
      <c r="AF322" s="359"/>
    </row>
    <row r="323" spans="32:32" x14ac:dyDescent="0.35">
      <c r="AF323" s="359"/>
    </row>
    <row r="324" spans="32:32" x14ac:dyDescent="0.35">
      <c r="AF324" s="359"/>
    </row>
    <row r="325" spans="32:32" x14ac:dyDescent="0.35">
      <c r="AF325" s="359"/>
    </row>
    <row r="326" spans="32:32" x14ac:dyDescent="0.35">
      <c r="AF326" s="359"/>
    </row>
    <row r="327" spans="32:32" x14ac:dyDescent="0.35">
      <c r="AF327" s="359"/>
    </row>
    <row r="328" spans="32:32" x14ac:dyDescent="0.35">
      <c r="AF328" s="359"/>
    </row>
    <row r="329" spans="32:32" x14ac:dyDescent="0.35">
      <c r="AF329" s="359"/>
    </row>
    <row r="330" spans="32:32" x14ac:dyDescent="0.35">
      <c r="AF330" s="359"/>
    </row>
    <row r="331" spans="32:32" x14ac:dyDescent="0.35">
      <c r="AF331" s="359"/>
    </row>
    <row r="332" spans="32:32" x14ac:dyDescent="0.35">
      <c r="AF332" s="359"/>
    </row>
    <row r="333" spans="32:32" x14ac:dyDescent="0.35">
      <c r="AF333" s="359"/>
    </row>
    <row r="334" spans="32:32" x14ac:dyDescent="0.35">
      <c r="AF334" s="359"/>
    </row>
    <row r="335" spans="32:32" x14ac:dyDescent="0.35">
      <c r="AF335" s="359"/>
    </row>
    <row r="336" spans="32:32" x14ac:dyDescent="0.35">
      <c r="AF336" s="359"/>
    </row>
    <row r="337" spans="32:32" x14ac:dyDescent="0.35">
      <c r="AF337" s="359"/>
    </row>
    <row r="338" spans="32:32" x14ac:dyDescent="0.35">
      <c r="AF338" s="359"/>
    </row>
    <row r="339" spans="32:32" x14ac:dyDescent="0.35">
      <c r="AF339" s="359"/>
    </row>
    <row r="340" spans="32:32" x14ac:dyDescent="0.35">
      <c r="AF340" s="359"/>
    </row>
    <row r="341" spans="32:32" x14ac:dyDescent="0.35">
      <c r="AF341" s="359"/>
    </row>
    <row r="342" spans="32:32" x14ac:dyDescent="0.35">
      <c r="AF342" s="359"/>
    </row>
    <row r="343" spans="32:32" x14ac:dyDescent="0.35">
      <c r="AF343" s="359"/>
    </row>
    <row r="344" spans="32:32" x14ac:dyDescent="0.35">
      <c r="AF344" s="359"/>
    </row>
    <row r="345" spans="32:32" x14ac:dyDescent="0.35">
      <c r="AF345" s="359"/>
    </row>
    <row r="346" spans="32:32" x14ac:dyDescent="0.35">
      <c r="AF346" s="359"/>
    </row>
    <row r="347" spans="32:32" x14ac:dyDescent="0.35">
      <c r="AF347" s="359"/>
    </row>
    <row r="348" spans="32:32" x14ac:dyDescent="0.35">
      <c r="AF348" s="359"/>
    </row>
    <row r="349" spans="32:32" x14ac:dyDescent="0.35">
      <c r="AF349" s="359"/>
    </row>
    <row r="350" spans="32:32" x14ac:dyDescent="0.35">
      <c r="AF350" s="359"/>
    </row>
    <row r="351" spans="32:32" x14ac:dyDescent="0.35">
      <c r="AF351" s="359"/>
    </row>
    <row r="352" spans="32:32" x14ac:dyDescent="0.35">
      <c r="AF352" s="359"/>
    </row>
    <row r="353" spans="32:32" x14ac:dyDescent="0.35">
      <c r="AF353" s="359"/>
    </row>
    <row r="354" spans="32:32" x14ac:dyDescent="0.35">
      <c r="AF354" s="359"/>
    </row>
    <row r="355" spans="32:32" x14ac:dyDescent="0.35">
      <c r="AF355" s="359"/>
    </row>
    <row r="356" spans="32:32" x14ac:dyDescent="0.35">
      <c r="AF356" s="359"/>
    </row>
    <row r="357" spans="32:32" x14ac:dyDescent="0.35">
      <c r="AF357" s="359"/>
    </row>
    <row r="358" spans="32:32" x14ac:dyDescent="0.35">
      <c r="AF358" s="359"/>
    </row>
    <row r="359" spans="32:32" x14ac:dyDescent="0.35">
      <c r="AF359" s="359"/>
    </row>
    <row r="360" spans="32:32" x14ac:dyDescent="0.35">
      <c r="AF360" s="359"/>
    </row>
    <row r="361" spans="32:32" x14ac:dyDescent="0.35">
      <c r="AF361" s="359"/>
    </row>
    <row r="362" spans="32:32" x14ac:dyDescent="0.35">
      <c r="AF362" s="359"/>
    </row>
    <row r="363" spans="32:32" x14ac:dyDescent="0.35">
      <c r="AF363" s="359"/>
    </row>
    <row r="364" spans="32:32" x14ac:dyDescent="0.35">
      <c r="AF364" s="359"/>
    </row>
    <row r="365" spans="32:32" x14ac:dyDescent="0.35">
      <c r="AF365" s="359"/>
    </row>
    <row r="366" spans="32:32" x14ac:dyDescent="0.35">
      <c r="AF366" s="359"/>
    </row>
    <row r="367" spans="32:32" x14ac:dyDescent="0.35">
      <c r="AF367" s="359"/>
    </row>
    <row r="368" spans="32:32" x14ac:dyDescent="0.35">
      <c r="AF368" s="359"/>
    </row>
    <row r="369" spans="32:32" x14ac:dyDescent="0.35">
      <c r="AF369" s="359"/>
    </row>
    <row r="370" spans="32:32" x14ac:dyDescent="0.35">
      <c r="AF370" s="359"/>
    </row>
    <row r="371" spans="32:32" x14ac:dyDescent="0.35">
      <c r="AF371" s="359"/>
    </row>
    <row r="372" spans="32:32" x14ac:dyDescent="0.35">
      <c r="AF372" s="359"/>
    </row>
    <row r="373" spans="32:32" x14ac:dyDescent="0.35">
      <c r="AF373" s="359"/>
    </row>
    <row r="374" spans="32:32" x14ac:dyDescent="0.35">
      <c r="AF374" s="359"/>
    </row>
    <row r="375" spans="32:32" x14ac:dyDescent="0.35">
      <c r="AF375" s="359"/>
    </row>
    <row r="376" spans="32:32" x14ac:dyDescent="0.35">
      <c r="AF376" s="359"/>
    </row>
    <row r="377" spans="32:32" x14ac:dyDescent="0.35">
      <c r="AF377" s="359"/>
    </row>
    <row r="378" spans="32:32" x14ac:dyDescent="0.35">
      <c r="AF378" s="359"/>
    </row>
    <row r="379" spans="32:32" x14ac:dyDescent="0.35">
      <c r="AF379" s="359"/>
    </row>
    <row r="380" spans="32:32" x14ac:dyDescent="0.35">
      <c r="AF380" s="359"/>
    </row>
    <row r="381" spans="32:32" x14ac:dyDescent="0.35">
      <c r="AF381" s="359"/>
    </row>
    <row r="382" spans="32:32" x14ac:dyDescent="0.35">
      <c r="AF382" s="359"/>
    </row>
    <row r="383" spans="32:32" x14ac:dyDescent="0.35">
      <c r="AF383" s="359"/>
    </row>
    <row r="384" spans="32:32" x14ac:dyDescent="0.35">
      <c r="AF384" s="359"/>
    </row>
    <row r="385" spans="32:32" x14ac:dyDescent="0.35">
      <c r="AF385" s="359"/>
    </row>
    <row r="386" spans="32:32" x14ac:dyDescent="0.35">
      <c r="AF386" s="359"/>
    </row>
    <row r="387" spans="32:32" x14ac:dyDescent="0.35">
      <c r="AF387" s="359"/>
    </row>
    <row r="388" spans="32:32" x14ac:dyDescent="0.35">
      <c r="AF388" s="359"/>
    </row>
    <row r="389" spans="32:32" x14ac:dyDescent="0.35">
      <c r="AF389" s="359"/>
    </row>
    <row r="390" spans="32:32" x14ac:dyDescent="0.35">
      <c r="AF390" s="359"/>
    </row>
    <row r="391" spans="32:32" x14ac:dyDescent="0.35">
      <c r="AF391" s="359"/>
    </row>
    <row r="392" spans="32:32" x14ac:dyDescent="0.35">
      <c r="AF392" s="359"/>
    </row>
    <row r="393" spans="32:32" x14ac:dyDescent="0.35">
      <c r="AF393" s="359"/>
    </row>
    <row r="394" spans="32:32" x14ac:dyDescent="0.35">
      <c r="AF394" s="359"/>
    </row>
    <row r="395" spans="32:32" x14ac:dyDescent="0.35">
      <c r="AF395" s="359"/>
    </row>
    <row r="396" spans="32:32" x14ac:dyDescent="0.35">
      <c r="AF396" s="359"/>
    </row>
    <row r="397" spans="32:32" x14ac:dyDescent="0.35">
      <c r="AF397" s="359"/>
    </row>
    <row r="398" spans="32:32" x14ac:dyDescent="0.35">
      <c r="AF398" s="359"/>
    </row>
    <row r="399" spans="32:32" x14ac:dyDescent="0.35">
      <c r="AF399" s="359"/>
    </row>
    <row r="400" spans="32:32" x14ac:dyDescent="0.35">
      <c r="AF400" s="359"/>
    </row>
    <row r="401" spans="32:32" x14ac:dyDescent="0.35">
      <c r="AF401" s="359"/>
    </row>
    <row r="402" spans="32:32" x14ac:dyDescent="0.35">
      <c r="AF402" s="359"/>
    </row>
    <row r="403" spans="32:32" x14ac:dyDescent="0.35">
      <c r="AF403" s="359"/>
    </row>
    <row r="404" spans="32:32" x14ac:dyDescent="0.35">
      <c r="AF404" s="359"/>
    </row>
    <row r="405" spans="32:32" x14ac:dyDescent="0.35">
      <c r="AF405" s="359"/>
    </row>
    <row r="406" spans="32:32" x14ac:dyDescent="0.35">
      <c r="AF406" s="359"/>
    </row>
    <row r="407" spans="32:32" x14ac:dyDescent="0.35">
      <c r="AF407" s="359"/>
    </row>
    <row r="408" spans="32:32" x14ac:dyDescent="0.35">
      <c r="AF408" s="359"/>
    </row>
    <row r="409" spans="32:32" x14ac:dyDescent="0.35">
      <c r="AF409" s="359"/>
    </row>
    <row r="410" spans="32:32" x14ac:dyDescent="0.35">
      <c r="AF410" s="359"/>
    </row>
    <row r="411" spans="32:32" x14ac:dyDescent="0.35">
      <c r="AF411" s="359"/>
    </row>
    <row r="412" spans="32:32" x14ac:dyDescent="0.35">
      <c r="AF412" s="359"/>
    </row>
    <row r="413" spans="32:32" x14ac:dyDescent="0.35">
      <c r="AF413" s="359"/>
    </row>
    <row r="414" spans="32:32" x14ac:dyDescent="0.35">
      <c r="AF414" s="359"/>
    </row>
    <row r="415" spans="32:32" x14ac:dyDescent="0.35">
      <c r="AF415" s="359"/>
    </row>
    <row r="416" spans="32:32" x14ac:dyDescent="0.35">
      <c r="AF416" s="359"/>
    </row>
    <row r="417" spans="32:32" x14ac:dyDescent="0.35">
      <c r="AF417" s="359"/>
    </row>
    <row r="418" spans="32:32" x14ac:dyDescent="0.35">
      <c r="AF418" s="359"/>
    </row>
    <row r="419" spans="32:32" x14ac:dyDescent="0.35">
      <c r="AF419" s="359"/>
    </row>
    <row r="420" spans="32:32" x14ac:dyDescent="0.35">
      <c r="AF420" s="359"/>
    </row>
    <row r="421" spans="32:32" x14ac:dyDescent="0.35">
      <c r="AF421" s="359"/>
    </row>
    <row r="422" spans="32:32" x14ac:dyDescent="0.35">
      <c r="AF422" s="359"/>
    </row>
    <row r="423" spans="32:32" x14ac:dyDescent="0.35">
      <c r="AF423" s="359"/>
    </row>
    <row r="424" spans="32:32" x14ac:dyDescent="0.35">
      <c r="AF424" s="359"/>
    </row>
    <row r="425" spans="32:32" x14ac:dyDescent="0.35">
      <c r="AF425" s="359"/>
    </row>
    <row r="426" spans="32:32" x14ac:dyDescent="0.35">
      <c r="AF426" s="359"/>
    </row>
    <row r="427" spans="32:32" x14ac:dyDescent="0.35">
      <c r="AF427" s="359"/>
    </row>
    <row r="428" spans="32:32" x14ac:dyDescent="0.35">
      <c r="AF428" s="359"/>
    </row>
    <row r="429" spans="32:32" x14ac:dyDescent="0.35">
      <c r="AF429" s="359"/>
    </row>
    <row r="430" spans="32:32" x14ac:dyDescent="0.35">
      <c r="AF430" s="359"/>
    </row>
    <row r="431" spans="32:32" x14ac:dyDescent="0.35">
      <c r="AF431" s="359"/>
    </row>
    <row r="432" spans="32:32" x14ac:dyDescent="0.35">
      <c r="AF432" s="359"/>
    </row>
    <row r="433" spans="32:32" x14ac:dyDescent="0.35">
      <c r="AF433" s="359"/>
    </row>
    <row r="434" spans="32:32" x14ac:dyDescent="0.35">
      <c r="AF434" s="359"/>
    </row>
    <row r="435" spans="32:32" x14ac:dyDescent="0.35">
      <c r="AF435" s="359"/>
    </row>
    <row r="436" spans="32:32" x14ac:dyDescent="0.35">
      <c r="AF436" s="359"/>
    </row>
    <row r="437" spans="32:32" x14ac:dyDescent="0.35">
      <c r="AF437" s="359"/>
    </row>
    <row r="438" spans="32:32" x14ac:dyDescent="0.35">
      <c r="AF438" s="359"/>
    </row>
    <row r="439" spans="32:32" x14ac:dyDescent="0.35">
      <c r="AF439" s="359"/>
    </row>
    <row r="440" spans="32:32" x14ac:dyDescent="0.35">
      <c r="AF440" s="359"/>
    </row>
    <row r="441" spans="32:32" x14ac:dyDescent="0.35">
      <c r="AF441" s="359"/>
    </row>
    <row r="442" spans="32:32" x14ac:dyDescent="0.35">
      <c r="AF442" s="359"/>
    </row>
    <row r="443" spans="32:32" x14ac:dyDescent="0.35">
      <c r="AF443" s="359"/>
    </row>
    <row r="444" spans="32:32" x14ac:dyDescent="0.35">
      <c r="AF444" s="359"/>
    </row>
    <row r="445" spans="32:32" x14ac:dyDescent="0.35">
      <c r="AF445" s="359"/>
    </row>
    <row r="446" spans="32:32" x14ac:dyDescent="0.35">
      <c r="AF446" s="359"/>
    </row>
    <row r="447" spans="32:32" x14ac:dyDescent="0.35">
      <c r="AF447" s="359"/>
    </row>
    <row r="448" spans="32:32" x14ac:dyDescent="0.35">
      <c r="AF448" s="359"/>
    </row>
    <row r="449" spans="32:32" x14ac:dyDescent="0.35">
      <c r="AF449" s="359"/>
    </row>
    <row r="450" spans="32:32" x14ac:dyDescent="0.35">
      <c r="AF450" s="359"/>
    </row>
    <row r="451" spans="32:32" x14ac:dyDescent="0.35">
      <c r="AF451" s="359"/>
    </row>
    <row r="452" spans="32:32" x14ac:dyDescent="0.35">
      <c r="AF452" s="359"/>
    </row>
    <row r="453" spans="32:32" x14ac:dyDescent="0.35">
      <c r="AF453" s="359"/>
    </row>
    <row r="454" spans="32:32" x14ac:dyDescent="0.35">
      <c r="AF454" s="359"/>
    </row>
    <row r="455" spans="32:32" x14ac:dyDescent="0.35">
      <c r="AF455" s="359"/>
    </row>
    <row r="456" spans="32:32" x14ac:dyDescent="0.35">
      <c r="AF456" s="359"/>
    </row>
    <row r="457" spans="32:32" x14ac:dyDescent="0.35">
      <c r="AF457" s="359"/>
    </row>
    <row r="458" spans="32:32" x14ac:dyDescent="0.35">
      <c r="AF458" s="359"/>
    </row>
    <row r="459" spans="32:32" x14ac:dyDescent="0.35">
      <c r="AF459" s="359"/>
    </row>
    <row r="460" spans="32:32" x14ac:dyDescent="0.35">
      <c r="AF460" s="359"/>
    </row>
    <row r="461" spans="32:32" x14ac:dyDescent="0.35">
      <c r="AF461" s="359"/>
    </row>
    <row r="462" spans="32:32" x14ac:dyDescent="0.35">
      <c r="AF462" s="359"/>
    </row>
    <row r="463" spans="32:32" x14ac:dyDescent="0.35">
      <c r="AF463" s="359"/>
    </row>
    <row r="464" spans="32:32" x14ac:dyDescent="0.35">
      <c r="AF464" s="359"/>
    </row>
    <row r="465" spans="32:32" x14ac:dyDescent="0.35">
      <c r="AF465" s="359"/>
    </row>
    <row r="466" spans="32:32" x14ac:dyDescent="0.35">
      <c r="AF466" s="359"/>
    </row>
    <row r="467" spans="32:32" x14ac:dyDescent="0.35">
      <c r="AF467" s="359"/>
    </row>
    <row r="468" spans="32:32" x14ac:dyDescent="0.35">
      <c r="AF468" s="359"/>
    </row>
    <row r="469" spans="32:32" x14ac:dyDescent="0.35">
      <c r="AF469" s="359"/>
    </row>
    <row r="470" spans="32:32" x14ac:dyDescent="0.35">
      <c r="AF470" s="359"/>
    </row>
    <row r="471" spans="32:32" x14ac:dyDescent="0.35">
      <c r="AF471" s="359"/>
    </row>
    <row r="472" spans="32:32" x14ac:dyDescent="0.35">
      <c r="AF472" s="359"/>
    </row>
    <row r="473" spans="32:32" x14ac:dyDescent="0.35">
      <c r="AF473" s="359"/>
    </row>
    <row r="474" spans="32:32" x14ac:dyDescent="0.35">
      <c r="AF474" s="359"/>
    </row>
    <row r="475" spans="32:32" x14ac:dyDescent="0.35">
      <c r="AF475" s="359"/>
    </row>
    <row r="476" spans="32:32" x14ac:dyDescent="0.35">
      <c r="AF476" s="359"/>
    </row>
    <row r="477" spans="32:32" x14ac:dyDescent="0.35">
      <c r="AF477" s="359"/>
    </row>
    <row r="478" spans="32:32" x14ac:dyDescent="0.35">
      <c r="AF478" s="359"/>
    </row>
    <row r="479" spans="32:32" x14ac:dyDescent="0.35">
      <c r="AF479" s="359"/>
    </row>
    <row r="480" spans="32:32" x14ac:dyDescent="0.35">
      <c r="AF480" s="359"/>
    </row>
    <row r="481" spans="32:32" x14ac:dyDescent="0.35">
      <c r="AF481" s="359"/>
    </row>
    <row r="482" spans="32:32" x14ac:dyDescent="0.35">
      <c r="AF482" s="359"/>
    </row>
    <row r="483" spans="32:32" x14ac:dyDescent="0.35">
      <c r="AF483" s="359"/>
    </row>
    <row r="484" spans="32:32" x14ac:dyDescent="0.35">
      <c r="AF484" s="359"/>
    </row>
    <row r="485" spans="32:32" x14ac:dyDescent="0.35">
      <c r="AF485" s="359"/>
    </row>
    <row r="486" spans="32:32" x14ac:dyDescent="0.35">
      <c r="AF486" s="359"/>
    </row>
    <row r="487" spans="32:32" x14ac:dyDescent="0.35">
      <c r="AF487" s="359"/>
    </row>
    <row r="488" spans="32:32" x14ac:dyDescent="0.35">
      <c r="AF488" s="359"/>
    </row>
    <row r="489" spans="32:32" x14ac:dyDescent="0.35">
      <c r="AF489" s="359"/>
    </row>
    <row r="490" spans="32:32" x14ac:dyDescent="0.35">
      <c r="AF490" s="359"/>
    </row>
    <row r="491" spans="32:32" x14ac:dyDescent="0.35">
      <c r="AF491" s="359"/>
    </row>
    <row r="492" spans="32:32" x14ac:dyDescent="0.35">
      <c r="AF492" s="359"/>
    </row>
    <row r="493" spans="32:32" x14ac:dyDescent="0.35">
      <c r="AF493" s="359"/>
    </row>
    <row r="494" spans="32:32" x14ac:dyDescent="0.35">
      <c r="AF494" s="359"/>
    </row>
    <row r="495" spans="32:32" x14ac:dyDescent="0.35">
      <c r="AF495" s="359"/>
    </row>
    <row r="496" spans="32:32" x14ac:dyDescent="0.35">
      <c r="AF496" s="359"/>
    </row>
    <row r="497" spans="32:32" x14ac:dyDescent="0.35">
      <c r="AF497" s="359"/>
    </row>
    <row r="498" spans="32:32" x14ac:dyDescent="0.35">
      <c r="AF498" s="359"/>
    </row>
    <row r="499" spans="32:32" x14ac:dyDescent="0.35">
      <c r="AF499" s="359"/>
    </row>
    <row r="500" spans="32:32" x14ac:dyDescent="0.35">
      <c r="AF500" s="359"/>
    </row>
    <row r="501" spans="32:32" x14ac:dyDescent="0.35">
      <c r="AF501" s="359"/>
    </row>
    <row r="502" spans="32:32" x14ac:dyDescent="0.35">
      <c r="AF502" s="359"/>
    </row>
    <row r="503" spans="32:32" x14ac:dyDescent="0.35">
      <c r="AF503" s="359"/>
    </row>
    <row r="504" spans="32:32" x14ac:dyDescent="0.35">
      <c r="AF504" s="359"/>
    </row>
    <row r="505" spans="32:32" x14ac:dyDescent="0.35">
      <c r="AF505" s="359"/>
    </row>
    <row r="506" spans="32:32" x14ac:dyDescent="0.35">
      <c r="AF506" s="359"/>
    </row>
    <row r="507" spans="32:32" x14ac:dyDescent="0.35">
      <c r="AF507" s="359"/>
    </row>
    <row r="508" spans="32:32" x14ac:dyDescent="0.35">
      <c r="AF508" s="359"/>
    </row>
    <row r="509" spans="32:32" x14ac:dyDescent="0.35">
      <c r="AF509" s="359"/>
    </row>
    <row r="510" spans="32:32" x14ac:dyDescent="0.35">
      <c r="AF510" s="359"/>
    </row>
    <row r="511" spans="32:32" x14ac:dyDescent="0.35">
      <c r="AF511" s="359"/>
    </row>
    <row r="512" spans="32:32" x14ac:dyDescent="0.35">
      <c r="AF512" s="359"/>
    </row>
    <row r="513" spans="32:32" x14ac:dyDescent="0.35">
      <c r="AF513" s="359"/>
    </row>
    <row r="514" spans="32:32" x14ac:dyDescent="0.35">
      <c r="AF514" s="359"/>
    </row>
    <row r="515" spans="32:32" x14ac:dyDescent="0.35">
      <c r="AF515" s="359"/>
    </row>
    <row r="516" spans="32:32" x14ac:dyDescent="0.35">
      <c r="AF516" s="359"/>
    </row>
    <row r="517" spans="32:32" x14ac:dyDescent="0.35">
      <c r="AF517" s="359"/>
    </row>
    <row r="518" spans="32:32" x14ac:dyDescent="0.35">
      <c r="AF518" s="359"/>
    </row>
    <row r="519" spans="32:32" x14ac:dyDescent="0.35">
      <c r="AF519" s="359"/>
    </row>
    <row r="520" spans="32:32" x14ac:dyDescent="0.35">
      <c r="AF520" s="359"/>
    </row>
    <row r="521" spans="32:32" x14ac:dyDescent="0.35">
      <c r="AF521" s="359"/>
    </row>
    <row r="522" spans="32:32" x14ac:dyDescent="0.35">
      <c r="AF522" s="359"/>
    </row>
    <row r="523" spans="32:32" x14ac:dyDescent="0.35">
      <c r="AF523" s="359"/>
    </row>
    <row r="524" spans="32:32" x14ac:dyDescent="0.35">
      <c r="AF524" s="359"/>
    </row>
    <row r="525" spans="32:32" x14ac:dyDescent="0.35">
      <c r="AF525" s="359"/>
    </row>
    <row r="526" spans="32:32" x14ac:dyDescent="0.35">
      <c r="AF526" s="359"/>
    </row>
    <row r="527" spans="32:32" x14ac:dyDescent="0.35">
      <c r="AF527" s="359"/>
    </row>
    <row r="528" spans="32:32" x14ac:dyDescent="0.35">
      <c r="AF528" s="359"/>
    </row>
    <row r="529" spans="32:32" x14ac:dyDescent="0.35">
      <c r="AF529" s="359"/>
    </row>
    <row r="530" spans="32:32" x14ac:dyDescent="0.35">
      <c r="AF530" s="359"/>
    </row>
    <row r="531" spans="32:32" x14ac:dyDescent="0.35">
      <c r="AF531" s="359"/>
    </row>
    <row r="532" spans="32:32" x14ac:dyDescent="0.35">
      <c r="AF532" s="359"/>
    </row>
    <row r="533" spans="32:32" x14ac:dyDescent="0.35">
      <c r="AF533" s="359"/>
    </row>
    <row r="534" spans="32:32" x14ac:dyDescent="0.35">
      <c r="AF534" s="359"/>
    </row>
    <row r="535" spans="32:32" x14ac:dyDescent="0.35">
      <c r="AF535" s="359"/>
    </row>
    <row r="536" spans="32:32" x14ac:dyDescent="0.35">
      <c r="AF536" s="359"/>
    </row>
    <row r="537" spans="32:32" x14ac:dyDescent="0.35">
      <c r="AF537" s="359"/>
    </row>
    <row r="538" spans="32:32" x14ac:dyDescent="0.35">
      <c r="AF538" s="359"/>
    </row>
    <row r="539" spans="32:32" x14ac:dyDescent="0.35">
      <c r="AF539" s="359"/>
    </row>
    <row r="540" spans="32:32" x14ac:dyDescent="0.35">
      <c r="AF540" s="359"/>
    </row>
    <row r="541" spans="32:32" x14ac:dyDescent="0.35">
      <c r="AF541" s="359"/>
    </row>
    <row r="542" spans="32:32" x14ac:dyDescent="0.35">
      <c r="AF542" s="359"/>
    </row>
    <row r="543" spans="32:32" x14ac:dyDescent="0.35">
      <c r="AF543" s="359"/>
    </row>
    <row r="544" spans="32:32" x14ac:dyDescent="0.35">
      <c r="AF544" s="359"/>
    </row>
    <row r="545" spans="32:32" x14ac:dyDescent="0.35">
      <c r="AF545" s="359"/>
    </row>
    <row r="546" spans="32:32" x14ac:dyDescent="0.35">
      <c r="AF546" s="359"/>
    </row>
    <row r="547" spans="32:32" x14ac:dyDescent="0.35">
      <c r="AF547" s="359"/>
    </row>
    <row r="548" spans="32:32" x14ac:dyDescent="0.35">
      <c r="AF548" s="359"/>
    </row>
    <row r="549" spans="32:32" x14ac:dyDescent="0.35">
      <c r="AF549" s="359"/>
    </row>
    <row r="550" spans="32:32" x14ac:dyDescent="0.35">
      <c r="AF550" s="359"/>
    </row>
    <row r="551" spans="32:32" x14ac:dyDescent="0.35">
      <c r="AF551" s="359"/>
    </row>
    <row r="552" spans="32:32" x14ac:dyDescent="0.35">
      <c r="AF552" s="359"/>
    </row>
    <row r="553" spans="32:32" x14ac:dyDescent="0.35">
      <c r="AF553" s="359"/>
    </row>
    <row r="554" spans="32:32" x14ac:dyDescent="0.35">
      <c r="AF554" s="359"/>
    </row>
    <row r="555" spans="32:32" x14ac:dyDescent="0.35">
      <c r="AF555" s="359"/>
    </row>
    <row r="556" spans="32:32" x14ac:dyDescent="0.35">
      <c r="AF556" s="359"/>
    </row>
    <row r="557" spans="32:32" x14ac:dyDescent="0.35">
      <c r="AF557" s="359"/>
    </row>
    <row r="558" spans="32:32" x14ac:dyDescent="0.35">
      <c r="AF558" s="359"/>
    </row>
    <row r="559" spans="32:32" x14ac:dyDescent="0.35">
      <c r="AF559" s="359"/>
    </row>
    <row r="560" spans="32:32" x14ac:dyDescent="0.35">
      <c r="AF560" s="359"/>
    </row>
    <row r="561" spans="32:32" x14ac:dyDescent="0.35">
      <c r="AF561" s="359"/>
    </row>
    <row r="562" spans="32:32" x14ac:dyDescent="0.35">
      <c r="AF562" s="359"/>
    </row>
    <row r="563" spans="32:32" x14ac:dyDescent="0.35">
      <c r="AF563" s="359"/>
    </row>
    <row r="564" spans="32:32" x14ac:dyDescent="0.35">
      <c r="AF564" s="359"/>
    </row>
    <row r="565" spans="32:32" x14ac:dyDescent="0.35">
      <c r="AF565" s="359"/>
    </row>
    <row r="566" spans="32:32" x14ac:dyDescent="0.35">
      <c r="AF566" s="359"/>
    </row>
    <row r="567" spans="32:32" x14ac:dyDescent="0.35">
      <c r="AF567" s="359"/>
    </row>
    <row r="568" spans="32:32" x14ac:dyDescent="0.35">
      <c r="AF568" s="359"/>
    </row>
    <row r="569" spans="32:32" x14ac:dyDescent="0.35">
      <c r="AF569" s="359"/>
    </row>
    <row r="570" spans="32:32" x14ac:dyDescent="0.35">
      <c r="AF570" s="359"/>
    </row>
    <row r="571" spans="32:32" x14ac:dyDescent="0.35">
      <c r="AF571" s="359"/>
    </row>
    <row r="572" spans="32:32" x14ac:dyDescent="0.35">
      <c r="AF572" s="359"/>
    </row>
    <row r="573" spans="32:32" x14ac:dyDescent="0.35">
      <c r="AF573" s="359"/>
    </row>
    <row r="574" spans="32:32" x14ac:dyDescent="0.35">
      <c r="AF574" s="359"/>
    </row>
    <row r="575" spans="32:32" x14ac:dyDescent="0.35">
      <c r="AF575" s="359"/>
    </row>
    <row r="576" spans="32:32" x14ac:dyDescent="0.35">
      <c r="AF576" s="359"/>
    </row>
    <row r="577" spans="32:32" x14ac:dyDescent="0.35">
      <c r="AF577" s="359"/>
    </row>
    <row r="578" spans="32:32" x14ac:dyDescent="0.35">
      <c r="AF578" s="359"/>
    </row>
    <row r="579" spans="32:32" x14ac:dyDescent="0.35">
      <c r="AF579" s="359"/>
    </row>
    <row r="580" spans="32:32" x14ac:dyDescent="0.35">
      <c r="AF580" s="359"/>
    </row>
    <row r="581" spans="32:32" x14ac:dyDescent="0.35">
      <c r="AF581" s="359"/>
    </row>
    <row r="582" spans="32:32" x14ac:dyDescent="0.35">
      <c r="AF582" s="359"/>
    </row>
    <row r="583" spans="32:32" x14ac:dyDescent="0.35">
      <c r="AF583" s="359"/>
    </row>
    <row r="584" spans="32:32" x14ac:dyDescent="0.35">
      <c r="AF584" s="359"/>
    </row>
    <row r="585" spans="32:32" x14ac:dyDescent="0.35">
      <c r="AF585" s="359"/>
    </row>
    <row r="586" spans="32:32" x14ac:dyDescent="0.35">
      <c r="AF586" s="359"/>
    </row>
    <row r="587" spans="32:32" x14ac:dyDescent="0.35">
      <c r="AF587" s="359"/>
    </row>
    <row r="588" spans="32:32" x14ac:dyDescent="0.35">
      <c r="AF588" s="359"/>
    </row>
    <row r="589" spans="32:32" x14ac:dyDescent="0.35">
      <c r="AF589" s="359"/>
    </row>
    <row r="590" spans="32:32" x14ac:dyDescent="0.35">
      <c r="AF590" s="359"/>
    </row>
    <row r="591" spans="32:32" x14ac:dyDescent="0.35">
      <c r="AF591" s="359"/>
    </row>
    <row r="592" spans="32:32" x14ac:dyDescent="0.35">
      <c r="AF592" s="359"/>
    </row>
    <row r="593" spans="32:32" x14ac:dyDescent="0.35">
      <c r="AF593" s="359"/>
    </row>
    <row r="594" spans="32:32" x14ac:dyDescent="0.35">
      <c r="AF594" s="359"/>
    </row>
    <row r="595" spans="32:32" x14ac:dyDescent="0.35">
      <c r="AF595" s="359"/>
    </row>
    <row r="596" spans="32:32" x14ac:dyDescent="0.35">
      <c r="AF596" s="359"/>
    </row>
    <row r="597" spans="32:32" x14ac:dyDescent="0.35">
      <c r="AF597" s="359"/>
    </row>
    <row r="598" spans="32:32" x14ac:dyDescent="0.35">
      <c r="AF598" s="359"/>
    </row>
    <row r="599" spans="32:32" x14ac:dyDescent="0.35">
      <c r="AF599" s="359"/>
    </row>
    <row r="600" spans="32:32" x14ac:dyDescent="0.35">
      <c r="AF600" s="359"/>
    </row>
    <row r="601" spans="32:32" x14ac:dyDescent="0.35">
      <c r="AF601" s="359"/>
    </row>
    <row r="602" spans="32:32" x14ac:dyDescent="0.35">
      <c r="AF602" s="359"/>
    </row>
    <row r="603" spans="32:32" x14ac:dyDescent="0.35">
      <c r="AF603" s="359"/>
    </row>
    <row r="604" spans="32:32" x14ac:dyDescent="0.35">
      <c r="AF604" s="359"/>
    </row>
    <row r="605" spans="32:32" x14ac:dyDescent="0.35">
      <c r="AF605" s="359"/>
    </row>
    <row r="606" spans="32:32" x14ac:dyDescent="0.35">
      <c r="AF606" s="359"/>
    </row>
    <row r="607" spans="32:32" x14ac:dyDescent="0.35">
      <c r="AF607" s="359"/>
    </row>
    <row r="608" spans="32:32" x14ac:dyDescent="0.35">
      <c r="AF608" s="359"/>
    </row>
    <row r="609" spans="32:32" x14ac:dyDescent="0.35">
      <c r="AF609" s="359"/>
    </row>
    <row r="610" spans="32:32" x14ac:dyDescent="0.35">
      <c r="AF610" s="359"/>
    </row>
    <row r="611" spans="32:32" x14ac:dyDescent="0.35">
      <c r="AF611" s="359"/>
    </row>
    <row r="612" spans="32:32" x14ac:dyDescent="0.35">
      <c r="AF612" s="359"/>
    </row>
    <row r="613" spans="32:32" x14ac:dyDescent="0.35">
      <c r="AF613" s="359"/>
    </row>
    <row r="614" spans="32:32" x14ac:dyDescent="0.35">
      <c r="AF614" s="359"/>
    </row>
    <row r="615" spans="32:32" x14ac:dyDescent="0.35">
      <c r="AF615" s="359"/>
    </row>
    <row r="616" spans="32:32" x14ac:dyDescent="0.35">
      <c r="AF616" s="359"/>
    </row>
    <row r="617" spans="32:32" x14ac:dyDescent="0.35">
      <c r="AF617" s="359"/>
    </row>
    <row r="618" spans="32:32" x14ac:dyDescent="0.35">
      <c r="AF618" s="359"/>
    </row>
    <row r="619" spans="32:32" x14ac:dyDescent="0.35">
      <c r="AF619" s="359"/>
    </row>
    <row r="620" spans="32:32" x14ac:dyDescent="0.35">
      <c r="AF620" s="359"/>
    </row>
    <row r="621" spans="32:32" x14ac:dyDescent="0.35">
      <c r="AF621" s="359"/>
    </row>
    <row r="622" spans="32:32" x14ac:dyDescent="0.35">
      <c r="AF622" s="359"/>
    </row>
    <row r="623" spans="32:32" x14ac:dyDescent="0.35">
      <c r="AF623" s="359"/>
    </row>
    <row r="624" spans="32:32" x14ac:dyDescent="0.35">
      <c r="AF624" s="359"/>
    </row>
    <row r="625" spans="32:32" x14ac:dyDescent="0.35">
      <c r="AF625" s="359"/>
    </row>
    <row r="626" spans="32:32" x14ac:dyDescent="0.35">
      <c r="AF626" s="359"/>
    </row>
    <row r="627" spans="32:32" x14ac:dyDescent="0.35">
      <c r="AF627" s="359"/>
    </row>
    <row r="628" spans="32:32" x14ac:dyDescent="0.35">
      <c r="AF628" s="359"/>
    </row>
    <row r="629" spans="32:32" x14ac:dyDescent="0.35">
      <c r="AF629" s="359"/>
    </row>
    <row r="630" spans="32:32" x14ac:dyDescent="0.35">
      <c r="AF630" s="359"/>
    </row>
    <row r="631" spans="32:32" x14ac:dyDescent="0.35">
      <c r="AF631" s="359"/>
    </row>
    <row r="632" spans="32:32" x14ac:dyDescent="0.35">
      <c r="AF632" s="359"/>
    </row>
    <row r="633" spans="32:32" x14ac:dyDescent="0.35">
      <c r="AF633" s="359"/>
    </row>
    <row r="634" spans="32:32" x14ac:dyDescent="0.35">
      <c r="AF634" s="359"/>
    </row>
    <row r="635" spans="32:32" x14ac:dyDescent="0.35">
      <c r="AF635" s="359"/>
    </row>
    <row r="636" spans="32:32" x14ac:dyDescent="0.35">
      <c r="AF636" s="359"/>
    </row>
    <row r="637" spans="32:32" x14ac:dyDescent="0.35">
      <c r="AF637" s="359"/>
    </row>
    <row r="638" spans="32:32" x14ac:dyDescent="0.35">
      <c r="AF638" s="359"/>
    </row>
    <row r="639" spans="32:32" x14ac:dyDescent="0.35">
      <c r="AF639" s="359"/>
    </row>
    <row r="640" spans="32:32" x14ac:dyDescent="0.35">
      <c r="AF640" s="359"/>
    </row>
    <row r="641" spans="32:32" x14ac:dyDescent="0.35">
      <c r="AF641" s="359"/>
    </row>
    <row r="642" spans="32:32" x14ac:dyDescent="0.35">
      <c r="AF642" s="359"/>
    </row>
    <row r="643" spans="32:32" x14ac:dyDescent="0.35">
      <c r="AF643" s="359"/>
    </row>
    <row r="644" spans="32:32" x14ac:dyDescent="0.35">
      <c r="AF644" s="359"/>
    </row>
    <row r="645" spans="32:32" x14ac:dyDescent="0.35">
      <c r="AF645" s="359"/>
    </row>
    <row r="646" spans="32:32" x14ac:dyDescent="0.35">
      <c r="AF646" s="359"/>
    </row>
    <row r="647" spans="32:32" x14ac:dyDescent="0.35">
      <c r="AF647" s="359"/>
    </row>
    <row r="648" spans="32:32" x14ac:dyDescent="0.35">
      <c r="AF648" s="359"/>
    </row>
    <row r="649" spans="32:32" x14ac:dyDescent="0.35">
      <c r="AF649" s="359"/>
    </row>
    <row r="650" spans="32:32" x14ac:dyDescent="0.35">
      <c r="AF650" s="359"/>
    </row>
    <row r="651" spans="32:32" x14ac:dyDescent="0.35">
      <c r="AF651" s="359"/>
    </row>
    <row r="652" spans="32:32" x14ac:dyDescent="0.35">
      <c r="AF652" s="359"/>
    </row>
    <row r="653" spans="32:32" x14ac:dyDescent="0.35">
      <c r="AF653" s="359"/>
    </row>
    <row r="654" spans="32:32" x14ac:dyDescent="0.35">
      <c r="AF654" s="359"/>
    </row>
    <row r="655" spans="32:32" x14ac:dyDescent="0.35">
      <c r="AF655" s="359"/>
    </row>
    <row r="656" spans="32:32" x14ac:dyDescent="0.35">
      <c r="AF656" s="359"/>
    </row>
    <row r="657" spans="32:32" x14ac:dyDescent="0.35">
      <c r="AF657" s="359"/>
    </row>
    <row r="658" spans="32:32" x14ac:dyDescent="0.35">
      <c r="AF658" s="359"/>
    </row>
    <row r="659" spans="32:32" x14ac:dyDescent="0.35">
      <c r="AF659" s="359"/>
    </row>
    <row r="660" spans="32:32" x14ac:dyDescent="0.35">
      <c r="AF660" s="359"/>
    </row>
    <row r="661" spans="32:32" x14ac:dyDescent="0.35">
      <c r="AF661" s="359"/>
    </row>
    <row r="662" spans="32:32" x14ac:dyDescent="0.35">
      <c r="AF662" s="359"/>
    </row>
    <row r="663" spans="32:32" x14ac:dyDescent="0.35">
      <c r="AF663" s="359"/>
    </row>
    <row r="664" spans="32:32" x14ac:dyDescent="0.35">
      <c r="AF664" s="359"/>
    </row>
    <row r="665" spans="32:32" x14ac:dyDescent="0.35">
      <c r="AF665" s="359"/>
    </row>
    <row r="666" spans="32:32" x14ac:dyDescent="0.35">
      <c r="AF666" s="359"/>
    </row>
    <row r="667" spans="32:32" x14ac:dyDescent="0.35">
      <c r="AF667" s="359"/>
    </row>
    <row r="668" spans="32:32" x14ac:dyDescent="0.35">
      <c r="AF668" s="359"/>
    </row>
    <row r="669" spans="32:32" x14ac:dyDescent="0.35">
      <c r="AF669" s="359"/>
    </row>
    <row r="670" spans="32:32" x14ac:dyDescent="0.35">
      <c r="AF670" s="359"/>
    </row>
    <row r="671" spans="32:32" x14ac:dyDescent="0.35">
      <c r="AF671" s="359"/>
    </row>
    <row r="672" spans="32:32" x14ac:dyDescent="0.35">
      <c r="AF672" s="359"/>
    </row>
    <row r="673" spans="32:32" x14ac:dyDescent="0.35">
      <c r="AF673" s="359"/>
    </row>
    <row r="674" spans="32:32" x14ac:dyDescent="0.35">
      <c r="AF674" s="359"/>
    </row>
    <row r="675" spans="32:32" x14ac:dyDescent="0.35">
      <c r="AF675" s="359"/>
    </row>
    <row r="676" spans="32:32" x14ac:dyDescent="0.35">
      <c r="AF676" s="359"/>
    </row>
    <row r="677" spans="32:32" x14ac:dyDescent="0.35">
      <c r="AF677" s="359"/>
    </row>
    <row r="678" spans="32:32" x14ac:dyDescent="0.35">
      <c r="AF678" s="359"/>
    </row>
    <row r="679" spans="32:32" x14ac:dyDescent="0.35">
      <c r="AF679" s="359"/>
    </row>
    <row r="680" spans="32:32" x14ac:dyDescent="0.35">
      <c r="AF680" s="359"/>
    </row>
    <row r="681" spans="32:32" x14ac:dyDescent="0.35">
      <c r="AF681" s="359"/>
    </row>
    <row r="682" spans="32:32" x14ac:dyDescent="0.35">
      <c r="AF682" s="359"/>
    </row>
    <row r="683" spans="32:32" x14ac:dyDescent="0.35">
      <c r="AF683" s="359"/>
    </row>
    <row r="684" spans="32:32" x14ac:dyDescent="0.35">
      <c r="AF684" s="359"/>
    </row>
    <row r="685" spans="32:32" x14ac:dyDescent="0.35">
      <c r="AF685" s="359"/>
    </row>
    <row r="686" spans="32:32" x14ac:dyDescent="0.35">
      <c r="AF686" s="359"/>
    </row>
    <row r="687" spans="32:32" x14ac:dyDescent="0.35">
      <c r="AF687" s="359"/>
    </row>
    <row r="688" spans="32:32" x14ac:dyDescent="0.35">
      <c r="AF688" s="359"/>
    </row>
    <row r="689" spans="32:32" x14ac:dyDescent="0.35">
      <c r="AF689" s="359"/>
    </row>
    <row r="690" spans="32:32" x14ac:dyDescent="0.35">
      <c r="AF690" s="359"/>
    </row>
    <row r="691" spans="32:32" x14ac:dyDescent="0.35">
      <c r="AF691" s="359"/>
    </row>
    <row r="692" spans="32:32" x14ac:dyDescent="0.35">
      <c r="AF692" s="359"/>
    </row>
    <row r="693" spans="32:32" x14ac:dyDescent="0.35">
      <c r="AF693" s="359"/>
    </row>
    <row r="694" spans="32:32" x14ac:dyDescent="0.35">
      <c r="AF694" s="359"/>
    </row>
    <row r="695" spans="32:32" x14ac:dyDescent="0.35">
      <c r="AF695" s="359"/>
    </row>
    <row r="696" spans="32:32" x14ac:dyDescent="0.35">
      <c r="AF696" s="359"/>
    </row>
    <row r="697" spans="32:32" x14ac:dyDescent="0.35">
      <c r="AF697" s="359"/>
    </row>
    <row r="698" spans="32:32" x14ac:dyDescent="0.35">
      <c r="AF698" s="359"/>
    </row>
    <row r="699" spans="32:32" x14ac:dyDescent="0.35">
      <c r="AF699" s="359"/>
    </row>
    <row r="700" spans="32:32" x14ac:dyDescent="0.35">
      <c r="AF700" s="359"/>
    </row>
    <row r="701" spans="32:32" x14ac:dyDescent="0.35">
      <c r="AF701" s="359"/>
    </row>
    <row r="702" spans="32:32" x14ac:dyDescent="0.35">
      <c r="AF702" s="359"/>
    </row>
    <row r="703" spans="32:32" x14ac:dyDescent="0.35">
      <c r="AF703" s="359"/>
    </row>
    <row r="704" spans="32:32" x14ac:dyDescent="0.35">
      <c r="AF704" s="359"/>
    </row>
    <row r="705" spans="32:32" x14ac:dyDescent="0.35">
      <c r="AF705" s="359"/>
    </row>
    <row r="706" spans="32:32" x14ac:dyDescent="0.35">
      <c r="AF706" s="359"/>
    </row>
    <row r="707" spans="32:32" x14ac:dyDescent="0.35">
      <c r="AF707" s="359"/>
    </row>
    <row r="708" spans="32:32" x14ac:dyDescent="0.35">
      <c r="AF708" s="359"/>
    </row>
    <row r="709" spans="32:32" x14ac:dyDescent="0.35">
      <c r="AF709" s="359"/>
    </row>
    <row r="710" spans="32:32" x14ac:dyDescent="0.35">
      <c r="AF710" s="359"/>
    </row>
    <row r="711" spans="32:32" x14ac:dyDescent="0.35">
      <c r="AF711" s="359"/>
    </row>
    <row r="712" spans="32:32" x14ac:dyDescent="0.35">
      <c r="AF712" s="359"/>
    </row>
    <row r="713" spans="32:32" x14ac:dyDescent="0.35">
      <c r="AF713" s="359"/>
    </row>
    <row r="714" spans="32:32" x14ac:dyDescent="0.35">
      <c r="AF714" s="359"/>
    </row>
    <row r="715" spans="32:32" x14ac:dyDescent="0.35">
      <c r="AF715" s="359"/>
    </row>
    <row r="716" spans="32:32" x14ac:dyDescent="0.35">
      <c r="AF716" s="359"/>
    </row>
    <row r="717" spans="32:32" x14ac:dyDescent="0.35">
      <c r="AF717" s="359"/>
    </row>
    <row r="718" spans="32:32" x14ac:dyDescent="0.35">
      <c r="AF718" s="359"/>
    </row>
    <row r="719" spans="32:32" x14ac:dyDescent="0.35">
      <c r="AF719" s="359"/>
    </row>
    <row r="720" spans="32:32" x14ac:dyDescent="0.35">
      <c r="AF720" s="359"/>
    </row>
    <row r="721" spans="32:32" x14ac:dyDescent="0.35">
      <c r="AF721" s="359"/>
    </row>
    <row r="722" spans="32:32" x14ac:dyDescent="0.35">
      <c r="AF722" s="359"/>
    </row>
    <row r="723" spans="32:32" x14ac:dyDescent="0.35">
      <c r="AF723" s="359"/>
    </row>
    <row r="724" spans="32:32" x14ac:dyDescent="0.35">
      <c r="AF724" s="359"/>
    </row>
    <row r="725" spans="32:32" x14ac:dyDescent="0.35">
      <c r="AF725" s="359"/>
    </row>
    <row r="726" spans="32:32" x14ac:dyDescent="0.35">
      <c r="AF726" s="359"/>
    </row>
    <row r="727" spans="32:32" x14ac:dyDescent="0.35">
      <c r="AF727" s="359"/>
    </row>
    <row r="728" spans="32:32" x14ac:dyDescent="0.35">
      <c r="AF728" s="359"/>
    </row>
    <row r="729" spans="32:32" x14ac:dyDescent="0.35">
      <c r="AF729" s="359"/>
    </row>
    <row r="730" spans="32:32" x14ac:dyDescent="0.35">
      <c r="AF730" s="359"/>
    </row>
    <row r="731" spans="32:32" x14ac:dyDescent="0.35">
      <c r="AF731" s="359"/>
    </row>
    <row r="732" spans="32:32" x14ac:dyDescent="0.35">
      <c r="AF732" s="359"/>
    </row>
    <row r="733" spans="32:32" x14ac:dyDescent="0.35">
      <c r="AF733" s="359"/>
    </row>
    <row r="734" spans="32:32" x14ac:dyDescent="0.35">
      <c r="AF734" s="359"/>
    </row>
    <row r="735" spans="32:32" x14ac:dyDescent="0.35">
      <c r="AF735" s="359"/>
    </row>
    <row r="736" spans="32:32" x14ac:dyDescent="0.35">
      <c r="AF736" s="359"/>
    </row>
    <row r="737" spans="32:32" x14ac:dyDescent="0.35">
      <c r="AF737" s="359"/>
    </row>
    <row r="738" spans="32:32" x14ac:dyDescent="0.35">
      <c r="AF738" s="359"/>
    </row>
    <row r="739" spans="32:32" x14ac:dyDescent="0.35">
      <c r="AF739" s="359"/>
    </row>
    <row r="740" spans="32:32" x14ac:dyDescent="0.35">
      <c r="AF740" s="359"/>
    </row>
    <row r="741" spans="32:32" x14ac:dyDescent="0.35">
      <c r="AF741" s="359"/>
    </row>
    <row r="742" spans="32:32" x14ac:dyDescent="0.35">
      <c r="AF742" s="359"/>
    </row>
    <row r="743" spans="32:32" x14ac:dyDescent="0.35">
      <c r="AF743" s="359"/>
    </row>
    <row r="744" spans="32:32" x14ac:dyDescent="0.35">
      <c r="AF744" s="359"/>
    </row>
    <row r="745" spans="32:32" x14ac:dyDescent="0.35">
      <c r="AF745" s="359"/>
    </row>
    <row r="746" spans="32:32" x14ac:dyDescent="0.35">
      <c r="AF746" s="359"/>
    </row>
    <row r="747" spans="32:32" x14ac:dyDescent="0.35">
      <c r="AF747" s="359"/>
    </row>
    <row r="748" spans="32:32" x14ac:dyDescent="0.35">
      <c r="AF748" s="359"/>
    </row>
    <row r="749" spans="32:32" x14ac:dyDescent="0.35">
      <c r="AF749" s="359"/>
    </row>
    <row r="750" spans="32:32" x14ac:dyDescent="0.35">
      <c r="AF750" s="359"/>
    </row>
    <row r="751" spans="32:32" x14ac:dyDescent="0.35">
      <c r="AF751" s="359"/>
    </row>
    <row r="752" spans="32:32" x14ac:dyDescent="0.35">
      <c r="AF752" s="359"/>
    </row>
    <row r="753" spans="32:32" x14ac:dyDescent="0.35">
      <c r="AF753" s="359"/>
    </row>
    <row r="754" spans="32:32" x14ac:dyDescent="0.35">
      <c r="AF754" s="359"/>
    </row>
    <row r="755" spans="32:32" x14ac:dyDescent="0.35">
      <c r="AF755" s="359"/>
    </row>
    <row r="756" spans="32:32" x14ac:dyDescent="0.35">
      <c r="AF756" s="359"/>
    </row>
    <row r="757" spans="32:32" x14ac:dyDescent="0.35">
      <c r="AF757" s="359"/>
    </row>
    <row r="758" spans="32:32" x14ac:dyDescent="0.35">
      <c r="AF758" s="359"/>
    </row>
    <row r="759" spans="32:32" x14ac:dyDescent="0.35">
      <c r="AF759" s="359"/>
    </row>
    <row r="760" spans="32:32" x14ac:dyDescent="0.35">
      <c r="AF760" s="359"/>
    </row>
    <row r="761" spans="32:32" x14ac:dyDescent="0.35">
      <c r="AF761" s="359"/>
    </row>
    <row r="762" spans="32:32" x14ac:dyDescent="0.35">
      <c r="AF762" s="359"/>
    </row>
    <row r="763" spans="32:32" x14ac:dyDescent="0.35">
      <c r="AF763" s="359"/>
    </row>
    <row r="764" spans="32:32" x14ac:dyDescent="0.35">
      <c r="AF764" s="359"/>
    </row>
    <row r="765" spans="32:32" x14ac:dyDescent="0.35">
      <c r="AF765" s="359"/>
    </row>
    <row r="766" spans="32:32" x14ac:dyDescent="0.35">
      <c r="AF766" s="359"/>
    </row>
    <row r="767" spans="32:32" x14ac:dyDescent="0.35">
      <c r="AF767" s="359"/>
    </row>
    <row r="768" spans="32:32" x14ac:dyDescent="0.35">
      <c r="AF768" s="359"/>
    </row>
    <row r="769" spans="32:32" x14ac:dyDescent="0.35">
      <c r="AF769" s="359"/>
    </row>
    <row r="770" spans="32:32" x14ac:dyDescent="0.35">
      <c r="AF770" s="359"/>
    </row>
    <row r="771" spans="32:32" x14ac:dyDescent="0.35">
      <c r="AF771" s="359"/>
    </row>
    <row r="772" spans="32:32" x14ac:dyDescent="0.35">
      <c r="AF772" s="359"/>
    </row>
    <row r="773" spans="32:32" x14ac:dyDescent="0.35">
      <c r="AF773" s="359"/>
    </row>
    <row r="774" spans="32:32" x14ac:dyDescent="0.35">
      <c r="AF774" s="359"/>
    </row>
    <row r="775" spans="32:32" x14ac:dyDescent="0.35">
      <c r="AF775" s="359"/>
    </row>
    <row r="776" spans="32:32" x14ac:dyDescent="0.35">
      <c r="AF776" s="359"/>
    </row>
    <row r="777" spans="32:32" x14ac:dyDescent="0.35">
      <c r="AF777" s="359"/>
    </row>
    <row r="778" spans="32:32" x14ac:dyDescent="0.35">
      <c r="AF778" s="359"/>
    </row>
    <row r="779" spans="32:32" x14ac:dyDescent="0.35">
      <c r="AF779" s="359"/>
    </row>
    <row r="780" spans="32:32" x14ac:dyDescent="0.35">
      <c r="AF780" s="359"/>
    </row>
    <row r="781" spans="32:32" x14ac:dyDescent="0.35">
      <c r="AF781" s="359"/>
    </row>
    <row r="782" spans="32:32" x14ac:dyDescent="0.35">
      <c r="AF782" s="359"/>
    </row>
    <row r="783" spans="32:32" x14ac:dyDescent="0.35">
      <c r="AF783" s="359"/>
    </row>
    <row r="784" spans="32:32" x14ac:dyDescent="0.35">
      <c r="AF784" s="359"/>
    </row>
    <row r="785" spans="32:32" x14ac:dyDescent="0.35">
      <c r="AF785" s="359"/>
    </row>
    <row r="786" spans="32:32" x14ac:dyDescent="0.35">
      <c r="AF786" s="359"/>
    </row>
    <row r="787" spans="32:32" x14ac:dyDescent="0.35">
      <c r="AF787" s="359"/>
    </row>
    <row r="788" spans="32:32" x14ac:dyDescent="0.35">
      <c r="AF788" s="359"/>
    </row>
    <row r="789" spans="32:32" x14ac:dyDescent="0.35">
      <c r="AF789" s="359"/>
    </row>
    <row r="790" spans="32:32" x14ac:dyDescent="0.35">
      <c r="AF790" s="359"/>
    </row>
    <row r="791" spans="32:32" x14ac:dyDescent="0.35">
      <c r="AF791" s="359"/>
    </row>
    <row r="792" spans="32:32" x14ac:dyDescent="0.35">
      <c r="AF792" s="359"/>
    </row>
    <row r="793" spans="32:32" x14ac:dyDescent="0.35">
      <c r="AF793" s="359"/>
    </row>
    <row r="794" spans="32:32" x14ac:dyDescent="0.35">
      <c r="AF794" s="359"/>
    </row>
    <row r="795" spans="32:32" x14ac:dyDescent="0.35">
      <c r="AF795" s="359"/>
    </row>
    <row r="796" spans="32:32" x14ac:dyDescent="0.35">
      <c r="AF796" s="359"/>
    </row>
    <row r="797" spans="32:32" x14ac:dyDescent="0.35">
      <c r="AF797" s="359"/>
    </row>
    <row r="798" spans="32:32" x14ac:dyDescent="0.35">
      <c r="AF798" s="359"/>
    </row>
    <row r="799" spans="32:32" x14ac:dyDescent="0.35">
      <c r="AF799" s="359"/>
    </row>
    <row r="800" spans="32:32" x14ac:dyDescent="0.35">
      <c r="AF800" s="359"/>
    </row>
    <row r="801" spans="32:32" x14ac:dyDescent="0.35">
      <c r="AF801" s="359"/>
    </row>
    <row r="802" spans="32:32" x14ac:dyDescent="0.35">
      <c r="AF802" s="359"/>
    </row>
    <row r="803" spans="32:32" x14ac:dyDescent="0.35">
      <c r="AF803" s="359"/>
    </row>
    <row r="804" spans="32:32" x14ac:dyDescent="0.35">
      <c r="AF804" s="359"/>
    </row>
    <row r="805" spans="32:32" x14ac:dyDescent="0.35">
      <c r="AF805" s="359"/>
    </row>
    <row r="806" spans="32:32" x14ac:dyDescent="0.35">
      <c r="AF806" s="359"/>
    </row>
    <row r="807" spans="32:32" x14ac:dyDescent="0.35">
      <c r="AF807" s="359"/>
    </row>
    <row r="808" spans="32:32" x14ac:dyDescent="0.35">
      <c r="AF808" s="359"/>
    </row>
    <row r="809" spans="32:32" x14ac:dyDescent="0.35">
      <c r="AF809" s="359"/>
    </row>
    <row r="810" spans="32:32" x14ac:dyDescent="0.35">
      <c r="AF810" s="359"/>
    </row>
    <row r="811" spans="32:32" x14ac:dyDescent="0.35">
      <c r="AF811" s="359"/>
    </row>
    <row r="812" spans="32:32" x14ac:dyDescent="0.35">
      <c r="AF812" s="359"/>
    </row>
    <row r="813" spans="32:32" x14ac:dyDescent="0.35">
      <c r="AF813" s="359"/>
    </row>
    <row r="814" spans="32:32" x14ac:dyDescent="0.35">
      <c r="AF814" s="359"/>
    </row>
    <row r="815" spans="32:32" x14ac:dyDescent="0.35">
      <c r="AF815" s="359"/>
    </row>
    <row r="816" spans="32:32" x14ac:dyDescent="0.35">
      <c r="AF816" s="359"/>
    </row>
    <row r="817" spans="32:32" x14ac:dyDescent="0.35">
      <c r="AF817" s="359"/>
    </row>
    <row r="818" spans="32:32" x14ac:dyDescent="0.35">
      <c r="AF818" s="359"/>
    </row>
    <row r="819" spans="32:32" x14ac:dyDescent="0.35">
      <c r="AF819" s="359"/>
    </row>
    <row r="820" spans="32:32" x14ac:dyDescent="0.35">
      <c r="AF820" s="359"/>
    </row>
    <row r="821" spans="32:32" x14ac:dyDescent="0.35">
      <c r="AF821" s="359"/>
    </row>
    <row r="822" spans="32:32" x14ac:dyDescent="0.35">
      <c r="AF822" s="359"/>
    </row>
    <row r="823" spans="32:32" x14ac:dyDescent="0.35">
      <c r="AF823" s="359"/>
    </row>
    <row r="824" spans="32:32" x14ac:dyDescent="0.35">
      <c r="AF824" s="359"/>
    </row>
    <row r="825" spans="32:32" x14ac:dyDescent="0.35">
      <c r="AF825" s="359"/>
    </row>
    <row r="826" spans="32:32" x14ac:dyDescent="0.35">
      <c r="AF826" s="359"/>
    </row>
    <row r="827" spans="32:32" x14ac:dyDescent="0.35">
      <c r="AF827" s="359"/>
    </row>
    <row r="828" spans="32:32" x14ac:dyDescent="0.35">
      <c r="AF828" s="359"/>
    </row>
    <row r="829" spans="32:32" x14ac:dyDescent="0.35">
      <c r="AF829" s="359"/>
    </row>
    <row r="830" spans="32:32" x14ac:dyDescent="0.35">
      <c r="AF830" s="359"/>
    </row>
    <row r="831" spans="32:32" x14ac:dyDescent="0.35">
      <c r="AF831" s="359"/>
    </row>
    <row r="832" spans="32:32" x14ac:dyDescent="0.35">
      <c r="AF832" s="359"/>
    </row>
    <row r="833" spans="32:32" x14ac:dyDescent="0.35">
      <c r="AF833" s="359"/>
    </row>
    <row r="834" spans="32:32" x14ac:dyDescent="0.35">
      <c r="AF834" s="359"/>
    </row>
    <row r="835" spans="32:32" x14ac:dyDescent="0.35">
      <c r="AF835" s="359"/>
    </row>
    <row r="836" spans="32:32" x14ac:dyDescent="0.35">
      <c r="AF836" s="359"/>
    </row>
    <row r="837" spans="32:32" x14ac:dyDescent="0.35">
      <c r="AF837" s="359"/>
    </row>
    <row r="838" spans="32:32" x14ac:dyDescent="0.35">
      <c r="AF838" s="359"/>
    </row>
    <row r="839" spans="32:32" x14ac:dyDescent="0.35">
      <c r="AF839" s="359"/>
    </row>
    <row r="840" spans="32:32" x14ac:dyDescent="0.35">
      <c r="AF840" s="359"/>
    </row>
    <row r="841" spans="32:32" x14ac:dyDescent="0.35">
      <c r="AF841" s="359"/>
    </row>
    <row r="842" spans="32:32" x14ac:dyDescent="0.35">
      <c r="AF842" s="359"/>
    </row>
    <row r="843" spans="32:32" x14ac:dyDescent="0.35">
      <c r="AF843" s="359"/>
    </row>
    <row r="844" spans="32:32" x14ac:dyDescent="0.35">
      <c r="AF844" s="359"/>
    </row>
    <row r="845" spans="32:32" x14ac:dyDescent="0.35">
      <c r="AF845" s="359"/>
    </row>
    <row r="846" spans="32:32" x14ac:dyDescent="0.35">
      <c r="AF846" s="359"/>
    </row>
    <row r="847" spans="32:32" x14ac:dyDescent="0.35">
      <c r="AF847" s="359"/>
    </row>
    <row r="848" spans="32:32" x14ac:dyDescent="0.35">
      <c r="AF848" s="359"/>
    </row>
    <row r="849" spans="32:32" x14ac:dyDescent="0.35">
      <c r="AF849" s="359"/>
    </row>
    <row r="850" spans="32:32" x14ac:dyDescent="0.35">
      <c r="AF850" s="359"/>
    </row>
    <row r="851" spans="32:32" x14ac:dyDescent="0.35">
      <c r="AF851" s="359"/>
    </row>
    <row r="852" spans="32:32" x14ac:dyDescent="0.35">
      <c r="AF852" s="359"/>
    </row>
    <row r="853" spans="32:32" x14ac:dyDescent="0.35">
      <c r="AF853" s="359"/>
    </row>
    <row r="854" spans="32:32" x14ac:dyDescent="0.35">
      <c r="AF854" s="359"/>
    </row>
    <row r="855" spans="32:32" x14ac:dyDescent="0.35">
      <c r="AF855" s="359"/>
    </row>
    <row r="856" spans="32:32" x14ac:dyDescent="0.35">
      <c r="AF856" s="359"/>
    </row>
    <row r="857" spans="32:32" x14ac:dyDescent="0.35">
      <c r="AF857" s="359"/>
    </row>
    <row r="858" spans="32:32" x14ac:dyDescent="0.35">
      <c r="AF858" s="359"/>
    </row>
    <row r="859" spans="32:32" x14ac:dyDescent="0.35">
      <c r="AF859" s="359"/>
    </row>
    <row r="860" spans="32:32" x14ac:dyDescent="0.35">
      <c r="AF860" s="359"/>
    </row>
    <row r="861" spans="32:32" x14ac:dyDescent="0.35">
      <c r="AF861" s="359"/>
    </row>
    <row r="862" spans="32:32" x14ac:dyDescent="0.35">
      <c r="AF862" s="359"/>
    </row>
    <row r="863" spans="32:32" x14ac:dyDescent="0.35">
      <c r="AF863" s="359"/>
    </row>
    <row r="864" spans="32:32" x14ac:dyDescent="0.35">
      <c r="AF864" s="359"/>
    </row>
    <row r="865" spans="32:32" x14ac:dyDescent="0.35">
      <c r="AF865" s="359"/>
    </row>
    <row r="866" spans="32:32" x14ac:dyDescent="0.35">
      <c r="AF866" s="359"/>
    </row>
    <row r="867" spans="32:32" x14ac:dyDescent="0.35">
      <c r="AF867" s="359"/>
    </row>
    <row r="868" spans="32:32" x14ac:dyDescent="0.35">
      <c r="AF868" s="359"/>
    </row>
    <row r="869" spans="32:32" x14ac:dyDescent="0.35">
      <c r="AF869" s="359"/>
    </row>
    <row r="870" spans="32:32" x14ac:dyDescent="0.35">
      <c r="AF870" s="359"/>
    </row>
    <row r="871" spans="32:32" x14ac:dyDescent="0.35">
      <c r="AF871" s="359"/>
    </row>
    <row r="872" spans="32:32" x14ac:dyDescent="0.35">
      <c r="AF872" s="359"/>
    </row>
    <row r="873" spans="32:32" x14ac:dyDescent="0.35">
      <c r="AF873" s="359"/>
    </row>
    <row r="874" spans="32:32" x14ac:dyDescent="0.35">
      <c r="AF874" s="359"/>
    </row>
    <row r="875" spans="32:32" x14ac:dyDescent="0.35">
      <c r="AF875" s="359"/>
    </row>
    <row r="876" spans="32:32" x14ac:dyDescent="0.35">
      <c r="AF876" s="359"/>
    </row>
    <row r="877" spans="32:32" x14ac:dyDescent="0.35">
      <c r="AF877" s="359"/>
    </row>
    <row r="878" spans="32:32" x14ac:dyDescent="0.35">
      <c r="AF878" s="359"/>
    </row>
    <row r="879" spans="32:32" x14ac:dyDescent="0.35">
      <c r="AF879" s="359"/>
    </row>
    <row r="880" spans="32:32" x14ac:dyDescent="0.35">
      <c r="AF880" s="359"/>
    </row>
    <row r="881" spans="32:32" x14ac:dyDescent="0.35">
      <c r="AF881" s="359"/>
    </row>
    <row r="882" spans="32:32" x14ac:dyDescent="0.35">
      <c r="AF882" s="359"/>
    </row>
    <row r="883" spans="32:32" x14ac:dyDescent="0.35">
      <c r="AF883" s="359"/>
    </row>
    <row r="884" spans="32:32" x14ac:dyDescent="0.35">
      <c r="AF884" s="359"/>
    </row>
    <row r="885" spans="32:32" x14ac:dyDescent="0.35">
      <c r="AF885" s="359"/>
    </row>
    <row r="886" spans="32:32" x14ac:dyDescent="0.35">
      <c r="AF886" s="359"/>
    </row>
    <row r="887" spans="32:32" x14ac:dyDescent="0.35">
      <c r="AF887" s="359"/>
    </row>
    <row r="888" spans="32:32" x14ac:dyDescent="0.35">
      <c r="AF888" s="359"/>
    </row>
    <row r="889" spans="32:32" x14ac:dyDescent="0.35">
      <c r="AF889" s="359"/>
    </row>
    <row r="890" spans="32:32" x14ac:dyDescent="0.35">
      <c r="AF890" s="359"/>
    </row>
    <row r="891" spans="32:32" x14ac:dyDescent="0.35">
      <c r="AF891" s="359"/>
    </row>
    <row r="892" spans="32:32" x14ac:dyDescent="0.35">
      <c r="AF892" s="359"/>
    </row>
    <row r="893" spans="32:32" x14ac:dyDescent="0.35">
      <c r="AF893" s="359"/>
    </row>
    <row r="894" spans="32:32" x14ac:dyDescent="0.35">
      <c r="AF894" s="359"/>
    </row>
    <row r="895" spans="32:32" x14ac:dyDescent="0.35">
      <c r="AF895" s="359"/>
    </row>
    <row r="896" spans="32:32" x14ac:dyDescent="0.35">
      <c r="AF896" s="359"/>
    </row>
    <row r="897" spans="32:32" x14ac:dyDescent="0.35">
      <c r="AF897" s="359"/>
    </row>
    <row r="898" spans="32:32" x14ac:dyDescent="0.35">
      <c r="AF898" s="359"/>
    </row>
    <row r="899" spans="32:32" x14ac:dyDescent="0.35">
      <c r="AF899" s="359"/>
    </row>
    <row r="900" spans="32:32" x14ac:dyDescent="0.35">
      <c r="AF900" s="359"/>
    </row>
    <row r="901" spans="32:32" x14ac:dyDescent="0.35">
      <c r="AF901" s="359"/>
    </row>
    <row r="902" spans="32:32" x14ac:dyDescent="0.35">
      <c r="AF902" s="359"/>
    </row>
    <row r="903" spans="32:32" x14ac:dyDescent="0.35">
      <c r="AF903" s="359"/>
    </row>
    <row r="904" spans="32:32" x14ac:dyDescent="0.35">
      <c r="AF904" s="359"/>
    </row>
    <row r="905" spans="32:32" x14ac:dyDescent="0.35">
      <c r="AF905" s="359"/>
    </row>
    <row r="906" spans="32:32" x14ac:dyDescent="0.35">
      <c r="AF906" s="359"/>
    </row>
    <row r="907" spans="32:32" x14ac:dyDescent="0.35">
      <c r="AF907" s="359"/>
    </row>
    <row r="908" spans="32:32" x14ac:dyDescent="0.35">
      <c r="AF908" s="359"/>
    </row>
    <row r="909" spans="32:32" x14ac:dyDescent="0.35">
      <c r="AF909" s="359"/>
    </row>
    <row r="910" spans="32:32" x14ac:dyDescent="0.35">
      <c r="AF910" s="359"/>
    </row>
    <row r="911" spans="32:32" x14ac:dyDescent="0.35">
      <c r="AF911" s="359"/>
    </row>
    <row r="912" spans="32:32" x14ac:dyDescent="0.35">
      <c r="AF912" s="359"/>
    </row>
    <row r="913" spans="32:32" x14ac:dyDescent="0.35">
      <c r="AF913" s="359"/>
    </row>
    <row r="914" spans="32:32" x14ac:dyDescent="0.35">
      <c r="AF914" s="359"/>
    </row>
    <row r="915" spans="32:32" x14ac:dyDescent="0.35">
      <c r="AF915" s="359"/>
    </row>
    <row r="916" spans="32:32" x14ac:dyDescent="0.35">
      <c r="AF916" s="359"/>
    </row>
    <row r="917" spans="32:32" x14ac:dyDescent="0.35">
      <c r="AF917" s="359"/>
    </row>
    <row r="918" spans="32:32" x14ac:dyDescent="0.35">
      <c r="AF918" s="359"/>
    </row>
    <row r="919" spans="32:32" x14ac:dyDescent="0.35">
      <c r="AF919" s="359"/>
    </row>
    <row r="920" spans="32:32" x14ac:dyDescent="0.35">
      <c r="AF920" s="359"/>
    </row>
    <row r="921" spans="32:32" x14ac:dyDescent="0.35">
      <c r="AF921" s="359"/>
    </row>
    <row r="922" spans="32:32" x14ac:dyDescent="0.35">
      <c r="AF922" s="359"/>
    </row>
    <row r="923" spans="32:32" x14ac:dyDescent="0.35">
      <c r="AF923" s="359"/>
    </row>
    <row r="924" spans="32:32" x14ac:dyDescent="0.35">
      <c r="AF924" s="359"/>
    </row>
    <row r="925" spans="32:32" x14ac:dyDescent="0.35">
      <c r="AF925" s="359"/>
    </row>
    <row r="926" spans="32:32" x14ac:dyDescent="0.35">
      <c r="AF926" s="359"/>
    </row>
    <row r="927" spans="32:32" x14ac:dyDescent="0.35">
      <c r="AF927" s="359"/>
    </row>
    <row r="928" spans="32:32" x14ac:dyDescent="0.35">
      <c r="AF928" s="359"/>
    </row>
    <row r="929" spans="32:32" x14ac:dyDescent="0.35">
      <c r="AF929" s="359"/>
    </row>
    <row r="930" spans="32:32" x14ac:dyDescent="0.35">
      <c r="AF930" s="359"/>
    </row>
    <row r="931" spans="32:32" x14ac:dyDescent="0.35">
      <c r="AF931" s="359"/>
    </row>
    <row r="932" spans="32:32" x14ac:dyDescent="0.35">
      <c r="AF932" s="359"/>
    </row>
    <row r="933" spans="32:32" x14ac:dyDescent="0.35">
      <c r="AF933" s="359"/>
    </row>
    <row r="934" spans="32:32" x14ac:dyDescent="0.35">
      <c r="AF934" s="359"/>
    </row>
    <row r="935" spans="32:32" x14ac:dyDescent="0.35">
      <c r="AF935" s="359"/>
    </row>
    <row r="936" spans="32:32" x14ac:dyDescent="0.35">
      <c r="AF936" s="359"/>
    </row>
    <row r="937" spans="32:32" x14ac:dyDescent="0.35">
      <c r="AF937" s="359"/>
    </row>
    <row r="938" spans="32:32" x14ac:dyDescent="0.35">
      <c r="AF938" s="359"/>
    </row>
    <row r="939" spans="32:32" x14ac:dyDescent="0.35">
      <c r="AF939" s="359"/>
    </row>
    <row r="940" spans="32:32" x14ac:dyDescent="0.35">
      <c r="AF940" s="359"/>
    </row>
    <row r="941" spans="32:32" x14ac:dyDescent="0.35">
      <c r="AF941" s="359"/>
    </row>
    <row r="942" spans="32:32" x14ac:dyDescent="0.35">
      <c r="AF942" s="359"/>
    </row>
    <row r="943" spans="32:32" x14ac:dyDescent="0.35">
      <c r="AF943" s="359"/>
    </row>
    <row r="944" spans="32:32" x14ac:dyDescent="0.35">
      <c r="AF944" s="359"/>
    </row>
    <row r="945" spans="32:32" x14ac:dyDescent="0.35">
      <c r="AF945" s="359"/>
    </row>
    <row r="946" spans="32:32" x14ac:dyDescent="0.35">
      <c r="AF946" s="359"/>
    </row>
    <row r="947" spans="32:32" x14ac:dyDescent="0.35">
      <c r="AF947" s="359"/>
    </row>
    <row r="948" spans="32:32" x14ac:dyDescent="0.35">
      <c r="AF948" s="359"/>
    </row>
    <row r="949" spans="32:32" x14ac:dyDescent="0.35">
      <c r="AF949" s="359"/>
    </row>
    <row r="950" spans="32:32" x14ac:dyDescent="0.35">
      <c r="AF950" s="359"/>
    </row>
    <row r="951" spans="32:32" x14ac:dyDescent="0.35">
      <c r="AF951" s="359"/>
    </row>
    <row r="952" spans="32:32" x14ac:dyDescent="0.35">
      <c r="AF952" s="359"/>
    </row>
    <row r="953" spans="32:32" x14ac:dyDescent="0.35">
      <c r="AF953" s="359"/>
    </row>
    <row r="954" spans="32:32" x14ac:dyDescent="0.35">
      <c r="AF954" s="359"/>
    </row>
    <row r="955" spans="32:32" x14ac:dyDescent="0.35">
      <c r="AF955" s="359"/>
    </row>
    <row r="956" spans="32:32" x14ac:dyDescent="0.35">
      <c r="AF956" s="359"/>
    </row>
    <row r="957" spans="32:32" x14ac:dyDescent="0.35">
      <c r="AF957" s="359"/>
    </row>
    <row r="958" spans="32:32" x14ac:dyDescent="0.35">
      <c r="AF958" s="359"/>
    </row>
    <row r="959" spans="32:32" x14ac:dyDescent="0.35">
      <c r="AF959" s="359"/>
    </row>
    <row r="960" spans="32:32" x14ac:dyDescent="0.35">
      <c r="AF960" s="359"/>
    </row>
    <row r="961" spans="32:32" x14ac:dyDescent="0.35">
      <c r="AF961" s="359"/>
    </row>
    <row r="962" spans="32:32" x14ac:dyDescent="0.35">
      <c r="AF962" s="359"/>
    </row>
    <row r="963" spans="32:32" x14ac:dyDescent="0.35">
      <c r="AF963" s="359"/>
    </row>
    <row r="964" spans="32:32" x14ac:dyDescent="0.35">
      <c r="AF964" s="359"/>
    </row>
    <row r="965" spans="32:32" x14ac:dyDescent="0.35">
      <c r="AF965" s="359"/>
    </row>
    <row r="966" spans="32:32" x14ac:dyDescent="0.35">
      <c r="AF966" s="359"/>
    </row>
    <row r="967" spans="32:32" x14ac:dyDescent="0.35">
      <c r="AF967" s="359"/>
    </row>
    <row r="968" spans="32:32" x14ac:dyDescent="0.35">
      <c r="AF968" s="359"/>
    </row>
    <row r="969" spans="32:32" x14ac:dyDescent="0.35">
      <c r="AF969" s="359"/>
    </row>
    <row r="970" spans="32:32" x14ac:dyDescent="0.35">
      <c r="AF970" s="359"/>
    </row>
    <row r="971" spans="32:32" x14ac:dyDescent="0.35">
      <c r="AF971" s="359"/>
    </row>
    <row r="972" spans="32:32" x14ac:dyDescent="0.35">
      <c r="AF972" s="359"/>
    </row>
    <row r="973" spans="32:32" x14ac:dyDescent="0.35">
      <c r="AF973" s="359"/>
    </row>
    <row r="974" spans="32:32" x14ac:dyDescent="0.35">
      <c r="AF974" s="359"/>
    </row>
    <row r="975" spans="32:32" x14ac:dyDescent="0.35">
      <c r="AF975" s="359"/>
    </row>
    <row r="976" spans="32:32" x14ac:dyDescent="0.35">
      <c r="AF976" s="359"/>
    </row>
    <row r="977" spans="32:32" x14ac:dyDescent="0.35">
      <c r="AF977" s="359"/>
    </row>
    <row r="978" spans="32:32" x14ac:dyDescent="0.35">
      <c r="AF978" s="359"/>
    </row>
    <row r="979" spans="32:32" x14ac:dyDescent="0.35">
      <c r="AF979" s="359"/>
    </row>
    <row r="980" spans="32:32" x14ac:dyDescent="0.35">
      <c r="AF980" s="359"/>
    </row>
    <row r="981" spans="32:32" x14ac:dyDescent="0.35">
      <c r="AF981" s="359"/>
    </row>
    <row r="982" spans="32:32" x14ac:dyDescent="0.35">
      <c r="AF982" s="359"/>
    </row>
    <row r="983" spans="32:32" x14ac:dyDescent="0.35">
      <c r="AF983" s="359"/>
    </row>
    <row r="984" spans="32:32" x14ac:dyDescent="0.35">
      <c r="AF984" s="359"/>
    </row>
    <row r="985" spans="32:32" x14ac:dyDescent="0.35">
      <c r="AF985" s="359"/>
    </row>
    <row r="986" spans="32:32" x14ac:dyDescent="0.35">
      <c r="AF986" s="359"/>
    </row>
    <row r="987" spans="32:32" x14ac:dyDescent="0.35">
      <c r="AF987" s="359"/>
    </row>
    <row r="988" spans="32:32" x14ac:dyDescent="0.35">
      <c r="AF988" s="359"/>
    </row>
    <row r="989" spans="32:32" x14ac:dyDescent="0.35">
      <c r="AF989" s="359"/>
    </row>
    <row r="990" spans="32:32" x14ac:dyDescent="0.35">
      <c r="AF990" s="359"/>
    </row>
    <row r="991" spans="32:32" x14ac:dyDescent="0.35">
      <c r="AF991" s="359"/>
    </row>
    <row r="992" spans="32:32" x14ac:dyDescent="0.35">
      <c r="AF992" s="359"/>
    </row>
    <row r="993" spans="32:32" x14ac:dyDescent="0.35">
      <c r="AF993" s="359"/>
    </row>
    <row r="994" spans="32:32" x14ac:dyDescent="0.35">
      <c r="AF994" s="359"/>
    </row>
    <row r="995" spans="32:32" x14ac:dyDescent="0.35">
      <c r="AF995" s="359"/>
    </row>
    <row r="996" spans="32:32" x14ac:dyDescent="0.35">
      <c r="AF996" s="359"/>
    </row>
    <row r="997" spans="32:32" x14ac:dyDescent="0.35">
      <c r="AF997" s="359"/>
    </row>
    <row r="998" spans="32:32" x14ac:dyDescent="0.35">
      <c r="AF998" s="359"/>
    </row>
    <row r="999" spans="32:32" x14ac:dyDescent="0.35">
      <c r="AF999" s="359"/>
    </row>
    <row r="1000" spans="32:32" x14ac:dyDescent="0.35">
      <c r="AF1000" s="359"/>
    </row>
    <row r="1001" spans="32:32" x14ac:dyDescent="0.35">
      <c r="AF1001" s="359"/>
    </row>
    <row r="1002" spans="32:32" x14ac:dyDescent="0.35">
      <c r="AF1002" s="359"/>
    </row>
    <row r="1003" spans="32:32" x14ac:dyDescent="0.35">
      <c r="AF1003" s="359"/>
    </row>
    <row r="1004" spans="32:32" x14ac:dyDescent="0.35">
      <c r="AF1004" s="359"/>
    </row>
    <row r="1005" spans="32:32" x14ac:dyDescent="0.35">
      <c r="AF1005" s="359"/>
    </row>
    <row r="1006" spans="32:32" x14ac:dyDescent="0.35">
      <c r="AF1006" s="359"/>
    </row>
    <row r="1007" spans="32:32" x14ac:dyDescent="0.35">
      <c r="AF1007" s="359"/>
    </row>
    <row r="1008" spans="32:32" x14ac:dyDescent="0.35">
      <c r="AF1008" s="359"/>
    </row>
    <row r="1009" spans="32:32" x14ac:dyDescent="0.35">
      <c r="AF1009" s="359"/>
    </row>
    <row r="1010" spans="32:32" x14ac:dyDescent="0.35">
      <c r="AF1010" s="359"/>
    </row>
    <row r="1011" spans="32:32" x14ac:dyDescent="0.35">
      <c r="AF1011" s="359"/>
    </row>
    <row r="1012" spans="32:32" x14ac:dyDescent="0.35">
      <c r="AF1012" s="359"/>
    </row>
    <row r="1013" spans="32:32" x14ac:dyDescent="0.35">
      <c r="AF1013" s="359"/>
    </row>
    <row r="1014" spans="32:32" x14ac:dyDescent="0.35">
      <c r="AF1014" s="359"/>
    </row>
    <row r="1015" spans="32:32" x14ac:dyDescent="0.35">
      <c r="AF1015" s="359"/>
    </row>
    <row r="1016" spans="32:32" x14ac:dyDescent="0.35">
      <c r="AF1016" s="359"/>
    </row>
    <row r="1017" spans="32:32" x14ac:dyDescent="0.35">
      <c r="AF1017" s="359"/>
    </row>
    <row r="1018" spans="32:32" x14ac:dyDescent="0.35">
      <c r="AF1018" s="359"/>
    </row>
    <row r="1019" spans="32:32" x14ac:dyDescent="0.35">
      <c r="AF1019" s="359"/>
    </row>
    <row r="1020" spans="32:32" x14ac:dyDescent="0.35">
      <c r="AF1020" s="359"/>
    </row>
    <row r="1021" spans="32:32" x14ac:dyDescent="0.35">
      <c r="AF1021" s="359"/>
    </row>
    <row r="1022" spans="32:32" x14ac:dyDescent="0.35">
      <c r="AF1022" s="359"/>
    </row>
    <row r="1023" spans="32:32" x14ac:dyDescent="0.35">
      <c r="AF1023" s="359"/>
    </row>
    <row r="1024" spans="32:32" x14ac:dyDescent="0.35">
      <c r="AF1024" s="359"/>
    </row>
    <row r="1025" spans="32:32" x14ac:dyDescent="0.35">
      <c r="AF1025" s="359"/>
    </row>
    <row r="1026" spans="32:32" x14ac:dyDescent="0.35">
      <c r="AF1026" s="359"/>
    </row>
    <row r="1027" spans="32:32" x14ac:dyDescent="0.35">
      <c r="AF1027" s="359"/>
    </row>
    <row r="1028" spans="32:32" x14ac:dyDescent="0.35">
      <c r="AF1028" s="359"/>
    </row>
    <row r="1029" spans="32:32" x14ac:dyDescent="0.35">
      <c r="AF1029" s="359"/>
    </row>
    <row r="1030" spans="32:32" x14ac:dyDescent="0.35">
      <c r="AF1030" s="359"/>
    </row>
    <row r="1031" spans="32:32" x14ac:dyDescent="0.35">
      <c r="AF1031" s="359"/>
    </row>
    <row r="1032" spans="32:32" x14ac:dyDescent="0.35">
      <c r="AF1032" s="359"/>
    </row>
    <row r="1033" spans="32:32" x14ac:dyDescent="0.35">
      <c r="AF1033" s="359"/>
    </row>
    <row r="1034" spans="32:32" x14ac:dyDescent="0.35">
      <c r="AF1034" s="359"/>
    </row>
    <row r="1035" spans="32:32" x14ac:dyDescent="0.35">
      <c r="AF1035" s="359"/>
    </row>
    <row r="1036" spans="32:32" x14ac:dyDescent="0.35">
      <c r="AF1036" s="359"/>
    </row>
    <row r="1037" spans="32:32" x14ac:dyDescent="0.35">
      <c r="AF1037" s="359"/>
    </row>
    <row r="1038" spans="32:32" x14ac:dyDescent="0.35">
      <c r="AF1038" s="359"/>
    </row>
    <row r="1039" spans="32:32" x14ac:dyDescent="0.35">
      <c r="AF1039" s="359"/>
    </row>
    <row r="1040" spans="32:32" x14ac:dyDescent="0.35">
      <c r="AF1040" s="359"/>
    </row>
    <row r="1041" spans="32:32" x14ac:dyDescent="0.35">
      <c r="AF1041" s="359"/>
    </row>
    <row r="1042" spans="32:32" x14ac:dyDescent="0.35">
      <c r="AF1042" s="359"/>
    </row>
    <row r="1043" spans="32:32" x14ac:dyDescent="0.35">
      <c r="AF1043" s="359"/>
    </row>
    <row r="1044" spans="32:32" x14ac:dyDescent="0.35">
      <c r="AF1044" s="359"/>
    </row>
    <row r="1045" spans="32:32" x14ac:dyDescent="0.35">
      <c r="AF1045" s="359"/>
    </row>
    <row r="1046" spans="32:32" x14ac:dyDescent="0.35">
      <c r="AF1046" s="359"/>
    </row>
    <row r="1047" spans="32:32" x14ac:dyDescent="0.35">
      <c r="AF1047" s="359"/>
    </row>
    <row r="1048" spans="32:32" x14ac:dyDescent="0.35">
      <c r="AF1048" s="359"/>
    </row>
    <row r="1049" spans="32:32" x14ac:dyDescent="0.35">
      <c r="AF1049" s="359"/>
    </row>
    <row r="1050" spans="32:32" x14ac:dyDescent="0.35">
      <c r="AF1050" s="359"/>
    </row>
    <row r="1051" spans="32:32" x14ac:dyDescent="0.35">
      <c r="AF1051" s="359"/>
    </row>
    <row r="1052" spans="32:32" x14ac:dyDescent="0.35">
      <c r="AF1052" s="359"/>
    </row>
    <row r="1053" spans="32:32" x14ac:dyDescent="0.35">
      <c r="AF1053" s="359"/>
    </row>
    <row r="1054" spans="32:32" x14ac:dyDescent="0.35">
      <c r="AF1054" s="359"/>
    </row>
    <row r="1055" spans="32:32" x14ac:dyDescent="0.35">
      <c r="AF1055" s="359"/>
    </row>
    <row r="1056" spans="32:32" x14ac:dyDescent="0.35">
      <c r="AF1056" s="359"/>
    </row>
    <row r="1057" spans="32:32" x14ac:dyDescent="0.35">
      <c r="AF1057" s="359"/>
    </row>
    <row r="1058" spans="32:32" x14ac:dyDescent="0.35">
      <c r="AF1058" s="359"/>
    </row>
    <row r="1059" spans="32:32" x14ac:dyDescent="0.35">
      <c r="AF1059" s="359"/>
    </row>
    <row r="1060" spans="32:32" x14ac:dyDescent="0.35">
      <c r="AF1060" s="359"/>
    </row>
    <row r="1061" spans="32:32" x14ac:dyDescent="0.35">
      <c r="AF1061" s="359"/>
    </row>
    <row r="1062" spans="32:32" x14ac:dyDescent="0.35">
      <c r="AF1062" s="359"/>
    </row>
    <row r="1063" spans="32:32" x14ac:dyDescent="0.35">
      <c r="AF1063" s="359"/>
    </row>
    <row r="1064" spans="32:32" x14ac:dyDescent="0.35">
      <c r="AF1064" s="359"/>
    </row>
    <row r="1065" spans="32:32" x14ac:dyDescent="0.35">
      <c r="AF1065" s="359"/>
    </row>
    <row r="1066" spans="32:32" x14ac:dyDescent="0.35">
      <c r="AF1066" s="359"/>
    </row>
    <row r="1067" spans="32:32" x14ac:dyDescent="0.35">
      <c r="AF1067" s="359"/>
    </row>
    <row r="1068" spans="32:32" x14ac:dyDescent="0.35">
      <c r="AF1068" s="359"/>
    </row>
    <row r="1069" spans="32:32" x14ac:dyDescent="0.35">
      <c r="AF1069" s="359"/>
    </row>
    <row r="1070" spans="32:32" x14ac:dyDescent="0.35">
      <c r="AF1070" s="359"/>
    </row>
    <row r="1071" spans="32:32" x14ac:dyDescent="0.35">
      <c r="AF1071" s="359"/>
    </row>
    <row r="1072" spans="32:32" x14ac:dyDescent="0.35">
      <c r="AF1072" s="359"/>
    </row>
    <row r="1073" spans="32:32" x14ac:dyDescent="0.35">
      <c r="AF1073" s="359"/>
    </row>
    <row r="1074" spans="32:32" x14ac:dyDescent="0.35">
      <c r="AF1074" s="359"/>
    </row>
    <row r="1075" spans="32:32" x14ac:dyDescent="0.35">
      <c r="AF1075" s="359"/>
    </row>
    <row r="1076" spans="32:32" x14ac:dyDescent="0.35">
      <c r="AF1076" s="359"/>
    </row>
    <row r="1077" spans="32:32" x14ac:dyDescent="0.35">
      <c r="AF1077" s="359"/>
    </row>
    <row r="1078" spans="32:32" x14ac:dyDescent="0.35">
      <c r="AF1078" s="359"/>
    </row>
    <row r="1079" spans="32:32" x14ac:dyDescent="0.35">
      <c r="AF1079" s="359"/>
    </row>
    <row r="1080" spans="32:32" x14ac:dyDescent="0.35">
      <c r="AF1080" s="359"/>
    </row>
    <row r="1081" spans="32:32" x14ac:dyDescent="0.35">
      <c r="AF1081" s="359"/>
    </row>
    <row r="1082" spans="32:32" x14ac:dyDescent="0.35">
      <c r="AF1082" s="359"/>
    </row>
    <row r="1083" spans="32:32" x14ac:dyDescent="0.35">
      <c r="AF1083" s="359"/>
    </row>
    <row r="1084" spans="32:32" x14ac:dyDescent="0.35">
      <c r="AF1084" s="359"/>
    </row>
    <row r="1085" spans="32:32" x14ac:dyDescent="0.35">
      <c r="AF1085" s="359"/>
    </row>
    <row r="1086" spans="32:32" x14ac:dyDescent="0.35">
      <c r="AF1086" s="359"/>
    </row>
    <row r="1087" spans="32:32" x14ac:dyDescent="0.35">
      <c r="AF1087" s="359"/>
    </row>
    <row r="1088" spans="32:32" x14ac:dyDescent="0.35">
      <c r="AF1088" s="359"/>
    </row>
    <row r="1089" spans="32:32" x14ac:dyDescent="0.35">
      <c r="AF1089" s="359"/>
    </row>
    <row r="1090" spans="32:32" x14ac:dyDescent="0.35">
      <c r="AF1090" s="359"/>
    </row>
    <row r="1091" spans="32:32" x14ac:dyDescent="0.35">
      <c r="AF1091" s="359"/>
    </row>
    <row r="1092" spans="32:32" x14ac:dyDescent="0.35">
      <c r="AF1092" s="359"/>
    </row>
    <row r="1093" spans="32:32" x14ac:dyDescent="0.35">
      <c r="AF1093" s="359"/>
    </row>
    <row r="1094" spans="32:32" x14ac:dyDescent="0.35">
      <c r="AF1094" s="359"/>
    </row>
    <row r="1095" spans="32:32" x14ac:dyDescent="0.35">
      <c r="AF1095" s="359"/>
    </row>
    <row r="1096" spans="32:32" x14ac:dyDescent="0.35">
      <c r="AF1096" s="359"/>
    </row>
    <row r="1097" spans="32:32" x14ac:dyDescent="0.35">
      <c r="AF1097" s="359"/>
    </row>
    <row r="1098" spans="32:32" x14ac:dyDescent="0.35">
      <c r="AF1098" s="359"/>
    </row>
    <row r="1099" spans="32:32" x14ac:dyDescent="0.35">
      <c r="AF1099" s="359"/>
    </row>
    <row r="1100" spans="32:32" x14ac:dyDescent="0.35">
      <c r="AF1100" s="359"/>
    </row>
    <row r="1101" spans="32:32" x14ac:dyDescent="0.35">
      <c r="AF1101" s="359"/>
    </row>
    <row r="1102" spans="32:32" x14ac:dyDescent="0.35">
      <c r="AF1102" s="359"/>
    </row>
    <row r="1103" spans="32:32" x14ac:dyDescent="0.35">
      <c r="AF1103" s="359"/>
    </row>
    <row r="1104" spans="32:32" x14ac:dyDescent="0.35">
      <c r="AF1104" s="359"/>
    </row>
    <row r="1105" spans="32:32" x14ac:dyDescent="0.35">
      <c r="AF1105" s="359"/>
    </row>
    <row r="1106" spans="32:32" x14ac:dyDescent="0.35">
      <c r="AF1106" s="359"/>
    </row>
    <row r="1107" spans="32:32" x14ac:dyDescent="0.35">
      <c r="AF1107" s="359"/>
    </row>
    <row r="1108" spans="32:32" x14ac:dyDescent="0.35">
      <c r="AF1108" s="359"/>
    </row>
    <row r="1109" spans="32:32" x14ac:dyDescent="0.35">
      <c r="AF1109" s="359"/>
    </row>
    <row r="1110" spans="32:32" x14ac:dyDescent="0.35">
      <c r="AF1110" s="359"/>
    </row>
    <row r="1111" spans="32:32" x14ac:dyDescent="0.35">
      <c r="AF1111" s="359"/>
    </row>
    <row r="1112" spans="32:32" x14ac:dyDescent="0.35">
      <c r="AF1112" s="359"/>
    </row>
    <row r="1113" spans="32:32" x14ac:dyDescent="0.35">
      <c r="AF1113" s="359"/>
    </row>
    <row r="1114" spans="32:32" x14ac:dyDescent="0.35">
      <c r="AF1114" s="359"/>
    </row>
    <row r="1115" spans="32:32" x14ac:dyDescent="0.35">
      <c r="AF1115" s="359"/>
    </row>
    <row r="1116" spans="32:32" x14ac:dyDescent="0.35">
      <c r="AF1116" s="359"/>
    </row>
    <row r="1117" spans="32:32" x14ac:dyDescent="0.35">
      <c r="AF1117" s="359"/>
    </row>
    <row r="1118" spans="32:32" x14ac:dyDescent="0.35">
      <c r="AF1118" s="359"/>
    </row>
    <row r="1119" spans="32:32" x14ac:dyDescent="0.35">
      <c r="AF1119" s="359"/>
    </row>
    <row r="1120" spans="32:32" x14ac:dyDescent="0.35">
      <c r="AF1120" s="359"/>
    </row>
    <row r="1121" spans="32:32" x14ac:dyDescent="0.35">
      <c r="AF1121" s="359"/>
    </row>
    <row r="1122" spans="32:32" x14ac:dyDescent="0.35">
      <c r="AF1122" s="359"/>
    </row>
    <row r="1123" spans="32:32" x14ac:dyDescent="0.35">
      <c r="AF1123" s="359"/>
    </row>
    <row r="1124" spans="32:32" x14ac:dyDescent="0.35">
      <c r="AF1124" s="359"/>
    </row>
    <row r="1125" spans="32:32" x14ac:dyDescent="0.35">
      <c r="AF1125" s="359"/>
    </row>
    <row r="1126" spans="32:32" x14ac:dyDescent="0.35">
      <c r="AF1126" s="359"/>
    </row>
    <row r="1127" spans="32:32" x14ac:dyDescent="0.35">
      <c r="AF1127" s="359"/>
    </row>
    <row r="1128" spans="32:32" x14ac:dyDescent="0.35">
      <c r="AF1128" s="359"/>
    </row>
    <row r="1129" spans="32:32" x14ac:dyDescent="0.35">
      <c r="AF1129" s="359"/>
    </row>
    <row r="1130" spans="32:32" x14ac:dyDescent="0.35">
      <c r="AF1130" s="359"/>
    </row>
    <row r="1131" spans="32:32" x14ac:dyDescent="0.35">
      <c r="AF1131" s="359"/>
    </row>
    <row r="1132" spans="32:32" x14ac:dyDescent="0.35">
      <c r="AF1132" s="359"/>
    </row>
    <row r="1133" spans="32:32" x14ac:dyDescent="0.35">
      <c r="AF1133" s="359"/>
    </row>
    <row r="1134" spans="32:32" x14ac:dyDescent="0.35">
      <c r="AF1134" s="359"/>
    </row>
    <row r="1135" spans="32:32" x14ac:dyDescent="0.35">
      <c r="AF1135" s="359"/>
    </row>
    <row r="1136" spans="32:32" x14ac:dyDescent="0.35">
      <c r="AF1136" s="359"/>
    </row>
    <row r="1137" spans="32:32" x14ac:dyDescent="0.35">
      <c r="AF1137" s="359"/>
    </row>
    <row r="1138" spans="32:32" x14ac:dyDescent="0.35">
      <c r="AF1138" s="359"/>
    </row>
    <row r="1139" spans="32:32" x14ac:dyDescent="0.35">
      <c r="AF1139" s="359"/>
    </row>
    <row r="1140" spans="32:32" x14ac:dyDescent="0.35">
      <c r="AF1140" s="359"/>
    </row>
    <row r="1141" spans="32:32" x14ac:dyDescent="0.35">
      <c r="AF1141" s="359"/>
    </row>
    <row r="1142" spans="32:32" x14ac:dyDescent="0.35">
      <c r="AF1142" s="359"/>
    </row>
    <row r="1143" spans="32:32" x14ac:dyDescent="0.35">
      <c r="AF1143" s="359"/>
    </row>
    <row r="1144" spans="32:32" x14ac:dyDescent="0.35">
      <c r="AF1144" s="359"/>
    </row>
    <row r="1145" spans="32:32" x14ac:dyDescent="0.35">
      <c r="AF1145" s="359"/>
    </row>
    <row r="1146" spans="32:32" x14ac:dyDescent="0.35">
      <c r="AF1146" s="359"/>
    </row>
    <row r="1147" spans="32:32" x14ac:dyDescent="0.35">
      <c r="AF1147" s="359"/>
    </row>
    <row r="1148" spans="32:32" x14ac:dyDescent="0.35">
      <c r="AF1148" s="359"/>
    </row>
    <row r="1149" spans="32:32" x14ac:dyDescent="0.35">
      <c r="AF1149" s="359"/>
    </row>
    <row r="1150" spans="32:32" x14ac:dyDescent="0.35">
      <c r="AF1150" s="359"/>
    </row>
    <row r="1151" spans="32:32" x14ac:dyDescent="0.35">
      <c r="AF1151" s="359"/>
    </row>
    <row r="1152" spans="32:32" x14ac:dyDescent="0.35">
      <c r="AF1152" s="359"/>
    </row>
    <row r="1153" spans="32:32" x14ac:dyDescent="0.35">
      <c r="AF1153" s="359"/>
    </row>
    <row r="1154" spans="32:32" x14ac:dyDescent="0.35">
      <c r="AF1154" s="359"/>
    </row>
    <row r="1155" spans="32:32" x14ac:dyDescent="0.35">
      <c r="AF1155" s="359"/>
    </row>
    <row r="1156" spans="32:32" x14ac:dyDescent="0.35">
      <c r="AF1156" s="359"/>
    </row>
    <row r="1157" spans="32:32" x14ac:dyDescent="0.35">
      <c r="AF1157" s="359"/>
    </row>
    <row r="1158" spans="32:32" x14ac:dyDescent="0.35">
      <c r="AF1158" s="359"/>
    </row>
    <row r="1159" spans="32:32" x14ac:dyDescent="0.35">
      <c r="AF1159" s="359"/>
    </row>
    <row r="1160" spans="32:32" x14ac:dyDescent="0.35">
      <c r="AF1160" s="359"/>
    </row>
    <row r="1161" spans="32:32" x14ac:dyDescent="0.35">
      <c r="AF1161" s="359"/>
    </row>
    <row r="1162" spans="32:32" x14ac:dyDescent="0.35">
      <c r="AF1162" s="359"/>
    </row>
    <row r="1163" spans="32:32" x14ac:dyDescent="0.35">
      <c r="AF1163" s="359"/>
    </row>
    <row r="1164" spans="32:32" x14ac:dyDescent="0.35">
      <c r="AF1164" s="359"/>
    </row>
    <row r="1165" spans="32:32" x14ac:dyDescent="0.35">
      <c r="AF1165" s="359"/>
    </row>
    <row r="1166" spans="32:32" x14ac:dyDescent="0.35">
      <c r="AF1166" s="359"/>
    </row>
    <row r="1167" spans="32:32" x14ac:dyDescent="0.35">
      <c r="AF1167" s="359"/>
    </row>
    <row r="1168" spans="32:32" x14ac:dyDescent="0.35">
      <c r="AF1168" s="359"/>
    </row>
    <row r="1169" spans="32:32" x14ac:dyDescent="0.35">
      <c r="AF1169" s="359"/>
    </row>
    <row r="1170" spans="32:32" x14ac:dyDescent="0.35">
      <c r="AF1170" s="359"/>
    </row>
    <row r="1171" spans="32:32" x14ac:dyDescent="0.35">
      <c r="AF1171" s="359"/>
    </row>
    <row r="1172" spans="32:32" x14ac:dyDescent="0.35">
      <c r="AF1172" s="359"/>
    </row>
    <row r="1173" spans="32:32" x14ac:dyDescent="0.35">
      <c r="AF1173" s="359"/>
    </row>
    <row r="1174" spans="32:32" x14ac:dyDescent="0.35">
      <c r="AF1174" s="359"/>
    </row>
    <row r="1175" spans="32:32" x14ac:dyDescent="0.35">
      <c r="AF1175" s="359"/>
    </row>
    <row r="1176" spans="32:32" x14ac:dyDescent="0.35">
      <c r="AF1176" s="359"/>
    </row>
    <row r="1177" spans="32:32" x14ac:dyDescent="0.35">
      <c r="AF1177" s="359"/>
    </row>
    <row r="1178" spans="32:32" x14ac:dyDescent="0.35">
      <c r="AF1178" s="359"/>
    </row>
    <row r="1179" spans="32:32" x14ac:dyDescent="0.35">
      <c r="AF1179" s="359"/>
    </row>
    <row r="1180" spans="32:32" x14ac:dyDescent="0.35">
      <c r="AF1180" s="359"/>
    </row>
    <row r="1181" spans="32:32" x14ac:dyDescent="0.35">
      <c r="AF1181" s="359"/>
    </row>
    <row r="1182" spans="32:32" x14ac:dyDescent="0.35">
      <c r="AF1182" s="359"/>
    </row>
    <row r="1183" spans="32:32" x14ac:dyDescent="0.35">
      <c r="AF1183" s="359"/>
    </row>
    <row r="1184" spans="32:32" x14ac:dyDescent="0.35">
      <c r="AF1184" s="359"/>
    </row>
    <row r="1185" spans="32:32" x14ac:dyDescent="0.35">
      <c r="AF1185" s="359"/>
    </row>
    <row r="1186" spans="32:32" x14ac:dyDescent="0.35">
      <c r="AF1186" s="359"/>
    </row>
    <row r="1187" spans="32:32" x14ac:dyDescent="0.35">
      <c r="AF1187" s="359"/>
    </row>
    <row r="1188" spans="32:32" x14ac:dyDescent="0.35">
      <c r="AF1188" s="359"/>
    </row>
    <row r="1189" spans="32:32" x14ac:dyDescent="0.35">
      <c r="AF1189" s="359"/>
    </row>
    <row r="1190" spans="32:32" x14ac:dyDescent="0.35">
      <c r="AF1190" s="359"/>
    </row>
    <row r="1191" spans="32:32" x14ac:dyDescent="0.35">
      <c r="AF1191" s="359"/>
    </row>
    <row r="1192" spans="32:32" x14ac:dyDescent="0.35">
      <c r="AF1192" s="359"/>
    </row>
    <row r="1193" spans="32:32" x14ac:dyDescent="0.35">
      <c r="AF1193" s="359"/>
    </row>
    <row r="1194" spans="32:32" x14ac:dyDescent="0.35">
      <c r="AF1194" s="359"/>
    </row>
    <row r="1195" spans="32:32" x14ac:dyDescent="0.35">
      <c r="AF1195" s="359"/>
    </row>
    <row r="1196" spans="32:32" x14ac:dyDescent="0.35">
      <c r="AF1196" s="359"/>
    </row>
    <row r="1197" spans="32:32" x14ac:dyDescent="0.35">
      <c r="AF1197" s="359"/>
    </row>
    <row r="1198" spans="32:32" x14ac:dyDescent="0.35">
      <c r="AF1198" s="359"/>
    </row>
    <row r="1199" spans="32:32" x14ac:dyDescent="0.35">
      <c r="AF1199" s="359"/>
    </row>
    <row r="1200" spans="32:32" x14ac:dyDescent="0.35">
      <c r="AF1200" s="359"/>
    </row>
    <row r="1201" spans="32:32" x14ac:dyDescent="0.35">
      <c r="AF1201" s="359"/>
    </row>
    <row r="1202" spans="32:32" x14ac:dyDescent="0.35">
      <c r="AF1202" s="359"/>
    </row>
    <row r="1203" spans="32:32" x14ac:dyDescent="0.35">
      <c r="AF1203" s="359"/>
    </row>
    <row r="1204" spans="32:32" x14ac:dyDescent="0.35">
      <c r="AF1204" s="359"/>
    </row>
    <row r="1205" spans="32:32" x14ac:dyDescent="0.35">
      <c r="AF1205" s="359"/>
    </row>
    <row r="1206" spans="32:32" x14ac:dyDescent="0.35">
      <c r="AF1206" s="359"/>
    </row>
    <row r="1207" spans="32:32" x14ac:dyDescent="0.35">
      <c r="AF1207" s="359"/>
    </row>
    <row r="1208" spans="32:32" x14ac:dyDescent="0.35">
      <c r="AF1208" s="359"/>
    </row>
    <row r="1209" spans="32:32" x14ac:dyDescent="0.35">
      <c r="AF1209" s="359"/>
    </row>
    <row r="1210" spans="32:32" x14ac:dyDescent="0.35">
      <c r="AF1210" s="359"/>
    </row>
    <row r="1211" spans="32:32" x14ac:dyDescent="0.35">
      <c r="AF1211" s="359"/>
    </row>
    <row r="1212" spans="32:32" x14ac:dyDescent="0.35">
      <c r="AF1212" s="359"/>
    </row>
    <row r="1213" spans="32:32" x14ac:dyDescent="0.35">
      <c r="AF1213" s="359"/>
    </row>
    <row r="1214" spans="32:32" x14ac:dyDescent="0.35">
      <c r="AF1214" s="359"/>
    </row>
    <row r="1215" spans="32:32" x14ac:dyDescent="0.35">
      <c r="AF1215" s="359"/>
    </row>
    <row r="1216" spans="32:32" x14ac:dyDescent="0.35">
      <c r="AF1216" s="359"/>
    </row>
    <row r="1217" spans="32:32" x14ac:dyDescent="0.35">
      <c r="AF1217" s="359"/>
    </row>
    <row r="1218" spans="32:32" x14ac:dyDescent="0.35">
      <c r="AF1218" s="359"/>
    </row>
    <row r="1219" spans="32:32" x14ac:dyDescent="0.35">
      <c r="AF1219" s="359"/>
    </row>
    <row r="1220" spans="32:32" x14ac:dyDescent="0.35">
      <c r="AF1220" s="359"/>
    </row>
    <row r="1221" spans="32:32" x14ac:dyDescent="0.35">
      <c r="AF1221" s="359"/>
    </row>
    <row r="1222" spans="32:32" x14ac:dyDescent="0.35">
      <c r="AF1222" s="359"/>
    </row>
    <row r="1223" spans="32:32" x14ac:dyDescent="0.35">
      <c r="AF1223" s="359"/>
    </row>
    <row r="1224" spans="32:32" x14ac:dyDescent="0.35">
      <c r="AF1224" s="359"/>
    </row>
    <row r="1225" spans="32:32" x14ac:dyDescent="0.35">
      <c r="AF1225" s="359"/>
    </row>
    <row r="1226" spans="32:32" x14ac:dyDescent="0.35">
      <c r="AF1226" s="359"/>
    </row>
    <row r="1227" spans="32:32" x14ac:dyDescent="0.35">
      <c r="AF1227" s="359"/>
    </row>
    <row r="1228" spans="32:32" x14ac:dyDescent="0.35">
      <c r="AF1228" s="359"/>
    </row>
    <row r="1229" spans="32:32" x14ac:dyDescent="0.35">
      <c r="AF1229" s="359"/>
    </row>
    <row r="1230" spans="32:32" x14ac:dyDescent="0.35">
      <c r="AF1230" s="359"/>
    </row>
    <row r="1231" spans="32:32" x14ac:dyDescent="0.35">
      <c r="AF1231" s="359"/>
    </row>
    <row r="1232" spans="32:32" x14ac:dyDescent="0.35">
      <c r="AF1232" s="359"/>
    </row>
    <row r="1233" spans="32:32" x14ac:dyDescent="0.35">
      <c r="AF1233" s="359"/>
    </row>
    <row r="1234" spans="32:32" x14ac:dyDescent="0.35">
      <c r="AF1234" s="359"/>
    </row>
    <row r="1235" spans="32:32" x14ac:dyDescent="0.35">
      <c r="AF1235" s="359"/>
    </row>
    <row r="1236" spans="32:32" x14ac:dyDescent="0.35">
      <c r="AF1236" s="359"/>
    </row>
    <row r="1237" spans="32:32" x14ac:dyDescent="0.35">
      <c r="AF1237" s="359"/>
    </row>
    <row r="1238" spans="32:32" x14ac:dyDescent="0.35">
      <c r="AF1238" s="359"/>
    </row>
    <row r="1239" spans="32:32" x14ac:dyDescent="0.35">
      <c r="AF1239" s="359"/>
    </row>
    <row r="1240" spans="32:32" x14ac:dyDescent="0.35">
      <c r="AF1240" s="359"/>
    </row>
    <row r="1241" spans="32:32" x14ac:dyDescent="0.35">
      <c r="AF1241" s="359"/>
    </row>
    <row r="1242" spans="32:32" x14ac:dyDescent="0.35">
      <c r="AF1242" s="359"/>
    </row>
    <row r="1243" spans="32:32" x14ac:dyDescent="0.35">
      <c r="AF1243" s="359"/>
    </row>
    <row r="1244" spans="32:32" x14ac:dyDescent="0.35">
      <c r="AF1244" s="359"/>
    </row>
    <row r="1245" spans="32:32" x14ac:dyDescent="0.35">
      <c r="AF1245" s="359"/>
    </row>
    <row r="1246" spans="32:32" x14ac:dyDescent="0.35">
      <c r="AF1246" s="359"/>
    </row>
    <row r="1247" spans="32:32" x14ac:dyDescent="0.35">
      <c r="AF1247" s="359"/>
    </row>
    <row r="1248" spans="32:32" x14ac:dyDescent="0.35">
      <c r="AF1248" s="359"/>
    </row>
    <row r="1249" spans="32:32" x14ac:dyDescent="0.35">
      <c r="AF1249" s="359"/>
    </row>
    <row r="1250" spans="32:32" x14ac:dyDescent="0.35">
      <c r="AF1250" s="359"/>
    </row>
    <row r="1251" spans="32:32" x14ac:dyDescent="0.35">
      <c r="AF1251" s="359"/>
    </row>
    <row r="1252" spans="32:32" x14ac:dyDescent="0.35">
      <c r="AF1252" s="359"/>
    </row>
    <row r="1253" spans="32:32" x14ac:dyDescent="0.35">
      <c r="AF1253" s="359"/>
    </row>
    <row r="1254" spans="32:32" x14ac:dyDescent="0.35">
      <c r="AF1254" s="359"/>
    </row>
    <row r="1255" spans="32:32" x14ac:dyDescent="0.35">
      <c r="AF1255" s="359"/>
    </row>
    <row r="1256" spans="32:32" x14ac:dyDescent="0.35">
      <c r="AF1256" s="359"/>
    </row>
    <row r="1257" spans="32:32" x14ac:dyDescent="0.35">
      <c r="AF1257" s="359"/>
    </row>
    <row r="1258" spans="32:32" x14ac:dyDescent="0.35">
      <c r="AF1258" s="359"/>
    </row>
    <row r="1259" spans="32:32" x14ac:dyDescent="0.35">
      <c r="AF1259" s="359"/>
    </row>
    <row r="1260" spans="32:32" x14ac:dyDescent="0.35">
      <c r="AF1260" s="359"/>
    </row>
    <row r="1261" spans="32:32" x14ac:dyDescent="0.35">
      <c r="AF1261" s="359"/>
    </row>
    <row r="1262" spans="32:32" x14ac:dyDescent="0.35">
      <c r="AF1262" s="359"/>
    </row>
    <row r="1263" spans="32:32" x14ac:dyDescent="0.35">
      <c r="AF1263" s="359"/>
    </row>
    <row r="1264" spans="32:32" x14ac:dyDescent="0.35">
      <c r="AF1264" s="359"/>
    </row>
    <row r="1265" spans="32:32" x14ac:dyDescent="0.35">
      <c r="AF1265" s="359"/>
    </row>
    <row r="1266" spans="32:32" x14ac:dyDescent="0.35">
      <c r="AF1266" s="359"/>
    </row>
    <row r="1267" spans="32:32" x14ac:dyDescent="0.35">
      <c r="AF1267" s="359"/>
    </row>
    <row r="1268" spans="32:32" x14ac:dyDescent="0.35">
      <c r="AF1268" s="359"/>
    </row>
    <row r="1269" spans="32:32" x14ac:dyDescent="0.35">
      <c r="AF1269" s="359"/>
    </row>
    <row r="1270" spans="32:32" x14ac:dyDescent="0.35">
      <c r="AF1270" s="359"/>
    </row>
    <row r="1271" spans="32:32" x14ac:dyDescent="0.35">
      <c r="AF1271" s="359"/>
    </row>
    <row r="1272" spans="32:32" x14ac:dyDescent="0.35">
      <c r="AF1272" s="359"/>
    </row>
    <row r="1273" spans="32:32" x14ac:dyDescent="0.35">
      <c r="AF1273" s="359"/>
    </row>
    <row r="1274" spans="32:32" x14ac:dyDescent="0.35">
      <c r="AF1274" s="359"/>
    </row>
    <row r="1275" spans="32:32" x14ac:dyDescent="0.35">
      <c r="AF1275" s="359"/>
    </row>
    <row r="1276" spans="32:32" x14ac:dyDescent="0.35">
      <c r="AF1276" s="359"/>
    </row>
    <row r="1277" spans="32:32" x14ac:dyDescent="0.35">
      <c r="AF1277" s="359"/>
    </row>
    <row r="1278" spans="32:32" x14ac:dyDescent="0.35">
      <c r="AF1278" s="359"/>
    </row>
    <row r="1279" spans="32:32" x14ac:dyDescent="0.35">
      <c r="AF1279" s="359"/>
    </row>
    <row r="1280" spans="32:32" x14ac:dyDescent="0.35">
      <c r="AF1280" s="359"/>
    </row>
    <row r="1281" spans="32:32" x14ac:dyDescent="0.35">
      <c r="AF1281" s="359"/>
    </row>
    <row r="1282" spans="32:32" x14ac:dyDescent="0.35">
      <c r="AF1282" s="359"/>
    </row>
    <row r="1283" spans="32:32" x14ac:dyDescent="0.35">
      <c r="AF1283" s="359"/>
    </row>
    <row r="1284" spans="32:32" x14ac:dyDescent="0.35">
      <c r="AF1284" s="359"/>
    </row>
    <row r="1285" spans="32:32" x14ac:dyDescent="0.35">
      <c r="AF1285" s="359"/>
    </row>
    <row r="1286" spans="32:32" x14ac:dyDescent="0.35">
      <c r="AF1286" s="359"/>
    </row>
    <row r="1287" spans="32:32" x14ac:dyDescent="0.35">
      <c r="AF1287" s="359"/>
    </row>
    <row r="1288" spans="32:32" x14ac:dyDescent="0.35">
      <c r="AF1288" s="359"/>
    </row>
    <row r="1289" spans="32:32" x14ac:dyDescent="0.35">
      <c r="AF1289" s="359"/>
    </row>
    <row r="1290" spans="32:32" x14ac:dyDescent="0.35">
      <c r="AF1290" s="359"/>
    </row>
    <row r="1291" spans="32:32" x14ac:dyDescent="0.35">
      <c r="AF1291" s="359"/>
    </row>
    <row r="1292" spans="32:32" x14ac:dyDescent="0.35">
      <c r="AF1292" s="359"/>
    </row>
    <row r="1293" spans="32:32" x14ac:dyDescent="0.35">
      <c r="AF1293" s="359"/>
    </row>
    <row r="1294" spans="32:32" x14ac:dyDescent="0.35">
      <c r="AF1294" s="359"/>
    </row>
    <row r="1295" spans="32:32" x14ac:dyDescent="0.35">
      <c r="AF1295" s="359"/>
    </row>
    <row r="1296" spans="32:32" x14ac:dyDescent="0.35">
      <c r="AF1296" s="359"/>
    </row>
    <row r="1297" spans="32:32" x14ac:dyDescent="0.35">
      <c r="AF1297" s="359"/>
    </row>
    <row r="1298" spans="32:32" x14ac:dyDescent="0.35">
      <c r="AF1298" s="359"/>
    </row>
    <row r="1299" spans="32:32" x14ac:dyDescent="0.35">
      <c r="AF1299" s="359"/>
    </row>
    <row r="1300" spans="32:32" x14ac:dyDescent="0.35">
      <c r="AF1300" s="359"/>
    </row>
    <row r="1301" spans="32:32" x14ac:dyDescent="0.35">
      <c r="AF1301" s="359"/>
    </row>
    <row r="1302" spans="32:32" x14ac:dyDescent="0.35">
      <c r="AF1302" s="359"/>
    </row>
    <row r="1303" spans="32:32" x14ac:dyDescent="0.35">
      <c r="AF1303" s="359"/>
    </row>
    <row r="1304" spans="32:32" x14ac:dyDescent="0.35">
      <c r="AF1304" s="359"/>
    </row>
    <row r="1305" spans="32:32" x14ac:dyDescent="0.35">
      <c r="AF1305" s="359"/>
    </row>
    <row r="1306" spans="32:32" x14ac:dyDescent="0.35">
      <c r="AF1306" s="359"/>
    </row>
    <row r="1307" spans="32:32" x14ac:dyDescent="0.35">
      <c r="AF1307" s="359"/>
    </row>
    <row r="1308" spans="32:32" x14ac:dyDescent="0.35">
      <c r="AF1308" s="359"/>
    </row>
    <row r="1309" spans="32:32" x14ac:dyDescent="0.35">
      <c r="AF1309" s="359"/>
    </row>
    <row r="1310" spans="32:32" x14ac:dyDescent="0.35">
      <c r="AF1310" s="359"/>
    </row>
    <row r="1311" spans="32:32" x14ac:dyDescent="0.35">
      <c r="AF1311" s="359"/>
    </row>
    <row r="1312" spans="32:32" x14ac:dyDescent="0.35">
      <c r="AF1312" s="359"/>
    </row>
    <row r="1313" spans="32:32" x14ac:dyDescent="0.35">
      <c r="AF1313" s="359"/>
    </row>
    <row r="1314" spans="32:32" x14ac:dyDescent="0.35">
      <c r="AF1314" s="359"/>
    </row>
    <row r="1315" spans="32:32" x14ac:dyDescent="0.35">
      <c r="AF1315" s="359"/>
    </row>
    <row r="1316" spans="32:32" x14ac:dyDescent="0.35">
      <c r="AF1316" s="359"/>
    </row>
    <row r="1317" spans="32:32" x14ac:dyDescent="0.35">
      <c r="AF1317" s="359"/>
    </row>
    <row r="1318" spans="32:32" x14ac:dyDescent="0.35">
      <c r="AF1318" s="359"/>
    </row>
    <row r="1319" spans="32:32" x14ac:dyDescent="0.35">
      <c r="AF1319" s="359"/>
    </row>
    <row r="1320" spans="32:32" x14ac:dyDescent="0.35">
      <c r="AF1320" s="359"/>
    </row>
    <row r="1321" spans="32:32" x14ac:dyDescent="0.35">
      <c r="AF1321" s="359"/>
    </row>
    <row r="1322" spans="32:32" x14ac:dyDescent="0.35">
      <c r="AF1322" s="359"/>
    </row>
    <row r="1323" spans="32:32" x14ac:dyDescent="0.35">
      <c r="AF1323" s="359"/>
    </row>
    <row r="1324" spans="32:32" x14ac:dyDescent="0.35">
      <c r="AF1324" s="359"/>
    </row>
    <row r="1325" spans="32:32" x14ac:dyDescent="0.35">
      <c r="AF1325" s="359"/>
    </row>
    <row r="1326" spans="32:32" x14ac:dyDescent="0.35">
      <c r="AF1326" s="359"/>
    </row>
    <row r="1327" spans="32:32" x14ac:dyDescent="0.35">
      <c r="AF1327" s="359"/>
    </row>
    <row r="1328" spans="32:32" x14ac:dyDescent="0.35">
      <c r="AF1328" s="359"/>
    </row>
    <row r="1329" spans="32:32" x14ac:dyDescent="0.35">
      <c r="AF1329" s="359"/>
    </row>
    <row r="1330" spans="32:32" x14ac:dyDescent="0.35">
      <c r="AF1330" s="359"/>
    </row>
    <row r="1331" spans="32:32" x14ac:dyDescent="0.35">
      <c r="AF1331" s="359"/>
    </row>
    <row r="1332" spans="32:32" x14ac:dyDescent="0.35">
      <c r="AF1332" s="359"/>
    </row>
    <row r="1333" spans="32:32" x14ac:dyDescent="0.35">
      <c r="AF1333" s="359"/>
    </row>
    <row r="1334" spans="32:32" x14ac:dyDescent="0.35">
      <c r="AF1334" s="359"/>
    </row>
    <row r="1335" spans="32:32" x14ac:dyDescent="0.35">
      <c r="AF1335" s="359"/>
    </row>
    <row r="1336" spans="32:32" x14ac:dyDescent="0.35">
      <c r="AF1336" s="359"/>
    </row>
    <row r="1337" spans="32:32" x14ac:dyDescent="0.35">
      <c r="AF1337" s="359"/>
    </row>
    <row r="1338" spans="32:32" x14ac:dyDescent="0.35">
      <c r="AF1338" s="359"/>
    </row>
    <row r="1339" spans="32:32" x14ac:dyDescent="0.35">
      <c r="AF1339" s="359"/>
    </row>
    <row r="1340" spans="32:32" x14ac:dyDescent="0.35">
      <c r="AF1340" s="359"/>
    </row>
    <row r="1341" spans="32:32" x14ac:dyDescent="0.35">
      <c r="AF1341" s="359"/>
    </row>
    <row r="1342" spans="32:32" x14ac:dyDescent="0.35">
      <c r="AF1342" s="359"/>
    </row>
    <row r="1343" spans="32:32" x14ac:dyDescent="0.35">
      <c r="AF1343" s="359"/>
    </row>
    <row r="1344" spans="32:32" x14ac:dyDescent="0.35">
      <c r="AF1344" s="359"/>
    </row>
    <row r="1345" spans="32:32" x14ac:dyDescent="0.35">
      <c r="AF1345" s="359"/>
    </row>
    <row r="1346" spans="32:32" x14ac:dyDescent="0.35">
      <c r="AF1346" s="359"/>
    </row>
    <row r="1347" spans="32:32" x14ac:dyDescent="0.35">
      <c r="AF1347" s="359"/>
    </row>
    <row r="1348" spans="32:32" x14ac:dyDescent="0.35">
      <c r="AF1348" s="359"/>
    </row>
    <row r="1349" spans="32:32" x14ac:dyDescent="0.35">
      <c r="AF1349" s="359"/>
    </row>
    <row r="1350" spans="32:32" x14ac:dyDescent="0.35">
      <c r="AF1350" s="359"/>
    </row>
    <row r="1351" spans="32:32" x14ac:dyDescent="0.35">
      <c r="AF1351" s="359"/>
    </row>
    <row r="1352" spans="32:32" x14ac:dyDescent="0.35">
      <c r="AF1352" s="359"/>
    </row>
    <row r="1353" spans="32:32" x14ac:dyDescent="0.35">
      <c r="AF1353" s="359"/>
    </row>
    <row r="1354" spans="32:32" x14ac:dyDescent="0.35">
      <c r="AF1354" s="359"/>
    </row>
    <row r="1355" spans="32:32" x14ac:dyDescent="0.35">
      <c r="AF1355" s="359"/>
    </row>
    <row r="1356" spans="32:32" x14ac:dyDescent="0.35">
      <c r="AF1356" s="359"/>
    </row>
    <row r="1357" spans="32:32" x14ac:dyDescent="0.35">
      <c r="AF1357" s="359"/>
    </row>
    <row r="1358" spans="32:32" x14ac:dyDescent="0.35">
      <c r="AF1358" s="359"/>
    </row>
    <row r="1359" spans="32:32" x14ac:dyDescent="0.35">
      <c r="AF1359" s="359"/>
    </row>
    <row r="1360" spans="32:32" x14ac:dyDescent="0.35">
      <c r="AF1360" s="359"/>
    </row>
    <row r="1361" spans="32:32" x14ac:dyDescent="0.35">
      <c r="AF1361" s="359"/>
    </row>
    <row r="1362" spans="32:32" x14ac:dyDescent="0.35">
      <c r="AF1362" s="359"/>
    </row>
    <row r="1363" spans="32:32" x14ac:dyDescent="0.35">
      <c r="AF1363" s="359"/>
    </row>
    <row r="1364" spans="32:32" x14ac:dyDescent="0.35">
      <c r="AF1364" s="359"/>
    </row>
    <row r="1365" spans="32:32" x14ac:dyDescent="0.35">
      <c r="AF1365" s="359"/>
    </row>
    <row r="1366" spans="32:32" x14ac:dyDescent="0.35">
      <c r="AF1366" s="359"/>
    </row>
    <row r="1367" spans="32:32" x14ac:dyDescent="0.35">
      <c r="AF1367" s="359"/>
    </row>
    <row r="1368" spans="32:32" x14ac:dyDescent="0.35">
      <c r="AF1368" s="359"/>
    </row>
    <row r="1369" spans="32:32" x14ac:dyDescent="0.35">
      <c r="AF1369" s="359"/>
    </row>
    <row r="1370" spans="32:32" x14ac:dyDescent="0.35">
      <c r="AF1370" s="359"/>
    </row>
    <row r="1371" spans="32:32" x14ac:dyDescent="0.35">
      <c r="AF1371" s="359"/>
    </row>
    <row r="1372" spans="32:32" x14ac:dyDescent="0.35">
      <c r="AF1372" s="359"/>
    </row>
    <row r="1373" spans="32:32" x14ac:dyDescent="0.35">
      <c r="AF1373" s="359"/>
    </row>
    <row r="1374" spans="32:32" x14ac:dyDescent="0.35">
      <c r="AF1374" s="359"/>
    </row>
    <row r="1375" spans="32:32" x14ac:dyDescent="0.35">
      <c r="AF1375" s="359"/>
    </row>
    <row r="1376" spans="32:32" x14ac:dyDescent="0.35">
      <c r="AF1376" s="359"/>
    </row>
    <row r="1377" spans="32:32" x14ac:dyDescent="0.35">
      <c r="AF1377" s="359"/>
    </row>
    <row r="1378" spans="32:32" x14ac:dyDescent="0.35">
      <c r="AF1378" s="359"/>
    </row>
    <row r="1379" spans="32:32" x14ac:dyDescent="0.35">
      <c r="AF1379" s="359"/>
    </row>
    <row r="1380" spans="32:32" x14ac:dyDescent="0.35">
      <c r="AF1380" s="359"/>
    </row>
    <row r="1381" spans="32:32" x14ac:dyDescent="0.35">
      <c r="AF1381" s="359"/>
    </row>
    <row r="1382" spans="32:32" x14ac:dyDescent="0.35">
      <c r="AF1382" s="359"/>
    </row>
    <row r="1383" spans="32:32" x14ac:dyDescent="0.35">
      <c r="AF1383" s="359"/>
    </row>
    <row r="1384" spans="32:32" x14ac:dyDescent="0.35">
      <c r="AF1384" s="359"/>
    </row>
    <row r="1385" spans="32:32" x14ac:dyDescent="0.35">
      <c r="AF1385" s="359"/>
    </row>
    <row r="1386" spans="32:32" x14ac:dyDescent="0.35">
      <c r="AF1386" s="359"/>
    </row>
    <row r="1387" spans="32:32" x14ac:dyDescent="0.35">
      <c r="AF1387" s="359"/>
    </row>
    <row r="1388" spans="32:32" x14ac:dyDescent="0.35">
      <c r="AF1388" s="359"/>
    </row>
    <row r="1389" spans="32:32" x14ac:dyDescent="0.35">
      <c r="AF1389" s="359"/>
    </row>
    <row r="1390" spans="32:32" x14ac:dyDescent="0.35">
      <c r="AF1390" s="359"/>
    </row>
    <row r="1391" spans="32:32" x14ac:dyDescent="0.35">
      <c r="AF1391" s="359"/>
    </row>
    <row r="1392" spans="32:32" x14ac:dyDescent="0.35">
      <c r="AF1392" s="359"/>
    </row>
    <row r="1393" spans="32:32" x14ac:dyDescent="0.35">
      <c r="AF1393" s="359"/>
    </row>
    <row r="1394" spans="32:32" x14ac:dyDescent="0.35">
      <c r="AF1394" s="359"/>
    </row>
    <row r="1395" spans="32:32" x14ac:dyDescent="0.35">
      <c r="AF1395" s="359"/>
    </row>
    <row r="1396" spans="32:32" x14ac:dyDescent="0.35">
      <c r="AF1396" s="359"/>
    </row>
    <row r="1397" spans="32:32" x14ac:dyDescent="0.35">
      <c r="AF1397" s="359"/>
    </row>
    <row r="1398" spans="32:32" x14ac:dyDescent="0.35">
      <c r="AF1398" s="359"/>
    </row>
    <row r="1399" spans="32:32" x14ac:dyDescent="0.35">
      <c r="AF1399" s="359"/>
    </row>
    <row r="1400" spans="32:32" x14ac:dyDescent="0.35">
      <c r="AF1400" s="359"/>
    </row>
    <row r="1401" spans="32:32" x14ac:dyDescent="0.35">
      <c r="AF1401" s="359"/>
    </row>
    <row r="1402" spans="32:32" x14ac:dyDescent="0.35">
      <c r="AF1402" s="359"/>
    </row>
    <row r="1403" spans="32:32" x14ac:dyDescent="0.35">
      <c r="AF1403" s="359"/>
    </row>
    <row r="1404" spans="32:32" x14ac:dyDescent="0.35">
      <c r="AF1404" s="359"/>
    </row>
    <row r="1405" spans="32:32" x14ac:dyDescent="0.35">
      <c r="AF1405" s="359"/>
    </row>
    <row r="1406" spans="32:32" x14ac:dyDescent="0.35">
      <c r="AF1406" s="359"/>
    </row>
    <row r="1407" spans="32:32" x14ac:dyDescent="0.35">
      <c r="AF1407" s="359"/>
    </row>
    <row r="1408" spans="32:32" x14ac:dyDescent="0.35">
      <c r="AF1408" s="359"/>
    </row>
    <row r="1409" spans="32:32" x14ac:dyDescent="0.35">
      <c r="AF1409" s="359"/>
    </row>
    <row r="1410" spans="32:32" x14ac:dyDescent="0.35">
      <c r="AF1410" s="359"/>
    </row>
    <row r="1411" spans="32:32" x14ac:dyDescent="0.35">
      <c r="AF1411" s="359"/>
    </row>
    <row r="1412" spans="32:32" x14ac:dyDescent="0.35">
      <c r="AF1412" s="359"/>
    </row>
    <row r="1413" spans="32:32" x14ac:dyDescent="0.35">
      <c r="AF1413" s="359"/>
    </row>
    <row r="1414" spans="32:32" x14ac:dyDescent="0.35">
      <c r="AF1414" s="359"/>
    </row>
    <row r="1415" spans="32:32" x14ac:dyDescent="0.35">
      <c r="AF1415" s="359"/>
    </row>
    <row r="1416" spans="32:32" x14ac:dyDescent="0.35">
      <c r="AF1416" s="359"/>
    </row>
    <row r="1417" spans="32:32" x14ac:dyDescent="0.35">
      <c r="AF1417" s="359"/>
    </row>
    <row r="1418" spans="32:32" x14ac:dyDescent="0.35">
      <c r="AF1418" s="359"/>
    </row>
    <row r="1419" spans="32:32" x14ac:dyDescent="0.35">
      <c r="AF1419" s="359"/>
    </row>
    <row r="1420" spans="32:32" x14ac:dyDescent="0.35">
      <c r="AF1420" s="359"/>
    </row>
    <row r="1421" spans="32:32" x14ac:dyDescent="0.35">
      <c r="AF1421" s="359"/>
    </row>
    <row r="1422" spans="32:32" x14ac:dyDescent="0.35">
      <c r="AF1422" s="359"/>
    </row>
    <row r="1423" spans="32:32" x14ac:dyDescent="0.35">
      <c r="AF1423" s="359"/>
    </row>
    <row r="1424" spans="32:32" x14ac:dyDescent="0.35">
      <c r="AF1424" s="359"/>
    </row>
    <row r="1425" spans="32:32" x14ac:dyDescent="0.35">
      <c r="AF1425" s="359"/>
    </row>
    <row r="1426" spans="32:32" x14ac:dyDescent="0.35">
      <c r="AF1426" s="359"/>
    </row>
    <row r="1427" spans="32:32" x14ac:dyDescent="0.35">
      <c r="AF1427" s="359"/>
    </row>
    <row r="1428" spans="32:32" x14ac:dyDescent="0.35">
      <c r="AF1428" s="359"/>
    </row>
    <row r="1429" spans="32:32" x14ac:dyDescent="0.35">
      <c r="AF1429" s="359"/>
    </row>
    <row r="1430" spans="32:32" x14ac:dyDescent="0.35">
      <c r="AF1430" s="359"/>
    </row>
    <row r="1431" spans="32:32" x14ac:dyDescent="0.35">
      <c r="AF1431" s="359"/>
    </row>
    <row r="1432" spans="32:32" x14ac:dyDescent="0.35">
      <c r="AF1432" s="359"/>
    </row>
    <row r="1433" spans="32:32" x14ac:dyDescent="0.35">
      <c r="AF1433" s="359"/>
    </row>
    <row r="1434" spans="32:32" x14ac:dyDescent="0.35">
      <c r="AF1434" s="359"/>
    </row>
    <row r="1435" spans="32:32" x14ac:dyDescent="0.35">
      <c r="AF1435" s="359"/>
    </row>
    <row r="1436" spans="32:32" x14ac:dyDescent="0.35">
      <c r="AF1436" s="359"/>
    </row>
    <row r="1437" spans="32:32" x14ac:dyDescent="0.35">
      <c r="AF1437" s="359"/>
    </row>
    <row r="1438" spans="32:32" x14ac:dyDescent="0.35">
      <c r="AF1438" s="359"/>
    </row>
    <row r="1439" spans="32:32" x14ac:dyDescent="0.35">
      <c r="AF1439" s="359"/>
    </row>
    <row r="1440" spans="32:32" x14ac:dyDescent="0.35">
      <c r="AF1440" s="359"/>
    </row>
    <row r="1441" spans="32:32" x14ac:dyDescent="0.35">
      <c r="AF1441" s="359"/>
    </row>
    <row r="1442" spans="32:32" x14ac:dyDescent="0.35">
      <c r="AF1442" s="359"/>
    </row>
    <row r="1443" spans="32:32" x14ac:dyDescent="0.35">
      <c r="AF1443" s="359"/>
    </row>
    <row r="1444" spans="32:32" x14ac:dyDescent="0.35">
      <c r="AF1444" s="359"/>
    </row>
    <row r="1445" spans="32:32" x14ac:dyDescent="0.35">
      <c r="AF1445" s="359"/>
    </row>
    <row r="1446" spans="32:32" x14ac:dyDescent="0.35">
      <c r="AF1446" s="359"/>
    </row>
    <row r="1447" spans="32:32" x14ac:dyDescent="0.35">
      <c r="AF1447" s="359"/>
    </row>
    <row r="1448" spans="32:32" x14ac:dyDescent="0.35">
      <c r="AF1448" s="359"/>
    </row>
    <row r="1449" spans="32:32" x14ac:dyDescent="0.35">
      <c r="AF1449" s="359"/>
    </row>
    <row r="1450" spans="32:32" x14ac:dyDescent="0.35">
      <c r="AF1450" s="359"/>
    </row>
    <row r="1451" spans="32:32" x14ac:dyDescent="0.35">
      <c r="AF1451" s="359"/>
    </row>
    <row r="1452" spans="32:32" x14ac:dyDescent="0.35">
      <c r="AF1452" s="359"/>
    </row>
    <row r="1453" spans="32:32" x14ac:dyDescent="0.35">
      <c r="AF1453" s="359"/>
    </row>
    <row r="1454" spans="32:32" x14ac:dyDescent="0.35">
      <c r="AF1454" s="359"/>
    </row>
    <row r="1455" spans="32:32" x14ac:dyDescent="0.35">
      <c r="AF1455" s="359"/>
    </row>
    <row r="1456" spans="32:32" x14ac:dyDescent="0.35">
      <c r="AF1456" s="359"/>
    </row>
    <row r="1457" spans="32:32" x14ac:dyDescent="0.35">
      <c r="AF1457" s="359"/>
    </row>
    <row r="1458" spans="32:32" x14ac:dyDescent="0.35">
      <c r="AF1458" s="359"/>
    </row>
    <row r="1459" spans="32:32" x14ac:dyDescent="0.35">
      <c r="AF1459" s="359"/>
    </row>
    <row r="1460" spans="32:32" x14ac:dyDescent="0.35">
      <c r="AF1460" s="359"/>
    </row>
    <row r="1461" spans="32:32" x14ac:dyDescent="0.35">
      <c r="AF1461" s="359"/>
    </row>
    <row r="1462" spans="32:32" x14ac:dyDescent="0.35">
      <c r="AF1462" s="359"/>
    </row>
    <row r="1463" spans="32:32" x14ac:dyDescent="0.35">
      <c r="AF1463" s="359"/>
    </row>
    <row r="1464" spans="32:32" x14ac:dyDescent="0.35">
      <c r="AF1464" s="359"/>
    </row>
    <row r="1465" spans="32:32" x14ac:dyDescent="0.35">
      <c r="AF1465" s="359"/>
    </row>
    <row r="1466" spans="32:32" x14ac:dyDescent="0.35">
      <c r="AF1466" s="359"/>
    </row>
    <row r="1467" spans="32:32" x14ac:dyDescent="0.35">
      <c r="AF1467" s="359"/>
    </row>
    <row r="1468" spans="32:32" x14ac:dyDescent="0.35">
      <c r="AF1468" s="359"/>
    </row>
    <row r="1469" spans="32:32" x14ac:dyDescent="0.35">
      <c r="AF1469" s="359"/>
    </row>
    <row r="1470" spans="32:32" x14ac:dyDescent="0.35">
      <c r="AF1470" s="359"/>
    </row>
    <row r="1471" spans="32:32" x14ac:dyDescent="0.35">
      <c r="AF1471" s="359"/>
    </row>
    <row r="1472" spans="32:32" x14ac:dyDescent="0.35">
      <c r="AF1472" s="359"/>
    </row>
    <row r="1473" spans="32:32" x14ac:dyDescent="0.35">
      <c r="AF1473" s="359"/>
    </row>
    <row r="1474" spans="32:32" x14ac:dyDescent="0.35">
      <c r="AF1474" s="359"/>
    </row>
    <row r="1475" spans="32:32" x14ac:dyDescent="0.35">
      <c r="AF1475" s="359"/>
    </row>
    <row r="1476" spans="32:32" x14ac:dyDescent="0.35">
      <c r="AF1476" s="359"/>
    </row>
    <row r="1477" spans="32:32" x14ac:dyDescent="0.35">
      <c r="AF1477" s="359"/>
    </row>
    <row r="1478" spans="32:32" x14ac:dyDescent="0.35">
      <c r="AF1478" s="359"/>
    </row>
    <row r="1479" spans="32:32" x14ac:dyDescent="0.35">
      <c r="AF1479" s="359"/>
    </row>
    <row r="1480" spans="32:32" x14ac:dyDescent="0.35">
      <c r="AF1480" s="359"/>
    </row>
    <row r="1481" spans="32:32" x14ac:dyDescent="0.35">
      <c r="AF1481" s="359"/>
    </row>
    <row r="1482" spans="32:32" x14ac:dyDescent="0.35">
      <c r="AF1482" s="359"/>
    </row>
    <row r="1483" spans="32:32" x14ac:dyDescent="0.35">
      <c r="AF1483" s="359"/>
    </row>
    <row r="1484" spans="32:32" x14ac:dyDescent="0.35">
      <c r="AF1484" s="359"/>
    </row>
    <row r="1485" spans="32:32" x14ac:dyDescent="0.35">
      <c r="AF1485" s="359"/>
    </row>
    <row r="1486" spans="32:32" x14ac:dyDescent="0.35">
      <c r="AF1486" s="359"/>
    </row>
    <row r="1487" spans="32:32" x14ac:dyDescent="0.35">
      <c r="AF1487" s="359"/>
    </row>
    <row r="1488" spans="32:32" x14ac:dyDescent="0.35">
      <c r="AF1488" s="359"/>
    </row>
    <row r="1489" spans="32:32" x14ac:dyDescent="0.35">
      <c r="AF1489" s="359"/>
    </row>
    <row r="1490" spans="32:32" x14ac:dyDescent="0.35">
      <c r="AF1490" s="359"/>
    </row>
    <row r="1491" spans="32:32" x14ac:dyDescent="0.35">
      <c r="AF1491" s="359"/>
    </row>
    <row r="1492" spans="32:32" x14ac:dyDescent="0.35">
      <c r="AF1492" s="359"/>
    </row>
    <row r="1493" spans="32:32" x14ac:dyDescent="0.35">
      <c r="AF1493" s="359"/>
    </row>
    <row r="1494" spans="32:32" x14ac:dyDescent="0.35">
      <c r="AF1494" s="359"/>
    </row>
    <row r="1495" spans="32:32" x14ac:dyDescent="0.35">
      <c r="AF1495" s="359"/>
    </row>
    <row r="1496" spans="32:32" x14ac:dyDescent="0.35">
      <c r="AF1496" s="359"/>
    </row>
    <row r="1497" spans="32:32" x14ac:dyDescent="0.35">
      <c r="AF1497" s="359"/>
    </row>
    <row r="1498" spans="32:32" x14ac:dyDescent="0.35">
      <c r="AF1498" s="359"/>
    </row>
    <row r="1499" spans="32:32" x14ac:dyDescent="0.35">
      <c r="AF1499" s="359"/>
    </row>
    <row r="1500" spans="32:32" x14ac:dyDescent="0.35">
      <c r="AF1500" s="359"/>
    </row>
    <row r="1501" spans="32:32" x14ac:dyDescent="0.35">
      <c r="AF1501" s="359"/>
    </row>
    <row r="1502" spans="32:32" x14ac:dyDescent="0.35">
      <c r="AF1502" s="359"/>
    </row>
    <row r="1503" spans="32:32" x14ac:dyDescent="0.35">
      <c r="AF1503" s="359"/>
    </row>
    <row r="1504" spans="32:32" x14ac:dyDescent="0.35">
      <c r="AF1504" s="359"/>
    </row>
    <row r="1505" spans="32:32" x14ac:dyDescent="0.35">
      <c r="AF1505" s="359"/>
    </row>
    <row r="1506" spans="32:32" x14ac:dyDescent="0.35">
      <c r="AF1506" s="359"/>
    </row>
    <row r="1507" spans="32:32" x14ac:dyDescent="0.35">
      <c r="AF1507" s="359"/>
    </row>
    <row r="1508" spans="32:32" x14ac:dyDescent="0.35">
      <c r="AF1508" s="359"/>
    </row>
    <row r="1509" spans="32:32" x14ac:dyDescent="0.35">
      <c r="AF1509" s="359"/>
    </row>
    <row r="1510" spans="32:32" x14ac:dyDescent="0.35">
      <c r="AF1510" s="359"/>
    </row>
    <row r="1511" spans="32:32" x14ac:dyDescent="0.35">
      <c r="AF1511" s="359"/>
    </row>
    <row r="1512" spans="32:32" x14ac:dyDescent="0.35">
      <c r="AF1512" s="359"/>
    </row>
    <row r="1513" spans="32:32" x14ac:dyDescent="0.35">
      <c r="AF1513" s="359"/>
    </row>
    <row r="1514" spans="32:32" x14ac:dyDescent="0.35">
      <c r="AF1514" s="359"/>
    </row>
    <row r="1515" spans="32:32" x14ac:dyDescent="0.35">
      <c r="AF1515" s="359"/>
    </row>
    <row r="1516" spans="32:32" x14ac:dyDescent="0.35">
      <c r="AF1516" s="359"/>
    </row>
    <row r="1517" spans="32:32" x14ac:dyDescent="0.35">
      <c r="AF1517" s="359"/>
    </row>
    <row r="1518" spans="32:32" x14ac:dyDescent="0.35">
      <c r="AF1518" s="359"/>
    </row>
    <row r="1519" spans="32:32" x14ac:dyDescent="0.35">
      <c r="AF1519" s="359"/>
    </row>
    <row r="1520" spans="32:32" x14ac:dyDescent="0.35">
      <c r="AF1520" s="359"/>
    </row>
    <row r="1521" spans="32:32" x14ac:dyDescent="0.35">
      <c r="AF1521" s="359"/>
    </row>
    <row r="1522" spans="32:32" x14ac:dyDescent="0.35">
      <c r="AF1522" s="359"/>
    </row>
    <row r="1523" spans="32:32" x14ac:dyDescent="0.35">
      <c r="AF1523" s="359"/>
    </row>
    <row r="1524" spans="32:32" x14ac:dyDescent="0.35">
      <c r="AF1524" s="359"/>
    </row>
    <row r="1525" spans="32:32" x14ac:dyDescent="0.35">
      <c r="AF1525" s="359"/>
    </row>
    <row r="1526" spans="32:32" x14ac:dyDescent="0.35">
      <c r="AF1526" s="359"/>
    </row>
    <row r="1527" spans="32:32" x14ac:dyDescent="0.35">
      <c r="AF1527" s="359"/>
    </row>
    <row r="1528" spans="32:32" x14ac:dyDescent="0.35">
      <c r="AF1528" s="359"/>
    </row>
    <row r="1529" spans="32:32" x14ac:dyDescent="0.35">
      <c r="AF1529" s="359"/>
    </row>
    <row r="1530" spans="32:32" x14ac:dyDescent="0.35">
      <c r="AF1530" s="359"/>
    </row>
    <row r="1531" spans="32:32" x14ac:dyDescent="0.35">
      <c r="AF1531" s="359"/>
    </row>
    <row r="1532" spans="32:32" x14ac:dyDescent="0.35">
      <c r="AF1532" s="359"/>
    </row>
    <row r="1533" spans="32:32" x14ac:dyDescent="0.35">
      <c r="AF1533" s="359"/>
    </row>
    <row r="1534" spans="32:32" x14ac:dyDescent="0.35">
      <c r="AF1534" s="359"/>
    </row>
    <row r="1535" spans="32:32" x14ac:dyDescent="0.35">
      <c r="AF1535" s="359"/>
    </row>
    <row r="1536" spans="32:32" x14ac:dyDescent="0.35">
      <c r="AF1536" s="359"/>
    </row>
    <row r="1537" spans="32:32" x14ac:dyDescent="0.35">
      <c r="AF1537" s="359"/>
    </row>
    <row r="1538" spans="32:32" x14ac:dyDescent="0.35">
      <c r="AF1538" s="359"/>
    </row>
    <row r="1539" spans="32:32" x14ac:dyDescent="0.35">
      <c r="AF1539" s="359"/>
    </row>
    <row r="1540" spans="32:32" x14ac:dyDescent="0.35">
      <c r="AF1540" s="359"/>
    </row>
    <row r="1541" spans="32:32" x14ac:dyDescent="0.35">
      <c r="AF1541" s="359"/>
    </row>
    <row r="1542" spans="32:32" x14ac:dyDescent="0.35">
      <c r="AF1542" s="359"/>
    </row>
    <row r="1543" spans="32:32" x14ac:dyDescent="0.35">
      <c r="AF1543" s="359"/>
    </row>
    <row r="1544" spans="32:32" x14ac:dyDescent="0.35">
      <c r="AF1544" s="359"/>
    </row>
    <row r="1545" spans="32:32" x14ac:dyDescent="0.35">
      <c r="AF1545" s="359"/>
    </row>
    <row r="1546" spans="32:32" x14ac:dyDescent="0.35">
      <c r="AF1546" s="359"/>
    </row>
    <row r="1547" spans="32:32" x14ac:dyDescent="0.35">
      <c r="AF1547" s="359"/>
    </row>
    <row r="1548" spans="32:32" x14ac:dyDescent="0.35">
      <c r="AF1548" s="359"/>
    </row>
    <row r="1549" spans="32:32" x14ac:dyDescent="0.35">
      <c r="AF1549" s="359"/>
    </row>
    <row r="1550" spans="32:32" x14ac:dyDescent="0.35">
      <c r="AF1550" s="359"/>
    </row>
    <row r="1551" spans="32:32" x14ac:dyDescent="0.35">
      <c r="AF1551" s="359"/>
    </row>
    <row r="1552" spans="32:32" x14ac:dyDescent="0.35">
      <c r="AF1552" s="359"/>
    </row>
    <row r="1553" spans="32:32" x14ac:dyDescent="0.35">
      <c r="AF1553" s="359"/>
    </row>
    <row r="1554" spans="32:32" x14ac:dyDescent="0.35">
      <c r="AF1554" s="359"/>
    </row>
    <row r="1555" spans="32:32" x14ac:dyDescent="0.35">
      <c r="AF1555" s="359"/>
    </row>
    <row r="1556" spans="32:32" x14ac:dyDescent="0.35">
      <c r="AF1556" s="359"/>
    </row>
    <row r="1557" spans="32:32" x14ac:dyDescent="0.35">
      <c r="AF1557" s="359"/>
    </row>
    <row r="1558" spans="32:32" x14ac:dyDescent="0.35">
      <c r="AF1558" s="359"/>
    </row>
    <row r="1559" spans="32:32" x14ac:dyDescent="0.35">
      <c r="AF1559" s="359"/>
    </row>
    <row r="1560" spans="32:32" x14ac:dyDescent="0.35">
      <c r="AF1560" s="359"/>
    </row>
    <row r="1561" spans="32:32" x14ac:dyDescent="0.35">
      <c r="AF1561" s="359"/>
    </row>
    <row r="1562" spans="32:32" x14ac:dyDescent="0.35">
      <c r="AF1562" s="359"/>
    </row>
    <row r="1563" spans="32:32" x14ac:dyDescent="0.35">
      <c r="AF1563" s="359"/>
    </row>
    <row r="1564" spans="32:32" x14ac:dyDescent="0.35">
      <c r="AF1564" s="359"/>
    </row>
    <row r="1565" spans="32:32" x14ac:dyDescent="0.35">
      <c r="AF1565" s="359"/>
    </row>
    <row r="1566" spans="32:32" x14ac:dyDescent="0.35">
      <c r="AF1566" s="359"/>
    </row>
    <row r="1567" spans="32:32" x14ac:dyDescent="0.35">
      <c r="AF1567" s="359"/>
    </row>
    <row r="1568" spans="32:32" x14ac:dyDescent="0.35">
      <c r="AF1568" s="359"/>
    </row>
    <row r="1569" spans="32:32" x14ac:dyDescent="0.35">
      <c r="AF1569" s="359"/>
    </row>
    <row r="1570" spans="32:32" x14ac:dyDescent="0.35">
      <c r="AF1570" s="359"/>
    </row>
    <row r="1571" spans="32:32" x14ac:dyDescent="0.35">
      <c r="AF1571" s="359"/>
    </row>
    <row r="1572" spans="32:32" x14ac:dyDescent="0.35">
      <c r="AF1572" s="359"/>
    </row>
    <row r="1573" spans="32:32" x14ac:dyDescent="0.35">
      <c r="AF1573" s="359"/>
    </row>
    <row r="1574" spans="32:32" x14ac:dyDescent="0.35">
      <c r="AF1574" s="359"/>
    </row>
    <row r="1575" spans="32:32" x14ac:dyDescent="0.35">
      <c r="AF1575" s="359"/>
    </row>
    <row r="1576" spans="32:32" x14ac:dyDescent="0.35">
      <c r="AF1576" s="359"/>
    </row>
    <row r="1577" spans="32:32" x14ac:dyDescent="0.35">
      <c r="AF1577" s="359"/>
    </row>
    <row r="1578" spans="32:32" x14ac:dyDescent="0.35">
      <c r="AF1578" s="359"/>
    </row>
    <row r="1579" spans="32:32" x14ac:dyDescent="0.35">
      <c r="AF1579" s="359"/>
    </row>
    <row r="1580" spans="32:32" x14ac:dyDescent="0.35">
      <c r="AF1580" s="359"/>
    </row>
    <row r="1581" spans="32:32" x14ac:dyDescent="0.35">
      <c r="AF1581" s="359"/>
    </row>
    <row r="1582" spans="32:32" x14ac:dyDescent="0.35">
      <c r="AF1582" s="359"/>
    </row>
    <row r="1583" spans="32:32" x14ac:dyDescent="0.35">
      <c r="AF1583" s="359"/>
    </row>
    <row r="1584" spans="32:32" x14ac:dyDescent="0.35">
      <c r="AF1584" s="359"/>
    </row>
    <row r="1585" spans="32:32" x14ac:dyDescent="0.35">
      <c r="AF1585" s="359"/>
    </row>
    <row r="1586" spans="32:32" x14ac:dyDescent="0.35">
      <c r="AF1586" s="359"/>
    </row>
    <row r="1587" spans="32:32" x14ac:dyDescent="0.35">
      <c r="AF1587" s="359"/>
    </row>
    <row r="1588" spans="32:32" x14ac:dyDescent="0.35">
      <c r="AF1588" s="359"/>
    </row>
    <row r="1589" spans="32:32" x14ac:dyDescent="0.35">
      <c r="AF1589" s="359"/>
    </row>
    <row r="1590" spans="32:32" x14ac:dyDescent="0.35">
      <c r="AF1590" s="359"/>
    </row>
    <row r="1591" spans="32:32" x14ac:dyDescent="0.35">
      <c r="AF1591" s="359"/>
    </row>
    <row r="1592" spans="32:32" x14ac:dyDescent="0.35">
      <c r="AF1592" s="359"/>
    </row>
    <row r="1593" spans="32:32" x14ac:dyDescent="0.35">
      <c r="AF1593" s="359"/>
    </row>
    <row r="1594" spans="32:32" x14ac:dyDescent="0.35">
      <c r="AF1594" s="359"/>
    </row>
    <row r="1595" spans="32:32" x14ac:dyDescent="0.35">
      <c r="AF1595" s="359"/>
    </row>
    <row r="1596" spans="32:32" x14ac:dyDescent="0.35">
      <c r="AF1596" s="359"/>
    </row>
    <row r="1597" spans="32:32" x14ac:dyDescent="0.35">
      <c r="AF1597" s="359"/>
    </row>
    <row r="1598" spans="32:32" x14ac:dyDescent="0.35">
      <c r="AF1598" s="359"/>
    </row>
    <row r="1599" spans="32:32" x14ac:dyDescent="0.35">
      <c r="AF1599" s="359"/>
    </row>
    <row r="1600" spans="32:32" x14ac:dyDescent="0.35">
      <c r="AF1600" s="359"/>
    </row>
    <row r="1601" spans="32:32" x14ac:dyDescent="0.35">
      <c r="AF1601" s="359"/>
    </row>
    <row r="1602" spans="32:32" x14ac:dyDescent="0.35">
      <c r="AF1602" s="359"/>
    </row>
    <row r="1603" spans="32:32" x14ac:dyDescent="0.35">
      <c r="AF1603" s="359"/>
    </row>
    <row r="1604" spans="32:32" x14ac:dyDescent="0.35">
      <c r="AF1604" s="359"/>
    </row>
    <row r="1605" spans="32:32" x14ac:dyDescent="0.35">
      <c r="AF1605" s="359"/>
    </row>
    <row r="1606" spans="32:32" x14ac:dyDescent="0.35">
      <c r="AF1606" s="359"/>
    </row>
    <row r="1607" spans="32:32" x14ac:dyDescent="0.35">
      <c r="AF1607" s="359"/>
    </row>
    <row r="1608" spans="32:32" x14ac:dyDescent="0.35">
      <c r="AF1608" s="359"/>
    </row>
    <row r="1609" spans="32:32" x14ac:dyDescent="0.35">
      <c r="AF1609" s="359"/>
    </row>
    <row r="1610" spans="32:32" x14ac:dyDescent="0.35">
      <c r="AF1610" s="359"/>
    </row>
    <row r="1611" spans="32:32" x14ac:dyDescent="0.35">
      <c r="AF1611" s="359"/>
    </row>
    <row r="1612" spans="32:32" x14ac:dyDescent="0.35">
      <c r="AF1612" s="359"/>
    </row>
    <row r="1613" spans="32:32" x14ac:dyDescent="0.35">
      <c r="AF1613" s="359"/>
    </row>
    <row r="1614" spans="32:32" x14ac:dyDescent="0.35">
      <c r="AF1614" s="359"/>
    </row>
    <row r="1615" spans="32:32" x14ac:dyDescent="0.35">
      <c r="AF1615" s="359"/>
    </row>
    <row r="1616" spans="32:32" x14ac:dyDescent="0.35">
      <c r="AF1616" s="359"/>
    </row>
    <row r="1617" spans="32:32" x14ac:dyDescent="0.35">
      <c r="AF1617" s="359"/>
    </row>
    <row r="1618" spans="32:32" x14ac:dyDescent="0.35">
      <c r="AF1618" s="359"/>
    </row>
    <row r="1619" spans="32:32" x14ac:dyDescent="0.35">
      <c r="AF1619" s="359"/>
    </row>
    <row r="1620" spans="32:32" x14ac:dyDescent="0.35">
      <c r="AF1620" s="359"/>
    </row>
    <row r="1621" spans="32:32" x14ac:dyDescent="0.35">
      <c r="AF1621" s="359"/>
    </row>
    <row r="1622" spans="32:32" x14ac:dyDescent="0.35">
      <c r="AF1622" s="359"/>
    </row>
    <row r="1623" spans="32:32" x14ac:dyDescent="0.35">
      <c r="AF1623" s="359"/>
    </row>
    <row r="1624" spans="32:32" x14ac:dyDescent="0.35">
      <c r="AF1624" s="359"/>
    </row>
    <row r="1625" spans="32:32" x14ac:dyDescent="0.35">
      <c r="AF1625" s="359"/>
    </row>
    <row r="1626" spans="32:32" x14ac:dyDescent="0.35">
      <c r="AF1626" s="359"/>
    </row>
    <row r="1627" spans="32:32" x14ac:dyDescent="0.35">
      <c r="AF1627" s="359"/>
    </row>
    <row r="1628" spans="32:32" x14ac:dyDescent="0.35">
      <c r="AF1628" s="359"/>
    </row>
    <row r="1629" spans="32:32" x14ac:dyDescent="0.35">
      <c r="AF1629" s="359"/>
    </row>
    <row r="1630" spans="32:32" x14ac:dyDescent="0.35">
      <c r="AF1630" s="359"/>
    </row>
    <row r="1631" spans="32:32" x14ac:dyDescent="0.35">
      <c r="AF1631" s="359"/>
    </row>
    <row r="1632" spans="32:32" x14ac:dyDescent="0.35">
      <c r="AF1632" s="359"/>
    </row>
    <row r="1633" spans="32:32" x14ac:dyDescent="0.35">
      <c r="AF1633" s="359"/>
    </row>
    <row r="1634" spans="32:32" x14ac:dyDescent="0.35">
      <c r="AF1634" s="359"/>
    </row>
    <row r="1635" spans="32:32" x14ac:dyDescent="0.35">
      <c r="AF1635" s="359"/>
    </row>
    <row r="1636" spans="32:32" x14ac:dyDescent="0.35">
      <c r="AF1636" s="359"/>
    </row>
    <row r="1637" spans="32:32" x14ac:dyDescent="0.35">
      <c r="AF1637" s="359"/>
    </row>
    <row r="1638" spans="32:32" x14ac:dyDescent="0.35">
      <c r="AF1638" s="359"/>
    </row>
    <row r="1639" spans="32:32" x14ac:dyDescent="0.35">
      <c r="AF1639" s="359"/>
    </row>
    <row r="1640" spans="32:32" x14ac:dyDescent="0.35">
      <c r="AF1640" s="359"/>
    </row>
    <row r="1641" spans="32:32" x14ac:dyDescent="0.35">
      <c r="AF1641" s="359"/>
    </row>
    <row r="1642" spans="32:32" x14ac:dyDescent="0.35">
      <c r="AF1642" s="359"/>
    </row>
    <row r="1643" spans="32:32" x14ac:dyDescent="0.35">
      <c r="AF1643" s="359"/>
    </row>
    <row r="1644" spans="32:32" x14ac:dyDescent="0.35">
      <c r="AF1644" s="359"/>
    </row>
    <row r="1645" spans="32:32" x14ac:dyDescent="0.35">
      <c r="AF1645" s="359"/>
    </row>
    <row r="1646" spans="32:32" x14ac:dyDescent="0.35">
      <c r="AF1646" s="359"/>
    </row>
    <row r="1647" spans="32:32" x14ac:dyDescent="0.35">
      <c r="AF1647" s="359"/>
    </row>
    <row r="1648" spans="32:32" x14ac:dyDescent="0.35">
      <c r="AF1648" s="359"/>
    </row>
    <row r="1649" spans="32:32" x14ac:dyDescent="0.35">
      <c r="AF1649" s="359"/>
    </row>
    <row r="1650" spans="32:32" x14ac:dyDescent="0.35">
      <c r="AF1650" s="359"/>
    </row>
    <row r="1651" spans="32:32" x14ac:dyDescent="0.35">
      <c r="AF1651" s="359"/>
    </row>
    <row r="1652" spans="32:32" x14ac:dyDescent="0.35">
      <c r="AF1652" s="359"/>
    </row>
    <row r="1653" spans="32:32" x14ac:dyDescent="0.35">
      <c r="AF1653" s="359"/>
    </row>
    <row r="1654" spans="32:32" x14ac:dyDescent="0.35">
      <c r="AF1654" s="359"/>
    </row>
    <row r="1655" spans="32:32" x14ac:dyDescent="0.35">
      <c r="AF1655" s="359"/>
    </row>
    <row r="1656" spans="32:32" x14ac:dyDescent="0.35">
      <c r="AF1656" s="359"/>
    </row>
    <row r="1657" spans="32:32" x14ac:dyDescent="0.35">
      <c r="AF1657" s="359"/>
    </row>
    <row r="1658" spans="32:32" x14ac:dyDescent="0.35">
      <c r="AF1658" s="359"/>
    </row>
    <row r="1659" spans="32:32" x14ac:dyDescent="0.35">
      <c r="AF1659" s="359"/>
    </row>
    <row r="1660" spans="32:32" x14ac:dyDescent="0.35">
      <c r="AF1660" s="359"/>
    </row>
    <row r="1661" spans="32:32" x14ac:dyDescent="0.35">
      <c r="AF1661" s="359"/>
    </row>
    <row r="1662" spans="32:32" x14ac:dyDescent="0.35">
      <c r="AF1662" s="359"/>
    </row>
    <row r="1663" spans="32:32" x14ac:dyDescent="0.35">
      <c r="AF1663" s="359"/>
    </row>
    <row r="1664" spans="32:32" x14ac:dyDescent="0.35">
      <c r="AF1664" s="359"/>
    </row>
    <row r="1665" spans="32:32" x14ac:dyDescent="0.35">
      <c r="AF1665" s="359"/>
    </row>
    <row r="1666" spans="32:32" x14ac:dyDescent="0.35">
      <c r="AF1666" s="359"/>
    </row>
    <row r="1667" spans="32:32" x14ac:dyDescent="0.35">
      <c r="AF1667" s="359"/>
    </row>
    <row r="1668" spans="32:32" x14ac:dyDescent="0.35">
      <c r="AF1668" s="359"/>
    </row>
    <row r="1669" spans="32:32" x14ac:dyDescent="0.35">
      <c r="AF1669" s="359"/>
    </row>
    <row r="1670" spans="32:32" x14ac:dyDescent="0.35">
      <c r="AF1670" s="359"/>
    </row>
    <row r="1671" spans="32:32" x14ac:dyDescent="0.35">
      <c r="AF1671" s="359"/>
    </row>
    <row r="1672" spans="32:32" x14ac:dyDescent="0.35">
      <c r="AF1672" s="359"/>
    </row>
    <row r="1673" spans="32:32" x14ac:dyDescent="0.35">
      <c r="AF1673" s="359"/>
    </row>
    <row r="1674" spans="32:32" x14ac:dyDescent="0.35">
      <c r="AF1674" s="359"/>
    </row>
    <row r="1675" spans="32:32" x14ac:dyDescent="0.35">
      <c r="AF1675" s="359"/>
    </row>
    <row r="1676" spans="32:32" x14ac:dyDescent="0.35">
      <c r="AF1676" s="359"/>
    </row>
    <row r="1677" spans="32:32" x14ac:dyDescent="0.35">
      <c r="AF1677" s="359"/>
    </row>
    <row r="1678" spans="32:32" x14ac:dyDescent="0.35">
      <c r="AF1678" s="359"/>
    </row>
    <row r="1679" spans="32:32" x14ac:dyDescent="0.35">
      <c r="AF1679" s="359"/>
    </row>
    <row r="1680" spans="32:32" x14ac:dyDescent="0.35">
      <c r="AF1680" s="359"/>
    </row>
    <row r="1681" spans="32:32" x14ac:dyDescent="0.35">
      <c r="AF1681" s="359"/>
    </row>
    <row r="1682" spans="32:32" x14ac:dyDescent="0.35">
      <c r="AF1682" s="359"/>
    </row>
    <row r="1683" spans="32:32" x14ac:dyDescent="0.35">
      <c r="AF1683" s="359"/>
    </row>
    <row r="1684" spans="32:32" x14ac:dyDescent="0.35">
      <c r="AF1684" s="359"/>
    </row>
    <row r="1685" spans="32:32" x14ac:dyDescent="0.35">
      <c r="AF1685" s="359"/>
    </row>
    <row r="1686" spans="32:32" x14ac:dyDescent="0.35">
      <c r="AF1686" s="359"/>
    </row>
    <row r="1687" spans="32:32" x14ac:dyDescent="0.35">
      <c r="AF1687" s="359"/>
    </row>
    <row r="1688" spans="32:32" x14ac:dyDescent="0.35">
      <c r="AF1688" s="359"/>
    </row>
    <row r="1689" spans="32:32" x14ac:dyDescent="0.35">
      <c r="AF1689" s="359"/>
    </row>
    <row r="1690" spans="32:32" x14ac:dyDescent="0.35">
      <c r="AF1690" s="359"/>
    </row>
    <row r="1691" spans="32:32" x14ac:dyDescent="0.35">
      <c r="AF1691" s="359"/>
    </row>
    <row r="1692" spans="32:32" x14ac:dyDescent="0.35">
      <c r="AF1692" s="359"/>
    </row>
    <row r="1693" spans="32:32" x14ac:dyDescent="0.35">
      <c r="AF1693" s="359"/>
    </row>
    <row r="1694" spans="32:32" x14ac:dyDescent="0.35">
      <c r="AF1694" s="359"/>
    </row>
    <row r="1695" spans="32:32" x14ac:dyDescent="0.35">
      <c r="AF1695" s="359"/>
    </row>
    <row r="1696" spans="32:32" x14ac:dyDescent="0.35">
      <c r="AF1696" s="359"/>
    </row>
    <row r="1697" spans="32:32" x14ac:dyDescent="0.35">
      <c r="AF1697" s="359"/>
    </row>
    <row r="1698" spans="32:32" x14ac:dyDescent="0.35">
      <c r="AF1698" s="359"/>
    </row>
    <row r="1699" spans="32:32" x14ac:dyDescent="0.35">
      <c r="AF1699" s="359"/>
    </row>
    <row r="1700" spans="32:32" x14ac:dyDescent="0.35">
      <c r="AF1700" s="359"/>
    </row>
    <row r="1701" spans="32:32" x14ac:dyDescent="0.35">
      <c r="AF1701" s="359"/>
    </row>
    <row r="1702" spans="32:32" x14ac:dyDescent="0.35">
      <c r="AF1702" s="359"/>
    </row>
    <row r="1703" spans="32:32" x14ac:dyDescent="0.35">
      <c r="AF1703" s="359"/>
    </row>
    <row r="1704" spans="32:32" x14ac:dyDescent="0.35">
      <c r="AF1704" s="359"/>
    </row>
    <row r="1705" spans="32:32" x14ac:dyDescent="0.35">
      <c r="AF1705" s="359"/>
    </row>
    <row r="1706" spans="32:32" x14ac:dyDescent="0.35">
      <c r="AF1706" s="359"/>
    </row>
    <row r="1707" spans="32:32" x14ac:dyDescent="0.35">
      <c r="AF1707" s="359"/>
    </row>
    <row r="1708" spans="32:32" x14ac:dyDescent="0.35">
      <c r="AF1708" s="359"/>
    </row>
    <row r="1709" spans="32:32" x14ac:dyDescent="0.35">
      <c r="AF1709" s="359"/>
    </row>
    <row r="1710" spans="32:32" x14ac:dyDescent="0.35">
      <c r="AF1710" s="359"/>
    </row>
    <row r="1711" spans="32:32" x14ac:dyDescent="0.35">
      <c r="AF1711" s="359"/>
    </row>
    <row r="1712" spans="32:32" x14ac:dyDescent="0.35">
      <c r="AF1712" s="359"/>
    </row>
    <row r="1713" spans="32:32" x14ac:dyDescent="0.35">
      <c r="AF1713" s="359"/>
    </row>
    <row r="1714" spans="32:32" x14ac:dyDescent="0.35">
      <c r="AF1714" s="359"/>
    </row>
    <row r="1715" spans="32:32" x14ac:dyDescent="0.35">
      <c r="AF1715" s="359"/>
    </row>
    <row r="1716" spans="32:32" x14ac:dyDescent="0.35">
      <c r="AF1716" s="359"/>
    </row>
    <row r="1717" spans="32:32" x14ac:dyDescent="0.35">
      <c r="AF1717" s="359"/>
    </row>
    <row r="1718" spans="32:32" x14ac:dyDescent="0.35">
      <c r="AF1718" s="359"/>
    </row>
    <row r="1719" spans="32:32" x14ac:dyDescent="0.35">
      <c r="AF1719" s="359"/>
    </row>
    <row r="1720" spans="32:32" x14ac:dyDescent="0.35">
      <c r="AF1720" s="359"/>
    </row>
    <row r="1721" spans="32:32" x14ac:dyDescent="0.35">
      <c r="AF1721" s="359"/>
    </row>
    <row r="1722" spans="32:32" x14ac:dyDescent="0.35">
      <c r="AF1722" s="359"/>
    </row>
    <row r="1723" spans="32:32" x14ac:dyDescent="0.35">
      <c r="AF1723" s="359"/>
    </row>
    <row r="1724" spans="32:32" x14ac:dyDescent="0.35">
      <c r="AF1724" s="359"/>
    </row>
    <row r="1725" spans="32:32" x14ac:dyDescent="0.35">
      <c r="AF1725" s="359"/>
    </row>
    <row r="1726" spans="32:32" x14ac:dyDescent="0.35">
      <c r="AF1726" s="359"/>
    </row>
    <row r="1727" spans="32:32" x14ac:dyDescent="0.35">
      <c r="AF1727" s="359"/>
    </row>
    <row r="1728" spans="32:32" x14ac:dyDescent="0.35">
      <c r="AF1728" s="359"/>
    </row>
    <row r="1729" spans="32:32" x14ac:dyDescent="0.35">
      <c r="AF1729" s="359"/>
    </row>
    <row r="1730" spans="32:32" x14ac:dyDescent="0.35">
      <c r="AF1730" s="359"/>
    </row>
    <row r="1731" spans="32:32" x14ac:dyDescent="0.35">
      <c r="AF1731" s="359"/>
    </row>
    <row r="1732" spans="32:32" x14ac:dyDescent="0.35">
      <c r="AF1732" s="359"/>
    </row>
    <row r="1733" spans="32:32" x14ac:dyDescent="0.35">
      <c r="AF1733" s="359"/>
    </row>
    <row r="1734" spans="32:32" x14ac:dyDescent="0.35">
      <c r="AF1734" s="359"/>
    </row>
    <row r="1735" spans="32:32" x14ac:dyDescent="0.35">
      <c r="AF1735" s="359"/>
    </row>
    <row r="1736" spans="32:32" x14ac:dyDescent="0.35">
      <c r="AF1736" s="359"/>
    </row>
    <row r="1737" spans="32:32" x14ac:dyDescent="0.35">
      <c r="AF1737" s="359"/>
    </row>
    <row r="1738" spans="32:32" x14ac:dyDescent="0.35">
      <c r="AF1738" s="359"/>
    </row>
    <row r="1739" spans="32:32" x14ac:dyDescent="0.35">
      <c r="AF1739" s="359"/>
    </row>
    <row r="1740" spans="32:32" x14ac:dyDescent="0.35">
      <c r="AF1740" s="359"/>
    </row>
    <row r="1741" spans="32:32" x14ac:dyDescent="0.35">
      <c r="AF1741" s="359"/>
    </row>
    <row r="1742" spans="32:32" x14ac:dyDescent="0.35">
      <c r="AF1742" s="359"/>
    </row>
    <row r="1743" spans="32:32" x14ac:dyDescent="0.35">
      <c r="AF1743" s="359"/>
    </row>
    <row r="1744" spans="32:32" x14ac:dyDescent="0.35">
      <c r="AF1744" s="359"/>
    </row>
    <row r="1745" spans="32:32" x14ac:dyDescent="0.35">
      <c r="AF1745" s="359"/>
    </row>
    <row r="1746" spans="32:32" x14ac:dyDescent="0.35">
      <c r="AF1746" s="359"/>
    </row>
    <row r="1747" spans="32:32" x14ac:dyDescent="0.35">
      <c r="AF1747" s="359"/>
    </row>
    <row r="1748" spans="32:32" x14ac:dyDescent="0.35">
      <c r="AF1748" s="359"/>
    </row>
    <row r="1749" spans="32:32" x14ac:dyDescent="0.35">
      <c r="AF1749" s="359"/>
    </row>
    <row r="1750" spans="32:32" x14ac:dyDescent="0.35">
      <c r="AF1750" s="359"/>
    </row>
    <row r="1751" spans="32:32" x14ac:dyDescent="0.35">
      <c r="AF1751" s="359"/>
    </row>
    <row r="1752" spans="32:32" x14ac:dyDescent="0.35">
      <c r="AF1752" s="359"/>
    </row>
    <row r="1753" spans="32:32" x14ac:dyDescent="0.35">
      <c r="AF1753" s="359"/>
    </row>
    <row r="1754" spans="32:32" x14ac:dyDescent="0.35">
      <c r="AF1754" s="359"/>
    </row>
    <row r="1755" spans="32:32" x14ac:dyDescent="0.35">
      <c r="AF1755" s="359"/>
    </row>
    <row r="1756" spans="32:32" x14ac:dyDescent="0.35">
      <c r="AF1756" s="359"/>
    </row>
    <row r="1757" spans="32:32" x14ac:dyDescent="0.35">
      <c r="AF1757" s="359"/>
    </row>
    <row r="1758" spans="32:32" x14ac:dyDescent="0.35">
      <c r="AF1758" s="359"/>
    </row>
    <row r="1759" spans="32:32" x14ac:dyDescent="0.35">
      <c r="AF1759" s="359"/>
    </row>
    <row r="1760" spans="32:32" x14ac:dyDescent="0.35">
      <c r="AF1760" s="359"/>
    </row>
    <row r="1761" spans="32:32" x14ac:dyDescent="0.35">
      <c r="AF1761" s="359"/>
    </row>
    <row r="1762" spans="32:32" x14ac:dyDescent="0.35">
      <c r="AF1762" s="359"/>
    </row>
    <row r="1763" spans="32:32" x14ac:dyDescent="0.35">
      <c r="AF1763" s="359"/>
    </row>
    <row r="1764" spans="32:32" x14ac:dyDescent="0.35">
      <c r="AF1764" s="359"/>
    </row>
    <row r="1765" spans="32:32" x14ac:dyDescent="0.35">
      <c r="AF1765" s="359"/>
    </row>
    <row r="1766" spans="32:32" x14ac:dyDescent="0.35">
      <c r="AF1766" s="359"/>
    </row>
    <row r="1767" spans="32:32" x14ac:dyDescent="0.35">
      <c r="AF1767" s="359"/>
    </row>
    <row r="1768" spans="32:32" x14ac:dyDescent="0.35">
      <c r="AF1768" s="359"/>
    </row>
    <row r="1769" spans="32:32" x14ac:dyDescent="0.35">
      <c r="AF1769" s="359"/>
    </row>
    <row r="1770" spans="32:32" x14ac:dyDescent="0.35">
      <c r="AF1770" s="359"/>
    </row>
    <row r="1771" spans="32:32" x14ac:dyDescent="0.35">
      <c r="AF1771" s="359"/>
    </row>
    <row r="1772" spans="32:32" x14ac:dyDescent="0.35">
      <c r="AF1772" s="359"/>
    </row>
    <row r="1773" spans="32:32" x14ac:dyDescent="0.35">
      <c r="AF1773" s="359"/>
    </row>
    <row r="1774" spans="32:32" x14ac:dyDescent="0.35">
      <c r="AF1774" s="359"/>
    </row>
    <row r="1775" spans="32:32" x14ac:dyDescent="0.35">
      <c r="AF1775" s="359"/>
    </row>
    <row r="1776" spans="32:32" x14ac:dyDescent="0.35">
      <c r="AF1776" s="359"/>
    </row>
    <row r="1777" spans="32:32" x14ac:dyDescent="0.35">
      <c r="AF1777" s="359"/>
    </row>
    <row r="1778" spans="32:32" x14ac:dyDescent="0.35">
      <c r="AF1778" s="359"/>
    </row>
    <row r="1779" spans="32:32" x14ac:dyDescent="0.35">
      <c r="AF1779" s="359"/>
    </row>
    <row r="1780" spans="32:32" x14ac:dyDescent="0.35">
      <c r="AF1780" s="359"/>
    </row>
    <row r="1781" spans="32:32" x14ac:dyDescent="0.35">
      <c r="AF1781" s="359"/>
    </row>
    <row r="1782" spans="32:32" x14ac:dyDescent="0.35">
      <c r="AF1782" s="359"/>
    </row>
    <row r="1783" spans="32:32" x14ac:dyDescent="0.35">
      <c r="AF1783" s="359"/>
    </row>
    <row r="1784" spans="32:32" x14ac:dyDescent="0.35">
      <c r="AF1784" s="359"/>
    </row>
    <row r="1785" spans="32:32" x14ac:dyDescent="0.35">
      <c r="AF1785" s="359"/>
    </row>
    <row r="1786" spans="32:32" x14ac:dyDescent="0.35">
      <c r="AF1786" s="359"/>
    </row>
    <row r="1787" spans="32:32" x14ac:dyDescent="0.35">
      <c r="AF1787" s="359"/>
    </row>
    <row r="1788" spans="32:32" x14ac:dyDescent="0.35">
      <c r="AF1788" s="359"/>
    </row>
    <row r="1789" spans="32:32" x14ac:dyDescent="0.35">
      <c r="AF1789" s="359"/>
    </row>
    <row r="1790" spans="32:32" x14ac:dyDescent="0.35">
      <c r="AF1790" s="359"/>
    </row>
    <row r="1791" spans="32:32" x14ac:dyDescent="0.35">
      <c r="AF1791" s="359"/>
    </row>
    <row r="1792" spans="32:32" x14ac:dyDescent="0.35">
      <c r="AF1792" s="359"/>
    </row>
    <row r="1793" spans="32:32" x14ac:dyDescent="0.35">
      <c r="AF1793" s="359"/>
    </row>
    <row r="1794" spans="32:32" x14ac:dyDescent="0.35">
      <c r="AF1794" s="359"/>
    </row>
    <row r="1795" spans="32:32" x14ac:dyDescent="0.35">
      <c r="AF1795" s="359"/>
    </row>
    <row r="1796" spans="32:32" x14ac:dyDescent="0.35">
      <c r="AF1796" s="359"/>
    </row>
    <row r="1797" spans="32:32" x14ac:dyDescent="0.35">
      <c r="AF1797" s="359"/>
    </row>
    <row r="1798" spans="32:32" x14ac:dyDescent="0.35">
      <c r="AF1798" s="359"/>
    </row>
    <row r="1799" spans="32:32" x14ac:dyDescent="0.35">
      <c r="AF1799" s="359"/>
    </row>
    <row r="1800" spans="32:32" x14ac:dyDescent="0.35">
      <c r="AF1800" s="359"/>
    </row>
    <row r="1801" spans="32:32" x14ac:dyDescent="0.35">
      <c r="AF1801" s="359"/>
    </row>
    <row r="1802" spans="32:32" x14ac:dyDescent="0.35">
      <c r="AF1802" s="359"/>
    </row>
    <row r="1803" spans="32:32" x14ac:dyDescent="0.35">
      <c r="AF1803" s="359"/>
    </row>
    <row r="1804" spans="32:32" x14ac:dyDescent="0.35">
      <c r="AF1804" s="359"/>
    </row>
    <row r="1805" spans="32:32" x14ac:dyDescent="0.35">
      <c r="AF1805" s="359"/>
    </row>
    <row r="1806" spans="32:32" x14ac:dyDescent="0.35">
      <c r="AF1806" s="359"/>
    </row>
    <row r="1807" spans="32:32" x14ac:dyDescent="0.35">
      <c r="AF1807" s="359"/>
    </row>
    <row r="1808" spans="32:32" x14ac:dyDescent="0.35">
      <c r="AF1808" s="359"/>
    </row>
    <row r="1809" spans="32:32" x14ac:dyDescent="0.35">
      <c r="AF1809" s="359"/>
    </row>
    <row r="1810" spans="32:32" x14ac:dyDescent="0.35">
      <c r="AF1810" s="359"/>
    </row>
    <row r="1811" spans="32:32" x14ac:dyDescent="0.35">
      <c r="AF1811" s="359"/>
    </row>
    <row r="1812" spans="32:32" x14ac:dyDescent="0.35">
      <c r="AF1812" s="359"/>
    </row>
    <row r="1813" spans="32:32" x14ac:dyDescent="0.35">
      <c r="AF1813" s="359"/>
    </row>
    <row r="1814" spans="32:32" x14ac:dyDescent="0.35">
      <c r="AF1814" s="359"/>
    </row>
    <row r="1815" spans="32:32" x14ac:dyDescent="0.35">
      <c r="AF1815" s="359"/>
    </row>
    <row r="1816" spans="32:32" x14ac:dyDescent="0.35">
      <c r="AF1816" s="359"/>
    </row>
    <row r="1817" spans="32:32" x14ac:dyDescent="0.35">
      <c r="AF1817" s="359"/>
    </row>
    <row r="1818" spans="32:32" x14ac:dyDescent="0.35">
      <c r="AF1818" s="359"/>
    </row>
    <row r="1819" spans="32:32" x14ac:dyDescent="0.35">
      <c r="AF1819" s="359"/>
    </row>
    <row r="1820" spans="32:32" x14ac:dyDescent="0.35">
      <c r="AF1820" s="359"/>
    </row>
    <row r="1821" spans="32:32" x14ac:dyDescent="0.35">
      <c r="AF1821" s="359"/>
    </row>
    <row r="1822" spans="32:32" x14ac:dyDescent="0.35">
      <c r="AF1822" s="359"/>
    </row>
    <row r="1823" spans="32:32" x14ac:dyDescent="0.35">
      <c r="AF1823" s="359"/>
    </row>
    <row r="1824" spans="32:32" x14ac:dyDescent="0.35">
      <c r="AF1824" s="359"/>
    </row>
    <row r="1825" spans="32:32" x14ac:dyDescent="0.35">
      <c r="AF1825" s="359"/>
    </row>
    <row r="1826" spans="32:32" x14ac:dyDescent="0.35">
      <c r="AF1826" s="359"/>
    </row>
    <row r="1827" spans="32:32" x14ac:dyDescent="0.35">
      <c r="AF1827" s="359"/>
    </row>
    <row r="1828" spans="32:32" x14ac:dyDescent="0.35">
      <c r="AF1828" s="359"/>
    </row>
    <row r="1829" spans="32:32" x14ac:dyDescent="0.35">
      <c r="AF1829" s="359"/>
    </row>
    <row r="1830" spans="32:32" x14ac:dyDescent="0.35">
      <c r="AF1830" s="359"/>
    </row>
    <row r="1831" spans="32:32" x14ac:dyDescent="0.35">
      <c r="AF1831" s="359"/>
    </row>
    <row r="1832" spans="32:32" x14ac:dyDescent="0.35">
      <c r="AF1832" s="359"/>
    </row>
    <row r="1833" spans="32:32" x14ac:dyDescent="0.35">
      <c r="AF1833" s="359"/>
    </row>
    <row r="1834" spans="32:32" x14ac:dyDescent="0.35">
      <c r="AF1834" s="359"/>
    </row>
    <row r="1835" spans="32:32" x14ac:dyDescent="0.35">
      <c r="AF1835" s="359"/>
    </row>
    <row r="1836" spans="32:32" x14ac:dyDescent="0.35">
      <c r="AF1836" s="359"/>
    </row>
    <row r="1837" spans="32:32" x14ac:dyDescent="0.35">
      <c r="AF1837" s="359"/>
    </row>
    <row r="1838" spans="32:32" x14ac:dyDescent="0.35">
      <c r="AF1838" s="359"/>
    </row>
    <row r="1839" spans="32:32" x14ac:dyDescent="0.35">
      <c r="AF1839" s="359"/>
    </row>
    <row r="1840" spans="32:32" x14ac:dyDescent="0.35">
      <c r="AF1840" s="359"/>
    </row>
    <row r="1841" spans="32:32" x14ac:dyDescent="0.35">
      <c r="AF1841" s="359"/>
    </row>
    <row r="1842" spans="32:32" x14ac:dyDescent="0.35">
      <c r="AF1842" s="359"/>
    </row>
    <row r="1843" spans="32:32" x14ac:dyDescent="0.35">
      <c r="AF1843" s="359"/>
    </row>
    <row r="1844" spans="32:32" x14ac:dyDescent="0.35">
      <c r="AF1844" s="359"/>
    </row>
    <row r="1845" spans="32:32" x14ac:dyDescent="0.35">
      <c r="AF1845" s="359"/>
    </row>
    <row r="1846" spans="32:32" x14ac:dyDescent="0.35">
      <c r="AF1846" s="359"/>
    </row>
    <row r="1847" spans="32:32" x14ac:dyDescent="0.35">
      <c r="AF1847" s="359"/>
    </row>
    <row r="1848" spans="32:32" x14ac:dyDescent="0.35">
      <c r="AF1848" s="359"/>
    </row>
    <row r="1849" spans="32:32" x14ac:dyDescent="0.35">
      <c r="AF1849" s="359"/>
    </row>
    <row r="1850" spans="32:32" x14ac:dyDescent="0.35">
      <c r="AF1850" s="359"/>
    </row>
    <row r="1851" spans="32:32" x14ac:dyDescent="0.35">
      <c r="AF1851" s="359"/>
    </row>
    <row r="1852" spans="32:32" x14ac:dyDescent="0.35">
      <c r="AF1852" s="359"/>
    </row>
    <row r="1853" spans="32:32" x14ac:dyDescent="0.35">
      <c r="AF1853" s="359"/>
    </row>
    <row r="1854" spans="32:32" x14ac:dyDescent="0.35">
      <c r="AF1854" s="359"/>
    </row>
    <row r="1855" spans="32:32" x14ac:dyDescent="0.35">
      <c r="AF1855" s="359"/>
    </row>
    <row r="1856" spans="32:32" x14ac:dyDescent="0.35">
      <c r="AF1856" s="359"/>
    </row>
    <row r="1857" spans="32:32" x14ac:dyDescent="0.35">
      <c r="AF1857" s="359"/>
    </row>
    <row r="1858" spans="32:32" x14ac:dyDescent="0.35">
      <c r="AF1858" s="359"/>
    </row>
    <row r="1859" spans="32:32" x14ac:dyDescent="0.35">
      <c r="AF1859" s="359"/>
    </row>
    <row r="1860" spans="32:32" x14ac:dyDescent="0.35">
      <c r="AF1860" s="359"/>
    </row>
    <row r="1861" spans="32:32" x14ac:dyDescent="0.35">
      <c r="AF1861" s="359"/>
    </row>
    <row r="1862" spans="32:32" x14ac:dyDescent="0.35">
      <c r="AF1862" s="359"/>
    </row>
    <row r="1863" spans="32:32" x14ac:dyDescent="0.35">
      <c r="AF1863" s="359"/>
    </row>
    <row r="1864" spans="32:32" x14ac:dyDescent="0.35">
      <c r="AF1864" s="359"/>
    </row>
    <row r="1865" spans="32:32" x14ac:dyDescent="0.35">
      <c r="AF1865" s="359"/>
    </row>
    <row r="1866" spans="32:32" x14ac:dyDescent="0.35">
      <c r="AF1866" s="359"/>
    </row>
    <row r="1867" spans="32:32" x14ac:dyDescent="0.35">
      <c r="AF1867" s="359"/>
    </row>
    <row r="1868" spans="32:32" x14ac:dyDescent="0.35">
      <c r="AF1868" s="359"/>
    </row>
    <row r="1869" spans="32:32" x14ac:dyDescent="0.35">
      <c r="AF1869" s="359"/>
    </row>
    <row r="1870" spans="32:32" x14ac:dyDescent="0.35">
      <c r="AF1870" s="359"/>
    </row>
    <row r="1871" spans="32:32" x14ac:dyDescent="0.35">
      <c r="AF1871" s="359"/>
    </row>
    <row r="1872" spans="32:32" x14ac:dyDescent="0.35">
      <c r="AF1872" s="359"/>
    </row>
    <row r="1873" spans="32:32" x14ac:dyDescent="0.35">
      <c r="AF1873" s="359"/>
    </row>
    <row r="1874" spans="32:32" x14ac:dyDescent="0.35">
      <c r="AF1874" s="359"/>
    </row>
    <row r="1875" spans="32:32" x14ac:dyDescent="0.35">
      <c r="AF1875" s="359"/>
    </row>
    <row r="1876" spans="32:32" x14ac:dyDescent="0.35">
      <c r="AF1876" s="359"/>
    </row>
    <row r="1877" spans="32:32" x14ac:dyDescent="0.35">
      <c r="AF1877" s="359"/>
    </row>
    <row r="1878" spans="32:32" x14ac:dyDescent="0.35">
      <c r="AF1878" s="359"/>
    </row>
    <row r="1879" spans="32:32" x14ac:dyDescent="0.35">
      <c r="AF1879" s="359"/>
    </row>
    <row r="1880" spans="32:32" x14ac:dyDescent="0.35">
      <c r="AF1880" s="359"/>
    </row>
    <row r="1881" spans="32:32" x14ac:dyDescent="0.35">
      <c r="AF1881" s="359"/>
    </row>
    <row r="1882" spans="32:32" x14ac:dyDescent="0.35">
      <c r="AF1882" s="359"/>
    </row>
    <row r="1883" spans="32:32" x14ac:dyDescent="0.35">
      <c r="AF1883" s="359"/>
    </row>
    <row r="1884" spans="32:32" x14ac:dyDescent="0.35">
      <c r="AF1884" s="359"/>
    </row>
    <row r="1885" spans="32:32" x14ac:dyDescent="0.35">
      <c r="AF1885" s="359"/>
    </row>
    <row r="1886" spans="32:32" x14ac:dyDescent="0.35">
      <c r="AF1886" s="359"/>
    </row>
    <row r="1887" spans="32:32" x14ac:dyDescent="0.35">
      <c r="AF1887" s="359"/>
    </row>
    <row r="1888" spans="32:32" x14ac:dyDescent="0.35">
      <c r="AF1888" s="359"/>
    </row>
    <row r="1889" spans="32:32" x14ac:dyDescent="0.35">
      <c r="AF1889" s="359"/>
    </row>
    <row r="1890" spans="32:32" x14ac:dyDescent="0.35">
      <c r="AF1890" s="359"/>
    </row>
    <row r="1891" spans="32:32" x14ac:dyDescent="0.35">
      <c r="AF1891" s="359"/>
    </row>
    <row r="1892" spans="32:32" x14ac:dyDescent="0.35">
      <c r="AF1892" s="359"/>
    </row>
    <row r="1893" spans="32:32" x14ac:dyDescent="0.35">
      <c r="AF1893" s="359"/>
    </row>
    <row r="1894" spans="32:32" x14ac:dyDescent="0.35">
      <c r="AF1894" s="359"/>
    </row>
    <row r="1895" spans="32:32" x14ac:dyDescent="0.35">
      <c r="AF1895" s="359"/>
    </row>
    <row r="1896" spans="32:32" x14ac:dyDescent="0.35">
      <c r="AF1896" s="359"/>
    </row>
    <row r="1897" spans="32:32" x14ac:dyDescent="0.35">
      <c r="AF1897" s="359"/>
    </row>
    <row r="1898" spans="32:32" x14ac:dyDescent="0.35">
      <c r="AF1898" s="359"/>
    </row>
    <row r="1899" spans="32:32" x14ac:dyDescent="0.35">
      <c r="AF1899" s="359"/>
    </row>
    <row r="1900" spans="32:32" x14ac:dyDescent="0.35">
      <c r="AF1900" s="359"/>
    </row>
    <row r="1901" spans="32:32" x14ac:dyDescent="0.35">
      <c r="AF1901" s="359"/>
    </row>
    <row r="1902" spans="32:32" x14ac:dyDescent="0.35">
      <c r="AF1902" s="359"/>
    </row>
    <row r="1903" spans="32:32" x14ac:dyDescent="0.35">
      <c r="AF1903" s="359"/>
    </row>
    <row r="1904" spans="32:32" x14ac:dyDescent="0.35">
      <c r="AF1904" s="359"/>
    </row>
    <row r="1905" spans="32:32" x14ac:dyDescent="0.35">
      <c r="AF1905" s="359"/>
    </row>
    <row r="1906" spans="32:32" x14ac:dyDescent="0.35">
      <c r="AF1906" s="359"/>
    </row>
    <row r="1907" spans="32:32" x14ac:dyDescent="0.35">
      <c r="AF1907" s="359"/>
    </row>
    <row r="1908" spans="32:32" x14ac:dyDescent="0.35">
      <c r="AF1908" s="359"/>
    </row>
    <row r="1909" spans="32:32" x14ac:dyDescent="0.35">
      <c r="AF1909" s="359"/>
    </row>
    <row r="1910" spans="32:32" x14ac:dyDescent="0.35">
      <c r="AF1910" s="359"/>
    </row>
    <row r="1911" spans="32:32" x14ac:dyDescent="0.35">
      <c r="AF1911" s="359"/>
    </row>
    <row r="1912" spans="32:32" x14ac:dyDescent="0.35">
      <c r="AF1912" s="359"/>
    </row>
    <row r="1913" spans="32:32" x14ac:dyDescent="0.35">
      <c r="AF1913" s="359"/>
    </row>
    <row r="1914" spans="32:32" x14ac:dyDescent="0.35">
      <c r="AF1914" s="359"/>
    </row>
    <row r="1915" spans="32:32" x14ac:dyDescent="0.35">
      <c r="AF1915" s="359"/>
    </row>
    <row r="1916" spans="32:32" x14ac:dyDescent="0.35">
      <c r="AF1916" s="359"/>
    </row>
    <row r="1917" spans="32:32" x14ac:dyDescent="0.35">
      <c r="AF1917" s="359"/>
    </row>
    <row r="1918" spans="32:32" x14ac:dyDescent="0.35">
      <c r="AF1918" s="359"/>
    </row>
    <row r="1919" spans="32:32" x14ac:dyDescent="0.35">
      <c r="AF1919" s="359"/>
    </row>
    <row r="1920" spans="32:32" x14ac:dyDescent="0.35">
      <c r="AF1920" s="359"/>
    </row>
    <row r="1921" spans="32:32" x14ac:dyDescent="0.35">
      <c r="AF1921" s="359"/>
    </row>
    <row r="1922" spans="32:32" x14ac:dyDescent="0.35">
      <c r="AF1922" s="359"/>
    </row>
    <row r="1923" spans="32:32" x14ac:dyDescent="0.35">
      <c r="AF1923" s="359"/>
    </row>
    <row r="1924" spans="32:32" x14ac:dyDescent="0.35">
      <c r="AF1924" s="359"/>
    </row>
    <row r="1925" spans="32:32" x14ac:dyDescent="0.35">
      <c r="AF1925" s="359"/>
    </row>
    <row r="1926" spans="32:32" x14ac:dyDescent="0.35">
      <c r="AF1926" s="359"/>
    </row>
    <row r="1927" spans="32:32" x14ac:dyDescent="0.35">
      <c r="AF1927" s="359"/>
    </row>
    <row r="1928" spans="32:32" x14ac:dyDescent="0.35">
      <c r="AF1928" s="359"/>
    </row>
    <row r="1929" spans="32:32" x14ac:dyDescent="0.35">
      <c r="AF1929" s="359"/>
    </row>
    <row r="1930" spans="32:32" x14ac:dyDescent="0.35">
      <c r="AF1930" s="359"/>
    </row>
    <row r="1931" spans="32:32" x14ac:dyDescent="0.35">
      <c r="AF1931" s="359"/>
    </row>
    <row r="1932" spans="32:32" x14ac:dyDescent="0.35">
      <c r="AF1932" s="359"/>
    </row>
    <row r="1933" spans="32:32" x14ac:dyDescent="0.35">
      <c r="AF1933" s="359"/>
    </row>
    <row r="1934" spans="32:32" x14ac:dyDescent="0.35">
      <c r="AF1934" s="359"/>
    </row>
    <row r="1935" spans="32:32" x14ac:dyDescent="0.35">
      <c r="AF1935" s="359"/>
    </row>
    <row r="1936" spans="32:32" x14ac:dyDescent="0.35">
      <c r="AF1936" s="359"/>
    </row>
    <row r="1937" spans="32:32" x14ac:dyDescent="0.35">
      <c r="AF1937" s="359"/>
    </row>
    <row r="1938" spans="32:32" x14ac:dyDescent="0.35">
      <c r="AF1938" s="359"/>
    </row>
    <row r="1939" spans="32:32" x14ac:dyDescent="0.35">
      <c r="AF1939" s="359"/>
    </row>
    <row r="1940" spans="32:32" x14ac:dyDescent="0.35">
      <c r="AF1940" s="359"/>
    </row>
    <row r="1941" spans="32:32" x14ac:dyDescent="0.35">
      <c r="AF1941" s="359"/>
    </row>
    <row r="1942" spans="32:32" x14ac:dyDescent="0.35">
      <c r="AF1942" s="359"/>
    </row>
    <row r="1943" spans="32:32" x14ac:dyDescent="0.35">
      <c r="AF1943" s="359"/>
    </row>
    <row r="1944" spans="32:32" x14ac:dyDescent="0.35">
      <c r="AF1944" s="359"/>
    </row>
    <row r="1945" spans="32:32" x14ac:dyDescent="0.35">
      <c r="AF1945" s="359"/>
    </row>
    <row r="1946" spans="32:32" x14ac:dyDescent="0.35">
      <c r="AF1946" s="359"/>
    </row>
    <row r="1947" spans="32:32" x14ac:dyDescent="0.35">
      <c r="AF1947" s="359"/>
    </row>
    <row r="1948" spans="32:32" x14ac:dyDescent="0.35">
      <c r="AF1948" s="359"/>
    </row>
    <row r="1949" spans="32:32" x14ac:dyDescent="0.35">
      <c r="AF1949" s="359"/>
    </row>
    <row r="1950" spans="32:32" x14ac:dyDescent="0.35">
      <c r="AF1950" s="359"/>
    </row>
    <row r="1951" spans="32:32" x14ac:dyDescent="0.35">
      <c r="AF1951" s="359"/>
    </row>
    <row r="1952" spans="32:32" x14ac:dyDescent="0.35">
      <c r="AF1952" s="359"/>
    </row>
    <row r="1953" spans="32:32" x14ac:dyDescent="0.35">
      <c r="AF1953" s="359"/>
    </row>
    <row r="1954" spans="32:32" x14ac:dyDescent="0.35">
      <c r="AF1954" s="359"/>
    </row>
    <row r="1955" spans="32:32" x14ac:dyDescent="0.35">
      <c r="AF1955" s="359"/>
    </row>
    <row r="1956" spans="32:32" x14ac:dyDescent="0.35">
      <c r="AF1956" s="359"/>
    </row>
    <row r="1957" spans="32:32" x14ac:dyDescent="0.35">
      <c r="AF1957" s="359"/>
    </row>
    <row r="1958" spans="32:32" x14ac:dyDescent="0.35">
      <c r="AF1958" s="359"/>
    </row>
    <row r="1959" spans="32:32" x14ac:dyDescent="0.35">
      <c r="AF1959" s="359"/>
    </row>
    <row r="1960" spans="32:32" x14ac:dyDescent="0.35">
      <c r="AF1960" s="359"/>
    </row>
    <row r="1961" spans="32:32" x14ac:dyDescent="0.35">
      <c r="AF1961" s="359"/>
    </row>
    <row r="1962" spans="32:32" x14ac:dyDescent="0.35">
      <c r="AF1962" s="359"/>
    </row>
    <row r="1963" spans="32:32" x14ac:dyDescent="0.35">
      <c r="AF1963" s="359"/>
    </row>
    <row r="1964" spans="32:32" x14ac:dyDescent="0.35">
      <c r="AF1964" s="359"/>
    </row>
    <row r="1965" spans="32:32" x14ac:dyDescent="0.35">
      <c r="AF1965" s="359"/>
    </row>
    <row r="1966" spans="32:32" x14ac:dyDescent="0.35">
      <c r="AF1966" s="359"/>
    </row>
    <row r="1967" spans="32:32" x14ac:dyDescent="0.35">
      <c r="AF1967" s="359"/>
    </row>
    <row r="1968" spans="32:32" x14ac:dyDescent="0.35">
      <c r="AF1968" s="359"/>
    </row>
    <row r="1969" spans="32:32" x14ac:dyDescent="0.35">
      <c r="AF1969" s="359"/>
    </row>
    <row r="1970" spans="32:32" x14ac:dyDescent="0.35">
      <c r="AF1970" s="359"/>
    </row>
    <row r="1971" spans="32:32" x14ac:dyDescent="0.35">
      <c r="AF1971" s="359"/>
    </row>
    <row r="1972" spans="32:32" x14ac:dyDescent="0.35">
      <c r="AF1972" s="359"/>
    </row>
    <row r="1973" spans="32:32" x14ac:dyDescent="0.35">
      <c r="AF1973" s="359"/>
    </row>
    <row r="1974" spans="32:32" x14ac:dyDescent="0.35">
      <c r="AF1974" s="359"/>
    </row>
    <row r="1975" spans="32:32" x14ac:dyDescent="0.35">
      <c r="AF1975" s="359"/>
    </row>
    <row r="1976" spans="32:32" x14ac:dyDescent="0.35">
      <c r="AF1976" s="359"/>
    </row>
    <row r="1977" spans="32:32" x14ac:dyDescent="0.35">
      <c r="AF1977" s="359"/>
    </row>
    <row r="1978" spans="32:32" x14ac:dyDescent="0.35">
      <c r="AF1978" s="359"/>
    </row>
    <row r="1979" spans="32:32" x14ac:dyDescent="0.35">
      <c r="AF1979" s="359"/>
    </row>
    <row r="1980" spans="32:32" x14ac:dyDescent="0.35">
      <c r="AF1980" s="359"/>
    </row>
    <row r="1981" spans="32:32" x14ac:dyDescent="0.35">
      <c r="AF1981" s="359"/>
    </row>
    <row r="1982" spans="32:32" x14ac:dyDescent="0.35">
      <c r="AF1982" s="359"/>
    </row>
    <row r="1983" spans="32:32" x14ac:dyDescent="0.35">
      <c r="AF1983" s="359"/>
    </row>
    <row r="1984" spans="32:32" x14ac:dyDescent="0.35">
      <c r="AF1984" s="359"/>
    </row>
    <row r="1985" spans="32:32" x14ac:dyDescent="0.35">
      <c r="AF1985" s="359"/>
    </row>
    <row r="1986" spans="32:32" x14ac:dyDescent="0.35">
      <c r="AF1986" s="359"/>
    </row>
    <row r="1987" spans="32:32" x14ac:dyDescent="0.35">
      <c r="AF1987" s="359"/>
    </row>
    <row r="1988" spans="32:32" x14ac:dyDescent="0.35">
      <c r="AF1988" s="359"/>
    </row>
    <row r="1989" spans="32:32" x14ac:dyDescent="0.35">
      <c r="AF1989" s="359"/>
    </row>
    <row r="1990" spans="32:32" x14ac:dyDescent="0.35">
      <c r="AF1990" s="359"/>
    </row>
    <row r="1991" spans="32:32" x14ac:dyDescent="0.35">
      <c r="AF1991" s="359"/>
    </row>
    <row r="1992" spans="32:32" x14ac:dyDescent="0.35">
      <c r="AF1992" s="359"/>
    </row>
    <row r="1993" spans="32:32" x14ac:dyDescent="0.35">
      <c r="AF1993" s="359"/>
    </row>
    <row r="1994" spans="32:32" x14ac:dyDescent="0.35">
      <c r="AF1994" s="359"/>
    </row>
    <row r="1995" spans="32:32" x14ac:dyDescent="0.35">
      <c r="AF1995" s="359"/>
    </row>
    <row r="1996" spans="32:32" x14ac:dyDescent="0.35">
      <c r="AF1996" s="359"/>
    </row>
    <row r="1997" spans="32:32" x14ac:dyDescent="0.35">
      <c r="AF1997" s="359"/>
    </row>
    <row r="1998" spans="32:32" x14ac:dyDescent="0.35">
      <c r="AF1998" s="359"/>
    </row>
    <row r="1999" spans="32:32" x14ac:dyDescent="0.35">
      <c r="AF1999" s="359"/>
    </row>
    <row r="2000" spans="32:32" x14ac:dyDescent="0.35">
      <c r="AF2000" s="359"/>
    </row>
    <row r="2001" spans="32:32" x14ac:dyDescent="0.35">
      <c r="AF2001" s="359"/>
    </row>
    <row r="2002" spans="32:32" x14ac:dyDescent="0.35">
      <c r="AF2002" s="359"/>
    </row>
    <row r="2003" spans="32:32" x14ac:dyDescent="0.35">
      <c r="AF2003" s="359"/>
    </row>
    <row r="2004" spans="32:32" x14ac:dyDescent="0.35">
      <c r="AF2004" s="359"/>
    </row>
    <row r="2005" spans="32:32" x14ac:dyDescent="0.35">
      <c r="AF2005" s="359"/>
    </row>
    <row r="2006" spans="32:32" x14ac:dyDescent="0.35">
      <c r="AF2006" s="359"/>
    </row>
    <row r="2007" spans="32:32" x14ac:dyDescent="0.35">
      <c r="AF2007" s="359"/>
    </row>
    <row r="2008" spans="32:32" x14ac:dyDescent="0.35">
      <c r="AF2008" s="359"/>
    </row>
    <row r="2009" spans="32:32" x14ac:dyDescent="0.35">
      <c r="AF2009" s="359"/>
    </row>
    <row r="2010" spans="32:32" x14ac:dyDescent="0.35">
      <c r="AF2010" s="359"/>
    </row>
    <row r="2011" spans="32:32" x14ac:dyDescent="0.35">
      <c r="AF2011" s="359"/>
    </row>
    <row r="2012" spans="32:32" x14ac:dyDescent="0.35">
      <c r="AF2012" s="359"/>
    </row>
    <row r="2013" spans="32:32" x14ac:dyDescent="0.35">
      <c r="AF2013" s="359"/>
    </row>
    <row r="2014" spans="32:32" x14ac:dyDescent="0.35">
      <c r="AF2014" s="359"/>
    </row>
    <row r="2015" spans="32:32" x14ac:dyDescent="0.35">
      <c r="AF2015" s="359"/>
    </row>
    <row r="2016" spans="32:32" x14ac:dyDescent="0.35">
      <c r="AF2016" s="359"/>
    </row>
    <row r="2017" spans="32:32" x14ac:dyDescent="0.35">
      <c r="AF2017" s="359"/>
    </row>
    <row r="2018" spans="32:32" x14ac:dyDescent="0.35">
      <c r="AF2018" s="359"/>
    </row>
    <row r="2019" spans="32:32" x14ac:dyDescent="0.35">
      <c r="AF2019" s="359"/>
    </row>
    <row r="2020" spans="32:32" x14ac:dyDescent="0.35">
      <c r="AF2020" s="359"/>
    </row>
    <row r="2021" spans="32:32" x14ac:dyDescent="0.35">
      <c r="AF2021" s="359"/>
    </row>
    <row r="2022" spans="32:32" x14ac:dyDescent="0.35">
      <c r="AF2022" s="359"/>
    </row>
    <row r="2023" spans="32:32" x14ac:dyDescent="0.35">
      <c r="AF2023" s="359"/>
    </row>
    <row r="2024" spans="32:32" x14ac:dyDescent="0.35">
      <c r="AF2024" s="359"/>
    </row>
    <row r="2025" spans="32:32" x14ac:dyDescent="0.35">
      <c r="AF2025" s="359"/>
    </row>
    <row r="2026" spans="32:32" x14ac:dyDescent="0.35">
      <c r="AF2026" s="359"/>
    </row>
    <row r="2027" spans="32:32" x14ac:dyDescent="0.35">
      <c r="AF2027" s="359"/>
    </row>
    <row r="2028" spans="32:32" x14ac:dyDescent="0.35">
      <c r="AF2028" s="359"/>
    </row>
    <row r="2029" spans="32:32" x14ac:dyDescent="0.35">
      <c r="AF2029" s="359"/>
    </row>
    <row r="2030" spans="32:32" x14ac:dyDescent="0.35">
      <c r="AF2030" s="359"/>
    </row>
    <row r="2031" spans="32:32" x14ac:dyDescent="0.35">
      <c r="AF2031" s="359"/>
    </row>
    <row r="2032" spans="32:32" x14ac:dyDescent="0.35">
      <c r="AF2032" s="359"/>
    </row>
    <row r="2033" spans="32:32" x14ac:dyDescent="0.35">
      <c r="AF2033" s="359"/>
    </row>
    <row r="2034" spans="32:32" x14ac:dyDescent="0.35">
      <c r="AF2034" s="359"/>
    </row>
    <row r="2035" spans="32:32" x14ac:dyDescent="0.35">
      <c r="AF2035" s="359"/>
    </row>
    <row r="2036" spans="32:32" x14ac:dyDescent="0.35">
      <c r="AF2036" s="359"/>
    </row>
    <row r="2037" spans="32:32" x14ac:dyDescent="0.35">
      <c r="AF2037" s="359"/>
    </row>
    <row r="2038" spans="32:32" x14ac:dyDescent="0.35">
      <c r="AF2038" s="359"/>
    </row>
    <row r="2039" spans="32:32" x14ac:dyDescent="0.35">
      <c r="AF2039" s="359"/>
    </row>
    <row r="2040" spans="32:32" x14ac:dyDescent="0.35">
      <c r="AF2040" s="359"/>
    </row>
    <row r="2041" spans="32:32" x14ac:dyDescent="0.35">
      <c r="AF2041" s="359"/>
    </row>
    <row r="2042" spans="32:32" x14ac:dyDescent="0.35">
      <c r="AF2042" s="359"/>
    </row>
    <row r="2043" spans="32:32" x14ac:dyDescent="0.35">
      <c r="AF2043" s="359"/>
    </row>
    <row r="2044" spans="32:32" x14ac:dyDescent="0.35">
      <c r="AF2044" s="359"/>
    </row>
    <row r="2045" spans="32:32" x14ac:dyDescent="0.35">
      <c r="AF2045" s="359"/>
    </row>
    <row r="2046" spans="32:32" x14ac:dyDescent="0.35">
      <c r="AF2046" s="359"/>
    </row>
    <row r="2047" spans="32:32" x14ac:dyDescent="0.35">
      <c r="AF2047" s="359"/>
    </row>
    <row r="2048" spans="32:32" x14ac:dyDescent="0.35">
      <c r="AF2048" s="359"/>
    </row>
    <row r="2049" spans="32:32" x14ac:dyDescent="0.35">
      <c r="AF2049" s="359"/>
    </row>
    <row r="2050" spans="32:32" x14ac:dyDescent="0.35">
      <c r="AF2050" s="359"/>
    </row>
    <row r="2051" spans="32:32" x14ac:dyDescent="0.35">
      <c r="AF2051" s="359"/>
    </row>
    <row r="2052" spans="32:32" x14ac:dyDescent="0.35">
      <c r="AF2052" s="359"/>
    </row>
    <row r="2053" spans="32:32" x14ac:dyDescent="0.35">
      <c r="AF2053" s="359"/>
    </row>
    <row r="2054" spans="32:32" x14ac:dyDescent="0.35">
      <c r="AF2054" s="359"/>
    </row>
    <row r="2055" spans="32:32" x14ac:dyDescent="0.35">
      <c r="AF2055" s="359"/>
    </row>
    <row r="2056" spans="32:32" x14ac:dyDescent="0.35">
      <c r="AF2056" s="359"/>
    </row>
    <row r="2057" spans="32:32" x14ac:dyDescent="0.35">
      <c r="AF2057" s="359"/>
    </row>
    <row r="2058" spans="32:32" x14ac:dyDescent="0.35">
      <c r="AF2058" s="359"/>
    </row>
    <row r="2059" spans="32:32" x14ac:dyDescent="0.35">
      <c r="AF2059" s="359"/>
    </row>
    <row r="2060" spans="32:32" x14ac:dyDescent="0.35">
      <c r="AF2060" s="359"/>
    </row>
    <row r="2061" spans="32:32" x14ac:dyDescent="0.35">
      <c r="AF2061" s="359"/>
    </row>
    <row r="2062" spans="32:32" x14ac:dyDescent="0.35">
      <c r="AF2062" s="359"/>
    </row>
    <row r="2063" spans="32:32" x14ac:dyDescent="0.35">
      <c r="AF2063" s="359"/>
    </row>
    <row r="2064" spans="32:32" x14ac:dyDescent="0.35">
      <c r="AF2064" s="359"/>
    </row>
    <row r="2065" spans="32:32" x14ac:dyDescent="0.35">
      <c r="AF2065" s="359"/>
    </row>
    <row r="2066" spans="32:32" x14ac:dyDescent="0.35">
      <c r="AF2066" s="359"/>
    </row>
    <row r="2067" spans="32:32" x14ac:dyDescent="0.35">
      <c r="AF2067" s="359"/>
    </row>
    <row r="2068" spans="32:32" x14ac:dyDescent="0.35">
      <c r="AF2068" s="359"/>
    </row>
    <row r="2069" spans="32:32" x14ac:dyDescent="0.35">
      <c r="AF2069" s="359"/>
    </row>
    <row r="2070" spans="32:32" x14ac:dyDescent="0.35">
      <c r="AF2070" s="359"/>
    </row>
    <row r="2071" spans="32:32" x14ac:dyDescent="0.35">
      <c r="AF2071" s="359"/>
    </row>
    <row r="2072" spans="32:32" x14ac:dyDescent="0.35">
      <c r="AF2072" s="359"/>
    </row>
    <row r="2073" spans="32:32" x14ac:dyDescent="0.35">
      <c r="AF2073" s="359"/>
    </row>
    <row r="2074" spans="32:32" x14ac:dyDescent="0.35">
      <c r="AF2074" s="359"/>
    </row>
    <row r="2075" spans="32:32" x14ac:dyDescent="0.35">
      <c r="AF2075" s="359"/>
    </row>
    <row r="2076" spans="32:32" x14ac:dyDescent="0.35">
      <c r="AF2076" s="359"/>
    </row>
    <row r="2077" spans="32:32" x14ac:dyDescent="0.35">
      <c r="AF2077" s="359"/>
    </row>
    <row r="2078" spans="32:32" x14ac:dyDescent="0.35">
      <c r="AF2078" s="359"/>
    </row>
    <row r="2079" spans="32:32" x14ac:dyDescent="0.35">
      <c r="AF2079" s="359"/>
    </row>
    <row r="2080" spans="32:32" x14ac:dyDescent="0.35">
      <c r="AF2080" s="359"/>
    </row>
    <row r="2081" spans="32:32" x14ac:dyDescent="0.35">
      <c r="AF2081" s="359"/>
    </row>
    <row r="2082" spans="32:32" x14ac:dyDescent="0.35">
      <c r="AF2082" s="359"/>
    </row>
    <row r="2083" spans="32:32" x14ac:dyDescent="0.35">
      <c r="AF2083" s="359"/>
    </row>
    <row r="2084" spans="32:32" x14ac:dyDescent="0.35">
      <c r="AF2084" s="359"/>
    </row>
    <row r="2085" spans="32:32" x14ac:dyDescent="0.35">
      <c r="AF2085" s="359"/>
    </row>
    <row r="2086" spans="32:32" x14ac:dyDescent="0.35">
      <c r="AF2086" s="359"/>
    </row>
    <row r="2087" spans="32:32" x14ac:dyDescent="0.35">
      <c r="AF2087" s="359"/>
    </row>
    <row r="2088" spans="32:32" x14ac:dyDescent="0.35">
      <c r="AF2088" s="359"/>
    </row>
    <row r="2089" spans="32:32" x14ac:dyDescent="0.35">
      <c r="AF2089" s="359"/>
    </row>
    <row r="2090" spans="32:32" x14ac:dyDescent="0.35">
      <c r="AF2090" s="359"/>
    </row>
    <row r="2091" spans="32:32" x14ac:dyDescent="0.35">
      <c r="AF2091" s="359"/>
    </row>
    <row r="2092" spans="32:32" x14ac:dyDescent="0.35">
      <c r="AF2092" s="359"/>
    </row>
    <row r="2093" spans="32:32" x14ac:dyDescent="0.35">
      <c r="AF2093" s="359"/>
    </row>
    <row r="2094" spans="32:32" x14ac:dyDescent="0.35">
      <c r="AF2094" s="359"/>
    </row>
    <row r="2095" spans="32:32" x14ac:dyDescent="0.35">
      <c r="AF2095" s="359"/>
    </row>
    <row r="2096" spans="32:32" x14ac:dyDescent="0.35">
      <c r="AF2096" s="359"/>
    </row>
    <row r="2097" spans="32:32" x14ac:dyDescent="0.35">
      <c r="AF2097" s="359"/>
    </row>
    <row r="2098" spans="32:32" x14ac:dyDescent="0.35">
      <c r="AF2098" s="359"/>
    </row>
    <row r="2099" spans="32:32" x14ac:dyDescent="0.35">
      <c r="AF2099" s="359"/>
    </row>
    <row r="2100" spans="32:32" x14ac:dyDescent="0.35">
      <c r="AF2100" s="359"/>
    </row>
    <row r="2101" spans="32:32" x14ac:dyDescent="0.35">
      <c r="AF2101" s="359"/>
    </row>
    <row r="2102" spans="32:32" x14ac:dyDescent="0.35">
      <c r="AF2102" s="359"/>
    </row>
    <row r="2103" spans="32:32" x14ac:dyDescent="0.35">
      <c r="AF2103" s="359"/>
    </row>
    <row r="2104" spans="32:32" x14ac:dyDescent="0.35">
      <c r="AF2104" s="359"/>
    </row>
    <row r="2105" spans="32:32" x14ac:dyDescent="0.35">
      <c r="AF2105" s="359"/>
    </row>
    <row r="2106" spans="32:32" x14ac:dyDescent="0.35">
      <c r="AF2106" s="359"/>
    </row>
    <row r="2107" spans="32:32" x14ac:dyDescent="0.35">
      <c r="AF2107" s="359"/>
    </row>
    <row r="2108" spans="32:32" x14ac:dyDescent="0.35">
      <c r="AF2108" s="359"/>
    </row>
    <row r="2109" spans="32:32" x14ac:dyDescent="0.35">
      <c r="AF2109" s="359"/>
    </row>
    <row r="2110" spans="32:32" x14ac:dyDescent="0.35">
      <c r="AF2110" s="359"/>
    </row>
    <row r="2111" spans="32:32" x14ac:dyDescent="0.35">
      <c r="AF2111" s="359"/>
    </row>
    <row r="2112" spans="32:32" x14ac:dyDescent="0.35">
      <c r="AF2112" s="359"/>
    </row>
    <row r="2113" spans="32:32" x14ac:dyDescent="0.35">
      <c r="AF2113" s="359"/>
    </row>
    <row r="2114" spans="32:32" x14ac:dyDescent="0.35">
      <c r="AF2114" s="359"/>
    </row>
    <row r="2115" spans="32:32" x14ac:dyDescent="0.35">
      <c r="AF2115" s="359"/>
    </row>
    <row r="2116" spans="32:32" x14ac:dyDescent="0.35">
      <c r="AF2116" s="359"/>
    </row>
    <row r="2117" spans="32:32" x14ac:dyDescent="0.35">
      <c r="AF2117" s="359"/>
    </row>
    <row r="2118" spans="32:32" x14ac:dyDescent="0.35">
      <c r="AF2118" s="359"/>
    </row>
    <row r="2119" spans="32:32" x14ac:dyDescent="0.35">
      <c r="AF2119" s="359"/>
    </row>
    <row r="2120" spans="32:32" x14ac:dyDescent="0.35">
      <c r="AF2120" s="359"/>
    </row>
    <row r="2121" spans="32:32" x14ac:dyDescent="0.35">
      <c r="AF2121" s="359"/>
    </row>
    <row r="2122" spans="32:32" x14ac:dyDescent="0.35">
      <c r="AF2122" s="359"/>
    </row>
    <row r="2123" spans="32:32" x14ac:dyDescent="0.35">
      <c r="AF2123" s="359"/>
    </row>
    <row r="2124" spans="32:32" x14ac:dyDescent="0.35">
      <c r="AF2124" s="359"/>
    </row>
    <row r="2125" spans="32:32" x14ac:dyDescent="0.35">
      <c r="AF2125" s="359"/>
    </row>
    <row r="2126" spans="32:32" x14ac:dyDescent="0.35">
      <c r="AF2126" s="359"/>
    </row>
    <row r="2127" spans="32:32" x14ac:dyDescent="0.35">
      <c r="AF2127" s="359"/>
    </row>
    <row r="2128" spans="32:32" x14ac:dyDescent="0.35">
      <c r="AF2128" s="359"/>
    </row>
    <row r="2129" spans="32:32" x14ac:dyDescent="0.35">
      <c r="AF2129" s="359"/>
    </row>
    <row r="2130" spans="32:32" x14ac:dyDescent="0.35">
      <c r="AF2130" s="359"/>
    </row>
    <row r="2131" spans="32:32" x14ac:dyDescent="0.35">
      <c r="AF2131" s="359"/>
    </row>
    <row r="2132" spans="32:32" x14ac:dyDescent="0.35">
      <c r="AF2132" s="359"/>
    </row>
    <row r="2133" spans="32:32" x14ac:dyDescent="0.35">
      <c r="AF2133" s="359"/>
    </row>
    <row r="2134" spans="32:32" x14ac:dyDescent="0.35">
      <c r="AF2134" s="359"/>
    </row>
    <row r="2135" spans="32:32" x14ac:dyDescent="0.35">
      <c r="AF2135" s="359"/>
    </row>
    <row r="2136" spans="32:32" x14ac:dyDescent="0.35">
      <c r="AF2136" s="359"/>
    </row>
    <row r="2137" spans="32:32" x14ac:dyDescent="0.35">
      <c r="AF2137" s="359"/>
    </row>
    <row r="2138" spans="32:32" x14ac:dyDescent="0.35">
      <c r="AF2138" s="359"/>
    </row>
    <row r="2139" spans="32:32" x14ac:dyDescent="0.35">
      <c r="AF2139" s="359"/>
    </row>
    <row r="2140" spans="32:32" x14ac:dyDescent="0.35">
      <c r="AF2140" s="359"/>
    </row>
    <row r="2141" spans="32:32" x14ac:dyDescent="0.35">
      <c r="AF2141" s="359"/>
    </row>
    <row r="2142" spans="32:32" x14ac:dyDescent="0.35">
      <c r="AF2142" s="359"/>
    </row>
    <row r="2143" spans="32:32" x14ac:dyDescent="0.35">
      <c r="AF2143" s="359"/>
    </row>
    <row r="2144" spans="32:32" x14ac:dyDescent="0.35">
      <c r="AF2144" s="359"/>
    </row>
    <row r="2145" spans="32:32" x14ac:dyDescent="0.35">
      <c r="AF2145" s="359"/>
    </row>
    <row r="2146" spans="32:32" x14ac:dyDescent="0.35">
      <c r="AF2146" s="359"/>
    </row>
    <row r="2147" spans="32:32" x14ac:dyDescent="0.35">
      <c r="AF2147" s="359"/>
    </row>
    <row r="2148" spans="32:32" x14ac:dyDescent="0.35">
      <c r="AF2148" s="359"/>
    </row>
    <row r="2149" spans="32:32" x14ac:dyDescent="0.35">
      <c r="AF2149" s="359"/>
    </row>
    <row r="2150" spans="32:32" x14ac:dyDescent="0.35">
      <c r="AF2150" s="359"/>
    </row>
    <row r="2151" spans="32:32" x14ac:dyDescent="0.35">
      <c r="AF2151" s="359"/>
    </row>
    <row r="2152" spans="32:32" x14ac:dyDescent="0.35">
      <c r="AF2152" s="359"/>
    </row>
    <row r="2153" spans="32:32" x14ac:dyDescent="0.35">
      <c r="AF2153" s="359"/>
    </row>
    <row r="2154" spans="32:32" x14ac:dyDescent="0.35">
      <c r="AF2154" s="359"/>
    </row>
    <row r="2155" spans="32:32" x14ac:dyDescent="0.35">
      <c r="AF2155" s="359"/>
    </row>
    <row r="2156" spans="32:32" x14ac:dyDescent="0.35">
      <c r="AF2156" s="359"/>
    </row>
    <row r="2157" spans="32:32" x14ac:dyDescent="0.35">
      <c r="AF2157" s="359"/>
    </row>
    <row r="2158" spans="32:32" x14ac:dyDescent="0.35">
      <c r="AF2158" s="359"/>
    </row>
    <row r="2159" spans="32:32" x14ac:dyDescent="0.35">
      <c r="AF2159" s="359"/>
    </row>
    <row r="2160" spans="32:32" x14ac:dyDescent="0.35">
      <c r="AF2160" s="359"/>
    </row>
    <row r="2161" spans="32:32" x14ac:dyDescent="0.35">
      <c r="AF2161" s="359"/>
    </row>
    <row r="2162" spans="32:32" x14ac:dyDescent="0.35">
      <c r="AF2162" s="359"/>
    </row>
    <row r="2163" spans="32:32" x14ac:dyDescent="0.35">
      <c r="AF2163" s="359"/>
    </row>
    <row r="2164" spans="32:32" x14ac:dyDescent="0.35">
      <c r="AF2164" s="359"/>
    </row>
    <row r="2165" spans="32:32" x14ac:dyDescent="0.35">
      <c r="AF2165" s="359"/>
    </row>
    <row r="2166" spans="32:32" x14ac:dyDescent="0.35">
      <c r="AF2166" s="359"/>
    </row>
    <row r="2167" spans="32:32" x14ac:dyDescent="0.35">
      <c r="AF2167" s="359"/>
    </row>
    <row r="2168" spans="32:32" x14ac:dyDescent="0.35">
      <c r="AF2168" s="359"/>
    </row>
    <row r="2169" spans="32:32" x14ac:dyDescent="0.35">
      <c r="AF2169" s="359"/>
    </row>
    <row r="2170" spans="32:32" x14ac:dyDescent="0.35">
      <c r="AF2170" s="359"/>
    </row>
    <row r="2171" spans="32:32" x14ac:dyDescent="0.35">
      <c r="AF2171" s="359"/>
    </row>
    <row r="2172" spans="32:32" x14ac:dyDescent="0.35">
      <c r="AF2172" s="359"/>
    </row>
    <row r="2173" spans="32:32" x14ac:dyDescent="0.35">
      <c r="AF2173" s="359"/>
    </row>
    <row r="2174" spans="32:32" x14ac:dyDescent="0.35">
      <c r="AF2174" s="359"/>
    </row>
    <row r="2175" spans="32:32" x14ac:dyDescent="0.35">
      <c r="AF2175" s="359"/>
    </row>
    <row r="2176" spans="32:32" x14ac:dyDescent="0.35">
      <c r="AF2176" s="359"/>
    </row>
    <row r="2177" spans="32:32" x14ac:dyDescent="0.35">
      <c r="AF2177" s="359"/>
    </row>
    <row r="2178" spans="32:32" x14ac:dyDescent="0.35">
      <c r="AF2178" s="359"/>
    </row>
    <row r="2179" spans="32:32" x14ac:dyDescent="0.35">
      <c r="AF2179" s="359"/>
    </row>
    <row r="2180" spans="32:32" x14ac:dyDescent="0.35">
      <c r="AF2180" s="359"/>
    </row>
    <row r="2181" spans="32:32" x14ac:dyDescent="0.35">
      <c r="AF2181" s="359"/>
    </row>
    <row r="2182" spans="32:32" x14ac:dyDescent="0.35">
      <c r="AF2182" s="359"/>
    </row>
    <row r="2183" spans="32:32" x14ac:dyDescent="0.35">
      <c r="AF2183" s="359"/>
    </row>
    <row r="2184" spans="32:32" x14ac:dyDescent="0.35">
      <c r="AF2184" s="359"/>
    </row>
    <row r="2185" spans="32:32" x14ac:dyDescent="0.35">
      <c r="AF2185" s="359"/>
    </row>
    <row r="2186" spans="32:32" x14ac:dyDescent="0.35">
      <c r="AF2186" s="359"/>
    </row>
    <row r="2187" spans="32:32" x14ac:dyDescent="0.35">
      <c r="AF2187" s="359"/>
    </row>
    <row r="2188" spans="32:32" x14ac:dyDescent="0.35">
      <c r="AF2188" s="359"/>
    </row>
    <row r="2189" spans="32:32" x14ac:dyDescent="0.35">
      <c r="AF2189" s="359"/>
    </row>
    <row r="2190" spans="32:32" x14ac:dyDescent="0.35">
      <c r="AF2190" s="359"/>
    </row>
    <row r="2191" spans="32:32" x14ac:dyDescent="0.35">
      <c r="AF2191" s="359"/>
    </row>
    <row r="2192" spans="32:32" x14ac:dyDescent="0.35">
      <c r="AF2192" s="359"/>
    </row>
    <row r="2193" spans="32:32" x14ac:dyDescent="0.35">
      <c r="AF2193" s="359"/>
    </row>
    <row r="2194" spans="32:32" x14ac:dyDescent="0.35">
      <c r="AF2194" s="359"/>
    </row>
    <row r="2195" spans="32:32" x14ac:dyDescent="0.35">
      <c r="AF2195" s="359"/>
    </row>
    <row r="2196" spans="32:32" x14ac:dyDescent="0.35">
      <c r="AF2196" s="359"/>
    </row>
    <row r="2197" spans="32:32" x14ac:dyDescent="0.35">
      <c r="AF2197" s="359"/>
    </row>
    <row r="2198" spans="32:32" x14ac:dyDescent="0.35">
      <c r="AF2198" s="359"/>
    </row>
    <row r="2199" spans="32:32" x14ac:dyDescent="0.35">
      <c r="AF2199" s="359"/>
    </row>
    <row r="2200" spans="32:32" x14ac:dyDescent="0.35">
      <c r="AF2200" s="359"/>
    </row>
    <row r="2201" spans="32:32" x14ac:dyDescent="0.35">
      <c r="AF2201" s="359"/>
    </row>
    <row r="2202" spans="32:32" x14ac:dyDescent="0.35">
      <c r="AF2202" s="359"/>
    </row>
    <row r="2203" spans="32:32" x14ac:dyDescent="0.35">
      <c r="AF2203" s="359"/>
    </row>
    <row r="2204" spans="32:32" x14ac:dyDescent="0.35">
      <c r="AF2204" s="359"/>
    </row>
    <row r="2205" spans="32:32" x14ac:dyDescent="0.35">
      <c r="AF2205" s="359"/>
    </row>
    <row r="2206" spans="32:32" x14ac:dyDescent="0.35">
      <c r="AF2206" s="359"/>
    </row>
    <row r="2207" spans="32:32" x14ac:dyDescent="0.35">
      <c r="AF2207" s="359"/>
    </row>
    <row r="2208" spans="32:32" x14ac:dyDescent="0.35">
      <c r="AF2208" s="359"/>
    </row>
    <row r="2209" spans="32:32" x14ac:dyDescent="0.35">
      <c r="AF2209" s="359"/>
    </row>
    <row r="2210" spans="32:32" x14ac:dyDescent="0.35">
      <c r="AF2210" s="359"/>
    </row>
    <row r="2211" spans="32:32" x14ac:dyDescent="0.35">
      <c r="AF2211" s="359"/>
    </row>
    <row r="2212" spans="32:32" x14ac:dyDescent="0.35">
      <c r="AF2212" s="359"/>
    </row>
    <row r="2213" spans="32:32" x14ac:dyDescent="0.35">
      <c r="AF2213" s="359"/>
    </row>
    <row r="2214" spans="32:32" x14ac:dyDescent="0.35">
      <c r="AF2214" s="359"/>
    </row>
    <row r="2215" spans="32:32" x14ac:dyDescent="0.35">
      <c r="AF2215" s="359"/>
    </row>
    <row r="2216" spans="32:32" x14ac:dyDescent="0.35">
      <c r="AF2216" s="359"/>
    </row>
    <row r="2217" spans="32:32" x14ac:dyDescent="0.35">
      <c r="AF2217" s="359"/>
    </row>
    <row r="2218" spans="32:32" x14ac:dyDescent="0.35">
      <c r="AF2218" s="359"/>
    </row>
    <row r="2219" spans="32:32" x14ac:dyDescent="0.35">
      <c r="AF2219" s="359"/>
    </row>
    <row r="2220" spans="32:32" x14ac:dyDescent="0.35">
      <c r="AF2220" s="359"/>
    </row>
    <row r="2221" spans="32:32" x14ac:dyDescent="0.35">
      <c r="AF2221" s="359"/>
    </row>
    <row r="2222" spans="32:32" x14ac:dyDescent="0.35">
      <c r="AF2222" s="359"/>
    </row>
    <row r="2223" spans="32:32" x14ac:dyDescent="0.35">
      <c r="AF2223" s="359"/>
    </row>
    <row r="2224" spans="32:32" x14ac:dyDescent="0.35">
      <c r="AF2224" s="359"/>
    </row>
    <row r="2225" spans="32:32" x14ac:dyDescent="0.35">
      <c r="AF2225" s="359"/>
    </row>
    <row r="2226" spans="32:32" x14ac:dyDescent="0.35">
      <c r="AF2226" s="359"/>
    </row>
    <row r="2227" spans="32:32" x14ac:dyDescent="0.35">
      <c r="AF2227" s="359"/>
    </row>
    <row r="2228" spans="32:32" x14ac:dyDescent="0.35">
      <c r="AF2228" s="359"/>
    </row>
    <row r="2229" spans="32:32" x14ac:dyDescent="0.35">
      <c r="AF2229" s="359"/>
    </row>
    <row r="2230" spans="32:32" x14ac:dyDescent="0.35">
      <c r="AF2230" s="359"/>
    </row>
    <row r="2231" spans="32:32" x14ac:dyDescent="0.35">
      <c r="AF2231" s="359"/>
    </row>
    <row r="2232" spans="32:32" x14ac:dyDescent="0.35">
      <c r="AF2232" s="359"/>
    </row>
    <row r="2233" spans="32:32" x14ac:dyDescent="0.35">
      <c r="AF2233" s="359"/>
    </row>
    <row r="2234" spans="32:32" x14ac:dyDescent="0.35">
      <c r="AF2234" s="359"/>
    </row>
    <row r="2235" spans="32:32" x14ac:dyDescent="0.35">
      <c r="AF2235" s="359"/>
    </row>
    <row r="2236" spans="32:32" x14ac:dyDescent="0.35">
      <c r="AF2236" s="359"/>
    </row>
    <row r="2237" spans="32:32" x14ac:dyDescent="0.35">
      <c r="AF2237" s="359"/>
    </row>
    <row r="2238" spans="32:32" x14ac:dyDescent="0.35">
      <c r="AF2238" s="359"/>
    </row>
    <row r="2239" spans="32:32" x14ac:dyDescent="0.35">
      <c r="AF2239" s="359"/>
    </row>
    <row r="2240" spans="32:32" x14ac:dyDescent="0.35">
      <c r="AF2240" s="359"/>
    </row>
    <row r="2241" spans="32:32" x14ac:dyDescent="0.35">
      <c r="AF2241" s="359"/>
    </row>
    <row r="2242" spans="32:32" x14ac:dyDescent="0.35">
      <c r="AF2242" s="359"/>
    </row>
    <row r="2243" spans="32:32" x14ac:dyDescent="0.35">
      <c r="AF2243" s="359"/>
    </row>
    <row r="2244" spans="32:32" x14ac:dyDescent="0.35">
      <c r="AF2244" s="359"/>
    </row>
    <row r="2245" spans="32:32" x14ac:dyDescent="0.35">
      <c r="AF2245" s="359"/>
    </row>
    <row r="2246" spans="32:32" x14ac:dyDescent="0.35">
      <c r="AF2246" s="359"/>
    </row>
    <row r="2247" spans="32:32" x14ac:dyDescent="0.35">
      <c r="AF2247" s="359"/>
    </row>
    <row r="2248" spans="32:32" x14ac:dyDescent="0.35">
      <c r="AF2248" s="359"/>
    </row>
    <row r="2249" spans="32:32" x14ac:dyDescent="0.35">
      <c r="AF2249" s="359"/>
    </row>
    <row r="2250" spans="32:32" x14ac:dyDescent="0.35">
      <c r="AF2250" s="359"/>
    </row>
    <row r="2251" spans="32:32" x14ac:dyDescent="0.35">
      <c r="AF2251" s="359"/>
    </row>
    <row r="2252" spans="32:32" x14ac:dyDescent="0.35">
      <c r="AF2252" s="359"/>
    </row>
    <row r="2253" spans="32:32" x14ac:dyDescent="0.35">
      <c r="AF2253" s="359"/>
    </row>
    <row r="2254" spans="32:32" x14ac:dyDescent="0.35">
      <c r="AF2254" s="359"/>
    </row>
    <row r="2255" spans="32:32" x14ac:dyDescent="0.35">
      <c r="AF2255" s="359"/>
    </row>
    <row r="2256" spans="32:32" x14ac:dyDescent="0.35">
      <c r="AF2256" s="359"/>
    </row>
    <row r="2257" spans="32:32" x14ac:dyDescent="0.35">
      <c r="AF2257" s="359"/>
    </row>
    <row r="2258" spans="32:32" x14ac:dyDescent="0.35">
      <c r="AF2258" s="359"/>
    </row>
    <row r="2259" spans="32:32" x14ac:dyDescent="0.35">
      <c r="AF2259" s="359"/>
    </row>
    <row r="2260" spans="32:32" x14ac:dyDescent="0.35">
      <c r="AF2260" s="359"/>
    </row>
    <row r="2261" spans="32:32" x14ac:dyDescent="0.35">
      <c r="AF2261" s="359"/>
    </row>
    <row r="2262" spans="32:32" x14ac:dyDescent="0.35">
      <c r="AF2262" s="359"/>
    </row>
    <row r="2263" spans="32:32" x14ac:dyDescent="0.35">
      <c r="AF2263" s="359"/>
    </row>
    <row r="2264" spans="32:32" x14ac:dyDescent="0.35">
      <c r="AF2264" s="359"/>
    </row>
    <row r="2265" spans="32:32" x14ac:dyDescent="0.35">
      <c r="AF2265" s="359"/>
    </row>
    <row r="2266" spans="32:32" x14ac:dyDescent="0.35">
      <c r="AF2266" s="359"/>
    </row>
    <row r="2267" spans="32:32" x14ac:dyDescent="0.35">
      <c r="AF2267" s="359"/>
    </row>
    <row r="2268" spans="32:32" x14ac:dyDescent="0.35">
      <c r="AF2268" s="359"/>
    </row>
    <row r="2269" spans="32:32" x14ac:dyDescent="0.35">
      <c r="AF2269" s="359"/>
    </row>
    <row r="2270" spans="32:32" x14ac:dyDescent="0.35">
      <c r="AF2270" s="359"/>
    </row>
    <row r="2271" spans="32:32" x14ac:dyDescent="0.35">
      <c r="AF2271" s="359"/>
    </row>
    <row r="2272" spans="32:32" x14ac:dyDescent="0.35">
      <c r="AF2272" s="359"/>
    </row>
    <row r="2273" spans="32:32" x14ac:dyDescent="0.35">
      <c r="AF2273" s="359"/>
    </row>
    <row r="2274" spans="32:32" x14ac:dyDescent="0.35">
      <c r="AF2274" s="359"/>
    </row>
    <row r="2275" spans="32:32" x14ac:dyDescent="0.35">
      <c r="AF2275" s="359"/>
    </row>
    <row r="2276" spans="32:32" x14ac:dyDescent="0.35">
      <c r="AF2276" s="359"/>
    </row>
    <row r="2277" spans="32:32" x14ac:dyDescent="0.35">
      <c r="AF2277" s="359"/>
    </row>
    <row r="2278" spans="32:32" x14ac:dyDescent="0.35">
      <c r="AF2278" s="359"/>
    </row>
    <row r="2279" spans="32:32" x14ac:dyDescent="0.35">
      <c r="AF2279" s="359"/>
    </row>
    <row r="2280" spans="32:32" x14ac:dyDescent="0.35">
      <c r="AF2280" s="359"/>
    </row>
    <row r="2281" spans="32:32" x14ac:dyDescent="0.35">
      <c r="AF2281" s="359"/>
    </row>
    <row r="2282" spans="32:32" x14ac:dyDescent="0.35">
      <c r="AF2282" s="359"/>
    </row>
    <row r="2283" spans="32:32" x14ac:dyDescent="0.35">
      <c r="AF2283" s="359"/>
    </row>
    <row r="2284" spans="32:32" x14ac:dyDescent="0.35">
      <c r="AF2284" s="359"/>
    </row>
    <row r="2285" spans="32:32" x14ac:dyDescent="0.35">
      <c r="AF2285" s="359"/>
    </row>
    <row r="2286" spans="32:32" x14ac:dyDescent="0.35">
      <c r="AF2286" s="359"/>
    </row>
    <row r="2287" spans="32:32" x14ac:dyDescent="0.35">
      <c r="AF2287" s="359"/>
    </row>
    <row r="2288" spans="32:32" x14ac:dyDescent="0.35">
      <c r="AF2288" s="359"/>
    </row>
    <row r="2289" spans="32:32" x14ac:dyDescent="0.35">
      <c r="AF2289" s="359"/>
    </row>
    <row r="2290" spans="32:32" x14ac:dyDescent="0.35">
      <c r="AF2290" s="359"/>
    </row>
    <row r="2291" spans="32:32" x14ac:dyDescent="0.35">
      <c r="AF2291" s="359"/>
    </row>
    <row r="2292" spans="32:32" x14ac:dyDescent="0.35">
      <c r="AF2292" s="359"/>
    </row>
    <row r="2293" spans="32:32" x14ac:dyDescent="0.35">
      <c r="AF2293" s="359"/>
    </row>
    <row r="2294" spans="32:32" x14ac:dyDescent="0.35">
      <c r="AF2294" s="359"/>
    </row>
    <row r="2295" spans="32:32" x14ac:dyDescent="0.35">
      <c r="AF2295" s="359"/>
    </row>
    <row r="2296" spans="32:32" x14ac:dyDescent="0.35">
      <c r="AF2296" s="359"/>
    </row>
    <row r="2297" spans="32:32" x14ac:dyDescent="0.35">
      <c r="AF2297" s="359"/>
    </row>
    <row r="2298" spans="32:32" x14ac:dyDescent="0.35">
      <c r="AF2298" s="359"/>
    </row>
    <row r="2299" spans="32:32" x14ac:dyDescent="0.35">
      <c r="AF2299" s="359"/>
    </row>
    <row r="2300" spans="32:32" x14ac:dyDescent="0.35">
      <c r="AF2300" s="359"/>
    </row>
    <row r="2301" spans="32:32" x14ac:dyDescent="0.35">
      <c r="AF2301" s="359"/>
    </row>
    <row r="2302" spans="32:32" x14ac:dyDescent="0.35">
      <c r="AF2302" s="359"/>
    </row>
    <row r="2303" spans="32:32" x14ac:dyDescent="0.35">
      <c r="AF2303" s="359"/>
    </row>
    <row r="2304" spans="32:32" x14ac:dyDescent="0.35">
      <c r="AF2304" s="359"/>
    </row>
    <row r="2305" spans="32:32" x14ac:dyDescent="0.35">
      <c r="AF2305" s="359"/>
    </row>
    <row r="2306" spans="32:32" x14ac:dyDescent="0.35">
      <c r="AF2306" s="359"/>
    </row>
    <row r="2307" spans="32:32" x14ac:dyDescent="0.35">
      <c r="AF2307" s="359"/>
    </row>
    <row r="2308" spans="32:32" x14ac:dyDescent="0.35">
      <c r="AF2308" s="359"/>
    </row>
    <row r="2309" spans="32:32" x14ac:dyDescent="0.35">
      <c r="AF2309" s="359"/>
    </row>
    <row r="2310" spans="32:32" x14ac:dyDescent="0.35">
      <c r="AF2310" s="359"/>
    </row>
    <row r="2311" spans="32:32" x14ac:dyDescent="0.35">
      <c r="AF2311" s="359"/>
    </row>
    <row r="2312" spans="32:32" x14ac:dyDescent="0.35">
      <c r="AF2312" s="359"/>
    </row>
    <row r="2313" spans="32:32" x14ac:dyDescent="0.35">
      <c r="AF2313" s="359"/>
    </row>
    <row r="2314" spans="32:32" x14ac:dyDescent="0.35">
      <c r="AF2314" s="359"/>
    </row>
    <row r="2315" spans="32:32" x14ac:dyDescent="0.35">
      <c r="AF2315" s="359"/>
    </row>
    <row r="2316" spans="32:32" x14ac:dyDescent="0.35">
      <c r="AF2316" s="359"/>
    </row>
    <row r="2317" spans="32:32" x14ac:dyDescent="0.35">
      <c r="AF2317" s="359"/>
    </row>
    <row r="2318" spans="32:32" x14ac:dyDescent="0.35">
      <c r="AF2318" s="359"/>
    </row>
    <row r="2319" spans="32:32" x14ac:dyDescent="0.35">
      <c r="AF2319" s="359"/>
    </row>
    <row r="2320" spans="32:32" x14ac:dyDescent="0.35">
      <c r="AF2320" s="359"/>
    </row>
    <row r="2321" spans="32:32" x14ac:dyDescent="0.35">
      <c r="AF2321" s="359"/>
    </row>
    <row r="2322" spans="32:32" x14ac:dyDescent="0.35">
      <c r="AF2322" s="359"/>
    </row>
    <row r="2323" spans="32:32" x14ac:dyDescent="0.35">
      <c r="AF2323" s="359"/>
    </row>
    <row r="2324" spans="32:32" x14ac:dyDescent="0.35">
      <c r="AF2324" s="359"/>
    </row>
    <row r="2325" spans="32:32" x14ac:dyDescent="0.35">
      <c r="AF2325" s="359"/>
    </row>
    <row r="2326" spans="32:32" x14ac:dyDescent="0.35">
      <c r="AF2326" s="359"/>
    </row>
    <row r="2327" spans="32:32" x14ac:dyDescent="0.35">
      <c r="AF2327" s="359"/>
    </row>
    <row r="2328" spans="32:32" x14ac:dyDescent="0.35">
      <c r="AF2328" s="359"/>
    </row>
    <row r="2329" spans="32:32" x14ac:dyDescent="0.35">
      <c r="AF2329" s="359"/>
    </row>
    <row r="2330" spans="32:32" x14ac:dyDescent="0.35">
      <c r="AF2330" s="359"/>
    </row>
    <row r="2331" spans="32:32" x14ac:dyDescent="0.35">
      <c r="AF2331" s="359"/>
    </row>
    <row r="2332" spans="32:32" x14ac:dyDescent="0.35">
      <c r="AF2332" s="359"/>
    </row>
    <row r="2333" spans="32:32" x14ac:dyDescent="0.35">
      <c r="AF2333" s="359"/>
    </row>
    <row r="2334" spans="32:32" x14ac:dyDescent="0.35">
      <c r="AF2334" s="359"/>
    </row>
    <row r="2335" spans="32:32" x14ac:dyDescent="0.35">
      <c r="AF2335" s="359"/>
    </row>
    <row r="2336" spans="32:32" x14ac:dyDescent="0.35">
      <c r="AF2336" s="359"/>
    </row>
    <row r="2337" spans="32:32" x14ac:dyDescent="0.35">
      <c r="AF2337" s="359"/>
    </row>
    <row r="2338" spans="32:32" x14ac:dyDescent="0.35">
      <c r="AF2338" s="359"/>
    </row>
    <row r="2339" spans="32:32" x14ac:dyDescent="0.35">
      <c r="AF2339" s="359"/>
    </row>
    <row r="2340" spans="32:32" x14ac:dyDescent="0.35">
      <c r="AF2340" s="359"/>
    </row>
    <row r="2341" spans="32:32" x14ac:dyDescent="0.35">
      <c r="AF2341" s="359"/>
    </row>
    <row r="2342" spans="32:32" x14ac:dyDescent="0.35">
      <c r="AF2342" s="359"/>
    </row>
    <row r="2343" spans="32:32" x14ac:dyDescent="0.35">
      <c r="AF2343" s="359"/>
    </row>
    <row r="2344" spans="32:32" x14ac:dyDescent="0.35">
      <c r="AF2344" s="359"/>
    </row>
    <row r="2345" spans="32:32" x14ac:dyDescent="0.35">
      <c r="AF2345" s="359"/>
    </row>
    <row r="2346" spans="32:32" x14ac:dyDescent="0.35">
      <c r="AF2346" s="359"/>
    </row>
    <row r="2347" spans="32:32" x14ac:dyDescent="0.35">
      <c r="AF2347" s="359"/>
    </row>
    <row r="2348" spans="32:32" x14ac:dyDescent="0.35">
      <c r="AF2348" s="359"/>
    </row>
    <row r="2349" spans="32:32" x14ac:dyDescent="0.35">
      <c r="AF2349" s="359"/>
    </row>
    <row r="2350" spans="32:32" x14ac:dyDescent="0.35">
      <c r="AF2350" s="359"/>
    </row>
    <row r="2351" spans="32:32" x14ac:dyDescent="0.35">
      <c r="AF2351" s="359"/>
    </row>
    <row r="2352" spans="32:32" x14ac:dyDescent="0.35">
      <c r="AF2352" s="359"/>
    </row>
    <row r="2353" spans="32:32" x14ac:dyDescent="0.35">
      <c r="AF2353" s="359"/>
    </row>
    <row r="2354" spans="32:32" x14ac:dyDescent="0.35">
      <c r="AF2354" s="359"/>
    </row>
    <row r="2355" spans="32:32" x14ac:dyDescent="0.35">
      <c r="AF2355" s="359"/>
    </row>
    <row r="2356" spans="32:32" x14ac:dyDescent="0.35">
      <c r="AF2356" s="359"/>
    </row>
    <row r="2357" spans="32:32" x14ac:dyDescent="0.35">
      <c r="AF2357" s="359"/>
    </row>
    <row r="2358" spans="32:32" x14ac:dyDescent="0.35">
      <c r="AF2358" s="359"/>
    </row>
    <row r="2359" spans="32:32" x14ac:dyDescent="0.35">
      <c r="AF2359" s="359"/>
    </row>
    <row r="2360" spans="32:32" x14ac:dyDescent="0.35">
      <c r="AF2360" s="359"/>
    </row>
    <row r="2361" spans="32:32" x14ac:dyDescent="0.35">
      <c r="AF2361" s="359"/>
    </row>
    <row r="2362" spans="32:32" x14ac:dyDescent="0.35">
      <c r="AF2362" s="359"/>
    </row>
    <row r="2363" spans="32:32" x14ac:dyDescent="0.35">
      <c r="AF2363" s="359"/>
    </row>
    <row r="2364" spans="32:32" x14ac:dyDescent="0.35">
      <c r="AF2364" s="359"/>
    </row>
    <row r="2365" spans="32:32" x14ac:dyDescent="0.35">
      <c r="AF2365" s="359"/>
    </row>
    <row r="2366" spans="32:32" x14ac:dyDescent="0.35">
      <c r="AF2366" s="359"/>
    </row>
    <row r="2367" spans="32:32" x14ac:dyDescent="0.35">
      <c r="AF2367" s="359"/>
    </row>
    <row r="2368" spans="32:32" x14ac:dyDescent="0.35">
      <c r="AF2368" s="359"/>
    </row>
    <row r="2369" spans="32:32" x14ac:dyDescent="0.35">
      <c r="AF2369" s="359"/>
    </row>
    <row r="2370" spans="32:32" x14ac:dyDescent="0.35">
      <c r="AF2370" s="359"/>
    </row>
    <row r="2371" spans="32:32" x14ac:dyDescent="0.35">
      <c r="AF2371" s="359"/>
    </row>
    <row r="2372" spans="32:32" x14ac:dyDescent="0.35">
      <c r="AF2372" s="359"/>
    </row>
    <row r="2373" spans="32:32" x14ac:dyDescent="0.35">
      <c r="AF2373" s="359"/>
    </row>
    <row r="2374" spans="32:32" x14ac:dyDescent="0.35">
      <c r="AF2374" s="359"/>
    </row>
    <row r="2375" spans="32:32" x14ac:dyDescent="0.35">
      <c r="AF2375" s="359"/>
    </row>
    <row r="2376" spans="32:32" x14ac:dyDescent="0.35">
      <c r="AF2376" s="359"/>
    </row>
    <row r="2377" spans="32:32" x14ac:dyDescent="0.35">
      <c r="AF2377" s="359"/>
    </row>
    <row r="2378" spans="32:32" x14ac:dyDescent="0.35">
      <c r="AF2378" s="359"/>
    </row>
    <row r="2379" spans="32:32" x14ac:dyDescent="0.35">
      <c r="AF2379" s="359"/>
    </row>
    <row r="2380" spans="32:32" x14ac:dyDescent="0.35">
      <c r="AF2380" s="359"/>
    </row>
    <row r="2381" spans="32:32" x14ac:dyDescent="0.35">
      <c r="AF2381" s="359"/>
    </row>
    <row r="2382" spans="32:32" x14ac:dyDescent="0.35">
      <c r="AF2382" s="359"/>
    </row>
    <row r="2383" spans="32:32" x14ac:dyDescent="0.35">
      <c r="AF2383" s="359"/>
    </row>
    <row r="2384" spans="32:32" x14ac:dyDescent="0.35">
      <c r="AF2384" s="359"/>
    </row>
    <row r="2385" spans="32:32" x14ac:dyDescent="0.35">
      <c r="AF2385" s="359"/>
    </row>
    <row r="2386" spans="32:32" x14ac:dyDescent="0.35">
      <c r="AF2386" s="359"/>
    </row>
    <row r="2387" spans="32:32" x14ac:dyDescent="0.35">
      <c r="AF2387" s="359"/>
    </row>
    <row r="2388" spans="32:32" x14ac:dyDescent="0.35">
      <c r="AF2388" s="359"/>
    </row>
    <row r="2389" spans="32:32" x14ac:dyDescent="0.35">
      <c r="AF2389" s="359"/>
    </row>
    <row r="2390" spans="32:32" x14ac:dyDescent="0.35">
      <c r="AF2390" s="359"/>
    </row>
    <row r="2391" spans="32:32" x14ac:dyDescent="0.35">
      <c r="AF2391" s="359"/>
    </row>
    <row r="2392" spans="32:32" x14ac:dyDescent="0.35">
      <c r="AF2392" s="359"/>
    </row>
    <row r="2393" spans="32:32" x14ac:dyDescent="0.35">
      <c r="AF2393" s="359"/>
    </row>
    <row r="2394" spans="32:32" x14ac:dyDescent="0.35">
      <c r="AF2394" s="359"/>
    </row>
    <row r="2395" spans="32:32" x14ac:dyDescent="0.35">
      <c r="AF2395" s="359"/>
    </row>
    <row r="2396" spans="32:32" x14ac:dyDescent="0.35">
      <c r="AF2396" s="359"/>
    </row>
    <row r="2397" spans="32:32" x14ac:dyDescent="0.35">
      <c r="AF2397" s="359"/>
    </row>
    <row r="2398" spans="32:32" x14ac:dyDescent="0.35">
      <c r="AF2398" s="359"/>
    </row>
    <row r="2399" spans="32:32" x14ac:dyDescent="0.35">
      <c r="AF2399" s="359"/>
    </row>
    <row r="2400" spans="32:32" x14ac:dyDescent="0.35">
      <c r="AF2400" s="359"/>
    </row>
    <row r="2401" spans="32:32" x14ac:dyDescent="0.35">
      <c r="AF2401" s="359"/>
    </row>
    <row r="2402" spans="32:32" x14ac:dyDescent="0.35">
      <c r="AF2402" s="359"/>
    </row>
    <row r="2403" spans="32:32" x14ac:dyDescent="0.35">
      <c r="AF2403" s="359"/>
    </row>
    <row r="2404" spans="32:32" x14ac:dyDescent="0.35">
      <c r="AF2404" s="359"/>
    </row>
    <row r="2405" spans="32:32" x14ac:dyDescent="0.35">
      <c r="AF2405" s="359"/>
    </row>
    <row r="2406" spans="32:32" x14ac:dyDescent="0.35">
      <c r="AF2406" s="359"/>
    </row>
    <row r="2407" spans="32:32" x14ac:dyDescent="0.35">
      <c r="AF2407" s="359"/>
    </row>
    <row r="2408" spans="32:32" x14ac:dyDescent="0.35">
      <c r="AF2408" s="359"/>
    </row>
    <row r="2409" spans="32:32" x14ac:dyDescent="0.35">
      <c r="AF2409" s="359"/>
    </row>
    <row r="2410" spans="32:32" x14ac:dyDescent="0.35">
      <c r="AF2410" s="359"/>
    </row>
    <row r="2411" spans="32:32" x14ac:dyDescent="0.35">
      <c r="AF2411" s="359"/>
    </row>
    <row r="2412" spans="32:32" x14ac:dyDescent="0.35">
      <c r="AF2412" s="359"/>
    </row>
    <row r="2413" spans="32:32" x14ac:dyDescent="0.35">
      <c r="AF2413" s="359"/>
    </row>
    <row r="2414" spans="32:32" x14ac:dyDescent="0.35">
      <c r="AF2414" s="359"/>
    </row>
    <row r="2415" spans="32:32" x14ac:dyDescent="0.35">
      <c r="AF2415" s="359"/>
    </row>
    <row r="2416" spans="32:32" x14ac:dyDescent="0.35">
      <c r="AF2416" s="359"/>
    </row>
    <row r="2417" spans="32:32" x14ac:dyDescent="0.35">
      <c r="AF2417" s="359"/>
    </row>
    <row r="2418" spans="32:32" x14ac:dyDescent="0.35">
      <c r="AF2418" s="359"/>
    </row>
    <row r="2419" spans="32:32" x14ac:dyDescent="0.35">
      <c r="AF2419" s="359"/>
    </row>
    <row r="2420" spans="32:32" x14ac:dyDescent="0.35">
      <c r="AF2420" s="359"/>
    </row>
    <row r="2421" spans="32:32" x14ac:dyDescent="0.35">
      <c r="AF2421" s="359"/>
    </row>
    <row r="2422" spans="32:32" x14ac:dyDescent="0.35">
      <c r="AF2422" s="359"/>
    </row>
    <row r="2423" spans="32:32" x14ac:dyDescent="0.35">
      <c r="AF2423" s="359"/>
    </row>
    <row r="2424" spans="32:32" x14ac:dyDescent="0.35">
      <c r="AF2424" s="359"/>
    </row>
    <row r="2425" spans="32:32" x14ac:dyDescent="0.35">
      <c r="AF2425" s="359"/>
    </row>
    <row r="2426" spans="32:32" x14ac:dyDescent="0.35">
      <c r="AF2426" s="359"/>
    </row>
    <row r="2427" spans="32:32" x14ac:dyDescent="0.35">
      <c r="AF2427" s="359"/>
    </row>
    <row r="2428" spans="32:32" x14ac:dyDescent="0.35">
      <c r="AF2428" s="359"/>
    </row>
    <row r="2429" spans="32:32" x14ac:dyDescent="0.35">
      <c r="AF2429" s="359"/>
    </row>
    <row r="2430" spans="32:32" x14ac:dyDescent="0.35">
      <c r="AF2430" s="359"/>
    </row>
    <row r="2431" spans="32:32" x14ac:dyDescent="0.35">
      <c r="AF2431" s="359"/>
    </row>
    <row r="2432" spans="32:32" x14ac:dyDescent="0.35">
      <c r="AF2432" s="359"/>
    </row>
    <row r="2433" spans="32:32" x14ac:dyDescent="0.35">
      <c r="AF2433" s="359"/>
    </row>
    <row r="2434" spans="32:32" x14ac:dyDescent="0.35">
      <c r="AF2434" s="359"/>
    </row>
    <row r="2435" spans="32:32" x14ac:dyDescent="0.35">
      <c r="AF2435" s="359"/>
    </row>
    <row r="2436" spans="32:32" x14ac:dyDescent="0.35">
      <c r="AF2436" s="359"/>
    </row>
    <row r="2437" spans="32:32" x14ac:dyDescent="0.35">
      <c r="AF2437" s="359"/>
    </row>
    <row r="2438" spans="32:32" x14ac:dyDescent="0.35">
      <c r="AF2438" s="359"/>
    </row>
    <row r="2439" spans="32:32" x14ac:dyDescent="0.35">
      <c r="AF2439" s="359"/>
    </row>
    <row r="2440" spans="32:32" x14ac:dyDescent="0.35">
      <c r="AF2440" s="359"/>
    </row>
    <row r="2441" spans="32:32" x14ac:dyDescent="0.35">
      <c r="AF2441" s="359"/>
    </row>
    <row r="2442" spans="32:32" x14ac:dyDescent="0.35">
      <c r="AF2442" s="359"/>
    </row>
    <row r="2443" spans="32:32" x14ac:dyDescent="0.35">
      <c r="AF2443" s="359"/>
    </row>
    <row r="2444" spans="32:32" x14ac:dyDescent="0.35">
      <c r="AF2444" s="359"/>
    </row>
    <row r="2445" spans="32:32" x14ac:dyDescent="0.35">
      <c r="AF2445" s="359"/>
    </row>
    <row r="2446" spans="32:32" x14ac:dyDescent="0.35">
      <c r="AF2446" s="359"/>
    </row>
    <row r="2447" spans="32:32" x14ac:dyDescent="0.35">
      <c r="AF2447" s="359"/>
    </row>
    <row r="2448" spans="32:32" x14ac:dyDescent="0.35">
      <c r="AF2448" s="359"/>
    </row>
    <row r="2449" spans="32:32" x14ac:dyDescent="0.35">
      <c r="AF2449" s="359"/>
    </row>
    <row r="2450" spans="32:32" x14ac:dyDescent="0.35">
      <c r="AF2450" s="359"/>
    </row>
    <row r="2451" spans="32:32" x14ac:dyDescent="0.35">
      <c r="AF2451" s="359"/>
    </row>
    <row r="2452" spans="32:32" x14ac:dyDescent="0.35">
      <c r="AF2452" s="359"/>
    </row>
    <row r="2453" spans="32:32" x14ac:dyDescent="0.35">
      <c r="AF2453" s="359"/>
    </row>
    <row r="2454" spans="32:32" x14ac:dyDescent="0.35">
      <c r="AF2454" s="359"/>
    </row>
    <row r="2455" spans="32:32" x14ac:dyDescent="0.35">
      <c r="AF2455" s="359"/>
    </row>
    <row r="2456" spans="32:32" x14ac:dyDescent="0.35">
      <c r="AF2456" s="359"/>
    </row>
    <row r="2457" spans="32:32" x14ac:dyDescent="0.35">
      <c r="AF2457" s="359"/>
    </row>
    <row r="2458" spans="32:32" x14ac:dyDescent="0.35">
      <c r="AF2458" s="359"/>
    </row>
    <row r="2459" spans="32:32" x14ac:dyDescent="0.35">
      <c r="AF2459" s="359"/>
    </row>
    <row r="2460" spans="32:32" x14ac:dyDescent="0.35">
      <c r="AF2460" s="359"/>
    </row>
    <row r="2461" spans="32:32" x14ac:dyDescent="0.35">
      <c r="AF2461" s="359"/>
    </row>
    <row r="2462" spans="32:32" x14ac:dyDescent="0.35">
      <c r="AF2462" s="359"/>
    </row>
    <row r="2463" spans="32:32" x14ac:dyDescent="0.35">
      <c r="AF2463" s="359"/>
    </row>
    <row r="2464" spans="32:32" x14ac:dyDescent="0.35">
      <c r="AF2464" s="359"/>
    </row>
    <row r="2465" spans="32:32" x14ac:dyDescent="0.35">
      <c r="AF2465" s="359"/>
    </row>
    <row r="2466" spans="32:32" x14ac:dyDescent="0.35">
      <c r="AF2466" s="359"/>
    </row>
    <row r="2467" spans="32:32" x14ac:dyDescent="0.35">
      <c r="AF2467" s="359"/>
    </row>
    <row r="2468" spans="32:32" x14ac:dyDescent="0.35">
      <c r="AF2468" s="359"/>
    </row>
    <row r="2469" spans="32:32" x14ac:dyDescent="0.35">
      <c r="AF2469" s="359"/>
    </row>
    <row r="2470" spans="32:32" x14ac:dyDescent="0.35">
      <c r="AF2470" s="359"/>
    </row>
    <row r="2471" spans="32:32" x14ac:dyDescent="0.35">
      <c r="AF2471" s="359"/>
    </row>
    <row r="2472" spans="32:32" x14ac:dyDescent="0.35">
      <c r="AF2472" s="359"/>
    </row>
    <row r="2473" spans="32:32" x14ac:dyDescent="0.35">
      <c r="AF2473" s="359"/>
    </row>
    <row r="2474" spans="32:32" x14ac:dyDescent="0.35">
      <c r="AF2474" s="359"/>
    </row>
    <row r="2475" spans="32:32" x14ac:dyDescent="0.35">
      <c r="AF2475" s="359"/>
    </row>
    <row r="2476" spans="32:32" x14ac:dyDescent="0.35">
      <c r="AF2476" s="359"/>
    </row>
    <row r="2477" spans="32:32" x14ac:dyDescent="0.35">
      <c r="AF2477" s="359"/>
    </row>
    <row r="2478" spans="32:32" x14ac:dyDescent="0.35">
      <c r="AF2478" s="359"/>
    </row>
    <row r="2479" spans="32:32" x14ac:dyDescent="0.35">
      <c r="AF2479" s="359"/>
    </row>
    <row r="2480" spans="32:32" x14ac:dyDescent="0.35">
      <c r="AF2480" s="359"/>
    </row>
    <row r="2481" spans="32:32" x14ac:dyDescent="0.35">
      <c r="AF2481" s="359"/>
    </row>
    <row r="2482" spans="32:32" x14ac:dyDescent="0.35">
      <c r="AF2482" s="359"/>
    </row>
    <row r="2483" spans="32:32" x14ac:dyDescent="0.35">
      <c r="AF2483" s="359"/>
    </row>
    <row r="2484" spans="32:32" x14ac:dyDescent="0.35">
      <c r="AF2484" s="359"/>
    </row>
    <row r="2485" spans="32:32" x14ac:dyDescent="0.35">
      <c r="AF2485" s="359"/>
    </row>
    <row r="2486" spans="32:32" x14ac:dyDescent="0.35">
      <c r="AF2486" s="359"/>
    </row>
    <row r="2487" spans="32:32" x14ac:dyDescent="0.35">
      <c r="AF2487" s="359"/>
    </row>
    <row r="2488" spans="32:32" x14ac:dyDescent="0.35">
      <c r="AF2488" s="359"/>
    </row>
    <row r="2489" spans="32:32" x14ac:dyDescent="0.35">
      <c r="AF2489" s="359"/>
    </row>
    <row r="2490" spans="32:32" x14ac:dyDescent="0.35">
      <c r="AF2490" s="359"/>
    </row>
    <row r="2491" spans="32:32" x14ac:dyDescent="0.35">
      <c r="AF2491" s="359"/>
    </row>
    <row r="2492" spans="32:32" x14ac:dyDescent="0.35">
      <c r="AF2492" s="359"/>
    </row>
    <row r="2493" spans="32:32" x14ac:dyDescent="0.35">
      <c r="AF2493" s="359"/>
    </row>
    <row r="2494" spans="32:32" x14ac:dyDescent="0.35">
      <c r="AF2494" s="359"/>
    </row>
    <row r="2495" spans="32:32" x14ac:dyDescent="0.35">
      <c r="AF2495" s="359"/>
    </row>
    <row r="2496" spans="32:32" x14ac:dyDescent="0.35">
      <c r="AF2496" s="359"/>
    </row>
    <row r="2497" spans="32:32" x14ac:dyDescent="0.35">
      <c r="AF2497" s="359"/>
    </row>
    <row r="2498" spans="32:32" x14ac:dyDescent="0.35">
      <c r="AF2498" s="359"/>
    </row>
    <row r="2499" spans="32:32" x14ac:dyDescent="0.35">
      <c r="AF2499" s="359"/>
    </row>
    <row r="2500" spans="32:32" x14ac:dyDescent="0.35">
      <c r="AF2500" s="359"/>
    </row>
    <row r="2501" spans="32:32" x14ac:dyDescent="0.35">
      <c r="AF2501" s="359"/>
    </row>
    <row r="2502" spans="32:32" x14ac:dyDescent="0.35">
      <c r="AF2502" s="359"/>
    </row>
    <row r="2503" spans="32:32" x14ac:dyDescent="0.35">
      <c r="AF2503" s="359"/>
    </row>
    <row r="2504" spans="32:32" x14ac:dyDescent="0.35">
      <c r="AF2504" s="359"/>
    </row>
    <row r="2505" spans="32:32" x14ac:dyDescent="0.35">
      <c r="AF2505" s="359"/>
    </row>
    <row r="2506" spans="32:32" x14ac:dyDescent="0.35">
      <c r="AF2506" s="359"/>
    </row>
    <row r="2507" spans="32:32" x14ac:dyDescent="0.35">
      <c r="AF2507" s="359"/>
    </row>
    <row r="2508" spans="32:32" x14ac:dyDescent="0.35">
      <c r="AF2508" s="359"/>
    </row>
    <row r="2509" spans="32:32" x14ac:dyDescent="0.35">
      <c r="AF2509" s="359"/>
    </row>
    <row r="2510" spans="32:32" x14ac:dyDescent="0.35">
      <c r="AF2510" s="359"/>
    </row>
    <row r="2511" spans="32:32" x14ac:dyDescent="0.35">
      <c r="AF2511" s="359"/>
    </row>
    <row r="2512" spans="32:32" x14ac:dyDescent="0.35">
      <c r="AF2512" s="359"/>
    </row>
    <row r="2513" spans="32:32" x14ac:dyDescent="0.35">
      <c r="AF2513" s="359"/>
    </row>
    <row r="2514" spans="32:32" x14ac:dyDescent="0.35">
      <c r="AF2514" s="359"/>
    </row>
    <row r="2515" spans="32:32" x14ac:dyDescent="0.35">
      <c r="AF2515" s="359"/>
    </row>
    <row r="2516" spans="32:32" x14ac:dyDescent="0.35">
      <c r="AF2516" s="359"/>
    </row>
    <row r="2517" spans="32:32" x14ac:dyDescent="0.35">
      <c r="AF2517" s="359"/>
    </row>
    <row r="2518" spans="32:32" x14ac:dyDescent="0.35">
      <c r="AF2518" s="359"/>
    </row>
    <row r="2519" spans="32:32" x14ac:dyDescent="0.35">
      <c r="AF2519" s="359"/>
    </row>
    <row r="2520" spans="32:32" x14ac:dyDescent="0.35">
      <c r="AF2520" s="359"/>
    </row>
    <row r="2521" spans="32:32" x14ac:dyDescent="0.35">
      <c r="AF2521" s="359"/>
    </row>
    <row r="2522" spans="32:32" x14ac:dyDescent="0.35">
      <c r="AF2522" s="359"/>
    </row>
    <row r="2523" spans="32:32" x14ac:dyDescent="0.35">
      <c r="AF2523" s="359"/>
    </row>
    <row r="2524" spans="32:32" x14ac:dyDescent="0.35">
      <c r="AF2524" s="359"/>
    </row>
    <row r="2525" spans="32:32" x14ac:dyDescent="0.35">
      <c r="AF2525" s="359"/>
    </row>
    <row r="2526" spans="32:32" x14ac:dyDescent="0.35">
      <c r="AF2526" s="359"/>
    </row>
    <row r="2527" spans="32:32" x14ac:dyDescent="0.35">
      <c r="AF2527" s="359"/>
    </row>
    <row r="2528" spans="32:32" x14ac:dyDescent="0.35">
      <c r="AF2528" s="359"/>
    </row>
    <row r="2529" spans="32:32" x14ac:dyDescent="0.35">
      <c r="AF2529" s="359"/>
    </row>
    <row r="2530" spans="32:32" x14ac:dyDescent="0.35">
      <c r="AF2530" s="359"/>
    </row>
    <row r="2531" spans="32:32" x14ac:dyDescent="0.35">
      <c r="AF2531" s="359"/>
    </row>
    <row r="2532" spans="32:32" x14ac:dyDescent="0.35">
      <c r="AF2532" s="359"/>
    </row>
    <row r="2533" spans="32:32" x14ac:dyDescent="0.35">
      <c r="AF2533" s="359"/>
    </row>
    <row r="2534" spans="32:32" x14ac:dyDescent="0.35">
      <c r="AF2534" s="359"/>
    </row>
    <row r="2535" spans="32:32" x14ac:dyDescent="0.35">
      <c r="AF2535" s="359"/>
    </row>
    <row r="2536" spans="32:32" x14ac:dyDescent="0.35">
      <c r="AF2536" s="359"/>
    </row>
    <row r="2537" spans="32:32" x14ac:dyDescent="0.35">
      <c r="AF2537" s="359"/>
    </row>
    <row r="2538" spans="32:32" x14ac:dyDescent="0.35">
      <c r="AF2538" s="359"/>
    </row>
    <row r="2539" spans="32:32" x14ac:dyDescent="0.35">
      <c r="AF2539" s="359"/>
    </row>
    <row r="2540" spans="32:32" x14ac:dyDescent="0.35">
      <c r="AF2540" s="359"/>
    </row>
    <row r="2541" spans="32:32" x14ac:dyDescent="0.35">
      <c r="AF2541" s="359"/>
    </row>
    <row r="2542" spans="32:32" x14ac:dyDescent="0.35">
      <c r="AF2542" s="359"/>
    </row>
    <row r="2543" spans="32:32" x14ac:dyDescent="0.35">
      <c r="AF2543" s="359"/>
    </row>
    <row r="2544" spans="32:32" x14ac:dyDescent="0.35">
      <c r="AF2544" s="359"/>
    </row>
    <row r="2545" spans="32:32" x14ac:dyDescent="0.35">
      <c r="AF2545" s="359"/>
    </row>
    <row r="2546" spans="32:32" x14ac:dyDescent="0.35">
      <c r="AF2546" s="359"/>
    </row>
    <row r="2547" spans="32:32" x14ac:dyDescent="0.35">
      <c r="AF2547" s="359"/>
    </row>
    <row r="2548" spans="32:32" x14ac:dyDescent="0.35">
      <c r="AF2548" s="359"/>
    </row>
    <row r="2549" spans="32:32" x14ac:dyDescent="0.35">
      <c r="AF2549" s="359"/>
    </row>
    <row r="2550" spans="32:32" x14ac:dyDescent="0.35">
      <c r="AF2550" s="359"/>
    </row>
    <row r="2551" spans="32:32" x14ac:dyDescent="0.35">
      <c r="AF2551" s="359"/>
    </row>
    <row r="2552" spans="32:32" x14ac:dyDescent="0.35">
      <c r="AF2552" s="359"/>
    </row>
    <row r="2553" spans="32:32" x14ac:dyDescent="0.35">
      <c r="AF2553" s="359"/>
    </row>
    <row r="2554" spans="32:32" x14ac:dyDescent="0.35">
      <c r="AF2554" s="359"/>
    </row>
    <row r="2555" spans="32:32" x14ac:dyDescent="0.35">
      <c r="AF2555" s="359"/>
    </row>
    <row r="2556" spans="32:32" x14ac:dyDescent="0.35">
      <c r="AF2556" s="359"/>
    </row>
    <row r="2557" spans="32:32" x14ac:dyDescent="0.35">
      <c r="AF2557" s="359"/>
    </row>
    <row r="2558" spans="32:32" x14ac:dyDescent="0.35">
      <c r="AF2558" s="359"/>
    </row>
    <row r="2559" spans="32:32" x14ac:dyDescent="0.35">
      <c r="AF2559" s="359"/>
    </row>
    <row r="2560" spans="32:32" x14ac:dyDescent="0.35">
      <c r="AF2560" s="359"/>
    </row>
    <row r="2561" spans="32:32" x14ac:dyDescent="0.35">
      <c r="AF2561" s="359"/>
    </row>
    <row r="2562" spans="32:32" x14ac:dyDescent="0.35">
      <c r="AF2562" s="359"/>
    </row>
    <row r="2563" spans="32:32" x14ac:dyDescent="0.35">
      <c r="AF2563" s="359"/>
    </row>
    <row r="2564" spans="32:32" x14ac:dyDescent="0.35">
      <c r="AF2564" s="359"/>
    </row>
    <row r="2565" spans="32:32" x14ac:dyDescent="0.35">
      <c r="AF2565" s="359"/>
    </row>
    <row r="2566" spans="32:32" x14ac:dyDescent="0.35">
      <c r="AF2566" s="359"/>
    </row>
    <row r="2567" spans="32:32" x14ac:dyDescent="0.35">
      <c r="AF2567" s="359"/>
    </row>
    <row r="2568" spans="32:32" x14ac:dyDescent="0.35">
      <c r="AF2568" s="359"/>
    </row>
    <row r="2569" spans="32:32" x14ac:dyDescent="0.35">
      <c r="AF2569" s="359"/>
    </row>
    <row r="2570" spans="32:32" x14ac:dyDescent="0.35">
      <c r="AF2570" s="359"/>
    </row>
    <row r="2571" spans="32:32" x14ac:dyDescent="0.35">
      <c r="AF2571" s="359"/>
    </row>
    <row r="2572" spans="32:32" x14ac:dyDescent="0.35">
      <c r="AF2572" s="359"/>
    </row>
    <row r="2573" spans="32:32" x14ac:dyDescent="0.35">
      <c r="AF2573" s="359"/>
    </row>
    <row r="2574" spans="32:32" x14ac:dyDescent="0.35">
      <c r="AF2574" s="359"/>
    </row>
    <row r="2575" spans="32:32" x14ac:dyDescent="0.35">
      <c r="AF2575" s="359"/>
    </row>
    <row r="2576" spans="32:32" x14ac:dyDescent="0.35">
      <c r="AF2576" s="359"/>
    </row>
    <row r="2577" spans="32:32" x14ac:dyDescent="0.35">
      <c r="AF2577" s="359"/>
    </row>
    <row r="2578" spans="32:32" x14ac:dyDescent="0.35">
      <c r="AF2578" s="359"/>
    </row>
    <row r="2579" spans="32:32" x14ac:dyDescent="0.35">
      <c r="AF2579" s="359"/>
    </row>
    <row r="2580" spans="32:32" x14ac:dyDescent="0.35">
      <c r="AF2580" s="359"/>
    </row>
    <row r="2581" spans="32:32" x14ac:dyDescent="0.35">
      <c r="AF2581" s="359"/>
    </row>
    <row r="2582" spans="32:32" x14ac:dyDescent="0.35">
      <c r="AF2582" s="359"/>
    </row>
    <row r="2583" spans="32:32" x14ac:dyDescent="0.35">
      <c r="AF2583" s="359"/>
    </row>
    <row r="2584" spans="32:32" x14ac:dyDescent="0.35">
      <c r="AF2584" s="359"/>
    </row>
    <row r="2585" spans="32:32" x14ac:dyDescent="0.35">
      <c r="AF2585" s="359"/>
    </row>
    <row r="2586" spans="32:32" x14ac:dyDescent="0.35">
      <c r="AF2586" s="359"/>
    </row>
    <row r="2587" spans="32:32" x14ac:dyDescent="0.35">
      <c r="AF2587" s="359"/>
    </row>
    <row r="2588" spans="32:32" x14ac:dyDescent="0.35">
      <c r="AF2588" s="359"/>
    </row>
    <row r="2589" spans="32:32" x14ac:dyDescent="0.35">
      <c r="AF2589" s="359"/>
    </row>
    <row r="2590" spans="32:32" x14ac:dyDescent="0.35">
      <c r="AF2590" s="359"/>
    </row>
    <row r="2591" spans="32:32" x14ac:dyDescent="0.35">
      <c r="AF2591" s="359"/>
    </row>
    <row r="2592" spans="32:32" x14ac:dyDescent="0.35">
      <c r="AF2592" s="359"/>
    </row>
    <row r="2593" spans="32:32" x14ac:dyDescent="0.35">
      <c r="AF2593" s="359"/>
    </row>
    <row r="2594" spans="32:32" x14ac:dyDescent="0.35">
      <c r="AF2594" s="359"/>
    </row>
    <row r="2595" spans="32:32" x14ac:dyDescent="0.35">
      <c r="AF2595" s="359"/>
    </row>
    <row r="2596" spans="32:32" x14ac:dyDescent="0.35">
      <c r="AF2596" s="359"/>
    </row>
    <row r="2597" spans="32:32" x14ac:dyDescent="0.35">
      <c r="AF2597" s="359"/>
    </row>
    <row r="2598" spans="32:32" x14ac:dyDescent="0.35">
      <c r="AF2598" s="359"/>
    </row>
    <row r="2599" spans="32:32" x14ac:dyDescent="0.35">
      <c r="AF2599" s="359"/>
    </row>
    <row r="2600" spans="32:32" x14ac:dyDescent="0.35">
      <c r="AF2600" s="359"/>
    </row>
    <row r="2601" spans="32:32" x14ac:dyDescent="0.35">
      <c r="AF2601" s="359"/>
    </row>
    <row r="2602" spans="32:32" x14ac:dyDescent="0.35">
      <c r="AF2602" s="359"/>
    </row>
    <row r="2603" spans="32:32" x14ac:dyDescent="0.35">
      <c r="AF2603" s="359"/>
    </row>
    <row r="2604" spans="32:32" x14ac:dyDescent="0.35">
      <c r="AF2604" s="359"/>
    </row>
    <row r="2605" spans="32:32" x14ac:dyDescent="0.35">
      <c r="AF2605" s="359"/>
    </row>
    <row r="2606" spans="32:32" x14ac:dyDescent="0.35">
      <c r="AF2606" s="359"/>
    </row>
    <row r="2607" spans="32:32" x14ac:dyDescent="0.35">
      <c r="AF2607" s="359"/>
    </row>
    <row r="2608" spans="32:32" x14ac:dyDescent="0.35">
      <c r="AF2608" s="359"/>
    </row>
    <row r="2609" spans="32:32" x14ac:dyDescent="0.35">
      <c r="AF2609" s="359"/>
    </row>
    <row r="2610" spans="32:32" x14ac:dyDescent="0.35">
      <c r="AF2610" s="359"/>
    </row>
    <row r="2611" spans="32:32" x14ac:dyDescent="0.35">
      <c r="AF2611" s="359"/>
    </row>
    <row r="2612" spans="32:32" x14ac:dyDescent="0.35">
      <c r="AF2612" s="359"/>
    </row>
    <row r="2613" spans="32:32" x14ac:dyDescent="0.35">
      <c r="AF2613" s="359"/>
    </row>
    <row r="2614" spans="32:32" x14ac:dyDescent="0.35">
      <c r="AF2614" s="359"/>
    </row>
    <row r="2615" spans="32:32" x14ac:dyDescent="0.35">
      <c r="AF2615" s="359"/>
    </row>
    <row r="2616" spans="32:32" x14ac:dyDescent="0.35">
      <c r="AF2616" s="359"/>
    </row>
    <row r="2617" spans="32:32" x14ac:dyDescent="0.35">
      <c r="AF2617" s="359"/>
    </row>
    <row r="2618" spans="32:32" x14ac:dyDescent="0.35">
      <c r="AF2618" s="359"/>
    </row>
    <row r="2619" spans="32:32" x14ac:dyDescent="0.35">
      <c r="AF2619" s="359"/>
    </row>
    <row r="2620" spans="32:32" x14ac:dyDescent="0.35">
      <c r="AF2620" s="359"/>
    </row>
    <row r="2621" spans="32:32" x14ac:dyDescent="0.35">
      <c r="AF2621" s="359"/>
    </row>
    <row r="2622" spans="32:32" x14ac:dyDescent="0.35">
      <c r="AF2622" s="359"/>
    </row>
    <row r="2623" spans="32:32" x14ac:dyDescent="0.35">
      <c r="AF2623" s="359"/>
    </row>
    <row r="2624" spans="32:32" x14ac:dyDescent="0.35">
      <c r="AF2624" s="359"/>
    </row>
    <row r="2625" spans="32:32" x14ac:dyDescent="0.35">
      <c r="AF2625" s="359"/>
    </row>
    <row r="2626" spans="32:32" x14ac:dyDescent="0.35">
      <c r="AF2626" s="359"/>
    </row>
    <row r="2627" spans="32:32" x14ac:dyDescent="0.35">
      <c r="AF2627" s="359"/>
    </row>
    <row r="2628" spans="32:32" x14ac:dyDescent="0.35">
      <c r="AF2628" s="359"/>
    </row>
    <row r="2629" spans="32:32" x14ac:dyDescent="0.35">
      <c r="AF2629" s="359"/>
    </row>
    <row r="2630" spans="32:32" x14ac:dyDescent="0.35">
      <c r="AF2630" s="359"/>
    </row>
    <row r="2631" spans="32:32" x14ac:dyDescent="0.35">
      <c r="AF2631" s="359"/>
    </row>
    <row r="2632" spans="32:32" x14ac:dyDescent="0.35">
      <c r="AF2632" s="359"/>
    </row>
    <row r="2633" spans="32:32" x14ac:dyDescent="0.35">
      <c r="AF2633" s="359"/>
    </row>
    <row r="2634" spans="32:32" x14ac:dyDescent="0.35">
      <c r="AF2634" s="359"/>
    </row>
    <row r="2635" spans="32:32" x14ac:dyDescent="0.35">
      <c r="AF2635" s="359"/>
    </row>
    <row r="2636" spans="32:32" x14ac:dyDescent="0.35">
      <c r="AF2636" s="359"/>
    </row>
    <row r="2637" spans="32:32" x14ac:dyDescent="0.35">
      <c r="AF2637" s="359"/>
    </row>
    <row r="2638" spans="32:32" x14ac:dyDescent="0.35">
      <c r="AF2638" s="359"/>
    </row>
    <row r="2639" spans="32:32" x14ac:dyDescent="0.35">
      <c r="AF2639" s="359"/>
    </row>
    <row r="2640" spans="32:32" x14ac:dyDescent="0.35">
      <c r="AF2640" s="359"/>
    </row>
    <row r="2641" spans="32:32" x14ac:dyDescent="0.35">
      <c r="AF2641" s="359"/>
    </row>
    <row r="2642" spans="32:32" x14ac:dyDescent="0.35">
      <c r="AF2642" s="359"/>
    </row>
    <row r="2643" spans="32:32" x14ac:dyDescent="0.35">
      <c r="AF2643" s="359"/>
    </row>
    <row r="2644" spans="32:32" x14ac:dyDescent="0.35">
      <c r="AF2644" s="359"/>
    </row>
    <row r="2645" spans="32:32" x14ac:dyDescent="0.35">
      <c r="AF2645" s="359"/>
    </row>
    <row r="2646" spans="32:32" x14ac:dyDescent="0.35">
      <c r="AF2646" s="359"/>
    </row>
    <row r="2647" spans="32:32" x14ac:dyDescent="0.35">
      <c r="AF2647" s="359"/>
    </row>
    <row r="2648" spans="32:32" x14ac:dyDescent="0.35">
      <c r="AF2648" s="359"/>
    </row>
    <row r="2649" spans="32:32" x14ac:dyDescent="0.35">
      <c r="AF2649" s="359"/>
    </row>
    <row r="2650" spans="32:32" x14ac:dyDescent="0.35">
      <c r="AF2650" s="359"/>
    </row>
    <row r="2651" spans="32:32" x14ac:dyDescent="0.35">
      <c r="AF2651" s="359"/>
    </row>
    <row r="2652" spans="32:32" x14ac:dyDescent="0.35">
      <c r="AF2652" s="359"/>
    </row>
    <row r="2653" spans="32:32" x14ac:dyDescent="0.35">
      <c r="AF2653" s="359"/>
    </row>
    <row r="2654" spans="32:32" x14ac:dyDescent="0.35">
      <c r="AF2654" s="359"/>
    </row>
    <row r="2655" spans="32:32" x14ac:dyDescent="0.35">
      <c r="AF2655" s="359"/>
    </row>
    <row r="2656" spans="32:32" x14ac:dyDescent="0.35">
      <c r="AF2656" s="359"/>
    </row>
    <row r="2657" spans="32:32" x14ac:dyDescent="0.35">
      <c r="AF2657" s="359"/>
    </row>
    <row r="2658" spans="32:32" x14ac:dyDescent="0.35">
      <c r="AF2658" s="359"/>
    </row>
    <row r="2659" spans="32:32" x14ac:dyDescent="0.35">
      <c r="AF2659" s="359"/>
    </row>
    <row r="2660" spans="32:32" x14ac:dyDescent="0.35">
      <c r="AF2660" s="359"/>
    </row>
    <row r="2661" spans="32:32" x14ac:dyDescent="0.35">
      <c r="AF2661" s="359"/>
    </row>
    <row r="2662" spans="32:32" x14ac:dyDescent="0.35">
      <c r="AF2662" s="359"/>
    </row>
    <row r="2663" spans="32:32" x14ac:dyDescent="0.35">
      <c r="AF2663" s="359"/>
    </row>
    <row r="2664" spans="32:32" x14ac:dyDescent="0.35">
      <c r="AF2664" s="359"/>
    </row>
    <row r="2665" spans="32:32" x14ac:dyDescent="0.35">
      <c r="AF2665" s="359"/>
    </row>
    <row r="2666" spans="32:32" x14ac:dyDescent="0.35">
      <c r="AF2666" s="359"/>
    </row>
    <row r="2667" spans="32:32" x14ac:dyDescent="0.35">
      <c r="AF2667" s="359"/>
    </row>
    <row r="2668" spans="32:32" x14ac:dyDescent="0.35">
      <c r="AF2668" s="359"/>
    </row>
    <row r="2669" spans="32:32" x14ac:dyDescent="0.35">
      <c r="AF2669" s="359"/>
    </row>
    <row r="2670" spans="32:32" x14ac:dyDescent="0.35">
      <c r="AF2670" s="359"/>
    </row>
    <row r="2671" spans="32:32" x14ac:dyDescent="0.35">
      <c r="AF2671" s="359"/>
    </row>
    <row r="2672" spans="32:32" x14ac:dyDescent="0.35">
      <c r="AF2672" s="359"/>
    </row>
    <row r="2673" spans="32:32" x14ac:dyDescent="0.35">
      <c r="AF2673" s="359"/>
    </row>
    <row r="2674" spans="32:32" x14ac:dyDescent="0.35">
      <c r="AF2674" s="359"/>
    </row>
    <row r="2675" spans="32:32" x14ac:dyDescent="0.35">
      <c r="AF2675" s="359"/>
    </row>
    <row r="2676" spans="32:32" x14ac:dyDescent="0.35">
      <c r="AF2676" s="359"/>
    </row>
    <row r="2677" spans="32:32" x14ac:dyDescent="0.35">
      <c r="AF2677" s="359"/>
    </row>
    <row r="2678" spans="32:32" x14ac:dyDescent="0.35">
      <c r="AF2678" s="359"/>
    </row>
    <row r="2679" spans="32:32" x14ac:dyDescent="0.35">
      <c r="AF2679" s="359"/>
    </row>
    <row r="2680" spans="32:32" x14ac:dyDescent="0.35">
      <c r="AF2680" s="359"/>
    </row>
    <row r="2681" spans="32:32" x14ac:dyDescent="0.35">
      <c r="AF2681" s="359"/>
    </row>
    <row r="2682" spans="32:32" x14ac:dyDescent="0.35">
      <c r="AF2682" s="359"/>
    </row>
    <row r="2683" spans="32:32" x14ac:dyDescent="0.35">
      <c r="AF2683" s="359"/>
    </row>
    <row r="2684" spans="32:32" x14ac:dyDescent="0.35">
      <c r="AF2684" s="359"/>
    </row>
    <row r="2685" spans="32:32" x14ac:dyDescent="0.35">
      <c r="AF2685" s="359"/>
    </row>
    <row r="2686" spans="32:32" x14ac:dyDescent="0.35">
      <c r="AF2686" s="359"/>
    </row>
    <row r="2687" spans="32:32" x14ac:dyDescent="0.35">
      <c r="AF2687" s="359"/>
    </row>
    <row r="2688" spans="32:32" x14ac:dyDescent="0.35">
      <c r="AF2688" s="359"/>
    </row>
    <row r="2689" spans="32:32" x14ac:dyDescent="0.35">
      <c r="AF2689" s="359"/>
    </row>
    <row r="2690" spans="32:32" x14ac:dyDescent="0.35">
      <c r="AF2690" s="359"/>
    </row>
    <row r="2691" spans="32:32" x14ac:dyDescent="0.35">
      <c r="AF2691" s="359"/>
    </row>
    <row r="2692" spans="32:32" x14ac:dyDescent="0.35">
      <c r="AF2692" s="359"/>
    </row>
    <row r="2693" spans="32:32" x14ac:dyDescent="0.35">
      <c r="AF2693" s="359"/>
    </row>
    <row r="2694" spans="32:32" x14ac:dyDescent="0.35">
      <c r="AF2694" s="359"/>
    </row>
    <row r="2695" spans="32:32" x14ac:dyDescent="0.35">
      <c r="AF2695" s="359"/>
    </row>
    <row r="2696" spans="32:32" x14ac:dyDescent="0.35">
      <c r="AF2696" s="359"/>
    </row>
    <row r="2697" spans="32:32" x14ac:dyDescent="0.35">
      <c r="AF2697" s="359"/>
    </row>
    <row r="2698" spans="32:32" x14ac:dyDescent="0.35">
      <c r="AF2698" s="359"/>
    </row>
    <row r="2699" spans="32:32" x14ac:dyDescent="0.35">
      <c r="AF2699" s="359"/>
    </row>
    <row r="2700" spans="32:32" x14ac:dyDescent="0.35">
      <c r="AF2700" s="359"/>
    </row>
    <row r="2701" spans="32:32" x14ac:dyDescent="0.35">
      <c r="AF2701" s="359"/>
    </row>
    <row r="2702" spans="32:32" x14ac:dyDescent="0.35">
      <c r="AF2702" s="359"/>
    </row>
    <row r="2703" spans="32:32" x14ac:dyDescent="0.35">
      <c r="AF2703" s="359"/>
    </row>
    <row r="2704" spans="32:32" x14ac:dyDescent="0.35">
      <c r="AF2704" s="359"/>
    </row>
    <row r="2705" spans="32:32" x14ac:dyDescent="0.35">
      <c r="AF2705" s="359"/>
    </row>
    <row r="2706" spans="32:32" x14ac:dyDescent="0.35">
      <c r="AF2706" s="359"/>
    </row>
    <row r="2707" spans="32:32" x14ac:dyDescent="0.35">
      <c r="AF2707" s="359"/>
    </row>
    <row r="2708" spans="32:32" x14ac:dyDescent="0.35">
      <c r="AF2708" s="359"/>
    </row>
    <row r="2709" spans="32:32" x14ac:dyDescent="0.35">
      <c r="AF2709" s="359"/>
    </row>
    <row r="2710" spans="32:32" x14ac:dyDescent="0.35">
      <c r="AF2710" s="359"/>
    </row>
    <row r="2711" spans="32:32" x14ac:dyDescent="0.35">
      <c r="AF2711" s="359"/>
    </row>
    <row r="2712" spans="32:32" x14ac:dyDescent="0.35">
      <c r="AF2712" s="359"/>
    </row>
    <row r="2713" spans="32:32" x14ac:dyDescent="0.35">
      <c r="AF2713" s="359"/>
    </row>
    <row r="2714" spans="32:32" x14ac:dyDescent="0.35">
      <c r="AF2714" s="359"/>
    </row>
    <row r="2715" spans="32:32" x14ac:dyDescent="0.35">
      <c r="AF2715" s="359"/>
    </row>
    <row r="2716" spans="32:32" x14ac:dyDescent="0.35">
      <c r="AF2716" s="359"/>
    </row>
    <row r="2717" spans="32:32" x14ac:dyDescent="0.35">
      <c r="AF2717" s="359"/>
    </row>
    <row r="2718" spans="32:32" x14ac:dyDescent="0.35">
      <c r="AF2718" s="359"/>
    </row>
    <row r="2719" spans="32:32" x14ac:dyDescent="0.35">
      <c r="AF2719" s="359"/>
    </row>
    <row r="2720" spans="32:32" x14ac:dyDescent="0.35">
      <c r="AF2720" s="359"/>
    </row>
    <row r="2721" spans="32:32" x14ac:dyDescent="0.35">
      <c r="AF2721" s="359"/>
    </row>
    <row r="2722" spans="32:32" x14ac:dyDescent="0.35">
      <c r="AF2722" s="359"/>
    </row>
    <row r="2723" spans="32:32" x14ac:dyDescent="0.35">
      <c r="AF2723" s="359"/>
    </row>
    <row r="2724" spans="32:32" x14ac:dyDescent="0.35">
      <c r="AF2724" s="359"/>
    </row>
    <row r="2725" spans="32:32" x14ac:dyDescent="0.35">
      <c r="AF2725" s="359"/>
    </row>
    <row r="2726" spans="32:32" x14ac:dyDescent="0.35">
      <c r="AF2726" s="359"/>
    </row>
    <row r="2727" spans="32:32" x14ac:dyDescent="0.35">
      <c r="AF2727" s="359"/>
    </row>
    <row r="2728" spans="32:32" x14ac:dyDescent="0.35">
      <c r="AF2728" s="359"/>
    </row>
    <row r="2729" spans="32:32" x14ac:dyDescent="0.35">
      <c r="AF2729" s="359"/>
    </row>
    <row r="2730" spans="32:32" x14ac:dyDescent="0.35">
      <c r="AF2730" s="359"/>
    </row>
    <row r="2731" spans="32:32" x14ac:dyDescent="0.35">
      <c r="AF2731" s="359"/>
    </row>
    <row r="2732" spans="32:32" x14ac:dyDescent="0.35">
      <c r="AF2732" s="359"/>
    </row>
    <row r="2733" spans="32:32" x14ac:dyDescent="0.35">
      <c r="AF2733" s="359"/>
    </row>
    <row r="2734" spans="32:32" x14ac:dyDescent="0.35">
      <c r="AF2734" s="359"/>
    </row>
    <row r="2735" spans="32:32" x14ac:dyDescent="0.35">
      <c r="AF2735" s="359"/>
    </row>
    <row r="2736" spans="32:32" x14ac:dyDescent="0.35">
      <c r="AF2736" s="359"/>
    </row>
    <row r="2737" spans="32:32" x14ac:dyDescent="0.35">
      <c r="AF2737" s="359"/>
    </row>
    <row r="2738" spans="32:32" x14ac:dyDescent="0.35">
      <c r="AF2738" s="359"/>
    </row>
    <row r="2739" spans="32:32" x14ac:dyDescent="0.35">
      <c r="AF2739" s="359"/>
    </row>
    <row r="2740" spans="32:32" x14ac:dyDescent="0.35">
      <c r="AF2740" s="359"/>
    </row>
    <row r="2741" spans="32:32" x14ac:dyDescent="0.35">
      <c r="AF2741" s="359"/>
    </row>
    <row r="2742" spans="32:32" x14ac:dyDescent="0.35">
      <c r="AF2742" s="359"/>
    </row>
    <row r="2743" spans="32:32" x14ac:dyDescent="0.35">
      <c r="AF2743" s="359"/>
    </row>
    <row r="2744" spans="32:32" x14ac:dyDescent="0.35">
      <c r="AF2744" s="359"/>
    </row>
    <row r="2745" spans="32:32" x14ac:dyDescent="0.35">
      <c r="AF2745" s="359"/>
    </row>
    <row r="2746" spans="32:32" x14ac:dyDescent="0.35">
      <c r="AF2746" s="359"/>
    </row>
    <row r="2747" spans="32:32" x14ac:dyDescent="0.35">
      <c r="AF2747" s="359"/>
    </row>
    <row r="2748" spans="32:32" x14ac:dyDescent="0.35">
      <c r="AF2748" s="359"/>
    </row>
    <row r="2749" spans="32:32" x14ac:dyDescent="0.35">
      <c r="AF2749" s="359"/>
    </row>
    <row r="2750" spans="32:32" x14ac:dyDescent="0.35">
      <c r="AF2750" s="359"/>
    </row>
    <row r="2751" spans="32:32" x14ac:dyDescent="0.35">
      <c r="AF2751" s="359"/>
    </row>
    <row r="2752" spans="32:32" x14ac:dyDescent="0.35">
      <c r="AF2752" s="359"/>
    </row>
    <row r="2753" spans="32:32" x14ac:dyDescent="0.35">
      <c r="AF2753" s="359"/>
    </row>
    <row r="2754" spans="32:32" x14ac:dyDescent="0.35">
      <c r="AF2754" s="359"/>
    </row>
    <row r="2755" spans="32:32" x14ac:dyDescent="0.35">
      <c r="AF2755" s="359"/>
    </row>
    <row r="2756" spans="32:32" x14ac:dyDescent="0.35">
      <c r="AF2756" s="359"/>
    </row>
    <row r="2757" spans="32:32" x14ac:dyDescent="0.35">
      <c r="AF2757" s="359"/>
    </row>
    <row r="2758" spans="32:32" x14ac:dyDescent="0.35">
      <c r="AF2758" s="359"/>
    </row>
    <row r="2759" spans="32:32" x14ac:dyDescent="0.35">
      <c r="AF2759" s="359"/>
    </row>
    <row r="2760" spans="32:32" x14ac:dyDescent="0.35">
      <c r="AF2760" s="359"/>
    </row>
    <row r="2761" spans="32:32" x14ac:dyDescent="0.35">
      <c r="AF2761" s="359"/>
    </row>
    <row r="2762" spans="32:32" x14ac:dyDescent="0.35">
      <c r="AF2762" s="359"/>
    </row>
    <row r="2763" spans="32:32" x14ac:dyDescent="0.35">
      <c r="AF2763" s="359"/>
    </row>
    <row r="2764" spans="32:32" x14ac:dyDescent="0.35">
      <c r="AF2764" s="359"/>
    </row>
    <row r="2765" spans="32:32" x14ac:dyDescent="0.35">
      <c r="AF2765" s="359"/>
    </row>
    <row r="2766" spans="32:32" x14ac:dyDescent="0.35">
      <c r="AF2766" s="359"/>
    </row>
    <row r="2767" spans="32:32" x14ac:dyDescent="0.35">
      <c r="AF2767" s="359"/>
    </row>
    <row r="2768" spans="32:32" x14ac:dyDescent="0.35">
      <c r="AF2768" s="359"/>
    </row>
    <row r="2769" spans="32:32" x14ac:dyDescent="0.35">
      <c r="AF2769" s="359"/>
    </row>
    <row r="2770" spans="32:32" x14ac:dyDescent="0.35">
      <c r="AF2770" s="359"/>
    </row>
    <row r="2771" spans="32:32" x14ac:dyDescent="0.35">
      <c r="AF2771" s="359"/>
    </row>
    <row r="2772" spans="32:32" x14ac:dyDescent="0.35">
      <c r="AF2772" s="359"/>
    </row>
    <row r="2773" spans="32:32" x14ac:dyDescent="0.35">
      <c r="AF2773" s="359"/>
    </row>
    <row r="2774" spans="32:32" x14ac:dyDescent="0.35">
      <c r="AF2774" s="359"/>
    </row>
    <row r="2775" spans="32:32" x14ac:dyDescent="0.35">
      <c r="AF2775" s="359"/>
    </row>
    <row r="2776" spans="32:32" x14ac:dyDescent="0.35">
      <c r="AF2776" s="359"/>
    </row>
    <row r="2777" spans="32:32" x14ac:dyDescent="0.35">
      <c r="AF2777" s="359"/>
    </row>
    <row r="2778" spans="32:32" x14ac:dyDescent="0.35">
      <c r="AF2778" s="359"/>
    </row>
    <row r="2779" spans="32:32" x14ac:dyDescent="0.35">
      <c r="AF2779" s="359"/>
    </row>
    <row r="2780" spans="32:32" x14ac:dyDescent="0.35">
      <c r="AF2780" s="359"/>
    </row>
    <row r="2781" spans="32:32" x14ac:dyDescent="0.35">
      <c r="AF2781" s="359"/>
    </row>
    <row r="2782" spans="32:32" x14ac:dyDescent="0.35">
      <c r="AF2782" s="359"/>
    </row>
    <row r="2783" spans="32:32" x14ac:dyDescent="0.35">
      <c r="AF2783" s="359"/>
    </row>
    <row r="2784" spans="32:32" x14ac:dyDescent="0.35">
      <c r="AF2784" s="359"/>
    </row>
    <row r="2785" spans="32:32" x14ac:dyDescent="0.35">
      <c r="AF2785" s="359"/>
    </row>
    <row r="2786" spans="32:32" x14ac:dyDescent="0.35">
      <c r="AF2786" s="359"/>
    </row>
    <row r="2787" spans="32:32" x14ac:dyDescent="0.35">
      <c r="AF2787" s="359"/>
    </row>
    <row r="2788" spans="32:32" x14ac:dyDescent="0.35">
      <c r="AF2788" s="359"/>
    </row>
    <row r="2789" spans="32:32" x14ac:dyDescent="0.35">
      <c r="AF2789" s="359"/>
    </row>
    <row r="2790" spans="32:32" x14ac:dyDescent="0.35">
      <c r="AF2790" s="359"/>
    </row>
    <row r="2791" spans="32:32" x14ac:dyDescent="0.35">
      <c r="AF2791" s="359"/>
    </row>
    <row r="2792" spans="32:32" x14ac:dyDescent="0.35">
      <c r="AF2792" s="359"/>
    </row>
    <row r="2793" spans="32:32" x14ac:dyDescent="0.35">
      <c r="AF2793" s="359"/>
    </row>
    <row r="2794" spans="32:32" x14ac:dyDescent="0.35">
      <c r="AF2794" s="359"/>
    </row>
    <row r="2795" spans="32:32" x14ac:dyDescent="0.35">
      <c r="AF2795" s="359"/>
    </row>
    <row r="2796" spans="32:32" x14ac:dyDescent="0.35">
      <c r="AF2796" s="359"/>
    </row>
    <row r="2797" spans="32:32" x14ac:dyDescent="0.35">
      <c r="AF2797" s="359"/>
    </row>
    <row r="2798" spans="32:32" x14ac:dyDescent="0.35">
      <c r="AF2798" s="359"/>
    </row>
    <row r="2799" spans="32:32" x14ac:dyDescent="0.35">
      <c r="AF2799" s="359"/>
    </row>
    <row r="2800" spans="32:32" x14ac:dyDescent="0.35">
      <c r="AF2800" s="359"/>
    </row>
    <row r="2801" spans="32:32" x14ac:dyDescent="0.35">
      <c r="AF2801" s="359"/>
    </row>
    <row r="2802" spans="32:32" x14ac:dyDescent="0.35">
      <c r="AF2802" s="359"/>
    </row>
    <row r="2803" spans="32:32" x14ac:dyDescent="0.35">
      <c r="AF2803" s="359"/>
    </row>
    <row r="2804" spans="32:32" x14ac:dyDescent="0.35">
      <c r="AF2804" s="359"/>
    </row>
    <row r="2805" spans="32:32" x14ac:dyDescent="0.35">
      <c r="AF2805" s="359"/>
    </row>
    <row r="2806" spans="32:32" x14ac:dyDescent="0.35">
      <c r="AF2806" s="359"/>
    </row>
    <row r="2807" spans="32:32" x14ac:dyDescent="0.35">
      <c r="AF2807" s="359"/>
    </row>
    <row r="2808" spans="32:32" x14ac:dyDescent="0.35">
      <c r="AF2808" s="359"/>
    </row>
    <row r="2809" spans="32:32" x14ac:dyDescent="0.35">
      <c r="AF2809" s="359"/>
    </row>
    <row r="2810" spans="32:32" x14ac:dyDescent="0.35">
      <c r="AF2810" s="359"/>
    </row>
    <row r="2811" spans="32:32" x14ac:dyDescent="0.35">
      <c r="AF2811" s="359"/>
    </row>
    <row r="2812" spans="32:32" x14ac:dyDescent="0.35">
      <c r="AF2812" s="359"/>
    </row>
    <row r="2813" spans="32:32" x14ac:dyDescent="0.35">
      <c r="AF2813" s="359"/>
    </row>
    <row r="2814" spans="32:32" x14ac:dyDescent="0.35">
      <c r="AF2814" s="359"/>
    </row>
    <row r="2815" spans="32:32" x14ac:dyDescent="0.35">
      <c r="AF2815" s="359"/>
    </row>
    <row r="2816" spans="32:32" x14ac:dyDescent="0.35">
      <c r="AF2816" s="359"/>
    </row>
    <row r="2817" spans="32:32" x14ac:dyDescent="0.35">
      <c r="AF2817" s="359"/>
    </row>
    <row r="2818" spans="32:32" x14ac:dyDescent="0.35">
      <c r="AF2818" s="359"/>
    </row>
    <row r="2819" spans="32:32" x14ac:dyDescent="0.35">
      <c r="AF2819" s="359"/>
    </row>
    <row r="2820" spans="32:32" x14ac:dyDescent="0.35">
      <c r="AF2820" s="359"/>
    </row>
    <row r="2821" spans="32:32" x14ac:dyDescent="0.35">
      <c r="AF2821" s="359"/>
    </row>
    <row r="2822" spans="32:32" x14ac:dyDescent="0.35">
      <c r="AF2822" s="359"/>
    </row>
    <row r="2823" spans="32:32" x14ac:dyDescent="0.35">
      <c r="AF2823" s="359"/>
    </row>
    <row r="2824" spans="32:32" x14ac:dyDescent="0.35">
      <c r="AF2824" s="359"/>
    </row>
    <row r="2825" spans="32:32" x14ac:dyDescent="0.35">
      <c r="AF2825" s="359"/>
    </row>
    <row r="2826" spans="32:32" x14ac:dyDescent="0.35">
      <c r="AF2826" s="359"/>
    </row>
    <row r="2827" spans="32:32" x14ac:dyDescent="0.35">
      <c r="AF2827" s="359"/>
    </row>
    <row r="2828" spans="32:32" x14ac:dyDescent="0.35">
      <c r="AF2828" s="359"/>
    </row>
    <row r="2829" spans="32:32" x14ac:dyDescent="0.35">
      <c r="AF2829" s="359"/>
    </row>
    <row r="2830" spans="32:32" x14ac:dyDescent="0.35">
      <c r="AF2830" s="359"/>
    </row>
    <row r="2831" spans="32:32" x14ac:dyDescent="0.35">
      <c r="AF2831" s="359"/>
    </row>
    <row r="2832" spans="32:32" x14ac:dyDescent="0.35">
      <c r="AF2832" s="359"/>
    </row>
    <row r="2833" spans="32:32" x14ac:dyDescent="0.35">
      <c r="AF2833" s="359"/>
    </row>
    <row r="2834" spans="32:32" x14ac:dyDescent="0.35">
      <c r="AF2834" s="359"/>
    </row>
    <row r="2835" spans="32:32" x14ac:dyDescent="0.35">
      <c r="AF2835" s="359"/>
    </row>
    <row r="2836" spans="32:32" x14ac:dyDescent="0.35">
      <c r="AF2836" s="359"/>
    </row>
    <row r="2837" spans="32:32" x14ac:dyDescent="0.35">
      <c r="AF2837" s="359"/>
    </row>
    <row r="2838" spans="32:32" x14ac:dyDescent="0.35">
      <c r="AF2838" s="359"/>
    </row>
    <row r="2839" spans="32:32" x14ac:dyDescent="0.35">
      <c r="AF2839" s="359"/>
    </row>
    <row r="2840" spans="32:32" x14ac:dyDescent="0.35">
      <c r="AF2840" s="359"/>
    </row>
    <row r="2841" spans="32:32" x14ac:dyDescent="0.35">
      <c r="AF2841" s="359"/>
    </row>
    <row r="2842" spans="32:32" x14ac:dyDescent="0.35">
      <c r="AF2842" s="359"/>
    </row>
    <row r="2843" spans="32:32" x14ac:dyDescent="0.35">
      <c r="AF2843" s="359"/>
    </row>
    <row r="2844" spans="32:32" x14ac:dyDescent="0.35">
      <c r="AF2844" s="359"/>
    </row>
    <row r="2845" spans="32:32" x14ac:dyDescent="0.35">
      <c r="AF2845" s="359"/>
    </row>
    <row r="2846" spans="32:32" x14ac:dyDescent="0.35">
      <c r="AF2846" s="359"/>
    </row>
    <row r="2847" spans="32:32" x14ac:dyDescent="0.35">
      <c r="AF2847" s="359"/>
    </row>
    <row r="2848" spans="32:32" x14ac:dyDescent="0.35">
      <c r="AF2848" s="359"/>
    </row>
    <row r="2849" spans="32:32" x14ac:dyDescent="0.35">
      <c r="AF2849" s="359"/>
    </row>
    <row r="2850" spans="32:32" x14ac:dyDescent="0.35">
      <c r="AF2850" s="359"/>
    </row>
    <row r="2851" spans="32:32" x14ac:dyDescent="0.35">
      <c r="AF2851" s="359"/>
    </row>
    <row r="2852" spans="32:32" x14ac:dyDescent="0.35">
      <c r="AF2852" s="359"/>
    </row>
    <row r="2853" spans="32:32" x14ac:dyDescent="0.35">
      <c r="AF2853" s="359"/>
    </row>
    <row r="2854" spans="32:32" x14ac:dyDescent="0.35">
      <c r="AF2854" s="359"/>
    </row>
    <row r="2855" spans="32:32" x14ac:dyDescent="0.35">
      <c r="AF2855" s="359"/>
    </row>
    <row r="2856" spans="32:32" x14ac:dyDescent="0.35">
      <c r="AF2856" s="359"/>
    </row>
    <row r="2857" spans="32:32" x14ac:dyDescent="0.35">
      <c r="AF2857" s="359"/>
    </row>
    <row r="2858" spans="32:32" x14ac:dyDescent="0.35">
      <c r="AF2858" s="359"/>
    </row>
    <row r="2859" spans="32:32" x14ac:dyDescent="0.35">
      <c r="AF2859" s="359"/>
    </row>
    <row r="2860" spans="32:32" x14ac:dyDescent="0.35">
      <c r="AF2860" s="359"/>
    </row>
    <row r="2861" spans="32:32" x14ac:dyDescent="0.35">
      <c r="AF2861" s="359"/>
    </row>
    <row r="2862" spans="32:32" x14ac:dyDescent="0.35">
      <c r="AF2862" s="359"/>
    </row>
    <row r="2863" spans="32:32" x14ac:dyDescent="0.35">
      <c r="AF2863" s="359"/>
    </row>
    <row r="2864" spans="32:32" x14ac:dyDescent="0.35">
      <c r="AF2864" s="359"/>
    </row>
    <row r="2865" spans="32:32" x14ac:dyDescent="0.35">
      <c r="AF2865" s="359"/>
    </row>
    <row r="2866" spans="32:32" x14ac:dyDescent="0.35">
      <c r="AF2866" s="359"/>
    </row>
    <row r="2867" spans="32:32" x14ac:dyDescent="0.35">
      <c r="AF2867" s="359"/>
    </row>
    <row r="2868" spans="32:32" x14ac:dyDescent="0.35">
      <c r="AF2868" s="359"/>
    </row>
    <row r="2869" spans="32:32" x14ac:dyDescent="0.35">
      <c r="AF2869" s="359"/>
    </row>
    <row r="2870" spans="32:32" x14ac:dyDescent="0.35">
      <c r="AF2870" s="359"/>
    </row>
    <row r="2871" spans="32:32" x14ac:dyDescent="0.35">
      <c r="AF2871" s="359"/>
    </row>
    <row r="2872" spans="32:32" x14ac:dyDescent="0.35">
      <c r="AF2872" s="359"/>
    </row>
    <row r="2873" spans="32:32" x14ac:dyDescent="0.35">
      <c r="AF2873" s="359"/>
    </row>
    <row r="2874" spans="32:32" x14ac:dyDescent="0.35">
      <c r="AF2874" s="359"/>
    </row>
    <row r="2875" spans="32:32" x14ac:dyDescent="0.35">
      <c r="AF2875" s="359"/>
    </row>
    <row r="2876" spans="32:32" x14ac:dyDescent="0.35">
      <c r="AF2876" s="359"/>
    </row>
    <row r="2877" spans="32:32" x14ac:dyDescent="0.35">
      <c r="AF2877" s="359"/>
    </row>
    <row r="2878" spans="32:32" x14ac:dyDescent="0.35">
      <c r="AF2878" s="359"/>
    </row>
    <row r="2879" spans="32:32" x14ac:dyDescent="0.35">
      <c r="AF2879" s="359"/>
    </row>
    <row r="2880" spans="32:32" x14ac:dyDescent="0.35">
      <c r="AF2880" s="359"/>
    </row>
    <row r="2881" spans="32:32" x14ac:dyDescent="0.35">
      <c r="AF2881" s="359"/>
    </row>
    <row r="2882" spans="32:32" x14ac:dyDescent="0.35">
      <c r="AF2882" s="359"/>
    </row>
    <row r="2883" spans="32:32" x14ac:dyDescent="0.35">
      <c r="AF2883" s="359"/>
    </row>
    <row r="2884" spans="32:32" x14ac:dyDescent="0.35">
      <c r="AF2884" s="359"/>
    </row>
    <row r="2885" spans="32:32" x14ac:dyDescent="0.35">
      <c r="AF2885" s="359"/>
    </row>
    <row r="2886" spans="32:32" x14ac:dyDescent="0.35">
      <c r="AF2886" s="359"/>
    </row>
    <row r="2887" spans="32:32" x14ac:dyDescent="0.35">
      <c r="AF2887" s="359"/>
    </row>
    <row r="2888" spans="32:32" x14ac:dyDescent="0.35">
      <c r="AF2888" s="359"/>
    </row>
    <row r="2889" spans="32:32" x14ac:dyDescent="0.35">
      <c r="AF2889" s="359"/>
    </row>
    <row r="2890" spans="32:32" x14ac:dyDescent="0.35">
      <c r="AF2890" s="359"/>
    </row>
    <row r="2891" spans="32:32" x14ac:dyDescent="0.35">
      <c r="AF2891" s="359"/>
    </row>
    <row r="2892" spans="32:32" x14ac:dyDescent="0.35">
      <c r="AF2892" s="359"/>
    </row>
    <row r="2893" spans="32:32" x14ac:dyDescent="0.35">
      <c r="AF2893" s="359"/>
    </row>
    <row r="2894" spans="32:32" x14ac:dyDescent="0.35">
      <c r="AF2894" s="359"/>
    </row>
    <row r="2895" spans="32:32" x14ac:dyDescent="0.35">
      <c r="AF2895" s="359"/>
    </row>
    <row r="2896" spans="32:32" x14ac:dyDescent="0.35">
      <c r="AF2896" s="359"/>
    </row>
    <row r="2897" spans="32:32" x14ac:dyDescent="0.35">
      <c r="AF2897" s="359"/>
    </row>
    <row r="2898" spans="32:32" x14ac:dyDescent="0.35">
      <c r="AF2898" s="359"/>
    </row>
    <row r="2899" spans="32:32" x14ac:dyDescent="0.35">
      <c r="AF2899" s="359"/>
    </row>
    <row r="2900" spans="32:32" x14ac:dyDescent="0.35">
      <c r="AF2900" s="359"/>
    </row>
    <row r="2901" spans="32:32" x14ac:dyDescent="0.35">
      <c r="AF2901" s="359"/>
    </row>
    <row r="2902" spans="32:32" x14ac:dyDescent="0.35">
      <c r="AF2902" s="359"/>
    </row>
    <row r="2903" spans="32:32" x14ac:dyDescent="0.35">
      <c r="AF2903" s="359"/>
    </row>
    <row r="2904" spans="32:32" x14ac:dyDescent="0.35">
      <c r="AF2904" s="359"/>
    </row>
    <row r="2905" spans="32:32" x14ac:dyDescent="0.35">
      <c r="AF2905" s="359"/>
    </row>
    <row r="2906" spans="32:32" x14ac:dyDescent="0.35">
      <c r="AF2906" s="359"/>
    </row>
    <row r="2907" spans="32:32" x14ac:dyDescent="0.35">
      <c r="AF2907" s="359"/>
    </row>
    <row r="2908" spans="32:32" x14ac:dyDescent="0.35">
      <c r="AF2908" s="359"/>
    </row>
    <row r="2909" spans="32:32" x14ac:dyDescent="0.35">
      <c r="AF2909" s="359"/>
    </row>
    <row r="2910" spans="32:32" x14ac:dyDescent="0.35">
      <c r="AF2910" s="359"/>
    </row>
    <row r="2911" spans="32:32" x14ac:dyDescent="0.35">
      <c r="AF2911" s="359"/>
    </row>
    <row r="2912" spans="32:32" x14ac:dyDescent="0.35">
      <c r="AF2912" s="359"/>
    </row>
    <row r="2913" spans="32:32" x14ac:dyDescent="0.35">
      <c r="AF2913" s="359"/>
    </row>
    <row r="2914" spans="32:32" x14ac:dyDescent="0.35">
      <c r="AF2914" s="359"/>
    </row>
    <row r="2915" spans="32:32" x14ac:dyDescent="0.35">
      <c r="AF2915" s="359"/>
    </row>
    <row r="2916" spans="32:32" x14ac:dyDescent="0.35">
      <c r="AF2916" s="359"/>
    </row>
    <row r="2917" spans="32:32" x14ac:dyDescent="0.35">
      <c r="AF2917" s="359"/>
    </row>
    <row r="2918" spans="32:32" x14ac:dyDescent="0.35">
      <c r="AF2918" s="359"/>
    </row>
    <row r="2919" spans="32:32" x14ac:dyDescent="0.35">
      <c r="AF2919" s="359"/>
    </row>
    <row r="2920" spans="32:32" x14ac:dyDescent="0.35">
      <c r="AF2920" s="359"/>
    </row>
    <row r="2921" spans="32:32" x14ac:dyDescent="0.35">
      <c r="AF2921" s="359"/>
    </row>
    <row r="2922" spans="32:32" x14ac:dyDescent="0.35">
      <c r="AF2922" s="359"/>
    </row>
    <row r="2923" spans="32:32" x14ac:dyDescent="0.35">
      <c r="AF2923" s="359"/>
    </row>
    <row r="2924" spans="32:32" x14ac:dyDescent="0.35">
      <c r="AF2924" s="359"/>
    </row>
    <row r="2925" spans="32:32" x14ac:dyDescent="0.35">
      <c r="AF2925" s="359"/>
    </row>
    <row r="2926" spans="32:32" x14ac:dyDescent="0.35">
      <c r="AF2926" s="359"/>
    </row>
    <row r="2927" spans="32:32" x14ac:dyDescent="0.35">
      <c r="AF2927" s="359"/>
    </row>
    <row r="2928" spans="32:32" x14ac:dyDescent="0.35">
      <c r="AF2928" s="359"/>
    </row>
    <row r="2929" spans="32:32" x14ac:dyDescent="0.35">
      <c r="AF2929" s="359"/>
    </row>
    <row r="2930" spans="32:32" x14ac:dyDescent="0.35">
      <c r="AF2930" s="359"/>
    </row>
    <row r="2931" spans="32:32" x14ac:dyDescent="0.35">
      <c r="AF2931" s="359"/>
    </row>
    <row r="2932" spans="32:32" x14ac:dyDescent="0.35">
      <c r="AF2932" s="359"/>
    </row>
    <row r="2933" spans="32:32" x14ac:dyDescent="0.35">
      <c r="AF2933" s="359"/>
    </row>
    <row r="2934" spans="32:32" x14ac:dyDescent="0.35">
      <c r="AF2934" s="359"/>
    </row>
    <row r="2935" spans="32:32" x14ac:dyDescent="0.35">
      <c r="AF2935" s="359"/>
    </row>
    <row r="2936" spans="32:32" x14ac:dyDescent="0.35">
      <c r="AF2936" s="359"/>
    </row>
    <row r="2937" spans="32:32" x14ac:dyDescent="0.35">
      <c r="AF2937" s="359"/>
    </row>
    <row r="2938" spans="32:32" x14ac:dyDescent="0.35">
      <c r="AF2938" s="359"/>
    </row>
    <row r="2939" spans="32:32" x14ac:dyDescent="0.35">
      <c r="AF2939" s="359"/>
    </row>
    <row r="2940" spans="32:32" x14ac:dyDescent="0.35">
      <c r="AF2940" s="359"/>
    </row>
    <row r="2941" spans="32:32" x14ac:dyDescent="0.35">
      <c r="AF2941" s="359"/>
    </row>
    <row r="2942" spans="32:32" x14ac:dyDescent="0.35">
      <c r="AF2942" s="359"/>
    </row>
    <row r="2943" spans="32:32" x14ac:dyDescent="0.35">
      <c r="AF2943" s="359"/>
    </row>
    <row r="2944" spans="32:32" x14ac:dyDescent="0.35">
      <c r="AF2944" s="359"/>
    </row>
    <row r="2945" spans="32:32" x14ac:dyDescent="0.35">
      <c r="AF2945" s="359"/>
    </row>
    <row r="2946" spans="32:32" x14ac:dyDescent="0.35">
      <c r="AF2946" s="359"/>
    </row>
    <row r="2947" spans="32:32" x14ac:dyDescent="0.35">
      <c r="AF2947" s="359"/>
    </row>
    <row r="2948" spans="32:32" x14ac:dyDescent="0.35">
      <c r="AF2948" s="359"/>
    </row>
    <row r="2949" spans="32:32" x14ac:dyDescent="0.35">
      <c r="AF2949" s="359"/>
    </row>
    <row r="2950" spans="32:32" x14ac:dyDescent="0.35">
      <c r="AF2950" s="359"/>
    </row>
    <row r="2951" spans="32:32" x14ac:dyDescent="0.35">
      <c r="AF2951" s="359"/>
    </row>
    <row r="2952" spans="32:32" x14ac:dyDescent="0.35">
      <c r="AF2952" s="359"/>
    </row>
    <row r="2953" spans="32:32" x14ac:dyDescent="0.35">
      <c r="AF2953" s="359"/>
    </row>
    <row r="2954" spans="32:32" x14ac:dyDescent="0.35">
      <c r="AF2954" s="359"/>
    </row>
    <row r="2955" spans="32:32" x14ac:dyDescent="0.35">
      <c r="AF2955" s="359"/>
    </row>
    <row r="2956" spans="32:32" x14ac:dyDescent="0.35">
      <c r="AF2956" s="359"/>
    </row>
    <row r="2957" spans="32:32" x14ac:dyDescent="0.35">
      <c r="AF2957" s="359"/>
    </row>
    <row r="2958" spans="32:32" x14ac:dyDescent="0.35">
      <c r="AF2958" s="359"/>
    </row>
    <row r="2959" spans="32:32" x14ac:dyDescent="0.35">
      <c r="AF2959" s="359"/>
    </row>
    <row r="2960" spans="32:32" x14ac:dyDescent="0.35">
      <c r="AF2960" s="359"/>
    </row>
    <row r="2961" spans="32:32" x14ac:dyDescent="0.35">
      <c r="AF2961" s="359"/>
    </row>
    <row r="2962" spans="32:32" x14ac:dyDescent="0.35">
      <c r="AF2962" s="359"/>
    </row>
    <row r="2963" spans="32:32" x14ac:dyDescent="0.35">
      <c r="AF2963" s="359"/>
    </row>
    <row r="2964" spans="32:32" x14ac:dyDescent="0.35">
      <c r="AF2964" s="359"/>
    </row>
    <row r="2965" spans="32:32" x14ac:dyDescent="0.35">
      <c r="AF2965" s="359"/>
    </row>
    <row r="2966" spans="32:32" x14ac:dyDescent="0.35">
      <c r="AF2966" s="359"/>
    </row>
    <row r="2967" spans="32:32" x14ac:dyDescent="0.35">
      <c r="AF2967" s="359"/>
    </row>
    <row r="2968" spans="32:32" x14ac:dyDescent="0.35">
      <c r="AF2968" s="359"/>
    </row>
    <row r="2969" spans="32:32" x14ac:dyDescent="0.35">
      <c r="AF2969" s="359"/>
    </row>
    <row r="2970" spans="32:32" x14ac:dyDescent="0.35">
      <c r="AF2970" s="359"/>
    </row>
    <row r="2971" spans="32:32" x14ac:dyDescent="0.35">
      <c r="AF2971" s="359"/>
    </row>
    <row r="2972" spans="32:32" x14ac:dyDescent="0.35">
      <c r="AF2972" s="359"/>
    </row>
    <row r="2973" spans="32:32" x14ac:dyDescent="0.35">
      <c r="AF2973" s="359"/>
    </row>
    <row r="2974" spans="32:32" x14ac:dyDescent="0.35">
      <c r="AF2974" s="359"/>
    </row>
    <row r="2975" spans="32:32" x14ac:dyDescent="0.35">
      <c r="AF2975" s="359"/>
    </row>
    <row r="2976" spans="32:32" x14ac:dyDescent="0.35">
      <c r="AF2976" s="359"/>
    </row>
    <row r="2977" spans="32:32" x14ac:dyDescent="0.35">
      <c r="AF2977" s="359"/>
    </row>
    <row r="2978" spans="32:32" x14ac:dyDescent="0.35">
      <c r="AF2978" s="359"/>
    </row>
    <row r="2979" spans="32:32" x14ac:dyDescent="0.35">
      <c r="AF2979" s="359"/>
    </row>
    <row r="2980" spans="32:32" x14ac:dyDescent="0.35">
      <c r="AF2980" s="359"/>
    </row>
    <row r="2981" spans="32:32" x14ac:dyDescent="0.35">
      <c r="AF2981" s="359"/>
    </row>
    <row r="2982" spans="32:32" x14ac:dyDescent="0.35">
      <c r="AF2982" s="359"/>
    </row>
    <row r="2983" spans="32:32" x14ac:dyDescent="0.35">
      <c r="AF2983" s="359"/>
    </row>
    <row r="2984" spans="32:32" x14ac:dyDescent="0.35">
      <c r="AF2984" s="359"/>
    </row>
    <row r="2985" spans="32:32" x14ac:dyDescent="0.35">
      <c r="AF2985" s="359"/>
    </row>
    <row r="2986" spans="32:32" x14ac:dyDescent="0.35">
      <c r="AF2986" s="359"/>
    </row>
    <row r="2987" spans="32:32" x14ac:dyDescent="0.35">
      <c r="AF2987" s="359"/>
    </row>
    <row r="2988" spans="32:32" x14ac:dyDescent="0.35">
      <c r="AF2988" s="359"/>
    </row>
    <row r="2989" spans="32:32" x14ac:dyDescent="0.35">
      <c r="AF2989" s="359"/>
    </row>
    <row r="2990" spans="32:32" x14ac:dyDescent="0.35">
      <c r="AF2990" s="359"/>
    </row>
    <row r="2991" spans="32:32" x14ac:dyDescent="0.35">
      <c r="AF2991" s="359"/>
    </row>
    <row r="2992" spans="32:32" x14ac:dyDescent="0.35">
      <c r="AF2992" s="359"/>
    </row>
    <row r="2993" spans="32:32" x14ac:dyDescent="0.35">
      <c r="AF2993" s="359"/>
    </row>
    <row r="2994" spans="32:32" x14ac:dyDescent="0.35">
      <c r="AF2994" s="359"/>
    </row>
    <row r="2995" spans="32:32" x14ac:dyDescent="0.35">
      <c r="AF2995" s="359"/>
    </row>
    <row r="2996" spans="32:32" x14ac:dyDescent="0.35">
      <c r="AF2996" s="359"/>
    </row>
    <row r="2997" spans="32:32" x14ac:dyDescent="0.35">
      <c r="AF2997" s="359"/>
    </row>
    <row r="2998" spans="32:32" x14ac:dyDescent="0.35">
      <c r="AF2998" s="359"/>
    </row>
    <row r="2999" spans="32:32" x14ac:dyDescent="0.35">
      <c r="AF2999" s="359"/>
    </row>
    <row r="3000" spans="32:32" x14ac:dyDescent="0.35">
      <c r="AF3000" s="359"/>
    </row>
    <row r="3001" spans="32:32" x14ac:dyDescent="0.35">
      <c r="AF3001" s="359"/>
    </row>
    <row r="3002" spans="32:32" x14ac:dyDescent="0.35">
      <c r="AF3002" s="359"/>
    </row>
    <row r="3003" spans="32:32" x14ac:dyDescent="0.35">
      <c r="AF3003" s="359"/>
    </row>
    <row r="3004" spans="32:32" x14ac:dyDescent="0.35">
      <c r="AF3004" s="359"/>
    </row>
    <row r="3005" spans="32:32" x14ac:dyDescent="0.35">
      <c r="AF3005" s="359"/>
    </row>
    <row r="3006" spans="32:32" x14ac:dyDescent="0.35">
      <c r="AF3006" s="359"/>
    </row>
    <row r="3007" spans="32:32" x14ac:dyDescent="0.35">
      <c r="AF3007" s="359"/>
    </row>
    <row r="3008" spans="32:32" x14ac:dyDescent="0.35">
      <c r="AF3008" s="359"/>
    </row>
    <row r="3009" spans="32:32" x14ac:dyDescent="0.35">
      <c r="AF3009" s="359"/>
    </row>
    <row r="3010" spans="32:32" x14ac:dyDescent="0.35">
      <c r="AF3010" s="359"/>
    </row>
    <row r="3011" spans="32:32" x14ac:dyDescent="0.35">
      <c r="AF3011" s="359"/>
    </row>
    <row r="3012" spans="32:32" x14ac:dyDescent="0.35">
      <c r="AF3012" s="359"/>
    </row>
    <row r="3013" spans="32:32" x14ac:dyDescent="0.35">
      <c r="AF3013" s="359"/>
    </row>
    <row r="3014" spans="32:32" x14ac:dyDescent="0.35">
      <c r="AF3014" s="359"/>
    </row>
    <row r="3015" spans="32:32" x14ac:dyDescent="0.35">
      <c r="AF3015" s="359"/>
    </row>
    <row r="3016" spans="32:32" x14ac:dyDescent="0.35">
      <c r="AF3016" s="359"/>
    </row>
    <row r="3017" spans="32:32" x14ac:dyDescent="0.35">
      <c r="AF3017" s="359"/>
    </row>
    <row r="3018" spans="32:32" x14ac:dyDescent="0.35">
      <c r="AF3018" s="359"/>
    </row>
    <row r="3019" spans="32:32" x14ac:dyDescent="0.35">
      <c r="AF3019" s="359"/>
    </row>
    <row r="3020" spans="32:32" x14ac:dyDescent="0.35">
      <c r="AF3020" s="359"/>
    </row>
    <row r="3021" spans="32:32" x14ac:dyDescent="0.35">
      <c r="AF3021" s="359"/>
    </row>
    <row r="3022" spans="32:32" x14ac:dyDescent="0.35">
      <c r="AF3022" s="359"/>
    </row>
    <row r="3023" spans="32:32" x14ac:dyDescent="0.35">
      <c r="AF3023" s="359"/>
    </row>
    <row r="3024" spans="32:32" x14ac:dyDescent="0.35">
      <c r="AF3024" s="359"/>
    </row>
    <row r="3025" spans="32:32" x14ac:dyDescent="0.35">
      <c r="AF3025" s="359"/>
    </row>
    <row r="3026" spans="32:32" x14ac:dyDescent="0.35">
      <c r="AF3026" s="359"/>
    </row>
    <row r="3027" spans="32:32" x14ac:dyDescent="0.35">
      <c r="AF3027" s="359"/>
    </row>
    <row r="3028" spans="32:32" x14ac:dyDescent="0.35">
      <c r="AF3028" s="359"/>
    </row>
    <row r="3029" spans="32:32" x14ac:dyDescent="0.35">
      <c r="AF3029" s="359"/>
    </row>
    <row r="3030" spans="32:32" x14ac:dyDescent="0.35">
      <c r="AF3030" s="359"/>
    </row>
    <row r="3031" spans="32:32" x14ac:dyDescent="0.35">
      <c r="AF3031" s="359"/>
    </row>
    <row r="3032" spans="32:32" x14ac:dyDescent="0.35">
      <c r="AF3032" s="359"/>
    </row>
    <row r="3033" spans="32:32" x14ac:dyDescent="0.35">
      <c r="AF3033" s="359"/>
    </row>
    <row r="3034" spans="32:32" x14ac:dyDescent="0.35">
      <c r="AF3034" s="359"/>
    </row>
    <row r="3035" spans="32:32" x14ac:dyDescent="0.35">
      <c r="AF3035" s="359"/>
    </row>
    <row r="3036" spans="32:32" x14ac:dyDescent="0.35">
      <c r="AF3036" s="359"/>
    </row>
    <row r="3037" spans="32:32" x14ac:dyDescent="0.35">
      <c r="AF3037" s="359"/>
    </row>
    <row r="3038" spans="32:32" x14ac:dyDescent="0.35">
      <c r="AF3038" s="359"/>
    </row>
    <row r="3039" spans="32:32" x14ac:dyDescent="0.35">
      <c r="AF3039" s="359"/>
    </row>
    <row r="3040" spans="32:32" x14ac:dyDescent="0.35">
      <c r="AF3040" s="359"/>
    </row>
    <row r="3041" spans="32:32" x14ac:dyDescent="0.35">
      <c r="AF3041" s="359"/>
    </row>
    <row r="3042" spans="32:32" x14ac:dyDescent="0.35">
      <c r="AF3042" s="359"/>
    </row>
    <row r="3043" spans="32:32" x14ac:dyDescent="0.35">
      <c r="AF3043" s="359"/>
    </row>
    <row r="3044" spans="32:32" x14ac:dyDescent="0.35">
      <c r="AF3044" s="359"/>
    </row>
    <row r="3045" spans="32:32" x14ac:dyDescent="0.35">
      <c r="AF3045" s="359"/>
    </row>
    <row r="3046" spans="32:32" x14ac:dyDescent="0.35">
      <c r="AF3046" s="359"/>
    </row>
    <row r="3047" spans="32:32" x14ac:dyDescent="0.35">
      <c r="AF3047" s="359"/>
    </row>
    <row r="3048" spans="32:32" x14ac:dyDescent="0.35">
      <c r="AF3048" s="359"/>
    </row>
    <row r="3049" spans="32:32" x14ac:dyDescent="0.35">
      <c r="AF3049" s="359"/>
    </row>
    <row r="3050" spans="32:32" x14ac:dyDescent="0.35">
      <c r="AF3050" s="359"/>
    </row>
    <row r="3051" spans="32:32" x14ac:dyDescent="0.35">
      <c r="AF3051" s="359"/>
    </row>
    <row r="3052" spans="32:32" x14ac:dyDescent="0.35">
      <c r="AF3052" s="359"/>
    </row>
    <row r="3053" spans="32:32" x14ac:dyDescent="0.35">
      <c r="AF3053" s="359"/>
    </row>
    <row r="3054" spans="32:32" x14ac:dyDescent="0.35">
      <c r="AF3054" s="359"/>
    </row>
    <row r="3055" spans="32:32" x14ac:dyDescent="0.35">
      <c r="AF3055" s="359"/>
    </row>
    <row r="3056" spans="32:32" x14ac:dyDescent="0.35">
      <c r="AF3056" s="359"/>
    </row>
    <row r="3057" spans="32:32" x14ac:dyDescent="0.35">
      <c r="AF3057" s="359"/>
    </row>
    <row r="3058" spans="32:32" x14ac:dyDescent="0.35">
      <c r="AF3058" s="359"/>
    </row>
    <row r="3059" spans="32:32" x14ac:dyDescent="0.35">
      <c r="AF3059" s="359"/>
    </row>
    <row r="3060" spans="32:32" x14ac:dyDescent="0.35">
      <c r="AF3060" s="359"/>
    </row>
    <row r="3061" spans="32:32" x14ac:dyDescent="0.35">
      <c r="AF3061" s="359"/>
    </row>
    <row r="3062" spans="32:32" x14ac:dyDescent="0.35">
      <c r="AF3062" s="359"/>
    </row>
    <row r="3063" spans="32:32" x14ac:dyDescent="0.35">
      <c r="AF3063" s="359"/>
    </row>
    <row r="3064" spans="32:32" x14ac:dyDescent="0.35">
      <c r="AF3064" s="359"/>
    </row>
    <row r="3065" spans="32:32" x14ac:dyDescent="0.35">
      <c r="AF3065" s="359"/>
    </row>
    <row r="3066" spans="32:32" x14ac:dyDescent="0.35">
      <c r="AF3066" s="359"/>
    </row>
    <row r="3067" spans="32:32" x14ac:dyDescent="0.35">
      <c r="AF3067" s="359"/>
    </row>
    <row r="3068" spans="32:32" x14ac:dyDescent="0.35">
      <c r="AF3068" s="359"/>
    </row>
    <row r="3069" spans="32:32" x14ac:dyDescent="0.35">
      <c r="AF3069" s="359"/>
    </row>
    <row r="3070" spans="32:32" x14ac:dyDescent="0.35">
      <c r="AF3070" s="359"/>
    </row>
    <row r="3071" spans="32:32" x14ac:dyDescent="0.35">
      <c r="AF3071" s="359"/>
    </row>
    <row r="3072" spans="32:32" x14ac:dyDescent="0.35">
      <c r="AF3072" s="359"/>
    </row>
    <row r="3073" spans="32:32" x14ac:dyDescent="0.35">
      <c r="AF3073" s="359"/>
    </row>
    <row r="3074" spans="32:32" x14ac:dyDescent="0.35">
      <c r="AF3074" s="359"/>
    </row>
    <row r="3075" spans="32:32" x14ac:dyDescent="0.35">
      <c r="AF3075" s="359"/>
    </row>
    <row r="3076" spans="32:32" x14ac:dyDescent="0.35">
      <c r="AF3076" s="359"/>
    </row>
    <row r="3077" spans="32:32" x14ac:dyDescent="0.35">
      <c r="AF3077" s="359"/>
    </row>
    <row r="3078" spans="32:32" x14ac:dyDescent="0.35">
      <c r="AF3078" s="359"/>
    </row>
    <row r="3079" spans="32:32" x14ac:dyDescent="0.35">
      <c r="AF3079" s="359"/>
    </row>
    <row r="3080" spans="32:32" x14ac:dyDescent="0.35">
      <c r="AF3080" s="359"/>
    </row>
    <row r="3081" spans="32:32" x14ac:dyDescent="0.35">
      <c r="AF3081" s="359"/>
    </row>
    <row r="3082" spans="32:32" x14ac:dyDescent="0.35">
      <c r="AF3082" s="359"/>
    </row>
    <row r="3083" spans="32:32" x14ac:dyDescent="0.35">
      <c r="AF3083" s="359"/>
    </row>
    <row r="3084" spans="32:32" x14ac:dyDescent="0.35">
      <c r="AF3084" s="359"/>
    </row>
    <row r="3085" spans="32:32" x14ac:dyDescent="0.35">
      <c r="AF3085" s="359"/>
    </row>
    <row r="3086" spans="32:32" x14ac:dyDescent="0.35">
      <c r="AF3086" s="359"/>
    </row>
    <row r="3087" spans="32:32" x14ac:dyDescent="0.35">
      <c r="AF3087" s="359"/>
    </row>
    <row r="3088" spans="32:32" x14ac:dyDescent="0.35">
      <c r="AF3088" s="359"/>
    </row>
    <row r="3089" spans="32:32" x14ac:dyDescent="0.35">
      <c r="AF3089" s="359"/>
    </row>
    <row r="3090" spans="32:32" x14ac:dyDescent="0.35">
      <c r="AF3090" s="359"/>
    </row>
    <row r="3091" spans="32:32" x14ac:dyDescent="0.35">
      <c r="AF3091" s="359"/>
    </row>
    <row r="3092" spans="32:32" x14ac:dyDescent="0.35">
      <c r="AF3092" s="359"/>
    </row>
    <row r="3093" spans="32:32" x14ac:dyDescent="0.35">
      <c r="AF3093" s="359"/>
    </row>
    <row r="3094" spans="32:32" x14ac:dyDescent="0.35">
      <c r="AF3094" s="359"/>
    </row>
    <row r="3095" spans="32:32" x14ac:dyDescent="0.35">
      <c r="AF3095" s="359"/>
    </row>
    <row r="3096" spans="32:32" x14ac:dyDescent="0.35">
      <c r="AF3096" s="359"/>
    </row>
    <row r="3097" spans="32:32" x14ac:dyDescent="0.35">
      <c r="AF3097" s="359"/>
    </row>
    <row r="3098" spans="32:32" x14ac:dyDescent="0.35">
      <c r="AF3098" s="359"/>
    </row>
    <row r="3099" spans="32:32" x14ac:dyDescent="0.35">
      <c r="AF3099" s="359"/>
    </row>
    <row r="3100" spans="32:32" x14ac:dyDescent="0.35">
      <c r="AF3100" s="359"/>
    </row>
    <row r="3101" spans="32:32" x14ac:dyDescent="0.35">
      <c r="AF3101" s="359"/>
    </row>
    <row r="3102" spans="32:32" x14ac:dyDescent="0.35">
      <c r="AF3102" s="359"/>
    </row>
    <row r="3103" spans="32:32" x14ac:dyDescent="0.35">
      <c r="AF3103" s="359"/>
    </row>
    <row r="3104" spans="32:32" x14ac:dyDescent="0.35">
      <c r="AF3104" s="359"/>
    </row>
    <row r="3105" spans="32:32" x14ac:dyDescent="0.35">
      <c r="AF3105" s="359"/>
    </row>
    <row r="3106" spans="32:32" x14ac:dyDescent="0.35">
      <c r="AF3106" s="359"/>
    </row>
    <row r="3107" spans="32:32" x14ac:dyDescent="0.35">
      <c r="AF3107" s="359"/>
    </row>
    <row r="3108" spans="32:32" x14ac:dyDescent="0.35">
      <c r="AF3108" s="359"/>
    </row>
    <row r="3109" spans="32:32" x14ac:dyDescent="0.35">
      <c r="AF3109" s="359"/>
    </row>
    <row r="3110" spans="32:32" x14ac:dyDescent="0.35">
      <c r="AF3110" s="359"/>
    </row>
    <row r="3111" spans="32:32" x14ac:dyDescent="0.35">
      <c r="AF3111" s="359"/>
    </row>
    <row r="3112" spans="32:32" x14ac:dyDescent="0.35">
      <c r="AF3112" s="359"/>
    </row>
    <row r="3113" spans="32:32" x14ac:dyDescent="0.35">
      <c r="AF3113" s="359"/>
    </row>
    <row r="3114" spans="32:32" x14ac:dyDescent="0.35">
      <c r="AF3114" s="359"/>
    </row>
    <row r="3115" spans="32:32" x14ac:dyDescent="0.35">
      <c r="AF3115" s="359"/>
    </row>
    <row r="3116" spans="32:32" x14ac:dyDescent="0.35">
      <c r="AF3116" s="359"/>
    </row>
    <row r="3117" spans="32:32" x14ac:dyDescent="0.35">
      <c r="AF3117" s="359"/>
    </row>
    <row r="3118" spans="32:32" x14ac:dyDescent="0.35">
      <c r="AF3118" s="359"/>
    </row>
    <row r="3119" spans="32:32" x14ac:dyDescent="0.35">
      <c r="AF3119" s="359"/>
    </row>
    <row r="3120" spans="32:32" x14ac:dyDescent="0.35">
      <c r="AF3120" s="359"/>
    </row>
    <row r="3121" spans="32:32" x14ac:dyDescent="0.35">
      <c r="AF3121" s="359"/>
    </row>
    <row r="3122" spans="32:32" x14ac:dyDescent="0.35">
      <c r="AF3122" s="359"/>
    </row>
    <row r="3123" spans="32:32" x14ac:dyDescent="0.35">
      <c r="AF3123" s="359"/>
    </row>
    <row r="3124" spans="32:32" x14ac:dyDescent="0.35">
      <c r="AF3124" s="359"/>
    </row>
    <row r="3125" spans="32:32" x14ac:dyDescent="0.35">
      <c r="AF3125" s="359"/>
    </row>
    <row r="3126" spans="32:32" x14ac:dyDescent="0.35">
      <c r="AF3126" s="359"/>
    </row>
    <row r="3127" spans="32:32" x14ac:dyDescent="0.35">
      <c r="AF3127" s="359"/>
    </row>
    <row r="3128" spans="32:32" x14ac:dyDescent="0.35">
      <c r="AF3128" s="359"/>
    </row>
    <row r="3129" spans="32:32" x14ac:dyDescent="0.35">
      <c r="AF3129" s="359"/>
    </row>
    <row r="3130" spans="32:32" x14ac:dyDescent="0.35">
      <c r="AF3130" s="359"/>
    </row>
    <row r="3131" spans="32:32" x14ac:dyDescent="0.35">
      <c r="AF3131" s="359"/>
    </row>
    <row r="3132" spans="32:32" x14ac:dyDescent="0.35">
      <c r="AF3132" s="359"/>
    </row>
    <row r="3133" spans="32:32" x14ac:dyDescent="0.35">
      <c r="AF3133" s="359"/>
    </row>
    <row r="3134" spans="32:32" x14ac:dyDescent="0.35">
      <c r="AF3134" s="359"/>
    </row>
    <row r="3135" spans="32:32" x14ac:dyDescent="0.35">
      <c r="AF3135" s="359"/>
    </row>
    <row r="3136" spans="32:32" x14ac:dyDescent="0.35">
      <c r="AF3136" s="359"/>
    </row>
    <row r="3137" spans="32:32" x14ac:dyDescent="0.35">
      <c r="AF3137" s="359"/>
    </row>
    <row r="3138" spans="32:32" x14ac:dyDescent="0.35">
      <c r="AF3138" s="359"/>
    </row>
    <row r="3139" spans="32:32" x14ac:dyDescent="0.35">
      <c r="AF3139" s="359"/>
    </row>
    <row r="3140" spans="32:32" x14ac:dyDescent="0.35">
      <c r="AF3140" s="359"/>
    </row>
    <row r="3141" spans="32:32" x14ac:dyDescent="0.35">
      <c r="AF3141" s="359"/>
    </row>
    <row r="3142" spans="32:32" x14ac:dyDescent="0.35">
      <c r="AF3142" s="359"/>
    </row>
    <row r="3143" spans="32:32" x14ac:dyDescent="0.35">
      <c r="AF3143" s="359"/>
    </row>
    <row r="3144" spans="32:32" x14ac:dyDescent="0.35">
      <c r="AF3144" s="359"/>
    </row>
    <row r="3145" spans="32:32" x14ac:dyDescent="0.35">
      <c r="AF3145" s="359"/>
    </row>
    <row r="3146" spans="32:32" x14ac:dyDescent="0.35">
      <c r="AF3146" s="359"/>
    </row>
    <row r="3147" spans="32:32" x14ac:dyDescent="0.35">
      <c r="AF3147" s="359"/>
    </row>
    <row r="3148" spans="32:32" x14ac:dyDescent="0.35">
      <c r="AF3148" s="359"/>
    </row>
    <row r="3149" spans="32:32" x14ac:dyDescent="0.35">
      <c r="AF3149" s="359"/>
    </row>
    <row r="3150" spans="32:32" x14ac:dyDescent="0.35">
      <c r="AF3150" s="359"/>
    </row>
    <row r="3151" spans="32:32" x14ac:dyDescent="0.35">
      <c r="AF3151" s="359"/>
    </row>
    <row r="3152" spans="32:32" x14ac:dyDescent="0.35">
      <c r="AF3152" s="359"/>
    </row>
    <row r="3153" spans="32:32" x14ac:dyDescent="0.35">
      <c r="AF3153" s="359"/>
    </row>
    <row r="3154" spans="32:32" x14ac:dyDescent="0.35">
      <c r="AF3154" s="359"/>
    </row>
    <row r="3155" spans="32:32" x14ac:dyDescent="0.35">
      <c r="AF3155" s="359"/>
    </row>
    <row r="3156" spans="32:32" x14ac:dyDescent="0.35">
      <c r="AF3156" s="359"/>
    </row>
    <row r="3157" spans="32:32" x14ac:dyDescent="0.35">
      <c r="AF3157" s="359"/>
    </row>
    <row r="3158" spans="32:32" x14ac:dyDescent="0.35">
      <c r="AF3158" s="359"/>
    </row>
    <row r="3159" spans="32:32" x14ac:dyDescent="0.35">
      <c r="AF3159" s="359"/>
    </row>
    <row r="3160" spans="32:32" x14ac:dyDescent="0.35">
      <c r="AF3160" s="359"/>
    </row>
    <row r="3161" spans="32:32" x14ac:dyDescent="0.35">
      <c r="AF3161" s="359"/>
    </row>
    <row r="3162" spans="32:32" x14ac:dyDescent="0.35">
      <c r="AF3162" s="359"/>
    </row>
    <row r="3163" spans="32:32" x14ac:dyDescent="0.35">
      <c r="AF3163" s="359"/>
    </row>
    <row r="3164" spans="32:32" x14ac:dyDescent="0.35">
      <c r="AF3164" s="359"/>
    </row>
    <row r="3165" spans="32:32" x14ac:dyDescent="0.35">
      <c r="AF3165" s="359"/>
    </row>
    <row r="3166" spans="32:32" x14ac:dyDescent="0.35">
      <c r="AF3166" s="359"/>
    </row>
    <row r="3167" spans="32:32" x14ac:dyDescent="0.35">
      <c r="AF3167" s="359"/>
    </row>
    <row r="3168" spans="32:32" x14ac:dyDescent="0.35">
      <c r="AF3168" s="359"/>
    </row>
    <row r="3169" spans="32:32" x14ac:dyDescent="0.35">
      <c r="AF3169" s="359"/>
    </row>
    <row r="3170" spans="32:32" x14ac:dyDescent="0.35">
      <c r="AF3170" s="359"/>
    </row>
    <row r="3171" spans="32:32" x14ac:dyDescent="0.35">
      <c r="AF3171" s="359"/>
    </row>
    <row r="3172" spans="32:32" x14ac:dyDescent="0.35">
      <c r="AF3172" s="359"/>
    </row>
    <row r="3173" spans="32:32" x14ac:dyDescent="0.35">
      <c r="AF3173" s="359"/>
    </row>
    <row r="3174" spans="32:32" x14ac:dyDescent="0.35">
      <c r="AF3174" s="359"/>
    </row>
    <row r="3175" spans="32:32" x14ac:dyDescent="0.35">
      <c r="AF3175" s="359"/>
    </row>
    <row r="3176" spans="32:32" x14ac:dyDescent="0.35">
      <c r="AF3176" s="359"/>
    </row>
    <row r="3177" spans="32:32" x14ac:dyDescent="0.35">
      <c r="AF3177" s="359"/>
    </row>
    <row r="3178" spans="32:32" x14ac:dyDescent="0.35">
      <c r="AF3178" s="359"/>
    </row>
    <row r="3179" spans="32:32" x14ac:dyDescent="0.35">
      <c r="AF3179" s="359"/>
    </row>
    <row r="3180" spans="32:32" x14ac:dyDescent="0.35">
      <c r="AF3180" s="359"/>
    </row>
    <row r="3181" spans="32:32" x14ac:dyDescent="0.35">
      <c r="AF3181" s="359"/>
    </row>
    <row r="3182" spans="32:32" x14ac:dyDescent="0.35">
      <c r="AF3182" s="359"/>
    </row>
    <row r="3183" spans="32:32" x14ac:dyDescent="0.35">
      <c r="AF3183" s="359"/>
    </row>
    <row r="3184" spans="32:32" x14ac:dyDescent="0.35">
      <c r="AF3184" s="359"/>
    </row>
    <row r="3185" spans="32:32" x14ac:dyDescent="0.35">
      <c r="AF3185" s="359"/>
    </row>
    <row r="3186" spans="32:32" x14ac:dyDescent="0.35">
      <c r="AF3186" s="359"/>
    </row>
    <row r="3187" spans="32:32" x14ac:dyDescent="0.35">
      <c r="AF3187" s="359"/>
    </row>
    <row r="3188" spans="32:32" x14ac:dyDescent="0.35">
      <c r="AF3188" s="359"/>
    </row>
    <row r="3189" spans="32:32" x14ac:dyDescent="0.35">
      <c r="AF3189" s="359"/>
    </row>
    <row r="3190" spans="32:32" x14ac:dyDescent="0.35">
      <c r="AF3190" s="359"/>
    </row>
    <row r="3191" spans="32:32" x14ac:dyDescent="0.35">
      <c r="AF3191" s="359"/>
    </row>
    <row r="3192" spans="32:32" x14ac:dyDescent="0.35">
      <c r="AF3192" s="359"/>
    </row>
    <row r="3193" spans="32:32" x14ac:dyDescent="0.35">
      <c r="AF3193" s="359"/>
    </row>
    <row r="3194" spans="32:32" x14ac:dyDescent="0.35">
      <c r="AF3194" s="359"/>
    </row>
    <row r="3195" spans="32:32" x14ac:dyDescent="0.35">
      <c r="AF3195" s="359"/>
    </row>
    <row r="3196" spans="32:32" x14ac:dyDescent="0.35">
      <c r="AF3196" s="359"/>
    </row>
    <row r="3197" spans="32:32" x14ac:dyDescent="0.35">
      <c r="AF3197" s="359"/>
    </row>
    <row r="3198" spans="32:32" x14ac:dyDescent="0.35">
      <c r="AF3198" s="359"/>
    </row>
    <row r="3199" spans="32:32" x14ac:dyDescent="0.35">
      <c r="AF3199" s="359"/>
    </row>
    <row r="3200" spans="32:32" x14ac:dyDescent="0.35">
      <c r="AF3200" s="359"/>
    </row>
    <row r="3201" spans="32:32" x14ac:dyDescent="0.35">
      <c r="AF3201" s="359"/>
    </row>
    <row r="3202" spans="32:32" x14ac:dyDescent="0.35">
      <c r="AF3202" s="359"/>
    </row>
    <row r="3203" spans="32:32" x14ac:dyDescent="0.35">
      <c r="AF3203" s="359"/>
    </row>
    <row r="3204" spans="32:32" x14ac:dyDescent="0.35">
      <c r="AF3204" s="359"/>
    </row>
    <row r="3205" spans="32:32" x14ac:dyDescent="0.35">
      <c r="AF3205" s="359"/>
    </row>
    <row r="3206" spans="32:32" x14ac:dyDescent="0.35">
      <c r="AF3206" s="359"/>
    </row>
    <row r="3207" spans="32:32" x14ac:dyDescent="0.35">
      <c r="AF3207" s="359"/>
    </row>
    <row r="3208" spans="32:32" x14ac:dyDescent="0.35">
      <c r="AF3208" s="359"/>
    </row>
    <row r="3209" spans="32:32" x14ac:dyDescent="0.35">
      <c r="AF3209" s="359"/>
    </row>
    <row r="3210" spans="32:32" x14ac:dyDescent="0.35">
      <c r="AF3210" s="359"/>
    </row>
    <row r="3211" spans="32:32" x14ac:dyDescent="0.35">
      <c r="AF3211" s="359"/>
    </row>
    <row r="3212" spans="32:32" x14ac:dyDescent="0.35">
      <c r="AF3212" s="359"/>
    </row>
    <row r="3213" spans="32:32" x14ac:dyDescent="0.35">
      <c r="AF3213" s="359"/>
    </row>
    <row r="3214" spans="32:32" x14ac:dyDescent="0.35">
      <c r="AF3214" s="359"/>
    </row>
    <row r="3215" spans="32:32" x14ac:dyDescent="0.35">
      <c r="AF3215" s="359"/>
    </row>
    <row r="3216" spans="32:32" x14ac:dyDescent="0.35">
      <c r="AF3216" s="359"/>
    </row>
    <row r="3217" spans="32:32" x14ac:dyDescent="0.35">
      <c r="AF3217" s="359"/>
    </row>
    <row r="3218" spans="32:32" x14ac:dyDescent="0.35">
      <c r="AF3218" s="359"/>
    </row>
    <row r="3219" spans="32:32" x14ac:dyDescent="0.35">
      <c r="AF3219" s="359"/>
    </row>
    <row r="3220" spans="32:32" x14ac:dyDescent="0.35">
      <c r="AF3220" s="359"/>
    </row>
    <row r="3221" spans="32:32" x14ac:dyDescent="0.35">
      <c r="AF3221" s="359"/>
    </row>
    <row r="3222" spans="32:32" x14ac:dyDescent="0.35">
      <c r="AF3222" s="359"/>
    </row>
    <row r="3223" spans="32:32" x14ac:dyDescent="0.35">
      <c r="AF3223" s="359"/>
    </row>
    <row r="3224" spans="32:32" x14ac:dyDescent="0.35">
      <c r="AF3224" s="359"/>
    </row>
    <row r="3225" spans="32:32" x14ac:dyDescent="0.35">
      <c r="AF3225" s="359"/>
    </row>
    <row r="3226" spans="32:32" x14ac:dyDescent="0.35">
      <c r="AF3226" s="359"/>
    </row>
    <row r="3227" spans="32:32" x14ac:dyDescent="0.35">
      <c r="AF3227" s="359"/>
    </row>
    <row r="3228" spans="32:32" x14ac:dyDescent="0.35">
      <c r="AF3228" s="359"/>
    </row>
    <row r="3229" spans="32:32" x14ac:dyDescent="0.35">
      <c r="AF3229" s="359"/>
    </row>
    <row r="3230" spans="32:32" x14ac:dyDescent="0.35">
      <c r="AF3230" s="359"/>
    </row>
    <row r="3231" spans="32:32" x14ac:dyDescent="0.35">
      <c r="AF3231" s="359"/>
    </row>
    <row r="3232" spans="32:32" x14ac:dyDescent="0.35">
      <c r="AF3232" s="359"/>
    </row>
    <row r="3233" spans="32:32" x14ac:dyDescent="0.35">
      <c r="AF3233" s="359"/>
    </row>
    <row r="3234" spans="32:32" x14ac:dyDescent="0.35">
      <c r="AF3234" s="359"/>
    </row>
    <row r="3235" spans="32:32" x14ac:dyDescent="0.35">
      <c r="AF3235" s="359"/>
    </row>
    <row r="3236" spans="32:32" x14ac:dyDescent="0.35">
      <c r="AF3236" s="359"/>
    </row>
    <row r="3237" spans="32:32" x14ac:dyDescent="0.35">
      <c r="AF3237" s="359"/>
    </row>
    <row r="3238" spans="32:32" x14ac:dyDescent="0.35">
      <c r="AF3238" s="359"/>
    </row>
    <row r="3239" spans="32:32" x14ac:dyDescent="0.35">
      <c r="AF3239" s="359"/>
    </row>
    <row r="3240" spans="32:32" x14ac:dyDescent="0.35">
      <c r="AF3240" s="359"/>
    </row>
    <row r="3241" spans="32:32" x14ac:dyDescent="0.35">
      <c r="AF3241" s="359"/>
    </row>
    <row r="3242" spans="32:32" x14ac:dyDescent="0.35">
      <c r="AF3242" s="359"/>
    </row>
    <row r="3243" spans="32:32" x14ac:dyDescent="0.35">
      <c r="AF3243" s="359"/>
    </row>
    <row r="3244" spans="32:32" x14ac:dyDescent="0.35">
      <c r="AF3244" s="359"/>
    </row>
    <row r="3245" spans="32:32" x14ac:dyDescent="0.35">
      <c r="AF3245" s="359"/>
    </row>
    <row r="3246" spans="32:32" x14ac:dyDescent="0.35">
      <c r="AF3246" s="359"/>
    </row>
    <row r="3247" spans="32:32" x14ac:dyDescent="0.35">
      <c r="AF3247" s="359"/>
    </row>
    <row r="3248" spans="32:32" x14ac:dyDescent="0.35">
      <c r="AF3248" s="359"/>
    </row>
    <row r="3249" spans="32:32" x14ac:dyDescent="0.35">
      <c r="AF3249" s="359"/>
    </row>
    <row r="3250" spans="32:32" x14ac:dyDescent="0.35">
      <c r="AF3250" s="359"/>
    </row>
    <row r="3251" spans="32:32" x14ac:dyDescent="0.35">
      <c r="AF3251" s="359"/>
    </row>
    <row r="3252" spans="32:32" x14ac:dyDescent="0.35">
      <c r="AF3252" s="359"/>
    </row>
    <row r="3253" spans="32:32" x14ac:dyDescent="0.35">
      <c r="AF3253" s="359"/>
    </row>
    <row r="3254" spans="32:32" x14ac:dyDescent="0.35">
      <c r="AF3254" s="359"/>
    </row>
    <row r="3255" spans="32:32" x14ac:dyDescent="0.35">
      <c r="AF3255" s="359"/>
    </row>
    <row r="3256" spans="32:32" x14ac:dyDescent="0.35">
      <c r="AF3256" s="359"/>
    </row>
    <row r="3257" spans="32:32" x14ac:dyDescent="0.35">
      <c r="AF3257" s="359"/>
    </row>
    <row r="3258" spans="32:32" x14ac:dyDescent="0.35">
      <c r="AF3258" s="359"/>
    </row>
    <row r="3259" spans="32:32" x14ac:dyDescent="0.35">
      <c r="AF3259" s="359"/>
    </row>
    <row r="3260" spans="32:32" x14ac:dyDescent="0.35">
      <c r="AF3260" s="359"/>
    </row>
    <row r="3261" spans="32:32" x14ac:dyDescent="0.35">
      <c r="AF3261" s="359"/>
    </row>
    <row r="3262" spans="32:32" x14ac:dyDescent="0.35">
      <c r="AF3262" s="359"/>
    </row>
    <row r="3263" spans="32:32" x14ac:dyDescent="0.35">
      <c r="AF3263" s="359"/>
    </row>
    <row r="3264" spans="32:32" x14ac:dyDescent="0.35">
      <c r="AF3264" s="359"/>
    </row>
    <row r="3265" spans="32:32" x14ac:dyDescent="0.35">
      <c r="AF3265" s="359"/>
    </row>
    <row r="3266" spans="32:32" x14ac:dyDescent="0.35">
      <c r="AF3266" s="359"/>
    </row>
    <row r="3267" spans="32:32" x14ac:dyDescent="0.35">
      <c r="AF3267" s="359"/>
    </row>
    <row r="3268" spans="32:32" x14ac:dyDescent="0.35">
      <c r="AF3268" s="359"/>
    </row>
    <row r="3269" spans="32:32" x14ac:dyDescent="0.35">
      <c r="AF3269" s="359"/>
    </row>
    <row r="3270" spans="32:32" x14ac:dyDescent="0.35">
      <c r="AF3270" s="359"/>
    </row>
    <row r="3271" spans="32:32" x14ac:dyDescent="0.35">
      <c r="AF3271" s="359"/>
    </row>
    <row r="3272" spans="32:32" x14ac:dyDescent="0.35">
      <c r="AF3272" s="359"/>
    </row>
    <row r="3273" spans="32:32" x14ac:dyDescent="0.35">
      <c r="AF3273" s="359"/>
    </row>
    <row r="3274" spans="32:32" x14ac:dyDescent="0.35">
      <c r="AF3274" s="359"/>
    </row>
    <row r="3275" spans="32:32" x14ac:dyDescent="0.35">
      <c r="AF3275" s="359"/>
    </row>
    <row r="3276" spans="32:32" x14ac:dyDescent="0.35">
      <c r="AF3276" s="359"/>
    </row>
    <row r="3277" spans="32:32" x14ac:dyDescent="0.35">
      <c r="AF3277" s="359"/>
    </row>
    <row r="3278" spans="32:32" x14ac:dyDescent="0.35">
      <c r="AF3278" s="359"/>
    </row>
    <row r="3279" spans="32:32" x14ac:dyDescent="0.35">
      <c r="AF3279" s="359"/>
    </row>
    <row r="3280" spans="32:32" x14ac:dyDescent="0.35">
      <c r="AF3280" s="359"/>
    </row>
    <row r="3281" spans="32:32" x14ac:dyDescent="0.35">
      <c r="AF3281" s="359"/>
    </row>
    <row r="3282" spans="32:32" x14ac:dyDescent="0.35">
      <c r="AF3282" s="359"/>
    </row>
    <row r="3283" spans="32:32" x14ac:dyDescent="0.35">
      <c r="AF3283" s="359"/>
    </row>
    <row r="3284" spans="32:32" x14ac:dyDescent="0.35">
      <c r="AF3284" s="359"/>
    </row>
    <row r="3285" spans="32:32" x14ac:dyDescent="0.35">
      <c r="AF3285" s="359"/>
    </row>
    <row r="3286" spans="32:32" x14ac:dyDescent="0.35">
      <c r="AF3286" s="359"/>
    </row>
    <row r="3287" spans="32:32" x14ac:dyDescent="0.35">
      <c r="AF3287" s="359"/>
    </row>
    <row r="3288" spans="32:32" x14ac:dyDescent="0.35">
      <c r="AF3288" s="359"/>
    </row>
    <row r="3289" spans="32:32" x14ac:dyDescent="0.35">
      <c r="AF3289" s="359"/>
    </row>
    <row r="3290" spans="32:32" x14ac:dyDescent="0.35">
      <c r="AF3290" s="359"/>
    </row>
    <row r="3291" spans="32:32" x14ac:dyDescent="0.35">
      <c r="AF3291" s="359"/>
    </row>
    <row r="3292" spans="32:32" x14ac:dyDescent="0.35">
      <c r="AF3292" s="359"/>
    </row>
    <row r="3293" spans="32:32" x14ac:dyDescent="0.35">
      <c r="AF3293" s="359"/>
    </row>
    <row r="3294" spans="32:32" x14ac:dyDescent="0.35">
      <c r="AF3294" s="359"/>
    </row>
    <row r="3295" spans="32:32" x14ac:dyDescent="0.35">
      <c r="AF3295" s="359"/>
    </row>
    <row r="3296" spans="32:32" x14ac:dyDescent="0.35">
      <c r="AF3296" s="359"/>
    </row>
    <row r="3297" spans="32:32" x14ac:dyDescent="0.35">
      <c r="AF3297" s="359"/>
    </row>
    <row r="3298" spans="32:32" x14ac:dyDescent="0.35">
      <c r="AF3298" s="359"/>
    </row>
    <row r="3299" spans="32:32" x14ac:dyDescent="0.35">
      <c r="AF3299" s="359"/>
    </row>
    <row r="3300" spans="32:32" x14ac:dyDescent="0.35">
      <c r="AF3300" s="359"/>
    </row>
    <row r="3301" spans="32:32" x14ac:dyDescent="0.35">
      <c r="AF3301" s="359"/>
    </row>
    <row r="3302" spans="32:32" x14ac:dyDescent="0.35">
      <c r="AF3302" s="359"/>
    </row>
    <row r="3303" spans="32:32" x14ac:dyDescent="0.35">
      <c r="AF3303" s="359"/>
    </row>
    <row r="3304" spans="32:32" x14ac:dyDescent="0.35">
      <c r="AF3304" s="359"/>
    </row>
    <row r="3305" spans="32:32" x14ac:dyDescent="0.35">
      <c r="AF3305" s="359"/>
    </row>
    <row r="3306" spans="32:32" x14ac:dyDescent="0.35">
      <c r="AF3306" s="359"/>
    </row>
    <row r="3307" spans="32:32" x14ac:dyDescent="0.35">
      <c r="AF3307" s="359"/>
    </row>
    <row r="3308" spans="32:32" x14ac:dyDescent="0.35">
      <c r="AF3308" s="359"/>
    </row>
    <row r="3309" spans="32:32" x14ac:dyDescent="0.35">
      <c r="AF3309" s="359"/>
    </row>
    <row r="3310" spans="32:32" x14ac:dyDescent="0.35">
      <c r="AF3310" s="359"/>
    </row>
    <row r="3311" spans="32:32" x14ac:dyDescent="0.35">
      <c r="AF3311" s="359"/>
    </row>
    <row r="3312" spans="32:32" x14ac:dyDescent="0.35">
      <c r="AF3312" s="359"/>
    </row>
    <row r="3313" spans="2:32" x14ac:dyDescent="0.35">
      <c r="AF3313" s="359"/>
    </row>
    <row r="3314" spans="2:32" x14ac:dyDescent="0.35">
      <c r="AF3314" s="359"/>
    </row>
    <row r="3315" spans="2:32" x14ac:dyDescent="0.35">
      <c r="AF3315" s="359"/>
    </row>
    <row r="3316" spans="2:32" x14ac:dyDescent="0.35">
      <c r="AF3316" s="359"/>
    </row>
    <row r="3317" spans="2:32" x14ac:dyDescent="0.35">
      <c r="AF3317" s="359"/>
    </row>
    <row r="3318" spans="2:32" x14ac:dyDescent="0.35">
      <c r="AF3318" s="359"/>
    </row>
    <row r="3319" spans="2:32" x14ac:dyDescent="0.35">
      <c r="AF3319" s="359"/>
    </row>
    <row r="3320" spans="2:32" x14ac:dyDescent="0.35">
      <c r="AF3320" s="359"/>
    </row>
    <row r="3321" spans="2:32" x14ac:dyDescent="0.35">
      <c r="AF3321" s="359"/>
    </row>
    <row r="3322" spans="2:32" x14ac:dyDescent="0.35">
      <c r="AF3322" s="359"/>
    </row>
    <row r="3323" spans="2:32" x14ac:dyDescent="0.35">
      <c r="B3323" s="20"/>
      <c r="AF3323" s="359"/>
    </row>
    <row r="3324" spans="2:32" x14ac:dyDescent="0.35">
      <c r="AF3324" s="359"/>
    </row>
    <row r="3325" spans="2:32" x14ac:dyDescent="0.35">
      <c r="AF3325" s="359"/>
    </row>
    <row r="3326" spans="2:32" x14ac:dyDescent="0.35">
      <c r="AF3326" s="359"/>
    </row>
    <row r="3327" spans="2:32" x14ac:dyDescent="0.35">
      <c r="AF3327" s="359"/>
    </row>
    <row r="3328" spans="2:32" x14ac:dyDescent="0.35">
      <c r="AF3328" s="359"/>
    </row>
    <row r="3329" spans="32:32" x14ac:dyDescent="0.35">
      <c r="AF3329" s="359"/>
    </row>
    <row r="3330" spans="32:32" x14ac:dyDescent="0.35">
      <c r="AF3330" s="359"/>
    </row>
    <row r="3331" spans="32:32" x14ac:dyDescent="0.35">
      <c r="AF3331" s="359"/>
    </row>
    <row r="3332" spans="32:32" x14ac:dyDescent="0.35">
      <c r="AF3332" s="359"/>
    </row>
    <row r="3333" spans="32:32" x14ac:dyDescent="0.35">
      <c r="AF3333" s="359"/>
    </row>
    <row r="3334" spans="32:32" x14ac:dyDescent="0.35">
      <c r="AF3334" s="359"/>
    </row>
    <row r="3335" spans="32:32" x14ac:dyDescent="0.35">
      <c r="AF3335" s="359"/>
    </row>
    <row r="3336" spans="32:32" x14ac:dyDescent="0.35">
      <c r="AF3336" s="359"/>
    </row>
    <row r="3337" spans="32:32" x14ac:dyDescent="0.35">
      <c r="AF3337" s="359"/>
    </row>
    <row r="3338" spans="32:32" x14ac:dyDescent="0.35">
      <c r="AF3338" s="359"/>
    </row>
    <row r="3339" spans="32:32" x14ac:dyDescent="0.35">
      <c r="AF3339" s="359"/>
    </row>
    <row r="3340" spans="32:32" x14ac:dyDescent="0.35">
      <c r="AF3340" s="359"/>
    </row>
    <row r="3341" spans="32:32" x14ac:dyDescent="0.35">
      <c r="AF3341" s="359"/>
    </row>
    <row r="3342" spans="32:32" x14ac:dyDescent="0.35">
      <c r="AF3342" s="359"/>
    </row>
    <row r="3343" spans="32:32" x14ac:dyDescent="0.35">
      <c r="AF3343" s="359"/>
    </row>
    <row r="3344" spans="32:32" x14ac:dyDescent="0.35">
      <c r="AF3344" s="359"/>
    </row>
    <row r="3345" spans="32:32" x14ac:dyDescent="0.35">
      <c r="AF3345" s="359"/>
    </row>
    <row r="3346" spans="32:32" x14ac:dyDescent="0.35">
      <c r="AF3346" s="359"/>
    </row>
    <row r="3347" spans="32:32" x14ac:dyDescent="0.35">
      <c r="AF3347" s="359"/>
    </row>
    <row r="3348" spans="32:32" x14ac:dyDescent="0.35">
      <c r="AF3348" s="359"/>
    </row>
    <row r="3349" spans="32:32" x14ac:dyDescent="0.35">
      <c r="AF3349" s="359"/>
    </row>
    <row r="3350" spans="32:32" x14ac:dyDescent="0.35">
      <c r="AF3350" s="359"/>
    </row>
    <row r="3351" spans="32:32" x14ac:dyDescent="0.35">
      <c r="AF3351" s="359"/>
    </row>
    <row r="3352" spans="32:32" x14ac:dyDescent="0.35">
      <c r="AF3352" s="359"/>
    </row>
    <row r="3353" spans="32:32" x14ac:dyDescent="0.35">
      <c r="AF3353" s="359"/>
    </row>
    <row r="3354" spans="32:32" x14ac:dyDescent="0.35">
      <c r="AF3354" s="359"/>
    </row>
    <row r="3355" spans="32:32" x14ac:dyDescent="0.35">
      <c r="AF3355" s="359"/>
    </row>
    <row r="3356" spans="32:32" x14ac:dyDescent="0.35">
      <c r="AF3356" s="359"/>
    </row>
    <row r="3357" spans="32:32" x14ac:dyDescent="0.35">
      <c r="AF3357" s="359"/>
    </row>
    <row r="3358" spans="32:32" x14ac:dyDescent="0.35">
      <c r="AF3358" s="359"/>
    </row>
    <row r="3359" spans="32:32" x14ac:dyDescent="0.35">
      <c r="AF3359" s="359"/>
    </row>
    <row r="3360" spans="32:32" x14ac:dyDescent="0.35">
      <c r="AF3360" s="359"/>
    </row>
    <row r="3361" spans="32:32" x14ac:dyDescent="0.35">
      <c r="AF3361" s="359"/>
    </row>
    <row r="3362" spans="32:32" x14ac:dyDescent="0.35">
      <c r="AF3362" s="359"/>
    </row>
    <row r="3363" spans="32:32" x14ac:dyDescent="0.35">
      <c r="AF3363" s="359"/>
    </row>
    <row r="3364" spans="32:32" x14ac:dyDescent="0.35">
      <c r="AF3364" s="359"/>
    </row>
    <row r="3365" spans="32:32" x14ac:dyDescent="0.35">
      <c r="AF3365" s="359"/>
    </row>
    <row r="3366" spans="32:32" x14ac:dyDescent="0.35">
      <c r="AF3366" s="359"/>
    </row>
    <row r="3367" spans="32:32" x14ac:dyDescent="0.35">
      <c r="AF3367" s="359"/>
    </row>
    <row r="3368" spans="32:32" x14ac:dyDescent="0.35">
      <c r="AF3368" s="359"/>
    </row>
    <row r="3369" spans="32:32" x14ac:dyDescent="0.35">
      <c r="AF3369" s="359"/>
    </row>
    <row r="3370" spans="32:32" x14ac:dyDescent="0.35">
      <c r="AF3370" s="359"/>
    </row>
    <row r="3371" spans="32:32" x14ac:dyDescent="0.35">
      <c r="AF3371" s="359"/>
    </row>
    <row r="3372" spans="32:32" x14ac:dyDescent="0.35">
      <c r="AF3372" s="359"/>
    </row>
    <row r="3373" spans="32:32" x14ac:dyDescent="0.35">
      <c r="AF3373" s="359"/>
    </row>
    <row r="3374" spans="32:32" x14ac:dyDescent="0.35">
      <c r="AF3374" s="359"/>
    </row>
    <row r="3375" spans="32:32" x14ac:dyDescent="0.35">
      <c r="AF3375" s="359"/>
    </row>
    <row r="3376" spans="32:32" x14ac:dyDescent="0.35">
      <c r="AF3376" s="359"/>
    </row>
    <row r="3377" spans="32:32" x14ac:dyDescent="0.35">
      <c r="AF3377" s="359"/>
    </row>
    <row r="3378" spans="32:32" x14ac:dyDescent="0.35">
      <c r="AF3378" s="359"/>
    </row>
    <row r="3379" spans="32:32" x14ac:dyDescent="0.35">
      <c r="AF3379" s="359"/>
    </row>
    <row r="3380" spans="32:32" x14ac:dyDescent="0.35">
      <c r="AF3380" s="359"/>
    </row>
    <row r="3381" spans="32:32" x14ac:dyDescent="0.35">
      <c r="AF3381" s="359"/>
    </row>
    <row r="3382" spans="32:32" x14ac:dyDescent="0.35">
      <c r="AF3382" s="359"/>
    </row>
    <row r="3383" spans="32:32" x14ac:dyDescent="0.35">
      <c r="AF3383" s="359"/>
    </row>
    <row r="3384" spans="32:32" x14ac:dyDescent="0.35">
      <c r="AF3384" s="359"/>
    </row>
    <row r="3385" spans="32:32" x14ac:dyDescent="0.35">
      <c r="AF3385" s="359"/>
    </row>
    <row r="3386" spans="32:32" x14ac:dyDescent="0.35">
      <c r="AF3386" s="359"/>
    </row>
    <row r="3387" spans="32:32" x14ac:dyDescent="0.35">
      <c r="AF3387" s="359"/>
    </row>
    <row r="3388" spans="32:32" x14ac:dyDescent="0.35">
      <c r="AF3388" s="359"/>
    </row>
    <row r="3389" spans="32:32" x14ac:dyDescent="0.35">
      <c r="AF3389" s="359"/>
    </row>
    <row r="3390" spans="32:32" x14ac:dyDescent="0.35">
      <c r="AF3390" s="359"/>
    </row>
    <row r="3391" spans="32:32" x14ac:dyDescent="0.35">
      <c r="AF3391" s="359"/>
    </row>
    <row r="3392" spans="32:32" x14ac:dyDescent="0.35">
      <c r="AF3392" s="359"/>
    </row>
    <row r="3393" spans="32:32" x14ac:dyDescent="0.35">
      <c r="AF3393" s="359"/>
    </row>
    <row r="3394" spans="32:32" x14ac:dyDescent="0.35">
      <c r="AF3394" s="359"/>
    </row>
    <row r="3395" spans="32:32" x14ac:dyDescent="0.35">
      <c r="AF3395" s="359"/>
    </row>
    <row r="3396" spans="32:32" x14ac:dyDescent="0.35">
      <c r="AF3396" s="359"/>
    </row>
    <row r="3397" spans="32:32" x14ac:dyDescent="0.35">
      <c r="AF3397" s="359"/>
    </row>
    <row r="3398" spans="32:32" x14ac:dyDescent="0.35">
      <c r="AF3398" s="359"/>
    </row>
    <row r="3399" spans="32:32" x14ac:dyDescent="0.35">
      <c r="AF3399" s="359"/>
    </row>
    <row r="3400" spans="32:32" x14ac:dyDescent="0.35">
      <c r="AF3400" s="359"/>
    </row>
    <row r="3401" spans="32:32" x14ac:dyDescent="0.35">
      <c r="AF3401" s="359"/>
    </row>
    <row r="3402" spans="32:32" x14ac:dyDescent="0.35">
      <c r="AF3402" s="359"/>
    </row>
    <row r="3403" spans="32:32" x14ac:dyDescent="0.35">
      <c r="AF3403" s="359"/>
    </row>
    <row r="3404" spans="32:32" x14ac:dyDescent="0.35">
      <c r="AF3404" s="359"/>
    </row>
    <row r="3405" spans="32:32" x14ac:dyDescent="0.35">
      <c r="AF3405" s="359"/>
    </row>
    <row r="3406" spans="32:32" x14ac:dyDescent="0.35">
      <c r="AF3406" s="359"/>
    </row>
    <row r="3407" spans="32:32" x14ac:dyDescent="0.35">
      <c r="AF3407" s="359"/>
    </row>
    <row r="3408" spans="32:32" x14ac:dyDescent="0.35">
      <c r="AF3408" s="359"/>
    </row>
    <row r="3409" spans="32:32" x14ac:dyDescent="0.35">
      <c r="AF3409" s="359"/>
    </row>
    <row r="3410" spans="32:32" x14ac:dyDescent="0.35">
      <c r="AF3410" s="359"/>
    </row>
    <row r="3411" spans="32:32" x14ac:dyDescent="0.35">
      <c r="AF3411" s="359"/>
    </row>
    <row r="3412" spans="32:32" x14ac:dyDescent="0.35">
      <c r="AF3412" s="359"/>
    </row>
    <row r="3413" spans="32:32" x14ac:dyDescent="0.35">
      <c r="AF3413" s="359"/>
    </row>
    <row r="3414" spans="32:32" x14ac:dyDescent="0.35">
      <c r="AF3414" s="359"/>
    </row>
    <row r="3415" spans="32:32" x14ac:dyDescent="0.35">
      <c r="AF3415" s="359"/>
    </row>
    <row r="3416" spans="32:32" x14ac:dyDescent="0.35">
      <c r="AF3416" s="359"/>
    </row>
    <row r="3417" spans="32:32" x14ac:dyDescent="0.35">
      <c r="AF3417" s="359"/>
    </row>
    <row r="3418" spans="32:32" x14ac:dyDescent="0.35">
      <c r="AF3418" s="359"/>
    </row>
    <row r="3419" spans="32:32" x14ac:dyDescent="0.35">
      <c r="AF3419" s="359"/>
    </row>
    <row r="3420" spans="32:32" x14ac:dyDescent="0.35">
      <c r="AF3420" s="359"/>
    </row>
    <row r="3421" spans="32:32" x14ac:dyDescent="0.35">
      <c r="AF3421" s="359"/>
    </row>
    <row r="3422" spans="32:32" x14ac:dyDescent="0.35">
      <c r="AF3422" s="359"/>
    </row>
    <row r="3423" spans="32:32" x14ac:dyDescent="0.35">
      <c r="AF3423" s="359"/>
    </row>
    <row r="3424" spans="32:32" x14ac:dyDescent="0.35">
      <c r="AF3424" s="359"/>
    </row>
    <row r="3425" spans="32:32" x14ac:dyDescent="0.35">
      <c r="AF3425" s="359"/>
    </row>
    <row r="3426" spans="32:32" x14ac:dyDescent="0.35">
      <c r="AF3426" s="359"/>
    </row>
    <row r="3427" spans="32:32" x14ac:dyDescent="0.35">
      <c r="AF3427" s="359"/>
    </row>
    <row r="3428" spans="32:32" x14ac:dyDescent="0.35">
      <c r="AF3428" s="359"/>
    </row>
    <row r="3429" spans="32:32" x14ac:dyDescent="0.35">
      <c r="AF3429" s="359"/>
    </row>
    <row r="3430" spans="32:32" x14ac:dyDescent="0.35">
      <c r="AF3430" s="359"/>
    </row>
    <row r="3431" spans="32:32" x14ac:dyDescent="0.35">
      <c r="AF3431" s="359"/>
    </row>
    <row r="3432" spans="32:32" x14ac:dyDescent="0.35">
      <c r="AF3432" s="359"/>
    </row>
    <row r="3433" spans="32:32" x14ac:dyDescent="0.35">
      <c r="AF3433" s="359"/>
    </row>
    <row r="3434" spans="32:32" x14ac:dyDescent="0.35">
      <c r="AF3434" s="359"/>
    </row>
    <row r="3435" spans="32:32" x14ac:dyDescent="0.35">
      <c r="AF3435" s="359"/>
    </row>
    <row r="3436" spans="32:32" x14ac:dyDescent="0.35">
      <c r="AF3436" s="359"/>
    </row>
    <row r="3437" spans="32:32" x14ac:dyDescent="0.35">
      <c r="AF3437" s="359"/>
    </row>
    <row r="3438" spans="32:32" x14ac:dyDescent="0.35">
      <c r="AF3438" s="359"/>
    </row>
    <row r="3439" spans="32:32" x14ac:dyDescent="0.35">
      <c r="AF3439" s="359"/>
    </row>
    <row r="3440" spans="32:32" x14ac:dyDescent="0.35">
      <c r="AF3440" s="359"/>
    </row>
    <row r="3441" spans="32:32" x14ac:dyDescent="0.35">
      <c r="AF3441" s="359"/>
    </row>
    <row r="3442" spans="32:32" x14ac:dyDescent="0.35">
      <c r="AF3442" s="359"/>
    </row>
    <row r="3443" spans="32:32" x14ac:dyDescent="0.35">
      <c r="AF3443" s="359"/>
    </row>
    <row r="3444" spans="32:32" x14ac:dyDescent="0.35">
      <c r="AF3444" s="359"/>
    </row>
    <row r="3445" spans="32:32" x14ac:dyDescent="0.35">
      <c r="AF3445" s="359"/>
    </row>
    <row r="3446" spans="32:32" x14ac:dyDescent="0.35">
      <c r="AF3446" s="359"/>
    </row>
    <row r="3447" spans="32:32" x14ac:dyDescent="0.35">
      <c r="AF3447" s="359"/>
    </row>
    <row r="3448" spans="32:32" x14ac:dyDescent="0.35">
      <c r="AF3448" s="359"/>
    </row>
    <row r="3449" spans="32:32" x14ac:dyDescent="0.35">
      <c r="AF3449" s="359"/>
    </row>
    <row r="3450" spans="32:32" x14ac:dyDescent="0.35">
      <c r="AF3450" s="359"/>
    </row>
    <row r="3451" spans="32:32" x14ac:dyDescent="0.35">
      <c r="AF3451" s="359"/>
    </row>
    <row r="3452" spans="32:32" x14ac:dyDescent="0.35">
      <c r="AF3452" s="359"/>
    </row>
    <row r="3453" spans="32:32" x14ac:dyDescent="0.35">
      <c r="AF3453" s="359"/>
    </row>
    <row r="3454" spans="32:32" x14ac:dyDescent="0.35">
      <c r="AF3454" s="359"/>
    </row>
    <row r="3455" spans="32:32" x14ac:dyDescent="0.35">
      <c r="AF3455" s="359"/>
    </row>
    <row r="3456" spans="32:32" x14ac:dyDescent="0.35">
      <c r="AF3456" s="359"/>
    </row>
    <row r="3457" spans="32:32" x14ac:dyDescent="0.35">
      <c r="AF3457" s="359"/>
    </row>
    <row r="3458" spans="32:32" x14ac:dyDescent="0.35">
      <c r="AF3458" s="359"/>
    </row>
    <row r="3459" spans="32:32" x14ac:dyDescent="0.35">
      <c r="AF3459" s="359"/>
    </row>
    <row r="3460" spans="32:32" x14ac:dyDescent="0.35">
      <c r="AF3460" s="359"/>
    </row>
    <row r="3461" spans="32:32" x14ac:dyDescent="0.35">
      <c r="AF3461" s="359"/>
    </row>
    <row r="3462" spans="32:32" x14ac:dyDescent="0.35">
      <c r="AF3462" s="359"/>
    </row>
    <row r="3463" spans="32:32" x14ac:dyDescent="0.35">
      <c r="AF3463" s="359"/>
    </row>
    <row r="3464" spans="32:32" x14ac:dyDescent="0.35">
      <c r="AF3464" s="359"/>
    </row>
    <row r="3465" spans="32:32" x14ac:dyDescent="0.35">
      <c r="AF3465" s="359"/>
    </row>
    <row r="3466" spans="32:32" x14ac:dyDescent="0.35">
      <c r="AF3466" s="359"/>
    </row>
    <row r="3467" spans="32:32" x14ac:dyDescent="0.35">
      <c r="AF3467" s="359"/>
    </row>
    <row r="3468" spans="32:32" x14ac:dyDescent="0.35">
      <c r="AF3468" s="359"/>
    </row>
    <row r="3469" spans="32:32" x14ac:dyDescent="0.35">
      <c r="AF3469" s="359"/>
    </row>
    <row r="3470" spans="32:32" x14ac:dyDescent="0.35">
      <c r="AF3470" s="359"/>
    </row>
    <row r="3471" spans="32:32" x14ac:dyDescent="0.35">
      <c r="AF3471" s="359"/>
    </row>
    <row r="3472" spans="32:32" x14ac:dyDescent="0.35">
      <c r="AF3472" s="359"/>
    </row>
    <row r="3473" spans="30:32" x14ac:dyDescent="0.35">
      <c r="AF3473" s="359"/>
    </row>
    <row r="3474" spans="30:32" x14ac:dyDescent="0.35">
      <c r="AF3474" s="359"/>
    </row>
    <row r="3475" spans="30:32" x14ac:dyDescent="0.35">
      <c r="AF3475" s="359"/>
    </row>
    <row r="3476" spans="30:32" x14ac:dyDescent="0.35">
      <c r="AF3476" s="359"/>
    </row>
    <row r="3477" spans="30:32" x14ac:dyDescent="0.35">
      <c r="AF3477" s="359"/>
    </row>
    <row r="3478" spans="30:32" x14ac:dyDescent="0.35">
      <c r="AF3478" s="359"/>
    </row>
    <row r="3479" spans="30:32" x14ac:dyDescent="0.35">
      <c r="AF3479" s="359"/>
    </row>
    <row r="3480" spans="30:32" x14ac:dyDescent="0.35">
      <c r="AF3480" s="359"/>
    </row>
    <row r="3481" spans="30:32" x14ac:dyDescent="0.35">
      <c r="AF3481" s="359"/>
    </row>
    <row r="3482" spans="30:32" x14ac:dyDescent="0.35">
      <c r="AF3482" s="359"/>
    </row>
    <row r="3483" spans="30:32" x14ac:dyDescent="0.35">
      <c r="AF3483" s="359"/>
    </row>
    <row r="3484" spans="30:32" x14ac:dyDescent="0.35">
      <c r="AF3484" s="359"/>
    </row>
    <row r="3485" spans="30:32" x14ac:dyDescent="0.35">
      <c r="AF3485" s="359"/>
    </row>
    <row r="3486" spans="30:32" x14ac:dyDescent="0.35">
      <c r="AD3486" s="331"/>
      <c r="AE3486" s="332"/>
      <c r="AF3486" s="359"/>
    </row>
    <row r="3487" spans="30:32" x14ac:dyDescent="0.35">
      <c r="AF3487" s="359"/>
    </row>
    <row r="3488" spans="30:32" x14ac:dyDescent="0.35">
      <c r="AF3488" s="359"/>
    </row>
    <row r="3489" spans="32:32" x14ac:dyDescent="0.35">
      <c r="AF3489" s="359"/>
    </row>
    <row r="3490" spans="32:32" x14ac:dyDescent="0.35">
      <c r="AF3490" s="359"/>
    </row>
    <row r="3491" spans="32:32" x14ac:dyDescent="0.35">
      <c r="AF3491" s="359"/>
    </row>
    <row r="3492" spans="32:32" x14ac:dyDescent="0.35">
      <c r="AF3492" s="359"/>
    </row>
    <row r="3493" spans="32:32" x14ac:dyDescent="0.35">
      <c r="AF3493" s="359"/>
    </row>
    <row r="3494" spans="32:32" x14ac:dyDescent="0.35">
      <c r="AF3494" s="359"/>
    </row>
    <row r="3495" spans="32:32" x14ac:dyDescent="0.35">
      <c r="AF3495" s="359"/>
    </row>
    <row r="3496" spans="32:32" x14ac:dyDescent="0.35">
      <c r="AF3496" s="359"/>
    </row>
    <row r="3497" spans="32:32" x14ac:dyDescent="0.35">
      <c r="AF3497" s="359"/>
    </row>
    <row r="3498" spans="32:32" x14ac:dyDescent="0.35">
      <c r="AF3498" s="359"/>
    </row>
    <row r="3499" spans="32:32" x14ac:dyDescent="0.35">
      <c r="AF3499" s="359"/>
    </row>
    <row r="3500" spans="32:32" x14ac:dyDescent="0.35">
      <c r="AF3500" s="359"/>
    </row>
    <row r="3501" spans="32:32" x14ac:dyDescent="0.35">
      <c r="AF3501" s="359"/>
    </row>
    <row r="3502" spans="32:32" x14ac:dyDescent="0.35">
      <c r="AF3502" s="359"/>
    </row>
    <row r="3503" spans="32:32" x14ac:dyDescent="0.35">
      <c r="AF3503" s="359"/>
    </row>
    <row r="3504" spans="32:32" x14ac:dyDescent="0.35">
      <c r="AF3504" s="359"/>
    </row>
    <row r="3505" spans="32:32" x14ac:dyDescent="0.35">
      <c r="AF3505" s="359"/>
    </row>
    <row r="3506" spans="32:32" x14ac:dyDescent="0.35">
      <c r="AF3506" s="359"/>
    </row>
    <row r="3507" spans="32:32" x14ac:dyDescent="0.35">
      <c r="AF3507" s="359"/>
    </row>
    <row r="3508" spans="32:32" x14ac:dyDescent="0.35">
      <c r="AF3508" s="359"/>
    </row>
    <row r="3509" spans="32:32" x14ac:dyDescent="0.35">
      <c r="AF3509" s="359"/>
    </row>
    <row r="3510" spans="32:32" x14ac:dyDescent="0.35">
      <c r="AF3510" s="359"/>
    </row>
    <row r="3511" spans="32:32" x14ac:dyDescent="0.35">
      <c r="AF3511" s="359"/>
    </row>
    <row r="3512" spans="32:32" x14ac:dyDescent="0.35">
      <c r="AF3512" s="359"/>
    </row>
    <row r="3513" spans="32:32" x14ac:dyDescent="0.35">
      <c r="AF3513" s="359"/>
    </row>
    <row r="3514" spans="32:32" x14ac:dyDescent="0.35">
      <c r="AF3514" s="359"/>
    </row>
    <row r="3515" spans="32:32" x14ac:dyDescent="0.35">
      <c r="AF3515" s="359"/>
    </row>
    <row r="3516" spans="32:32" x14ac:dyDescent="0.35">
      <c r="AF3516" s="359"/>
    </row>
    <row r="3517" spans="32:32" x14ac:dyDescent="0.35">
      <c r="AF3517" s="359"/>
    </row>
    <row r="3518" spans="32:32" x14ac:dyDescent="0.35">
      <c r="AF3518" s="359"/>
    </row>
    <row r="3519" spans="32:32" x14ac:dyDescent="0.35">
      <c r="AF3519" s="359"/>
    </row>
    <row r="3520" spans="32:32" x14ac:dyDescent="0.35">
      <c r="AF3520" s="359"/>
    </row>
    <row r="3521" spans="32:32" x14ac:dyDescent="0.35">
      <c r="AF3521" s="359"/>
    </row>
    <row r="3522" spans="32:32" x14ac:dyDescent="0.35">
      <c r="AF3522" s="359"/>
    </row>
    <row r="3523" spans="32:32" x14ac:dyDescent="0.35">
      <c r="AF3523" s="359"/>
    </row>
    <row r="3524" spans="32:32" x14ac:dyDescent="0.35">
      <c r="AF3524" s="359"/>
    </row>
    <row r="3525" spans="32:32" x14ac:dyDescent="0.35">
      <c r="AF3525" s="359"/>
    </row>
    <row r="3526" spans="32:32" x14ac:dyDescent="0.35">
      <c r="AF3526" s="359"/>
    </row>
    <row r="3527" spans="32:32" x14ac:dyDescent="0.35">
      <c r="AF3527" s="359"/>
    </row>
    <row r="3528" spans="32:32" x14ac:dyDescent="0.35">
      <c r="AF3528" s="359"/>
    </row>
    <row r="3529" spans="32:32" x14ac:dyDescent="0.35">
      <c r="AF3529" s="359"/>
    </row>
    <row r="3530" spans="32:32" x14ac:dyDescent="0.35">
      <c r="AF3530" s="359"/>
    </row>
    <row r="3531" spans="32:32" x14ac:dyDescent="0.35">
      <c r="AF3531" s="359"/>
    </row>
    <row r="3532" spans="32:32" x14ac:dyDescent="0.35">
      <c r="AF3532" s="359"/>
    </row>
    <row r="3533" spans="32:32" x14ac:dyDescent="0.35">
      <c r="AF3533" s="359"/>
    </row>
    <row r="3534" spans="32:32" x14ac:dyDescent="0.35">
      <c r="AF3534" s="359"/>
    </row>
    <row r="3535" spans="32:32" x14ac:dyDescent="0.35">
      <c r="AF3535" s="359"/>
    </row>
    <row r="3536" spans="32:32" x14ac:dyDescent="0.35">
      <c r="AF3536" s="359"/>
    </row>
    <row r="3537" spans="32:32" x14ac:dyDescent="0.35">
      <c r="AF3537" s="359"/>
    </row>
    <row r="3538" spans="32:32" x14ac:dyDescent="0.35">
      <c r="AF3538" s="359"/>
    </row>
    <row r="3539" spans="32:32" x14ac:dyDescent="0.35">
      <c r="AF3539" s="359"/>
    </row>
    <row r="3540" spans="32:32" x14ac:dyDescent="0.35">
      <c r="AF3540" s="359"/>
    </row>
    <row r="3541" spans="32:32" x14ac:dyDescent="0.35">
      <c r="AF3541" s="359"/>
    </row>
    <row r="3542" spans="32:32" x14ac:dyDescent="0.35">
      <c r="AF3542" s="359"/>
    </row>
    <row r="3543" spans="32:32" x14ac:dyDescent="0.35">
      <c r="AF3543" s="359"/>
    </row>
    <row r="3544" spans="32:32" x14ac:dyDescent="0.35">
      <c r="AF3544" s="359"/>
    </row>
    <row r="3545" spans="32:32" x14ac:dyDescent="0.35">
      <c r="AF3545" s="359"/>
    </row>
    <row r="3546" spans="32:32" x14ac:dyDescent="0.35">
      <c r="AF3546" s="359"/>
    </row>
    <row r="3547" spans="32:32" x14ac:dyDescent="0.35">
      <c r="AF3547" s="359"/>
    </row>
    <row r="3548" spans="32:32" x14ac:dyDescent="0.35">
      <c r="AF3548" s="359"/>
    </row>
    <row r="3549" spans="32:32" x14ac:dyDescent="0.35">
      <c r="AF3549" s="359"/>
    </row>
    <row r="3550" spans="32:32" x14ac:dyDescent="0.35">
      <c r="AF3550" s="359"/>
    </row>
    <row r="3551" spans="32:32" x14ac:dyDescent="0.35">
      <c r="AF3551" s="359"/>
    </row>
    <row r="3552" spans="32:32" x14ac:dyDescent="0.35">
      <c r="AF3552" s="359"/>
    </row>
    <row r="3553" spans="32:32" x14ac:dyDescent="0.35">
      <c r="AF3553" s="359"/>
    </row>
    <row r="3554" spans="32:32" x14ac:dyDescent="0.35">
      <c r="AF3554" s="359"/>
    </row>
    <row r="3555" spans="32:32" x14ac:dyDescent="0.35">
      <c r="AF3555" s="359"/>
    </row>
    <row r="3556" spans="32:32" x14ac:dyDescent="0.35">
      <c r="AF3556" s="359"/>
    </row>
    <row r="3557" spans="32:32" x14ac:dyDescent="0.35">
      <c r="AF3557" s="359"/>
    </row>
    <row r="3558" spans="32:32" x14ac:dyDescent="0.35">
      <c r="AF3558" s="359"/>
    </row>
    <row r="3559" spans="32:32" x14ac:dyDescent="0.35">
      <c r="AF3559" s="359"/>
    </row>
    <row r="3560" spans="32:32" x14ac:dyDescent="0.35">
      <c r="AF3560" s="359"/>
    </row>
    <row r="3561" spans="32:32" x14ac:dyDescent="0.35">
      <c r="AF3561" s="359"/>
    </row>
    <row r="3562" spans="32:32" x14ac:dyDescent="0.35">
      <c r="AF3562" s="359"/>
    </row>
    <row r="3563" spans="32:32" x14ac:dyDescent="0.35">
      <c r="AF3563" s="359"/>
    </row>
    <row r="3564" spans="32:32" x14ac:dyDescent="0.35">
      <c r="AF3564" s="359"/>
    </row>
    <row r="3565" spans="32:32" x14ac:dyDescent="0.35">
      <c r="AF3565" s="359"/>
    </row>
    <row r="3566" spans="32:32" x14ac:dyDescent="0.35">
      <c r="AF3566" s="359"/>
    </row>
    <row r="3567" spans="32:32" x14ac:dyDescent="0.35">
      <c r="AF3567" s="359"/>
    </row>
    <row r="3568" spans="32:32" x14ac:dyDescent="0.35">
      <c r="AF3568" s="359"/>
    </row>
    <row r="3569" spans="32:32" x14ac:dyDescent="0.35">
      <c r="AF3569" s="359"/>
    </row>
    <row r="3570" spans="32:32" x14ac:dyDescent="0.35">
      <c r="AF3570" s="359"/>
    </row>
    <row r="3571" spans="32:32" x14ac:dyDescent="0.35">
      <c r="AF3571" s="359"/>
    </row>
    <row r="3572" spans="32:32" x14ac:dyDescent="0.35">
      <c r="AF3572" s="359"/>
    </row>
    <row r="3573" spans="32:32" x14ac:dyDescent="0.35">
      <c r="AF3573" s="359"/>
    </row>
    <row r="3574" spans="32:32" x14ac:dyDescent="0.35">
      <c r="AF3574" s="359"/>
    </row>
    <row r="3575" spans="32:32" x14ac:dyDescent="0.35">
      <c r="AF3575" s="359"/>
    </row>
    <row r="3576" spans="32:32" x14ac:dyDescent="0.35">
      <c r="AF3576" s="359"/>
    </row>
    <row r="3577" spans="32:32" x14ac:dyDescent="0.35">
      <c r="AF3577" s="359"/>
    </row>
    <row r="3578" spans="32:32" x14ac:dyDescent="0.35">
      <c r="AF3578" s="359"/>
    </row>
    <row r="3579" spans="32:32" x14ac:dyDescent="0.35">
      <c r="AF3579" s="359"/>
    </row>
    <row r="3580" spans="32:32" x14ac:dyDescent="0.35">
      <c r="AF3580" s="359"/>
    </row>
    <row r="3581" spans="32:32" x14ac:dyDescent="0.35">
      <c r="AF3581" s="359"/>
    </row>
    <row r="3582" spans="32:32" x14ac:dyDescent="0.35">
      <c r="AF3582" s="359"/>
    </row>
    <row r="3583" spans="32:32" x14ac:dyDescent="0.35">
      <c r="AF3583" s="359"/>
    </row>
    <row r="3584" spans="32:32" x14ac:dyDescent="0.35">
      <c r="AF3584" s="359"/>
    </row>
    <row r="3585" spans="32:32" x14ac:dyDescent="0.35">
      <c r="AF3585" s="359"/>
    </row>
    <row r="3586" spans="32:32" x14ac:dyDescent="0.35">
      <c r="AF3586" s="359"/>
    </row>
    <row r="3587" spans="32:32" x14ac:dyDescent="0.35">
      <c r="AF3587" s="359"/>
    </row>
    <row r="3588" spans="32:32" x14ac:dyDescent="0.35">
      <c r="AF3588" s="359"/>
    </row>
    <row r="3589" spans="32:32" x14ac:dyDescent="0.35">
      <c r="AF3589" s="359"/>
    </row>
    <row r="3590" spans="32:32" x14ac:dyDescent="0.35">
      <c r="AF3590" s="359"/>
    </row>
    <row r="3591" spans="32:32" x14ac:dyDescent="0.35">
      <c r="AF3591" s="359"/>
    </row>
    <row r="3592" spans="32:32" x14ac:dyDescent="0.35">
      <c r="AF3592" s="359"/>
    </row>
    <row r="3593" spans="32:32" x14ac:dyDescent="0.35">
      <c r="AF3593" s="359"/>
    </row>
    <row r="3594" spans="32:32" x14ac:dyDescent="0.35">
      <c r="AF3594" s="359"/>
    </row>
    <row r="3595" spans="32:32" x14ac:dyDescent="0.35">
      <c r="AF3595" s="359"/>
    </row>
    <row r="3596" spans="32:32" x14ac:dyDescent="0.35">
      <c r="AF3596" s="359"/>
    </row>
    <row r="3597" spans="32:32" x14ac:dyDescent="0.35">
      <c r="AF3597" s="359"/>
    </row>
    <row r="3598" spans="32:32" x14ac:dyDescent="0.35">
      <c r="AF3598" s="359"/>
    </row>
    <row r="3599" spans="32:32" x14ac:dyDescent="0.35">
      <c r="AF3599" s="359"/>
    </row>
    <row r="3600" spans="32:32" x14ac:dyDescent="0.35">
      <c r="AF3600" s="359"/>
    </row>
    <row r="3601" spans="32:32" x14ac:dyDescent="0.35">
      <c r="AF3601" s="359"/>
    </row>
    <row r="3602" spans="32:32" x14ac:dyDescent="0.35">
      <c r="AF3602" s="359"/>
    </row>
    <row r="3603" spans="32:32" x14ac:dyDescent="0.35">
      <c r="AF3603" s="359"/>
    </row>
    <row r="3604" spans="32:32" x14ac:dyDescent="0.35">
      <c r="AF3604" s="359"/>
    </row>
    <row r="3605" spans="32:32" x14ac:dyDescent="0.35">
      <c r="AF3605" s="359"/>
    </row>
    <row r="3606" spans="32:32" x14ac:dyDescent="0.35">
      <c r="AF3606" s="359"/>
    </row>
    <row r="3607" spans="32:32" x14ac:dyDescent="0.35">
      <c r="AF3607" s="359"/>
    </row>
    <row r="3608" spans="32:32" x14ac:dyDescent="0.35">
      <c r="AF3608" s="359"/>
    </row>
    <row r="3609" spans="32:32" x14ac:dyDescent="0.35">
      <c r="AF3609" s="359"/>
    </row>
    <row r="3610" spans="32:32" x14ac:dyDescent="0.35">
      <c r="AF3610" s="359"/>
    </row>
    <row r="3611" spans="32:32" x14ac:dyDescent="0.35">
      <c r="AF3611" s="359"/>
    </row>
    <row r="3612" spans="32:32" x14ac:dyDescent="0.35">
      <c r="AF3612" s="359"/>
    </row>
    <row r="3613" spans="32:32" x14ac:dyDescent="0.35">
      <c r="AF3613" s="359"/>
    </row>
    <row r="3614" spans="32:32" x14ac:dyDescent="0.35">
      <c r="AF3614" s="359"/>
    </row>
    <row r="3615" spans="32:32" x14ac:dyDescent="0.35">
      <c r="AF3615" s="359"/>
    </row>
    <row r="3616" spans="32:32" x14ac:dyDescent="0.35">
      <c r="AF3616" s="359"/>
    </row>
    <row r="3617" spans="32:32" x14ac:dyDescent="0.35">
      <c r="AF3617" s="359"/>
    </row>
    <row r="3618" spans="32:32" x14ac:dyDescent="0.35">
      <c r="AF3618" s="359"/>
    </row>
    <row r="3619" spans="32:32" x14ac:dyDescent="0.35">
      <c r="AF3619" s="359"/>
    </row>
    <row r="3620" spans="32:32" x14ac:dyDescent="0.35">
      <c r="AF3620" s="359"/>
    </row>
    <row r="3621" spans="32:32" x14ac:dyDescent="0.35">
      <c r="AF3621" s="359"/>
    </row>
    <row r="3622" spans="32:32" ht="16" thickBot="1" x14ac:dyDescent="0.4">
      <c r="AF3622" s="359"/>
    </row>
    <row r="3623" spans="32:32" x14ac:dyDescent="0.35">
      <c r="AF3623" s="363"/>
    </row>
    <row r="3624" spans="32:32" x14ac:dyDescent="0.35">
      <c r="AF3624" s="359"/>
    </row>
    <row r="3625" spans="32:32" x14ac:dyDescent="0.35">
      <c r="AF3625" s="359"/>
    </row>
    <row r="3626" spans="32:32" x14ac:dyDescent="0.35">
      <c r="AF3626" s="359"/>
    </row>
    <row r="3627" spans="32:32" x14ac:dyDescent="0.35">
      <c r="AF3627" s="359"/>
    </row>
    <row r="3628" spans="32:32" x14ac:dyDescent="0.35">
      <c r="AF3628" s="359"/>
    </row>
    <row r="3629" spans="32:32" x14ac:dyDescent="0.35">
      <c r="AF3629" s="359"/>
    </row>
    <row r="3630" spans="32:32" x14ac:dyDescent="0.35">
      <c r="AF3630" s="359"/>
    </row>
    <row r="3631" spans="32:32" x14ac:dyDescent="0.35">
      <c r="AF3631" s="359"/>
    </row>
    <row r="3632" spans="32:32" x14ac:dyDescent="0.35">
      <c r="AF3632" s="359"/>
    </row>
    <row r="3633" spans="32:32" x14ac:dyDescent="0.35">
      <c r="AF3633" s="359"/>
    </row>
    <row r="3634" spans="32:32" x14ac:dyDescent="0.35">
      <c r="AF3634" s="359"/>
    </row>
    <row r="3635" spans="32:32" x14ac:dyDescent="0.35">
      <c r="AF3635" s="359"/>
    </row>
    <row r="3636" spans="32:32" x14ac:dyDescent="0.35">
      <c r="AF3636" s="359"/>
    </row>
    <row r="3637" spans="32:32" x14ac:dyDescent="0.35">
      <c r="AF3637" s="359"/>
    </row>
    <row r="3638" spans="32:32" x14ac:dyDescent="0.35">
      <c r="AF3638" s="359"/>
    </row>
    <row r="3639" spans="32:32" x14ac:dyDescent="0.35">
      <c r="AF3639" s="359"/>
    </row>
    <row r="3640" spans="32:32" x14ac:dyDescent="0.35">
      <c r="AF3640" s="359"/>
    </row>
    <row r="3641" spans="32:32" ht="16" thickBot="1" x14ac:dyDescent="0.4">
      <c r="AF3641" s="359"/>
    </row>
    <row r="3642" spans="32:32" x14ac:dyDescent="0.35">
      <c r="AF3642" s="363"/>
    </row>
    <row r="3643" spans="32:32" x14ac:dyDescent="0.35">
      <c r="AF3643" s="359"/>
    </row>
    <row r="3644" spans="32:32" x14ac:dyDescent="0.35">
      <c r="AF3644" s="359"/>
    </row>
    <row r="3645" spans="32:32" x14ac:dyDescent="0.35">
      <c r="AF3645" s="359"/>
    </row>
    <row r="3646" spans="32:32" x14ac:dyDescent="0.35">
      <c r="AF3646" s="359"/>
    </row>
    <row r="3647" spans="32:32" x14ac:dyDescent="0.35">
      <c r="AF3647" s="359"/>
    </row>
    <row r="3648" spans="32:32" x14ac:dyDescent="0.35">
      <c r="AF3648" s="359"/>
    </row>
    <row r="3649" spans="31:32" x14ac:dyDescent="0.35">
      <c r="AF3649" s="359"/>
    </row>
    <row r="3650" spans="31:32" x14ac:dyDescent="0.35">
      <c r="AF3650" s="359"/>
    </row>
    <row r="3651" spans="31:32" x14ac:dyDescent="0.35">
      <c r="AF3651" s="359"/>
    </row>
    <row r="3652" spans="31:32" x14ac:dyDescent="0.35">
      <c r="AF3652" s="359"/>
    </row>
    <row r="3653" spans="31:32" x14ac:dyDescent="0.35">
      <c r="AF3653" s="359"/>
    </row>
    <row r="3654" spans="31:32" x14ac:dyDescent="0.35">
      <c r="AF3654" s="359"/>
    </row>
    <row r="3655" spans="31:32" x14ac:dyDescent="0.35">
      <c r="AE3655" s="330"/>
      <c r="AF3655" s="359"/>
    </row>
    <row r="3656" spans="31:32" x14ac:dyDescent="0.35">
      <c r="AF3656" s="359"/>
    </row>
    <row r="3657" spans="31:32" x14ac:dyDescent="0.35">
      <c r="AF3657" s="359"/>
    </row>
    <row r="3658" spans="31:32" x14ac:dyDescent="0.35">
      <c r="AF3658" s="359"/>
    </row>
    <row r="3659" spans="31:32" x14ac:dyDescent="0.35">
      <c r="AF3659" s="359"/>
    </row>
    <row r="3660" spans="31:32" x14ac:dyDescent="0.35">
      <c r="AF3660" s="359"/>
    </row>
    <row r="3661" spans="31:32" x14ac:dyDescent="0.35">
      <c r="AF3661" s="359"/>
    </row>
    <row r="3662" spans="31:32" x14ac:dyDescent="0.35">
      <c r="AF3662" s="359"/>
    </row>
    <row r="3663" spans="31:32" x14ac:dyDescent="0.35">
      <c r="AF3663" s="359"/>
    </row>
    <row r="3664" spans="31:32" x14ac:dyDescent="0.35">
      <c r="AF3664" s="359"/>
    </row>
    <row r="3665" spans="32:32" x14ac:dyDescent="0.35">
      <c r="AF3665" s="359"/>
    </row>
    <row r="3666" spans="32:32" x14ac:dyDescent="0.35">
      <c r="AF3666" s="359"/>
    </row>
    <row r="3667" spans="32:32" x14ac:dyDescent="0.35">
      <c r="AF3667" s="359"/>
    </row>
    <row r="3668" spans="32:32" x14ac:dyDescent="0.35">
      <c r="AF3668" s="359"/>
    </row>
    <row r="3669" spans="32:32" x14ac:dyDescent="0.35">
      <c r="AF3669" s="359"/>
    </row>
    <row r="3670" spans="32:32" ht="16" thickBot="1" x14ac:dyDescent="0.4">
      <c r="AF3670" s="364"/>
    </row>
  </sheetData>
  <mergeCells count="11">
    <mergeCell ref="A1:G1"/>
    <mergeCell ref="AQ1:AR1"/>
    <mergeCell ref="AJ1:AL1"/>
    <mergeCell ref="AM1:AO1"/>
    <mergeCell ref="Y1:AA1"/>
    <mergeCell ref="AB1:AD1"/>
    <mergeCell ref="H1:K1"/>
    <mergeCell ref="T1:W1"/>
    <mergeCell ref="AF1:AH1"/>
    <mergeCell ref="M1:O1"/>
    <mergeCell ref="P1:R1"/>
  </mergeCells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47"/>
  <sheetViews>
    <sheetView workbookViewId="0">
      <selection activeCell="O9" sqref="O9"/>
    </sheetView>
  </sheetViews>
  <sheetFormatPr defaultColWidth="8.83203125" defaultRowHeight="15.5" x14ac:dyDescent="0.35"/>
  <cols>
    <col min="1" max="1" width="8.83203125" style="24"/>
    <col min="2" max="2" width="10.5" style="76" bestFit="1" customWidth="1"/>
    <col min="3" max="3" width="10.5" style="76" customWidth="1"/>
    <col min="4" max="4" width="10" style="201" customWidth="1"/>
  </cols>
  <sheetData>
    <row r="1" spans="1:18" ht="16" customHeight="1" thickBot="1" x14ac:dyDescent="0.5">
      <c r="A1" s="392" t="s">
        <v>151</v>
      </c>
      <c r="B1" s="394"/>
      <c r="C1" s="394"/>
      <c r="D1" s="402"/>
      <c r="E1" s="2"/>
      <c r="L1" s="777" t="s">
        <v>155</v>
      </c>
      <c r="M1" s="778"/>
      <c r="N1" s="404">
        <v>8.3333333333333329E-2</v>
      </c>
    </row>
    <row r="2" spans="1:18" ht="16" thickBot="1" x14ac:dyDescent="0.4">
      <c r="B2" s="779" t="s">
        <v>11</v>
      </c>
      <c r="C2" s="780"/>
      <c r="D2" s="781"/>
      <c r="E2" s="403"/>
      <c r="F2" s="52"/>
      <c r="G2" s="782" t="s">
        <v>27</v>
      </c>
      <c r="H2" s="783"/>
      <c r="I2" s="784"/>
      <c r="J2" s="53" t="s">
        <v>132</v>
      </c>
    </row>
    <row r="3" spans="1:18" ht="16" thickBot="1" x14ac:dyDescent="0.4">
      <c r="A3" s="393" t="s">
        <v>152</v>
      </c>
      <c r="B3" s="397" t="s">
        <v>1</v>
      </c>
      <c r="C3" s="398" t="s">
        <v>154</v>
      </c>
      <c r="D3" s="400" t="s">
        <v>153</v>
      </c>
      <c r="E3" s="7" t="s">
        <v>7</v>
      </c>
      <c r="F3" s="53"/>
      <c r="G3" s="86">
        <v>219</v>
      </c>
      <c r="H3" s="84">
        <v>220</v>
      </c>
      <c r="I3" s="84" t="s">
        <v>12</v>
      </c>
      <c r="J3" s="53"/>
      <c r="O3" t="s">
        <v>76</v>
      </c>
    </row>
    <row r="4" spans="1:18" ht="19" thickBot="1" x14ac:dyDescent="0.5">
      <c r="A4" s="143">
        <v>1</v>
      </c>
      <c r="B4" s="395">
        <v>44352</v>
      </c>
      <c r="C4" s="399">
        <v>0.4090509259259259</v>
      </c>
      <c r="D4" s="401">
        <f>C4-$N$1</f>
        <v>0.32571759259259259</v>
      </c>
      <c r="E4" s="5" t="s">
        <v>9</v>
      </c>
      <c r="F4" s="53"/>
      <c r="G4" s="87">
        <v>0</v>
      </c>
      <c r="H4" s="87">
        <v>0</v>
      </c>
      <c r="I4" s="85">
        <v>0.32400000000000001</v>
      </c>
      <c r="J4" s="53"/>
      <c r="M4" s="775">
        <v>223</v>
      </c>
      <c r="N4" s="776"/>
      <c r="O4" s="775">
        <v>224</v>
      </c>
      <c r="P4" s="776"/>
      <c r="Q4" s="775" t="s">
        <v>12</v>
      </c>
      <c r="R4" s="776"/>
    </row>
    <row r="5" spans="1:18" ht="16" thickBot="1" x14ac:dyDescent="0.4">
      <c r="A5" s="143">
        <v>2</v>
      </c>
      <c r="B5" s="395">
        <v>44352</v>
      </c>
      <c r="C5" s="399">
        <v>0.35644675925925928</v>
      </c>
      <c r="D5" s="401">
        <f t="shared" ref="D5:D47" si="0">C5-$N$1</f>
        <v>0.27311342592592597</v>
      </c>
      <c r="E5" s="5" t="s">
        <v>130</v>
      </c>
      <c r="F5" s="53"/>
      <c r="G5" s="87">
        <v>0</v>
      </c>
      <c r="H5" s="87">
        <v>2.7E-2</v>
      </c>
      <c r="I5" s="85">
        <v>0.32200000000000001</v>
      </c>
      <c r="J5" s="53"/>
      <c r="L5" s="78" t="s">
        <v>46</v>
      </c>
      <c r="M5" s="74" t="s">
        <v>44</v>
      </c>
      <c r="N5" s="75" t="s">
        <v>45</v>
      </c>
      <c r="O5" s="74" t="s">
        <v>44</v>
      </c>
      <c r="P5" s="75" t="s">
        <v>45</v>
      </c>
      <c r="Q5" s="74" t="s">
        <v>44</v>
      </c>
      <c r="R5" s="75" t="s">
        <v>45</v>
      </c>
    </row>
    <row r="6" spans="1:18" x14ac:dyDescent="0.35">
      <c r="A6" s="143">
        <v>3</v>
      </c>
      <c r="B6" s="395">
        <v>44352</v>
      </c>
      <c r="C6" s="399">
        <v>0.3692361111111111</v>
      </c>
      <c r="D6" s="401">
        <f t="shared" si="0"/>
        <v>0.28590277777777778</v>
      </c>
      <c r="E6" s="5" t="s">
        <v>8</v>
      </c>
      <c r="F6" s="53"/>
      <c r="G6" s="87">
        <v>0</v>
      </c>
      <c r="H6" s="87">
        <v>2.8000000000000001E-2</v>
      </c>
      <c r="I6" s="85">
        <v>0.42599999999999999</v>
      </c>
      <c r="J6" s="53"/>
      <c r="L6" s="76" t="s">
        <v>9</v>
      </c>
      <c r="M6" s="79">
        <f>AVERAGEIF(E:E,"=Orange",G:G)</f>
        <v>0</v>
      </c>
      <c r="N6" s="96">
        <f>COUNTIF(E:E,"=Orange")</f>
        <v>9</v>
      </c>
      <c r="O6" s="79">
        <f>AVERAGEIF(E:E,"=Orange",H:H)</f>
        <v>8.8888888888888889E-3</v>
      </c>
      <c r="P6" s="75">
        <f>COUNTIF(G:G,"=Orange")</f>
        <v>0</v>
      </c>
      <c r="Q6" s="95">
        <f>AVERAGEIF(E:E,"=Orange",I:I)</f>
        <v>1.0795555555555556</v>
      </c>
      <c r="R6" s="75">
        <f>COUNTIF(I:I,"=Orange")</f>
        <v>0</v>
      </c>
    </row>
    <row r="7" spans="1:18" x14ac:dyDescent="0.35">
      <c r="A7" s="143">
        <v>4</v>
      </c>
      <c r="B7" s="395">
        <v>44352</v>
      </c>
      <c r="C7" s="399">
        <v>0.41238425925925926</v>
      </c>
      <c r="D7" s="401">
        <f t="shared" si="0"/>
        <v>0.32905092592592594</v>
      </c>
      <c r="E7" s="5" t="s">
        <v>131</v>
      </c>
      <c r="F7" s="53"/>
      <c r="G7" s="87">
        <v>0</v>
      </c>
      <c r="H7" s="87">
        <v>1.2999999999999999E-2</v>
      </c>
      <c r="I7" s="85">
        <v>0.52100000000000002</v>
      </c>
      <c r="J7" s="53"/>
      <c r="L7" s="76" t="s">
        <v>8</v>
      </c>
      <c r="M7" s="387">
        <f>AVERAGEIF(E:E,"=Grey",G:G)</f>
        <v>0</v>
      </c>
      <c r="N7" s="2">
        <f>COUNTIF(E:E,"=Grey")</f>
        <v>17</v>
      </c>
      <c r="O7" s="387">
        <f>AVERAGEIF(E:E,"=Grey",H:H)</f>
        <v>3.0705882352941184E-2</v>
      </c>
      <c r="P7" s="201">
        <f>COUNTIF(G:G,"=Grey")</f>
        <v>0</v>
      </c>
      <c r="Q7" s="382">
        <f>AVERAGEIF(E:E,"=Grey",I:I)</f>
        <v>0.89982352941176469</v>
      </c>
      <c r="R7" s="201">
        <f>COUNTIF(I:I,"=Grey")</f>
        <v>0</v>
      </c>
    </row>
    <row r="8" spans="1:18" x14ac:dyDescent="0.35">
      <c r="A8" s="143">
        <v>5</v>
      </c>
      <c r="B8" s="395">
        <v>44352</v>
      </c>
      <c r="C8" s="399">
        <v>0.53394675925925927</v>
      </c>
      <c r="D8" s="401">
        <f t="shared" si="0"/>
        <v>0.45061342592592596</v>
      </c>
      <c r="E8" s="5" t="s">
        <v>130</v>
      </c>
      <c r="F8" s="53"/>
      <c r="G8" s="87">
        <v>0</v>
      </c>
      <c r="H8" s="87">
        <v>0</v>
      </c>
      <c r="I8" s="85">
        <v>1.046</v>
      </c>
      <c r="J8" s="53"/>
      <c r="L8" s="384" t="s">
        <v>139</v>
      </c>
      <c r="M8" s="387">
        <f>AVERAGEIF(E:E,"=Green",G:G)</f>
        <v>0</v>
      </c>
      <c r="N8" s="2">
        <f>COUNTIF(E:E,"=Green")</f>
        <v>11</v>
      </c>
      <c r="O8" s="387">
        <f>AVERAGEIF(E:E,"=Green",H:H)</f>
        <v>2.8272727272727272E-2</v>
      </c>
      <c r="P8" s="201">
        <f>COUNTIF(G:G,"=Green")</f>
        <v>0</v>
      </c>
      <c r="Q8" s="382">
        <f>AVERAGEIF(E:E,"=Green",I:I)</f>
        <v>1.0746363636363634</v>
      </c>
      <c r="R8" s="201">
        <f>COUNTIF(I:I,"=Green")</f>
        <v>0</v>
      </c>
    </row>
    <row r="9" spans="1:18" ht="16" thickBot="1" x14ac:dyDescent="0.4">
      <c r="A9" s="143">
        <v>6</v>
      </c>
      <c r="B9" s="395">
        <v>44352</v>
      </c>
      <c r="C9" s="399">
        <v>0.59557870370370369</v>
      </c>
      <c r="D9" s="401">
        <f t="shared" si="0"/>
        <v>0.51224537037037032</v>
      </c>
      <c r="E9" s="5" t="s">
        <v>8</v>
      </c>
      <c r="F9" s="53"/>
      <c r="G9" s="87">
        <v>0</v>
      </c>
      <c r="H9" s="87">
        <v>5.3999999999999999E-2</v>
      </c>
      <c r="I9" s="85">
        <v>1.0229999999999999</v>
      </c>
      <c r="J9" s="53"/>
      <c r="L9" s="385" t="s">
        <v>130</v>
      </c>
      <c r="M9" s="80">
        <f>AVERAGEIF(E:E,"=Blue",G:G)</f>
        <v>0</v>
      </c>
      <c r="N9" s="97">
        <f>COUNTIF(E:E,"=Blue")</f>
        <v>7</v>
      </c>
      <c r="O9" s="80">
        <f>AVERAGEIF(E:E,"=Blue",H:H)</f>
        <v>2.6857142857142857E-2</v>
      </c>
      <c r="P9" s="77">
        <f>COUNTIF(G:G,"=Blue")</f>
        <v>0</v>
      </c>
      <c r="Q9" s="98">
        <f>AVERAGEIF(E:E,"=Blue",I:I)</f>
        <v>0.75028571428571422</v>
      </c>
      <c r="R9" s="77">
        <f>COUNTIF(I:I,"=Blue")</f>
        <v>0</v>
      </c>
    </row>
    <row r="10" spans="1:18" x14ac:dyDescent="0.35">
      <c r="A10" s="143">
        <v>7</v>
      </c>
      <c r="B10" s="395">
        <v>44352</v>
      </c>
      <c r="C10" s="399">
        <v>0.62965277777777773</v>
      </c>
      <c r="D10" s="401">
        <f t="shared" si="0"/>
        <v>0.54631944444444436</v>
      </c>
      <c r="E10" s="5" t="s">
        <v>131</v>
      </c>
      <c r="F10" s="53"/>
      <c r="G10" s="87">
        <v>0</v>
      </c>
      <c r="H10" s="87">
        <v>1.2999999999999999E-2</v>
      </c>
      <c r="I10" s="85">
        <v>1.248</v>
      </c>
      <c r="J10" s="53"/>
    </row>
    <row r="11" spans="1:18" x14ac:dyDescent="0.35">
      <c r="A11" s="143">
        <v>8</v>
      </c>
      <c r="B11" s="395">
        <v>44352</v>
      </c>
      <c r="C11" s="399">
        <v>0.7834606481481482</v>
      </c>
      <c r="D11" s="401">
        <f t="shared" si="0"/>
        <v>0.70012731481481483</v>
      </c>
      <c r="E11" s="5" t="s">
        <v>130</v>
      </c>
      <c r="F11" s="53"/>
      <c r="G11" s="87">
        <v>0</v>
      </c>
      <c r="H11" s="87">
        <v>0.03</v>
      </c>
      <c r="I11" s="85">
        <v>1.171</v>
      </c>
      <c r="J11" s="53"/>
    </row>
    <row r="12" spans="1:18" x14ac:dyDescent="0.35">
      <c r="A12" s="143">
        <v>9</v>
      </c>
      <c r="B12" s="395">
        <v>44352</v>
      </c>
      <c r="C12" s="399">
        <v>0.91396990740740736</v>
      </c>
      <c r="D12" s="401">
        <f t="shared" si="0"/>
        <v>0.83063657407407399</v>
      </c>
      <c r="E12" s="5" t="s">
        <v>9</v>
      </c>
      <c r="F12" s="53"/>
      <c r="G12" s="87">
        <v>0</v>
      </c>
      <c r="H12" s="87">
        <v>4.5999999999999999E-2</v>
      </c>
      <c r="I12" s="85">
        <v>1.48</v>
      </c>
      <c r="J12" s="53"/>
    </row>
    <row r="13" spans="1:18" x14ac:dyDescent="0.35">
      <c r="A13" s="143">
        <v>10</v>
      </c>
      <c r="B13" s="395">
        <v>44352</v>
      </c>
      <c r="C13" s="399">
        <v>0.85940972222222223</v>
      </c>
      <c r="D13" s="401">
        <f t="shared" si="0"/>
        <v>0.77607638888888886</v>
      </c>
      <c r="E13" s="5" t="s">
        <v>8</v>
      </c>
      <c r="F13" s="53"/>
      <c r="G13" s="87">
        <v>0</v>
      </c>
      <c r="H13" s="87">
        <v>0</v>
      </c>
      <c r="I13" s="85">
        <v>1.5249999999999999</v>
      </c>
      <c r="J13" s="53"/>
    </row>
    <row r="14" spans="1:18" x14ac:dyDescent="0.35">
      <c r="A14" s="143">
        <v>11</v>
      </c>
      <c r="B14" s="395">
        <v>44353</v>
      </c>
      <c r="C14" s="399">
        <v>0.40877314814814819</v>
      </c>
      <c r="D14" s="401">
        <f t="shared" si="0"/>
        <v>0.32543981481481488</v>
      </c>
      <c r="E14" s="5" t="s">
        <v>131</v>
      </c>
      <c r="F14" s="53"/>
      <c r="G14" s="87">
        <v>0</v>
      </c>
      <c r="H14" s="87">
        <v>3.9E-2</v>
      </c>
      <c r="I14" s="85">
        <v>1.2410000000000001</v>
      </c>
      <c r="J14" s="53"/>
    </row>
    <row r="15" spans="1:18" x14ac:dyDescent="0.35">
      <c r="A15" s="143">
        <v>12</v>
      </c>
      <c r="B15" s="395">
        <v>44353</v>
      </c>
      <c r="C15" s="399">
        <v>0.54601851851851857</v>
      </c>
      <c r="D15" s="401">
        <f t="shared" si="0"/>
        <v>0.46268518518518525</v>
      </c>
      <c r="E15" s="5" t="s">
        <v>8</v>
      </c>
      <c r="F15" s="53"/>
      <c r="G15" s="87">
        <v>0</v>
      </c>
      <c r="H15" s="87">
        <v>0</v>
      </c>
      <c r="I15" s="85">
        <v>0.84299999999999997</v>
      </c>
      <c r="J15" s="53"/>
    </row>
    <row r="16" spans="1:18" x14ac:dyDescent="0.35">
      <c r="A16" s="143">
        <v>13</v>
      </c>
      <c r="B16" s="395">
        <v>44353</v>
      </c>
      <c r="C16" s="399">
        <v>0.54488425925925921</v>
      </c>
      <c r="D16" s="401">
        <f t="shared" si="0"/>
        <v>0.46155092592592589</v>
      </c>
      <c r="E16" s="5" t="s">
        <v>9</v>
      </c>
      <c r="F16" s="53"/>
      <c r="G16" s="87">
        <v>0</v>
      </c>
      <c r="H16" s="87">
        <v>0</v>
      </c>
      <c r="I16" s="85">
        <v>1.284</v>
      </c>
      <c r="J16" s="53"/>
    </row>
    <row r="17" spans="1:10" x14ac:dyDescent="0.35">
      <c r="A17" s="143">
        <v>13</v>
      </c>
      <c r="B17" s="395">
        <v>44353</v>
      </c>
      <c r="C17" s="399">
        <v>0.61528935185185185</v>
      </c>
      <c r="D17" s="401">
        <f t="shared" si="0"/>
        <v>0.53195601851851848</v>
      </c>
      <c r="E17" s="5" t="s">
        <v>131</v>
      </c>
      <c r="F17" s="53"/>
      <c r="G17" s="87">
        <v>0</v>
      </c>
      <c r="H17" s="87">
        <v>6.6000000000000003E-2</v>
      </c>
      <c r="I17" s="85">
        <v>0.98299999999999998</v>
      </c>
      <c r="J17" s="53"/>
    </row>
    <row r="18" spans="1:10" x14ac:dyDescent="0.35">
      <c r="A18" s="143">
        <v>14</v>
      </c>
      <c r="B18" s="395">
        <v>44353</v>
      </c>
      <c r="C18" s="399">
        <v>0.76302083333333337</v>
      </c>
      <c r="D18" s="401">
        <f t="shared" si="0"/>
        <v>0.6796875</v>
      </c>
      <c r="E18" s="5" t="s">
        <v>8</v>
      </c>
      <c r="F18" s="53"/>
      <c r="G18" s="87">
        <v>0</v>
      </c>
      <c r="H18" s="87">
        <v>2.4E-2</v>
      </c>
      <c r="I18" s="85">
        <v>1.0329999999999999</v>
      </c>
      <c r="J18" s="53"/>
    </row>
    <row r="19" spans="1:10" x14ac:dyDescent="0.35">
      <c r="A19" s="143">
        <v>14</v>
      </c>
      <c r="B19" s="395">
        <v>44353</v>
      </c>
      <c r="C19" s="399">
        <v>0.79783564814814811</v>
      </c>
      <c r="D19" s="401">
        <f t="shared" si="0"/>
        <v>0.71450231481481474</v>
      </c>
      <c r="E19" s="5" t="s">
        <v>9</v>
      </c>
      <c r="F19" s="53"/>
      <c r="G19" s="87">
        <v>0</v>
      </c>
      <c r="H19" s="87">
        <v>3.4000000000000002E-2</v>
      </c>
      <c r="I19" s="85">
        <v>1.4330000000000001</v>
      </c>
      <c r="J19" s="53"/>
    </row>
    <row r="20" spans="1:10" x14ac:dyDescent="0.35">
      <c r="A20" s="143">
        <v>15</v>
      </c>
      <c r="B20" s="395">
        <v>44353</v>
      </c>
      <c r="C20" s="399">
        <v>0.90167824074074077</v>
      </c>
      <c r="D20" s="401">
        <f t="shared" si="0"/>
        <v>0.8183449074074074</v>
      </c>
      <c r="E20" s="5" t="s">
        <v>8</v>
      </c>
      <c r="F20" s="53"/>
      <c r="G20" s="87">
        <v>0</v>
      </c>
      <c r="H20" s="87">
        <v>3.6999999999999998E-2</v>
      </c>
      <c r="I20" s="85">
        <v>1.401</v>
      </c>
      <c r="J20" s="53"/>
    </row>
    <row r="21" spans="1:10" x14ac:dyDescent="0.35">
      <c r="A21" s="143">
        <v>15</v>
      </c>
      <c r="B21" s="395">
        <v>44353</v>
      </c>
      <c r="C21" s="399">
        <v>0.94374999999999998</v>
      </c>
      <c r="D21" s="401">
        <f t="shared" si="0"/>
        <v>0.86041666666666661</v>
      </c>
      <c r="E21" s="5" t="s">
        <v>9</v>
      </c>
      <c r="F21" s="53"/>
      <c r="G21" s="87">
        <v>0</v>
      </c>
      <c r="H21" s="87">
        <v>0</v>
      </c>
      <c r="I21" s="85">
        <v>2.0710000000000002</v>
      </c>
      <c r="J21" s="53"/>
    </row>
    <row r="22" spans="1:10" x14ac:dyDescent="0.35">
      <c r="A22" s="143">
        <v>16</v>
      </c>
      <c r="B22" s="395">
        <v>44354</v>
      </c>
      <c r="C22" s="399">
        <v>0.37660879629629629</v>
      </c>
      <c r="D22" s="401">
        <f t="shared" si="0"/>
        <v>0.29327546296296297</v>
      </c>
      <c r="E22" s="5" t="s">
        <v>131</v>
      </c>
      <c r="F22" s="53"/>
      <c r="G22" s="87">
        <v>0</v>
      </c>
      <c r="H22" s="87">
        <v>0</v>
      </c>
      <c r="I22" s="85">
        <v>0.45100000000000001</v>
      </c>
      <c r="J22" s="53"/>
    </row>
    <row r="23" spans="1:10" x14ac:dyDescent="0.35">
      <c r="A23" s="143">
        <v>17</v>
      </c>
      <c r="B23" s="395">
        <v>44354</v>
      </c>
      <c r="C23" s="399">
        <v>0.37667824074074074</v>
      </c>
      <c r="D23" s="401">
        <f t="shared" si="0"/>
        <v>0.29334490740740743</v>
      </c>
      <c r="E23" s="5" t="s">
        <v>131</v>
      </c>
      <c r="F23" s="53"/>
      <c r="G23" s="87">
        <v>0</v>
      </c>
      <c r="H23" s="87">
        <v>6.4000000000000001E-2</v>
      </c>
      <c r="I23" s="85">
        <v>0.90200000000000002</v>
      </c>
      <c r="J23" s="53"/>
    </row>
    <row r="24" spans="1:10" x14ac:dyDescent="0.35">
      <c r="A24" s="143">
        <v>17</v>
      </c>
      <c r="B24" s="395">
        <v>44354</v>
      </c>
      <c r="C24" s="399">
        <v>0.58467592592592588</v>
      </c>
      <c r="D24" s="401">
        <f t="shared" si="0"/>
        <v>0.50134259259259251</v>
      </c>
      <c r="E24" s="5" t="s">
        <v>130</v>
      </c>
      <c r="F24" s="53"/>
      <c r="G24" s="87">
        <v>0</v>
      </c>
      <c r="H24" s="87">
        <v>0</v>
      </c>
      <c r="I24" s="85">
        <v>0.68100000000000005</v>
      </c>
      <c r="J24" s="53"/>
    </row>
    <row r="25" spans="1:10" x14ac:dyDescent="0.35">
      <c r="A25" s="144">
        <v>18</v>
      </c>
      <c r="B25" s="395">
        <v>44354</v>
      </c>
      <c r="C25" s="399">
        <v>0.80843750000000003</v>
      </c>
      <c r="D25" s="401">
        <f t="shared" si="0"/>
        <v>0.72510416666666666</v>
      </c>
      <c r="E25" s="5" t="s">
        <v>9</v>
      </c>
      <c r="F25" s="53"/>
      <c r="G25" s="87">
        <v>0</v>
      </c>
      <c r="H25" s="87">
        <v>0</v>
      </c>
      <c r="I25" s="85">
        <v>0.876</v>
      </c>
      <c r="J25" s="53"/>
    </row>
    <row r="26" spans="1:10" x14ac:dyDescent="0.35">
      <c r="A26" s="143">
        <v>18</v>
      </c>
      <c r="B26" s="395">
        <v>44354</v>
      </c>
      <c r="C26" s="399">
        <v>0.58508101851851857</v>
      </c>
      <c r="D26" s="401">
        <f t="shared" si="0"/>
        <v>0.5017476851851852</v>
      </c>
      <c r="E26" s="5" t="s">
        <v>131</v>
      </c>
      <c r="F26" s="53"/>
      <c r="G26" s="87">
        <v>0</v>
      </c>
      <c r="H26" s="87">
        <v>0</v>
      </c>
      <c r="I26" s="85">
        <v>0.94099999999999995</v>
      </c>
      <c r="J26" s="53"/>
    </row>
    <row r="27" spans="1:10" x14ac:dyDescent="0.35">
      <c r="A27" s="143">
        <v>19</v>
      </c>
      <c r="B27" s="395">
        <v>44354</v>
      </c>
      <c r="C27" s="399">
        <v>0.82090277777777787</v>
      </c>
      <c r="D27" s="401">
        <f t="shared" si="0"/>
        <v>0.7375694444444445</v>
      </c>
      <c r="E27" s="5" t="s">
        <v>8</v>
      </c>
      <c r="F27" s="53"/>
      <c r="G27" s="87">
        <v>0</v>
      </c>
      <c r="H27" s="87">
        <v>0</v>
      </c>
      <c r="I27" s="85">
        <v>0.72199999999999998</v>
      </c>
      <c r="J27" s="53"/>
    </row>
    <row r="28" spans="1:10" x14ac:dyDescent="0.35">
      <c r="A28" s="143">
        <v>20</v>
      </c>
      <c r="B28" s="395">
        <v>44355</v>
      </c>
      <c r="C28" s="399">
        <v>0.67682870370370374</v>
      </c>
      <c r="D28" s="401">
        <f t="shared" si="0"/>
        <v>0.59349537037037037</v>
      </c>
      <c r="E28" s="5" t="s">
        <v>131</v>
      </c>
      <c r="F28" s="53"/>
      <c r="G28" s="87">
        <v>0</v>
      </c>
      <c r="H28" s="87">
        <v>0</v>
      </c>
      <c r="I28" s="85">
        <v>1.8839999999999999</v>
      </c>
      <c r="J28" s="53"/>
    </row>
    <row r="29" spans="1:10" x14ac:dyDescent="0.35">
      <c r="A29" s="143">
        <v>21</v>
      </c>
      <c r="B29" s="395">
        <v>44355</v>
      </c>
      <c r="C29" s="399">
        <v>0.3599074074074074</v>
      </c>
      <c r="D29" s="401">
        <f t="shared" si="0"/>
        <v>0.27657407407407408</v>
      </c>
      <c r="E29" s="5" t="s">
        <v>8</v>
      </c>
      <c r="F29" s="53"/>
      <c r="G29" s="87">
        <v>0</v>
      </c>
      <c r="H29" s="87">
        <v>0.19500000000000001</v>
      </c>
      <c r="I29" s="85">
        <v>1.1040000000000001</v>
      </c>
      <c r="J29" s="53"/>
    </row>
    <row r="30" spans="1:10" x14ac:dyDescent="0.35">
      <c r="A30" s="143">
        <v>22</v>
      </c>
      <c r="B30" s="395">
        <v>44355</v>
      </c>
      <c r="C30" s="399">
        <v>0.52513888888888893</v>
      </c>
      <c r="D30" s="401">
        <f t="shared" si="0"/>
        <v>0.44180555555555562</v>
      </c>
      <c r="E30" s="5" t="s">
        <v>131</v>
      </c>
      <c r="F30" s="53"/>
      <c r="G30" s="87">
        <v>0</v>
      </c>
      <c r="H30" s="87">
        <v>5.5E-2</v>
      </c>
      <c r="I30" s="85">
        <v>1.546</v>
      </c>
      <c r="J30" s="53"/>
    </row>
    <row r="31" spans="1:10" x14ac:dyDescent="0.35">
      <c r="A31" s="143">
        <v>23</v>
      </c>
      <c r="B31" s="395">
        <v>44355</v>
      </c>
      <c r="C31" s="399">
        <v>0.5116666666666666</v>
      </c>
      <c r="D31" s="401">
        <f t="shared" si="0"/>
        <v>0.42833333333333329</v>
      </c>
      <c r="E31" s="5" t="s">
        <v>8</v>
      </c>
      <c r="F31" s="53"/>
      <c r="G31" s="87">
        <v>0</v>
      </c>
      <c r="H31" s="87">
        <v>0</v>
      </c>
      <c r="I31" s="85">
        <v>1.0409999999999999</v>
      </c>
      <c r="J31" s="53"/>
    </row>
    <row r="32" spans="1:10" x14ac:dyDescent="0.35">
      <c r="A32" s="143">
        <v>24</v>
      </c>
      <c r="B32" s="395">
        <v>44355</v>
      </c>
      <c r="C32" s="399">
        <v>0.64681712962962956</v>
      </c>
      <c r="D32" s="401">
        <f t="shared" si="0"/>
        <v>0.56348379629629619</v>
      </c>
      <c r="E32" s="299" t="s">
        <v>9</v>
      </c>
      <c r="F32" s="53"/>
      <c r="G32" s="87">
        <v>0</v>
      </c>
      <c r="H32" s="87">
        <v>0</v>
      </c>
      <c r="I32" s="396">
        <v>0.72599999999999998</v>
      </c>
      <c r="J32" s="53"/>
    </row>
    <row r="33" spans="1:10" x14ac:dyDescent="0.35">
      <c r="A33" s="143">
        <v>25</v>
      </c>
      <c r="B33" s="395">
        <v>44355</v>
      </c>
      <c r="C33" s="399">
        <v>0.35423611111111114</v>
      </c>
      <c r="D33" s="401">
        <f t="shared" si="0"/>
        <v>0.27090277777777783</v>
      </c>
      <c r="E33" t="s">
        <v>8</v>
      </c>
      <c r="F33" s="53"/>
      <c r="G33">
        <v>0</v>
      </c>
      <c r="H33">
        <v>0</v>
      </c>
      <c r="I33">
        <v>0.60399999999999998</v>
      </c>
      <c r="J33" s="53"/>
    </row>
    <row r="34" spans="1:10" x14ac:dyDescent="0.35">
      <c r="A34" s="143">
        <v>26</v>
      </c>
      <c r="B34" s="395">
        <v>44356</v>
      </c>
      <c r="C34" s="399">
        <v>0.38079861111111107</v>
      </c>
      <c r="D34" s="401">
        <f t="shared" si="0"/>
        <v>0.29746527777777776</v>
      </c>
      <c r="E34" t="s">
        <v>130</v>
      </c>
      <c r="F34" s="53"/>
      <c r="G34" s="87">
        <v>0</v>
      </c>
      <c r="H34" s="87">
        <v>6.8000000000000005E-2</v>
      </c>
      <c r="I34" s="396">
        <v>0.54100000000000004</v>
      </c>
      <c r="J34" s="53"/>
    </row>
    <row r="35" spans="1:10" x14ac:dyDescent="0.35">
      <c r="A35" s="143">
        <v>27</v>
      </c>
      <c r="B35" s="395">
        <v>44356</v>
      </c>
      <c r="C35" s="399">
        <v>0.67540509259259263</v>
      </c>
      <c r="D35" s="401">
        <f t="shared" si="0"/>
        <v>0.59207175925925926</v>
      </c>
      <c r="E35" t="s">
        <v>8</v>
      </c>
      <c r="F35" s="53"/>
      <c r="G35" s="87">
        <v>0</v>
      </c>
      <c r="H35" s="87">
        <v>1.4E-2</v>
      </c>
      <c r="I35" s="396">
        <v>0.89700000000000002</v>
      </c>
      <c r="J35" s="53"/>
    </row>
    <row r="36" spans="1:10" x14ac:dyDescent="0.35">
      <c r="A36" s="143">
        <v>32</v>
      </c>
      <c r="B36" s="395">
        <v>44357</v>
      </c>
      <c r="C36" s="399">
        <v>0.55173611111111109</v>
      </c>
      <c r="D36" s="401">
        <f t="shared" si="0"/>
        <v>0.46840277777777778</v>
      </c>
      <c r="E36" t="s">
        <v>8</v>
      </c>
      <c r="F36" s="53"/>
      <c r="G36" s="87">
        <v>0</v>
      </c>
      <c r="H36" s="87">
        <v>2.9000000000000001E-2</v>
      </c>
      <c r="I36" s="396">
        <v>0.59499999999999997</v>
      </c>
      <c r="J36" s="53"/>
    </row>
    <row r="37" spans="1:10" x14ac:dyDescent="0.35">
      <c r="A37" s="143">
        <v>43</v>
      </c>
      <c r="B37" s="395">
        <v>44361</v>
      </c>
      <c r="C37" s="399">
        <v>0.52090277777777805</v>
      </c>
      <c r="D37" s="401">
        <f t="shared" si="0"/>
        <v>0.43756944444444473</v>
      </c>
      <c r="E37" t="s">
        <v>8</v>
      </c>
      <c r="F37" s="53"/>
      <c r="G37" s="87">
        <v>0</v>
      </c>
      <c r="H37" s="87">
        <v>6.2E-2</v>
      </c>
      <c r="I37" s="396">
        <v>0.49299999999999999</v>
      </c>
      <c r="J37" s="53"/>
    </row>
    <row r="38" spans="1:10" x14ac:dyDescent="0.35">
      <c r="A38" s="143">
        <v>43</v>
      </c>
      <c r="B38" s="395">
        <v>44362</v>
      </c>
      <c r="C38" s="399">
        <v>0.35614583333333333</v>
      </c>
      <c r="D38" s="401">
        <f t="shared" si="0"/>
        <v>0.27281250000000001</v>
      </c>
      <c r="E38" t="s">
        <v>130</v>
      </c>
      <c r="F38" s="53"/>
      <c r="G38" s="87">
        <v>0</v>
      </c>
      <c r="H38" s="87">
        <v>0</v>
      </c>
      <c r="I38" s="396">
        <v>0.67300000000000004</v>
      </c>
      <c r="J38" s="53"/>
    </row>
    <row r="39" spans="1:10" x14ac:dyDescent="0.35">
      <c r="A39" s="143">
        <v>44</v>
      </c>
      <c r="B39" s="395">
        <v>44362</v>
      </c>
      <c r="C39" s="399">
        <v>0.61407407407407411</v>
      </c>
      <c r="D39" s="401">
        <f t="shared" si="0"/>
        <v>0.53074074074074074</v>
      </c>
      <c r="E39" t="s">
        <v>8</v>
      </c>
      <c r="F39" s="53"/>
      <c r="G39" s="87">
        <v>0</v>
      </c>
      <c r="H39" s="87">
        <v>2.1000000000000001E-2</v>
      </c>
      <c r="I39" s="396">
        <v>0.72199999999999998</v>
      </c>
      <c r="J39" s="53"/>
    </row>
    <row r="40" spans="1:10" x14ac:dyDescent="0.35">
      <c r="A40" s="143">
        <v>44</v>
      </c>
      <c r="B40" s="395">
        <v>44362</v>
      </c>
      <c r="C40" s="399">
        <v>0.61465277777777783</v>
      </c>
      <c r="D40" s="401">
        <f t="shared" si="0"/>
        <v>0.53131944444444446</v>
      </c>
      <c r="E40" t="s">
        <v>131</v>
      </c>
      <c r="F40" s="53"/>
      <c r="G40" s="87">
        <v>0</v>
      </c>
      <c r="H40" s="87">
        <v>2.1000000000000001E-2</v>
      </c>
      <c r="I40" s="396">
        <v>0.94699999999999995</v>
      </c>
      <c r="J40" s="53"/>
    </row>
    <row r="41" spans="1:10" x14ac:dyDescent="0.35">
      <c r="A41" s="143">
        <v>45</v>
      </c>
      <c r="B41" s="395">
        <v>44362</v>
      </c>
      <c r="C41" s="399">
        <v>0.68756944444444601</v>
      </c>
      <c r="D41" s="401">
        <f t="shared" si="0"/>
        <v>0.60423611111111264</v>
      </c>
      <c r="E41" t="s">
        <v>131</v>
      </c>
      <c r="F41" s="53"/>
      <c r="G41" s="87">
        <v>0</v>
      </c>
      <c r="H41" s="87">
        <v>0.04</v>
      </c>
      <c r="I41" s="396">
        <v>1.157</v>
      </c>
      <c r="J41" s="53"/>
    </row>
    <row r="42" spans="1:10" x14ac:dyDescent="0.35">
      <c r="A42" s="143">
        <v>45</v>
      </c>
      <c r="B42" s="395">
        <v>44362</v>
      </c>
      <c r="C42" s="399">
        <v>0.75872685185185185</v>
      </c>
      <c r="D42" s="401">
        <f t="shared" si="0"/>
        <v>0.67539351851851848</v>
      </c>
      <c r="E42" t="s">
        <v>8</v>
      </c>
      <c r="F42" s="53"/>
      <c r="G42">
        <v>0</v>
      </c>
      <c r="H42">
        <v>0</v>
      </c>
      <c r="I42">
        <v>1.1240000000000001</v>
      </c>
      <c r="J42" s="53"/>
    </row>
    <row r="43" spans="1:10" x14ac:dyDescent="0.35">
      <c r="A43" s="143">
        <v>46</v>
      </c>
      <c r="B43" s="395">
        <v>44362</v>
      </c>
      <c r="C43" s="399">
        <v>0.35574074074074075</v>
      </c>
      <c r="D43" s="401">
        <f t="shared" si="0"/>
        <v>0.27240740740740743</v>
      </c>
      <c r="E43" t="s">
        <v>8</v>
      </c>
      <c r="F43" s="53"/>
      <c r="G43" s="87">
        <v>0</v>
      </c>
      <c r="H43" s="87">
        <v>0</v>
      </c>
      <c r="I43" s="396">
        <v>0.58099999999999996</v>
      </c>
      <c r="J43" s="53"/>
    </row>
    <row r="44" spans="1:10" x14ac:dyDescent="0.35">
      <c r="A44" s="143">
        <v>47</v>
      </c>
      <c r="B44" s="395">
        <v>44362</v>
      </c>
      <c r="C44" s="399">
        <v>0.35594907407407406</v>
      </c>
      <c r="D44" s="401">
        <f t="shared" si="0"/>
        <v>0.27261574074074074</v>
      </c>
      <c r="E44" t="s">
        <v>9</v>
      </c>
      <c r="F44" s="53"/>
      <c r="G44">
        <v>0</v>
      </c>
      <c r="H44">
        <v>0</v>
      </c>
      <c r="I44">
        <v>0.747</v>
      </c>
      <c r="J44" s="53"/>
    </row>
    <row r="45" spans="1:10" x14ac:dyDescent="0.35">
      <c r="A45" s="143">
        <v>47</v>
      </c>
      <c r="B45" s="395">
        <v>44362</v>
      </c>
      <c r="C45" s="399">
        <v>0.61366898148148141</v>
      </c>
      <c r="D45" s="401">
        <f t="shared" si="0"/>
        <v>0.53033564814814804</v>
      </c>
      <c r="E45" t="s">
        <v>9</v>
      </c>
      <c r="F45" s="53"/>
      <c r="G45">
        <v>0</v>
      </c>
      <c r="H45">
        <v>0</v>
      </c>
      <c r="I45">
        <v>0.77500000000000002</v>
      </c>
      <c r="J45" s="53"/>
    </row>
    <row r="46" spans="1:10" x14ac:dyDescent="0.35">
      <c r="A46" s="143">
        <v>49</v>
      </c>
      <c r="B46" s="395">
        <v>44363</v>
      </c>
      <c r="C46" s="399">
        <v>0.55775462962962963</v>
      </c>
      <c r="D46" s="401">
        <f t="shared" si="0"/>
        <v>0.47442129629629631</v>
      </c>
      <c r="E46" t="s">
        <v>8</v>
      </c>
      <c r="F46" s="53"/>
      <c r="G46">
        <v>0</v>
      </c>
      <c r="H46">
        <v>5.8000000000000003E-2</v>
      </c>
      <c r="I46">
        <v>1.163</v>
      </c>
      <c r="J46" s="53"/>
    </row>
    <row r="47" spans="1:10" x14ac:dyDescent="0.35">
      <c r="A47" s="143">
        <v>50</v>
      </c>
      <c r="B47" s="395">
        <v>44363</v>
      </c>
      <c r="C47" s="399">
        <v>0.56167824074074069</v>
      </c>
      <c r="D47" s="401">
        <f t="shared" si="0"/>
        <v>0.47834490740740737</v>
      </c>
      <c r="E47" t="s">
        <v>130</v>
      </c>
      <c r="F47" s="53"/>
      <c r="G47">
        <v>0</v>
      </c>
      <c r="H47">
        <v>6.3E-2</v>
      </c>
      <c r="I47">
        <v>0.81799999999999995</v>
      </c>
      <c r="J47" s="53"/>
    </row>
  </sheetData>
  <mergeCells count="6">
    <mergeCell ref="Q4:R4"/>
    <mergeCell ref="L1:M1"/>
    <mergeCell ref="B2:D2"/>
    <mergeCell ref="G2:I2"/>
    <mergeCell ref="M4:N4"/>
    <mergeCell ref="O4:P4"/>
  </mergeCell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P42"/>
  <sheetViews>
    <sheetView zoomScale="88" zoomScaleNormal="88" workbookViewId="0">
      <selection activeCell="AE3" sqref="AE3"/>
    </sheetView>
  </sheetViews>
  <sheetFormatPr defaultColWidth="11.1640625" defaultRowHeight="15.5" x14ac:dyDescent="0.35"/>
  <cols>
    <col min="1" max="1" width="13.5" bestFit="1" customWidth="1"/>
    <col min="2" max="2" width="12.1640625" customWidth="1"/>
    <col min="3" max="5" width="9.75" customWidth="1"/>
    <col min="6" max="6" width="8.1640625" style="131" bestFit="1" customWidth="1"/>
    <col min="7" max="7" width="2.6640625" style="131" customWidth="1"/>
    <col min="8" max="8" width="8.75" style="176" customWidth="1"/>
    <col min="9" max="9" width="9" customWidth="1"/>
    <col min="10" max="10" width="8.9140625" customWidth="1"/>
    <col min="11" max="11" width="9.9140625" customWidth="1"/>
    <col min="12" max="12" width="8.4140625" style="425" customWidth="1"/>
    <col min="13" max="13" width="2.6640625" style="422" customWidth="1"/>
    <col min="14" max="16" width="5.83203125" bestFit="1" customWidth="1"/>
    <col min="17" max="20" width="6.33203125" bestFit="1" customWidth="1"/>
    <col min="21" max="21" width="5.83203125" bestFit="1" customWidth="1"/>
    <col min="22" max="22" width="6.33203125" bestFit="1" customWidth="1"/>
    <col min="23" max="23" width="5.83203125" bestFit="1" customWidth="1"/>
    <col min="24" max="24" width="6.33203125" bestFit="1" customWidth="1"/>
    <col min="25" max="25" width="5.6640625" bestFit="1" customWidth="1"/>
    <col min="26" max="26" width="6.1640625" bestFit="1" customWidth="1"/>
    <col min="27" max="27" width="11.1640625" style="416"/>
    <col min="28" max="28" width="13.83203125" bestFit="1" customWidth="1"/>
    <col min="29" max="29" width="10.9140625" customWidth="1"/>
    <col min="30" max="31" width="9.83203125" customWidth="1"/>
    <col min="32" max="32" width="10" customWidth="1"/>
    <col min="33" max="33" width="10.33203125" customWidth="1"/>
    <col min="34" max="34" width="11" customWidth="1"/>
    <col min="35" max="35" width="9.5" customWidth="1"/>
  </cols>
  <sheetData>
    <row r="1" spans="1:38" ht="18.5" x14ac:dyDescent="0.45">
      <c r="A1" s="2"/>
      <c r="B1" s="788" t="s">
        <v>11</v>
      </c>
      <c r="C1" s="789"/>
      <c r="D1" s="790"/>
      <c r="E1" s="2"/>
      <c r="F1" s="449"/>
      <c r="G1" s="444"/>
      <c r="H1" s="719"/>
      <c r="I1" s="791" t="s">
        <v>35</v>
      </c>
      <c r="J1" s="791"/>
      <c r="K1" s="792"/>
      <c r="L1" s="423"/>
      <c r="M1" s="52"/>
      <c r="N1" s="54">
        <v>220</v>
      </c>
      <c r="O1" s="54">
        <v>219</v>
      </c>
      <c r="P1" s="55">
        <v>219</v>
      </c>
      <c r="Q1" s="54">
        <v>220</v>
      </c>
      <c r="R1" s="55">
        <v>220</v>
      </c>
      <c r="S1" s="54">
        <v>219</v>
      </c>
      <c r="T1" s="56">
        <v>219</v>
      </c>
      <c r="U1" s="57" t="s">
        <v>37</v>
      </c>
      <c r="V1" s="57" t="s">
        <v>37</v>
      </c>
      <c r="W1" s="58" t="s">
        <v>37</v>
      </c>
      <c r="X1" s="58" t="s">
        <v>37</v>
      </c>
      <c r="Y1" s="59" t="s">
        <v>38</v>
      </c>
      <c r="Z1" s="60" t="s">
        <v>38</v>
      </c>
      <c r="AA1" s="416" t="s">
        <v>204</v>
      </c>
      <c r="AB1" s="420" t="s">
        <v>157</v>
      </c>
      <c r="AC1" s="417" t="s">
        <v>41</v>
      </c>
      <c r="AD1" s="71" t="s">
        <v>43</v>
      </c>
      <c r="AE1" s="484"/>
    </row>
    <row r="2" spans="1:38" ht="19" thickBot="1" x14ac:dyDescent="0.5">
      <c r="A2" s="6" t="s">
        <v>0</v>
      </c>
      <c r="B2" s="7" t="s">
        <v>1</v>
      </c>
      <c r="C2" s="6" t="s">
        <v>154</v>
      </c>
      <c r="D2" s="6" t="s">
        <v>153</v>
      </c>
      <c r="E2" s="710" t="s">
        <v>202</v>
      </c>
      <c r="F2" s="450" t="s">
        <v>7</v>
      </c>
      <c r="G2" s="445"/>
      <c r="H2" s="720" t="s">
        <v>203</v>
      </c>
      <c r="I2" s="10" t="s">
        <v>158</v>
      </c>
      <c r="J2" s="8" t="s">
        <v>159</v>
      </c>
      <c r="K2" s="51" t="s">
        <v>160</v>
      </c>
      <c r="L2" s="424" t="s">
        <v>132</v>
      </c>
      <c r="M2" s="53"/>
      <c r="N2" s="61" t="s">
        <v>34</v>
      </c>
      <c r="O2" s="61" t="s">
        <v>34</v>
      </c>
      <c r="P2" s="62" t="s">
        <v>34</v>
      </c>
      <c r="Q2" s="61" t="s">
        <v>39</v>
      </c>
      <c r="R2" s="62" t="s">
        <v>39</v>
      </c>
      <c r="S2" s="61" t="s">
        <v>40</v>
      </c>
      <c r="T2" s="63" t="s">
        <v>40</v>
      </c>
      <c r="U2" s="64">
        <v>220</v>
      </c>
      <c r="V2" s="64">
        <v>219</v>
      </c>
      <c r="W2" s="65">
        <v>220</v>
      </c>
      <c r="X2" s="65">
        <v>219</v>
      </c>
      <c r="Y2" s="66">
        <v>220</v>
      </c>
      <c r="Z2" s="67">
        <v>219</v>
      </c>
      <c r="AB2" s="421" t="s">
        <v>156</v>
      </c>
      <c r="AC2" s="418" t="s">
        <v>42</v>
      </c>
      <c r="AD2" s="72" t="s">
        <v>42</v>
      </c>
      <c r="AE2" s="418"/>
    </row>
    <row r="3" spans="1:38" ht="16" thickBot="1" x14ac:dyDescent="0.4">
      <c r="A3" s="386" t="s">
        <v>140</v>
      </c>
      <c r="B3" s="1">
        <v>44352</v>
      </c>
      <c r="C3" s="27">
        <v>0.70810185185185182</v>
      </c>
      <c r="D3" s="27">
        <f>C3-$AB$3</f>
        <v>0.62476851851851845</v>
      </c>
      <c r="E3" s="711">
        <f>B3+C3+(H3/(60*24))</f>
        <v>44352.85365740741</v>
      </c>
      <c r="F3" s="131" t="s">
        <v>9</v>
      </c>
      <c r="G3" s="445"/>
      <c r="H3" s="715">
        <v>209.6</v>
      </c>
      <c r="I3" s="11">
        <v>1.24</v>
      </c>
      <c r="J3" s="390">
        <v>0.46800000000000003</v>
      </c>
      <c r="K3" s="390">
        <v>5.8730000000000002</v>
      </c>
      <c r="L3" s="425" t="s">
        <v>28</v>
      </c>
      <c r="M3" s="53"/>
      <c r="N3" s="69">
        <f t="shared" ref="N3:N19" si="0">((K3-J3-I3)^2*0.01)/(1-((K3-J3-I3)*0.01))</f>
        <v>0.18101137371523976</v>
      </c>
      <c r="O3" s="69">
        <f t="shared" ref="O3:O19" si="1">((K3-J3-I3)^2*0.000093)/(1-((K3-J3-I3)*0.000093))</f>
        <v>1.6139170677065911E-3</v>
      </c>
      <c r="P3" s="69">
        <f t="shared" ref="P3:P19" si="2">((K3-N3-I3)^2*0.000093)/(1-((K3-N3-I3)*0.000093))</f>
        <v>1.8440423517254974E-3</v>
      </c>
      <c r="Q3" s="68">
        <f t="shared" ref="Q3:Q19" si="3">((1.6*(I3-O3))^2*0.01)/((1-(1.6*(I3-O3))*0.01))</f>
        <v>4.0053795317282627E-2</v>
      </c>
      <c r="R3" s="68">
        <f t="shared" ref="R3:R19" si="4">((1.6*(I3-P3))^2*0.01)/((1-(1.6*(I3-P3))*0.01))</f>
        <v>4.0038760162690423E-2</v>
      </c>
      <c r="S3" s="69">
        <f t="shared" ref="S3:S19" si="5">J3*0.0255</f>
        <v>1.1934E-2</v>
      </c>
      <c r="T3" s="81">
        <f t="shared" ref="T3:T19" si="6">(J3-N3)*0.0255</f>
        <v>7.3182099702613869E-3</v>
      </c>
      <c r="U3" s="69">
        <f t="shared" ref="U3:U19" si="7">J3-N3-Q3</f>
        <v>0.24693483096747768</v>
      </c>
      <c r="V3" s="69">
        <f t="shared" ref="V3:V19" si="8">I3-O3-S3</f>
        <v>1.2264520829322936</v>
      </c>
      <c r="W3" s="69">
        <f t="shared" ref="W3:W19" si="9">J3-N3-R3</f>
        <v>0.24694986612206987</v>
      </c>
      <c r="X3" s="81">
        <f t="shared" ref="X3:X19" si="10">I3-P3-T3</f>
        <v>1.2308377476780132</v>
      </c>
      <c r="Y3" s="82">
        <f>W3/$AD$3</f>
        <v>2.0409079844799165E-2</v>
      </c>
      <c r="Z3" s="82">
        <f>X3/$AC$3</f>
        <v>0.12382673517887458</v>
      </c>
      <c r="AA3" s="416">
        <f t="shared" ref="AA3:AA5" si="11">V3/(10*EXP(-(LN(2)/(21.773*365.25)*(H3-$AC$4+$AD$4))))</f>
        <v>3.8103600188832067E-3</v>
      </c>
      <c r="AB3" s="440">
        <v>8.3333333333333329E-2</v>
      </c>
      <c r="AC3" s="419">
        <v>9.94</v>
      </c>
      <c r="AD3" s="73">
        <v>12.1</v>
      </c>
      <c r="AE3" t="s">
        <v>47</v>
      </c>
    </row>
    <row r="4" spans="1:38" ht="16" thickBot="1" x14ac:dyDescent="0.4">
      <c r="A4" s="201" t="s">
        <v>141</v>
      </c>
      <c r="B4" s="1">
        <v>44353</v>
      </c>
      <c r="C4" s="27">
        <v>0.84753472222222215</v>
      </c>
      <c r="D4" s="27">
        <f t="shared" ref="D4:D31" si="12">C4-$AB$3</f>
        <v>0.76420138888888878</v>
      </c>
      <c r="E4" s="711">
        <f t="shared" ref="E4:E9" si="13">B4+C4+(H4/(60*24))</f>
        <v>44353.930451388886</v>
      </c>
      <c r="F4" s="131" t="s">
        <v>131</v>
      </c>
      <c r="G4" s="445"/>
      <c r="H4" s="715">
        <v>119.4</v>
      </c>
      <c r="I4" s="11">
        <v>1.4319999999999999</v>
      </c>
      <c r="J4" s="9">
        <v>0.377</v>
      </c>
      <c r="K4" s="50">
        <v>5.5529999999999999</v>
      </c>
      <c r="L4" s="425" t="s">
        <v>28</v>
      </c>
      <c r="M4" s="53"/>
      <c r="N4" s="69">
        <f t="shared" si="0"/>
        <v>0.1456276595744681</v>
      </c>
      <c r="O4" s="69">
        <f t="shared" si="1"/>
        <v>1.3040849199364426E-3</v>
      </c>
      <c r="P4" s="69">
        <f t="shared" si="2"/>
        <v>1.4702770033503596E-3</v>
      </c>
      <c r="Q4" s="68">
        <f t="shared" si="3"/>
        <v>5.3628010526020752E-2</v>
      </c>
      <c r="R4" s="68">
        <f t="shared" si="4"/>
        <v>5.3615406299601855E-2</v>
      </c>
      <c r="S4" s="69">
        <f t="shared" si="5"/>
        <v>9.6134999999999988E-3</v>
      </c>
      <c r="T4" s="81">
        <f t="shared" si="6"/>
        <v>5.8999946808510626E-3</v>
      </c>
      <c r="U4" s="69">
        <f t="shared" si="7"/>
        <v>0.17774432989951114</v>
      </c>
      <c r="V4" s="69">
        <f t="shared" si="8"/>
        <v>1.4210824150800636</v>
      </c>
      <c r="W4" s="69">
        <f t="shared" si="9"/>
        <v>0.17775693412593005</v>
      </c>
      <c r="X4" s="81">
        <f t="shared" si="10"/>
        <v>1.4246297283157985</v>
      </c>
      <c r="Y4" s="82">
        <f t="shared" ref="Y4:Y19" si="14">W4/$AD$3</f>
        <v>1.4690655712886781E-2</v>
      </c>
      <c r="Z4" s="82">
        <f t="shared" ref="Z4:Z19" si="15">X4/$AC$3</f>
        <v>0.14332291029333991</v>
      </c>
      <c r="AA4" s="416">
        <f t="shared" si="11"/>
        <v>4.3804663005956607E-3</v>
      </c>
      <c r="AB4" s="441">
        <v>4.1666666666666664E-2</v>
      </c>
      <c r="AC4" s="1">
        <v>40040</v>
      </c>
      <c r="AD4" s="721">
        <v>0.5</v>
      </c>
    </row>
    <row r="5" spans="1:38" ht="16" thickBot="1" x14ac:dyDescent="0.4">
      <c r="A5" s="201" t="s">
        <v>142</v>
      </c>
      <c r="B5" s="1">
        <v>44353</v>
      </c>
      <c r="C5" s="27">
        <v>0.96648148148148139</v>
      </c>
      <c r="D5" s="27">
        <f t="shared" si="12"/>
        <v>0.88314814814814802</v>
      </c>
      <c r="E5" s="711">
        <f t="shared" si="13"/>
        <v>44354.077787037037</v>
      </c>
      <c r="F5" s="131" t="s">
        <v>130</v>
      </c>
      <c r="G5" s="445"/>
      <c r="H5" s="715">
        <v>160.28</v>
      </c>
      <c r="I5" s="11">
        <v>1.6719999999999999</v>
      </c>
      <c r="J5" s="9">
        <v>0.48699999999999999</v>
      </c>
      <c r="K5" s="50">
        <v>5.8520000000000003</v>
      </c>
      <c r="L5" s="425" t="s">
        <v>28</v>
      </c>
      <c r="M5" s="53"/>
      <c r="N5" s="69">
        <f t="shared" si="0"/>
        <v>0.14161222964062847</v>
      </c>
      <c r="O5" s="69">
        <f t="shared" si="1"/>
        <v>1.2687929226604952E-3</v>
      </c>
      <c r="P5" s="69">
        <f t="shared" si="2"/>
        <v>1.5172673881002924E-3</v>
      </c>
      <c r="Q5" s="68">
        <f t="shared" si="3"/>
        <v>7.3421044091244961E-2</v>
      </c>
      <c r="R5" s="68">
        <f t="shared" si="4"/>
        <v>7.3398907249275669E-2</v>
      </c>
      <c r="S5" s="69">
        <f t="shared" si="5"/>
        <v>1.2418499999999999E-2</v>
      </c>
      <c r="T5" s="81">
        <f t="shared" si="6"/>
        <v>8.8073881441639735E-3</v>
      </c>
      <c r="U5" s="69">
        <f t="shared" si="7"/>
        <v>0.27196672626812657</v>
      </c>
      <c r="V5" s="69">
        <f t="shared" si="8"/>
        <v>1.6583127070773394</v>
      </c>
      <c r="W5" s="69">
        <f t="shared" si="9"/>
        <v>0.27198886311009585</v>
      </c>
      <c r="X5" s="81">
        <f t="shared" si="10"/>
        <v>1.6616753444677357</v>
      </c>
      <c r="Y5" s="82">
        <f t="shared" si="14"/>
        <v>2.2478418438850897E-2</v>
      </c>
      <c r="Z5" s="82">
        <f t="shared" si="15"/>
        <v>0.16717055779353479</v>
      </c>
      <c r="AA5" s="416">
        <f t="shared" si="11"/>
        <v>5.1299713648889919E-3</v>
      </c>
    </row>
    <row r="6" spans="1:38" ht="19" thickBot="1" x14ac:dyDescent="0.5">
      <c r="A6" s="201" t="s">
        <v>143</v>
      </c>
      <c r="B6" s="1">
        <v>44354</v>
      </c>
      <c r="C6" s="27">
        <v>0.4276388888888889</v>
      </c>
      <c r="D6" s="27">
        <f t="shared" si="12"/>
        <v>0.34430555555555559</v>
      </c>
      <c r="E6" s="711">
        <f t="shared" si="13"/>
        <v>44354.563090277778</v>
      </c>
      <c r="F6" s="131" t="s">
        <v>150</v>
      </c>
      <c r="G6" s="445"/>
      <c r="H6" s="715">
        <v>195.05</v>
      </c>
      <c r="I6" s="11">
        <v>1.482</v>
      </c>
      <c r="J6" s="9">
        <v>0.40500000000000003</v>
      </c>
      <c r="K6" s="50">
        <v>5.66</v>
      </c>
      <c r="L6" s="425" t="s">
        <v>28</v>
      </c>
      <c r="M6" s="53"/>
      <c r="N6" s="69">
        <f t="shared" si="0"/>
        <v>0.14793695116755173</v>
      </c>
      <c r="O6" s="69">
        <f t="shared" si="1"/>
        <v>1.3243689034801731E-3</v>
      </c>
      <c r="P6" s="69">
        <f t="shared" si="2"/>
        <v>1.5110172835411269E-3</v>
      </c>
      <c r="Q6" s="68">
        <f t="shared" si="3"/>
        <v>5.7487370689810226E-2</v>
      </c>
      <c r="R6" s="68">
        <f t="shared" si="4"/>
        <v>5.7472702521630704E-2</v>
      </c>
      <c r="S6" s="69">
        <f t="shared" si="5"/>
        <v>1.03275E-2</v>
      </c>
      <c r="T6" s="81">
        <f t="shared" si="6"/>
        <v>6.5551077452274311E-3</v>
      </c>
      <c r="U6" s="69">
        <f t="shared" si="7"/>
        <v>0.19957567814263807</v>
      </c>
      <c r="V6" s="69">
        <f t="shared" si="8"/>
        <v>1.4703481310965199</v>
      </c>
      <c r="W6" s="69">
        <f t="shared" si="9"/>
        <v>0.1995903463108176</v>
      </c>
      <c r="X6" s="81">
        <f t="shared" si="10"/>
        <v>1.4739338749712314</v>
      </c>
      <c r="Y6" s="82">
        <f t="shared" si="14"/>
        <v>1.6495069943042777E-2</v>
      </c>
      <c r="Z6" s="82">
        <f t="shared" si="15"/>
        <v>0.14828308601320236</v>
      </c>
      <c r="AA6" s="416">
        <f>V6/(10*EXP(-(LN(2)/(21.773*365.25)*(H6-$AC$4+$AD$4))))</f>
        <v>4.5623104889685046E-3</v>
      </c>
      <c r="AC6" s="775">
        <v>223</v>
      </c>
      <c r="AD6" s="785"/>
      <c r="AE6" s="776"/>
      <c r="AF6" s="775">
        <v>224</v>
      </c>
      <c r="AG6" s="785"/>
      <c r="AH6" s="776"/>
    </row>
    <row r="7" spans="1:38" s="426" customFormat="1" x14ac:dyDescent="0.35">
      <c r="A7" s="437" t="s">
        <v>144</v>
      </c>
      <c r="B7" s="427">
        <v>44354</v>
      </c>
      <c r="C7" s="428">
        <v>0.62062499999999998</v>
      </c>
      <c r="D7" s="438">
        <f t="shared" si="12"/>
        <v>0.53729166666666661</v>
      </c>
      <c r="E7" s="711">
        <f t="shared" si="13"/>
        <v>44354.778645833336</v>
      </c>
      <c r="F7" s="451" t="s">
        <v>9</v>
      </c>
      <c r="G7" s="446"/>
      <c r="H7" s="716">
        <v>227.55</v>
      </c>
      <c r="I7" s="431">
        <v>1.4990000000000001</v>
      </c>
      <c r="J7" s="430">
        <v>0.505</v>
      </c>
      <c r="K7" s="430">
        <v>6.1740000000000004</v>
      </c>
      <c r="L7" s="432" t="s">
        <v>28</v>
      </c>
      <c r="M7" s="429"/>
      <c r="N7" s="433">
        <f t="shared" si="0"/>
        <v>0.18145570280705414</v>
      </c>
      <c r="O7" s="433">
        <f t="shared" si="1"/>
        <v>1.6177950971166127E-3</v>
      </c>
      <c r="P7" s="433">
        <f t="shared" si="2"/>
        <v>1.8786355337026524E-3</v>
      </c>
      <c r="Q7" s="434">
        <f t="shared" si="3"/>
        <v>5.8808059027002015E-2</v>
      </c>
      <c r="R7" s="434">
        <f t="shared" si="4"/>
        <v>5.8787320994018705E-2</v>
      </c>
      <c r="S7" s="433">
        <f t="shared" si="5"/>
        <v>1.28775E-2</v>
      </c>
      <c r="T7" s="435">
        <f t="shared" si="6"/>
        <v>8.2503795784201195E-3</v>
      </c>
      <c r="U7" s="433">
        <f t="shared" si="7"/>
        <v>0.26473623816594383</v>
      </c>
      <c r="V7" s="433">
        <f t="shared" si="8"/>
        <v>1.4845047049028834</v>
      </c>
      <c r="W7" s="433">
        <f t="shared" si="9"/>
        <v>0.26475697619892713</v>
      </c>
      <c r="X7" s="435">
        <f t="shared" si="10"/>
        <v>1.4888709848878774</v>
      </c>
      <c r="Y7" s="436">
        <f t="shared" si="14"/>
        <v>2.1880741834622078E-2</v>
      </c>
      <c r="Z7" s="436">
        <f t="shared" si="15"/>
        <v>0.14978581336900176</v>
      </c>
      <c r="AA7" s="416">
        <f t="shared" ref="AA7:AA9" si="16">V7/(10*EXP(-(LN(2)/(21.773*365.25)*(H7-$AC$4+$AD$4))))</f>
        <v>4.6193031835261413E-3</v>
      </c>
      <c r="AB7" s="479" t="s">
        <v>46</v>
      </c>
      <c r="AC7" s="480" t="s">
        <v>44</v>
      </c>
      <c r="AD7" s="481" t="s">
        <v>81</v>
      </c>
      <c r="AE7" s="486" t="s">
        <v>184</v>
      </c>
      <c r="AF7" s="480" t="s">
        <v>44</v>
      </c>
      <c r="AG7" s="481" t="s">
        <v>81</v>
      </c>
      <c r="AH7" s="486" t="s">
        <v>184</v>
      </c>
      <c r="AI7"/>
      <c r="AJ7"/>
      <c r="AK7"/>
      <c r="AL7"/>
    </row>
    <row r="8" spans="1:38" x14ac:dyDescent="0.35">
      <c r="A8" s="5" t="s">
        <v>162</v>
      </c>
      <c r="B8" s="1">
        <v>44376</v>
      </c>
      <c r="C8" s="27">
        <v>0.50518518518518518</v>
      </c>
      <c r="D8" s="27">
        <f t="shared" si="12"/>
        <v>0.42185185185185187</v>
      </c>
      <c r="E8" s="711">
        <f t="shared" si="13"/>
        <v>44376.671976851852</v>
      </c>
      <c r="F8" s="449" t="s">
        <v>8</v>
      </c>
      <c r="G8" s="447"/>
      <c r="H8" s="715">
        <v>240.18</v>
      </c>
      <c r="I8" s="11">
        <v>1.5489999999999999</v>
      </c>
      <c r="J8" s="9">
        <v>0.41199999999999998</v>
      </c>
      <c r="K8" s="50">
        <v>5.3380000000000001</v>
      </c>
      <c r="L8" s="425" t="s">
        <v>28</v>
      </c>
      <c r="M8" s="391"/>
      <c r="N8" s="69">
        <f t="shared" si="0"/>
        <v>0.11802706394957724</v>
      </c>
      <c r="O8" s="69">
        <f t="shared" si="1"/>
        <v>1.0609171897135187E-3</v>
      </c>
      <c r="P8" s="69">
        <f t="shared" si="2"/>
        <v>1.2536999474086121E-3</v>
      </c>
      <c r="Q8" s="68">
        <f t="shared" si="3"/>
        <v>6.2898359610105939E-2</v>
      </c>
      <c r="R8" s="68">
        <f t="shared" si="4"/>
        <v>6.2882494776820466E-2</v>
      </c>
      <c r="S8" s="69">
        <f t="shared" si="5"/>
        <v>1.0505999999999998E-2</v>
      </c>
      <c r="T8" s="81">
        <f t="shared" si="6"/>
        <v>7.4963098692857793E-3</v>
      </c>
      <c r="U8" s="69">
        <f t="shared" si="7"/>
        <v>0.23107457644031681</v>
      </c>
      <c r="V8" s="69">
        <f t="shared" si="8"/>
        <v>1.5374330828102865</v>
      </c>
      <c r="W8" s="69">
        <f t="shared" si="9"/>
        <v>0.23109044127360229</v>
      </c>
      <c r="X8" s="81">
        <f t="shared" si="10"/>
        <v>1.5402499901833056</v>
      </c>
      <c r="Y8" s="82">
        <f t="shared" si="14"/>
        <v>1.9098383576330768E-2</v>
      </c>
      <c r="Z8" s="82">
        <f t="shared" si="15"/>
        <v>0.15495472738262633</v>
      </c>
      <c r="AA8" s="416">
        <f t="shared" si="16"/>
        <v>4.7892686140920855E-3</v>
      </c>
      <c r="AB8" s="482" t="s">
        <v>9</v>
      </c>
      <c r="AC8" s="487">
        <f>AVERAGEIF($F$3:$F$19,"=Orange",$Z$3:$Z$19)</f>
        <v>0.15777110193102437</v>
      </c>
      <c r="AD8" s="201">
        <f>STDEV(Z3,Z7,Z9:Z11,Z19)</f>
        <v>2.8370566237972811E-2</v>
      </c>
      <c r="AE8" s="383">
        <v>6</v>
      </c>
      <c r="AF8" s="487">
        <f>AVERAGEIF($F$24:$F$39,"=Orange",$Y$24:$Y$39)</f>
        <v>7.7204835856909015E-2</v>
      </c>
      <c r="AG8" s="483">
        <f>STDEV(Y27,Y29,Y35)</f>
        <v>6.3781588901815024E-3</v>
      </c>
      <c r="AH8" s="383">
        <f>COUNTIF($F$24:$F$39,"Orange")</f>
        <v>3</v>
      </c>
    </row>
    <row r="9" spans="1:38" s="426" customFormat="1" x14ac:dyDescent="0.35">
      <c r="A9" s="439" t="s">
        <v>163</v>
      </c>
      <c r="B9" s="427">
        <v>44377</v>
      </c>
      <c r="C9" s="428">
        <v>0.54357638888888882</v>
      </c>
      <c r="D9" s="428">
        <f t="shared" si="12"/>
        <v>0.4602430555555555</v>
      </c>
      <c r="E9" s="711">
        <f t="shared" si="13"/>
        <v>44377.685881944446</v>
      </c>
      <c r="F9" s="452" t="s">
        <v>9</v>
      </c>
      <c r="G9" s="446"/>
      <c r="H9" s="716">
        <v>204.92</v>
      </c>
      <c r="I9" s="431">
        <v>1.347</v>
      </c>
      <c r="J9" s="430">
        <v>0.40500000000000003</v>
      </c>
      <c r="K9" s="430">
        <v>5.202</v>
      </c>
      <c r="L9" s="432" t="s">
        <v>28</v>
      </c>
      <c r="M9" s="429"/>
      <c r="N9" s="433">
        <f t="shared" si="0"/>
        <v>0.12327809425168304</v>
      </c>
      <c r="O9" s="433">
        <f t="shared" si="1"/>
        <v>1.1072877732820575E-3</v>
      </c>
      <c r="P9" s="433">
        <f t="shared" si="2"/>
        <v>1.29554421831005E-3</v>
      </c>
      <c r="Q9" s="434">
        <f t="shared" si="3"/>
        <v>4.7393112859640221E-2</v>
      </c>
      <c r="R9" s="434">
        <f t="shared" si="4"/>
        <v>4.7379709731135082E-2</v>
      </c>
      <c r="S9" s="433">
        <f t="shared" si="5"/>
        <v>1.03275E-2</v>
      </c>
      <c r="T9" s="435">
        <f t="shared" si="6"/>
        <v>7.1839085965820833E-3</v>
      </c>
      <c r="U9" s="433">
        <f t="shared" si="7"/>
        <v>0.23432879288867681</v>
      </c>
      <c r="V9" s="433">
        <f t="shared" si="8"/>
        <v>1.3355652122267179</v>
      </c>
      <c r="W9" s="433">
        <f t="shared" si="9"/>
        <v>0.23434219601718193</v>
      </c>
      <c r="X9" s="435">
        <f t="shared" si="10"/>
        <v>1.3385205471851078</v>
      </c>
      <c r="Y9" s="436">
        <f t="shared" si="14"/>
        <v>1.9367123637783631E-2</v>
      </c>
      <c r="Z9" s="436">
        <f t="shared" si="15"/>
        <v>0.13466001480735493</v>
      </c>
      <c r="AA9" s="416">
        <f t="shared" si="16"/>
        <v>4.147662139555159E-3</v>
      </c>
      <c r="AB9" s="383" t="s">
        <v>8</v>
      </c>
      <c r="AC9" s="487">
        <f>AVERAGEIF($F$3:$F$19,"=Grey",$Z$3:$Z$19)</f>
        <v>0.14778743706887715</v>
      </c>
      <c r="AD9" s="201">
        <f>STDEV(Z6,Z8,Z14)</f>
        <v>7.1730007481922431E-3</v>
      </c>
      <c r="AE9" s="383">
        <v>3</v>
      </c>
      <c r="AF9" s="487">
        <f>AVERAGEIF($F$24:$F$39,"=Grey",$Y$24:$Y$39)</f>
        <v>7.5371372753759172E-2</v>
      </c>
      <c r="AG9" s="201">
        <f>STDEV(Y24,Y28,Y30,Y31,Y32,Y39)</f>
        <v>1.519682265276953E-2</v>
      </c>
      <c r="AH9" s="383">
        <f>COUNTIF($F$24:$F$39,"Grey")</f>
        <v>6</v>
      </c>
      <c r="AI9"/>
      <c r="AJ9"/>
      <c r="AK9"/>
      <c r="AL9"/>
    </row>
    <row r="10" spans="1:38" x14ac:dyDescent="0.35">
      <c r="A10" s="5" t="s">
        <v>166</v>
      </c>
      <c r="B10" s="1">
        <v>44475</v>
      </c>
      <c r="C10" s="27">
        <v>0.4334722222222222</v>
      </c>
      <c r="D10" s="27">
        <f t="shared" si="12"/>
        <v>0.35013888888888889</v>
      </c>
      <c r="E10" s="711"/>
      <c r="F10" s="449" t="s">
        <v>9</v>
      </c>
      <c r="G10" s="447"/>
      <c r="H10" s="715"/>
      <c r="I10" s="11">
        <v>1.591</v>
      </c>
      <c r="J10" s="9">
        <v>0.41899999999999998</v>
      </c>
      <c r="K10" s="50">
        <v>6.0270000000000001</v>
      </c>
      <c r="L10" s="425" t="s">
        <v>28</v>
      </c>
      <c r="M10" s="391"/>
      <c r="N10" s="69">
        <f t="shared" si="0"/>
        <v>0.16811611431190943</v>
      </c>
      <c r="O10" s="69">
        <f t="shared" si="1"/>
        <v>1.5012357101378288E-3</v>
      </c>
      <c r="P10" s="69">
        <f t="shared" si="2"/>
        <v>1.6946520859242255E-3</v>
      </c>
      <c r="Q10" s="68">
        <f t="shared" si="3"/>
        <v>6.6366390567747374E-2</v>
      </c>
      <c r="R10" s="68">
        <f t="shared" si="4"/>
        <v>6.6350029421554949E-2</v>
      </c>
      <c r="S10" s="69">
        <f t="shared" si="5"/>
        <v>1.06845E-2</v>
      </c>
      <c r="T10" s="81">
        <f t="shared" si="6"/>
        <v>6.3975390850463092E-3</v>
      </c>
      <c r="U10" s="69">
        <f t="shared" si="7"/>
        <v>0.18451749512034318</v>
      </c>
      <c r="V10" s="69">
        <f t="shared" si="8"/>
        <v>1.5788142642898622</v>
      </c>
      <c r="W10" s="69">
        <f t="shared" si="9"/>
        <v>0.18453385626653562</v>
      </c>
      <c r="X10" s="81">
        <f t="shared" si="10"/>
        <v>1.5829078088290294</v>
      </c>
      <c r="Y10" s="82">
        <f t="shared" si="14"/>
        <v>1.5250731922854184E-2</v>
      </c>
      <c r="Z10" s="82">
        <f t="shared" si="15"/>
        <v>0.15924625843350396</v>
      </c>
      <c r="AB10" s="384" t="s">
        <v>139</v>
      </c>
      <c r="AC10" s="487">
        <f>AVERAGEIF($F$3:$F$19,"=Green",$Z$3:$Z$19)</f>
        <v>0.170348066300858</v>
      </c>
      <c r="AD10" s="201">
        <f>STDEV(Z4,Z12:Z13,Z16:Z17)</f>
        <v>1.5028417235487699E-2</v>
      </c>
      <c r="AE10" s="383">
        <v>6</v>
      </c>
      <c r="AF10" s="487">
        <f>AVERAGEIF($F$24:$F$39,"=Green",$Y$24:$Y$39)</f>
        <v>7.9075963413623732E-2</v>
      </c>
      <c r="AG10" s="201">
        <f>STDEV(Y36,Y26,)</f>
        <v>4.5671289590910769E-2</v>
      </c>
      <c r="AH10" s="491">
        <f>COUNTIF($F$24:$F$39,"Green")</f>
        <v>2</v>
      </c>
    </row>
    <row r="11" spans="1:38" ht="16" thickBot="1" x14ac:dyDescent="0.4">
      <c r="A11" s="5" t="s">
        <v>167</v>
      </c>
      <c r="B11" s="1">
        <v>44504</v>
      </c>
      <c r="C11" s="27">
        <v>0.49763888888888891</v>
      </c>
      <c r="D11" s="27">
        <f t="shared" ref="D11:D17" si="17">C11-$AB$4</f>
        <v>0.45597222222222222</v>
      </c>
      <c r="E11" s="711"/>
      <c r="F11" s="449" t="s">
        <v>9</v>
      </c>
      <c r="G11" s="445"/>
      <c r="H11" s="715"/>
      <c r="I11" s="11">
        <v>2.0099999999999998</v>
      </c>
      <c r="J11" s="9">
        <v>0.61599999999999999</v>
      </c>
      <c r="K11" s="50">
        <v>5.83</v>
      </c>
      <c r="L11" s="425" t="s">
        <v>28</v>
      </c>
      <c r="M11" s="53"/>
      <c r="N11" s="69">
        <f t="shared" si="0"/>
        <v>0.10605413446836649</v>
      </c>
      <c r="O11" s="69">
        <f t="shared" si="1"/>
        <v>9.5498684734087618E-4</v>
      </c>
      <c r="P11" s="69">
        <f t="shared" si="2"/>
        <v>1.2832288553179165E-3</v>
      </c>
      <c r="Q11" s="68">
        <f t="shared" si="3"/>
        <v>0.10676007653048109</v>
      </c>
      <c r="R11" s="68">
        <f t="shared" si="4"/>
        <v>0.10672461488806863</v>
      </c>
      <c r="S11" s="69">
        <f t="shared" si="5"/>
        <v>1.5708E-2</v>
      </c>
      <c r="T11" s="81">
        <f t="shared" si="6"/>
        <v>1.3003619571056653E-2</v>
      </c>
      <c r="U11" s="69">
        <f t="shared" si="7"/>
        <v>0.40318578900115237</v>
      </c>
      <c r="V11" s="69">
        <f t="shared" si="8"/>
        <v>1.9933370131526589</v>
      </c>
      <c r="W11" s="69">
        <f t="shared" si="9"/>
        <v>0.40322125064356484</v>
      </c>
      <c r="X11" s="81">
        <f t="shared" si="10"/>
        <v>1.9957131515736255</v>
      </c>
      <c r="Y11" s="82">
        <f t="shared" si="14"/>
        <v>3.3324070301121063E-2</v>
      </c>
      <c r="Z11" s="82">
        <f t="shared" si="15"/>
        <v>0.20077597098326214</v>
      </c>
      <c r="AB11" s="385" t="s">
        <v>130</v>
      </c>
      <c r="AC11" s="493">
        <f>AVERAGEIF($F$3:$F$19,"=Blue",$Z$3:$Z$19)</f>
        <v>0.15067586200142696</v>
      </c>
      <c r="AD11" s="77">
        <f>STDEV(Z5,Z15)</f>
        <v>2.3327022496417351E-2</v>
      </c>
      <c r="AE11" s="492">
        <v>2</v>
      </c>
      <c r="AF11" s="493">
        <f>AVERAGEIF($F$24:$F$39,"=Blue",$Y$24:$Y$39)</f>
        <v>6.8482645707614573E-2</v>
      </c>
      <c r="AG11" s="77">
        <f>STDEV(Y38,Y37,Y34,Y33,Y25)</f>
        <v>5.9959962615663701E-3</v>
      </c>
      <c r="AH11" s="485">
        <v>5</v>
      </c>
    </row>
    <row r="12" spans="1:38" x14ac:dyDescent="0.35">
      <c r="A12" s="5" t="s">
        <v>169</v>
      </c>
      <c r="B12" s="1">
        <v>44504</v>
      </c>
      <c r="C12" s="27">
        <v>0.53810185185185189</v>
      </c>
      <c r="D12" s="27">
        <f t="shared" si="17"/>
        <v>0.4964351851851852</v>
      </c>
      <c r="E12" s="711"/>
      <c r="F12" s="449" t="s">
        <v>131</v>
      </c>
      <c r="G12" s="445"/>
      <c r="H12" s="715"/>
      <c r="I12" s="11">
        <v>1.7569999999999999</v>
      </c>
      <c r="J12" s="9">
        <v>0.42599999999999999</v>
      </c>
      <c r="K12" s="50">
        <v>5.3710000000000004</v>
      </c>
      <c r="L12" s="425" t="s">
        <v>28</v>
      </c>
      <c r="M12" s="53"/>
      <c r="N12" s="69">
        <f t="shared" si="0"/>
        <v>0.10498020906499199</v>
      </c>
      <c r="O12" s="69">
        <f t="shared" si="1"/>
        <v>9.4547130911561215E-4</v>
      </c>
      <c r="P12" s="69">
        <f t="shared" si="2"/>
        <v>1.1455032722748704E-3</v>
      </c>
      <c r="Q12" s="68">
        <f t="shared" si="3"/>
        <v>8.1225609796908183E-2</v>
      </c>
      <c r="R12" s="68">
        <f t="shared" si="4"/>
        <v>8.1206838634689901E-2</v>
      </c>
      <c r="S12" s="69">
        <f t="shared" si="5"/>
        <v>1.0862999999999999E-2</v>
      </c>
      <c r="T12" s="81">
        <f t="shared" si="6"/>
        <v>8.1860046688427036E-3</v>
      </c>
      <c r="U12" s="69">
        <f t="shared" si="7"/>
        <v>0.2397941811380998</v>
      </c>
      <c r="V12" s="69">
        <f t="shared" si="8"/>
        <v>1.7451915286908841</v>
      </c>
      <c r="W12" s="69">
        <f t="shared" si="9"/>
        <v>0.23981295230031807</v>
      </c>
      <c r="X12" s="81">
        <f t="shared" si="10"/>
        <v>1.7476684920588823</v>
      </c>
      <c r="Y12" s="82">
        <f t="shared" si="14"/>
        <v>1.9819252256224634E-2</v>
      </c>
      <c r="Z12" s="82">
        <f t="shared" si="15"/>
        <v>0.17582177988519943</v>
      </c>
    </row>
    <row r="13" spans="1:38" s="426" customFormat="1" x14ac:dyDescent="0.35">
      <c r="A13" s="439" t="s">
        <v>171</v>
      </c>
      <c r="B13" s="427">
        <v>44508</v>
      </c>
      <c r="C13" s="428">
        <v>0.45587962962962963</v>
      </c>
      <c r="D13" s="428">
        <f t="shared" si="17"/>
        <v>0.41421296296296295</v>
      </c>
      <c r="E13" s="712"/>
      <c r="F13" s="452" t="s">
        <v>131</v>
      </c>
      <c r="G13" s="446"/>
      <c r="H13" s="716"/>
      <c r="I13" s="431">
        <v>1.8029999999999999</v>
      </c>
      <c r="J13" s="430">
        <v>0.61099999999999999</v>
      </c>
      <c r="K13" s="430">
        <v>6.41</v>
      </c>
      <c r="L13" s="432" t="s">
        <v>28</v>
      </c>
      <c r="M13" s="429"/>
      <c r="N13" s="433">
        <f t="shared" si="0"/>
        <v>0.16632656972626145</v>
      </c>
      <c r="O13" s="433">
        <f t="shared" si="1"/>
        <v>1.4855775702212666E-3</v>
      </c>
      <c r="P13" s="433">
        <f t="shared" si="2"/>
        <v>1.8346786782574846E-3</v>
      </c>
      <c r="Q13" s="434">
        <f t="shared" si="3"/>
        <v>8.5549527197345043E-2</v>
      </c>
      <c r="R13" s="434">
        <f t="shared" si="4"/>
        <v>8.5515882653256908E-2</v>
      </c>
      <c r="S13" s="433">
        <f t="shared" si="5"/>
        <v>1.5580499999999999E-2</v>
      </c>
      <c r="T13" s="435">
        <f t="shared" si="6"/>
        <v>1.1339172471980331E-2</v>
      </c>
      <c r="U13" s="433">
        <f t="shared" si="7"/>
        <v>0.35912390307639347</v>
      </c>
      <c r="V13" s="433">
        <f t="shared" si="8"/>
        <v>1.7859339224297788</v>
      </c>
      <c r="W13" s="433">
        <f t="shared" si="9"/>
        <v>0.35915754762048158</v>
      </c>
      <c r="X13" s="435">
        <f t="shared" si="10"/>
        <v>1.7898261488497622</v>
      </c>
      <c r="Y13" s="436">
        <f t="shared" si="14"/>
        <v>2.9682441952105915E-2</v>
      </c>
      <c r="Z13" s="436">
        <f t="shared" si="15"/>
        <v>0.1800629928420284</v>
      </c>
      <c r="AA13" s="416"/>
      <c r="AB13"/>
      <c r="AC13"/>
      <c r="AD13"/>
      <c r="AE13"/>
      <c r="AF13"/>
      <c r="AG13"/>
      <c r="AH13"/>
      <c r="AI13"/>
      <c r="AJ13"/>
      <c r="AK13"/>
      <c r="AL13"/>
    </row>
    <row r="14" spans="1:38" x14ac:dyDescent="0.35">
      <c r="A14" s="5" t="s">
        <v>173</v>
      </c>
      <c r="B14" s="1">
        <v>44519</v>
      </c>
      <c r="C14" s="27">
        <v>0.37964120370370374</v>
      </c>
      <c r="D14" s="27">
        <f t="shared" si="17"/>
        <v>0.33797453703703706</v>
      </c>
      <c r="E14" s="711"/>
      <c r="F14" s="449" t="s">
        <v>8</v>
      </c>
      <c r="G14" s="447"/>
      <c r="H14" s="715"/>
      <c r="I14" s="11">
        <v>1.4059999999999999</v>
      </c>
      <c r="J14" s="9">
        <v>0.41099999999999998</v>
      </c>
      <c r="K14" s="50">
        <v>5.5810000000000004</v>
      </c>
      <c r="L14" s="425" t="s">
        <v>28</v>
      </c>
      <c r="M14" s="391"/>
      <c r="N14" s="69">
        <f t="shared" si="0"/>
        <v>0.14721825512282313</v>
      </c>
      <c r="O14" s="69">
        <f t="shared" si="1"/>
        <v>1.3180571165297562E-3</v>
      </c>
      <c r="P14" s="69">
        <f t="shared" si="2"/>
        <v>1.5093067596599233E-3</v>
      </c>
      <c r="Q14" s="68">
        <f t="shared" si="3"/>
        <v>5.1673520614283368E-2</v>
      </c>
      <c r="R14" s="68">
        <f t="shared" si="4"/>
        <v>5.1659288999310632E-2</v>
      </c>
      <c r="S14" s="69">
        <f t="shared" si="5"/>
        <v>1.0480499999999998E-2</v>
      </c>
      <c r="T14" s="81">
        <f t="shared" si="6"/>
        <v>6.72643449436801E-3</v>
      </c>
      <c r="U14" s="69">
        <f t="shared" si="7"/>
        <v>0.2121082242628935</v>
      </c>
      <c r="V14" s="69">
        <f t="shared" si="8"/>
        <v>1.3942014428834704</v>
      </c>
      <c r="W14" s="69">
        <f t="shared" si="9"/>
        <v>0.21212245587786624</v>
      </c>
      <c r="X14" s="81">
        <f t="shared" si="10"/>
        <v>1.397764258745972</v>
      </c>
      <c r="Y14" s="82">
        <f t="shared" si="14"/>
        <v>1.7530781477509607E-2</v>
      </c>
      <c r="Z14" s="82">
        <f t="shared" si="15"/>
        <v>0.14062014675512796</v>
      </c>
      <c r="AB14" s="70"/>
      <c r="AC14" s="487"/>
    </row>
    <row r="15" spans="1:38" x14ac:dyDescent="0.35">
      <c r="A15" s="5" t="s">
        <v>176</v>
      </c>
      <c r="B15" s="1">
        <v>44522</v>
      </c>
      <c r="C15" s="27">
        <v>0.41530092592592593</v>
      </c>
      <c r="D15" s="27">
        <f t="shared" si="17"/>
        <v>0.37363425925925925</v>
      </c>
      <c r="E15" s="711"/>
      <c r="F15" s="449" t="s">
        <v>130</v>
      </c>
      <c r="G15" s="445"/>
      <c r="H15" s="715"/>
      <c r="I15" s="11">
        <v>1.341</v>
      </c>
      <c r="J15" s="9">
        <v>0.379</v>
      </c>
      <c r="K15" s="50">
        <v>5.5979999999999999</v>
      </c>
      <c r="L15" s="425" t="s">
        <v>28</v>
      </c>
      <c r="M15" s="53"/>
      <c r="N15" s="69">
        <f t="shared" si="0"/>
        <v>0.15645621189738035</v>
      </c>
      <c r="O15" s="69">
        <f t="shared" si="1"/>
        <v>1.3991208105167956E-3</v>
      </c>
      <c r="P15" s="69">
        <f t="shared" si="2"/>
        <v>1.5643412827511089E-3</v>
      </c>
      <c r="Q15" s="68">
        <f t="shared" si="3"/>
        <v>4.6946208103854623E-2</v>
      </c>
      <c r="R15" s="68">
        <f t="shared" si="4"/>
        <v>4.6934501750692838E-2</v>
      </c>
      <c r="S15" s="69">
        <f t="shared" si="5"/>
        <v>9.6644999999999995E-3</v>
      </c>
      <c r="T15" s="81">
        <f t="shared" si="6"/>
        <v>5.6748665966168009E-3</v>
      </c>
      <c r="U15" s="69">
        <f t="shared" si="7"/>
        <v>0.17559757999876502</v>
      </c>
      <c r="V15" s="69">
        <f t="shared" si="8"/>
        <v>1.3299363791894832</v>
      </c>
      <c r="W15" s="69">
        <f t="shared" si="9"/>
        <v>0.17560928635192682</v>
      </c>
      <c r="X15" s="81">
        <f t="shared" si="10"/>
        <v>1.333760792120632</v>
      </c>
      <c r="Y15" s="82">
        <f t="shared" si="14"/>
        <v>1.4513164161316266E-2</v>
      </c>
      <c r="Z15" s="82">
        <f t="shared" si="15"/>
        <v>0.13418116620931914</v>
      </c>
      <c r="AB15" s="382"/>
      <c r="AC15" s="382"/>
      <c r="AD15" s="382"/>
      <c r="AE15" s="382"/>
    </row>
    <row r="16" spans="1:38" x14ac:dyDescent="0.35">
      <c r="A16" s="5" t="s">
        <v>177</v>
      </c>
      <c r="B16" s="1">
        <v>44523</v>
      </c>
      <c r="C16" s="27">
        <v>0.41041666666666665</v>
      </c>
      <c r="D16" s="27">
        <f t="shared" si="17"/>
        <v>0.36874999999999997</v>
      </c>
      <c r="E16" s="711"/>
      <c r="F16" s="449" t="s">
        <v>131</v>
      </c>
      <c r="G16" s="445"/>
      <c r="H16" s="715"/>
      <c r="I16" s="11">
        <v>1.762</v>
      </c>
      <c r="J16" s="9">
        <v>0.502</v>
      </c>
      <c r="K16" s="50">
        <v>6.1159999999999997</v>
      </c>
      <c r="L16" s="425" t="s">
        <v>28</v>
      </c>
      <c r="M16" s="53"/>
      <c r="N16" s="69">
        <f t="shared" si="0"/>
        <v>0.15432358447393602</v>
      </c>
      <c r="O16" s="69">
        <f t="shared" si="1"/>
        <v>1.3804195879915234E-3</v>
      </c>
      <c r="P16" s="69">
        <f t="shared" si="2"/>
        <v>1.6409081148759418E-3</v>
      </c>
      <c r="Q16" s="68">
        <f t="shared" si="3"/>
        <v>8.1654604588110025E-2</v>
      </c>
      <c r="R16" s="68">
        <f t="shared" si="4"/>
        <v>8.1630094246239987E-2</v>
      </c>
      <c r="S16" s="69">
        <f t="shared" si="5"/>
        <v>1.2801E-2</v>
      </c>
      <c r="T16" s="81">
        <f t="shared" si="6"/>
        <v>8.8657485959146316E-3</v>
      </c>
      <c r="U16" s="69">
        <f t="shared" si="7"/>
        <v>0.26602181093795396</v>
      </c>
      <c r="V16" s="69">
        <f t="shared" si="8"/>
        <v>1.7478185804120083</v>
      </c>
      <c r="W16" s="69">
        <f t="shared" si="9"/>
        <v>0.26604632127982397</v>
      </c>
      <c r="X16" s="81">
        <f t="shared" si="10"/>
        <v>1.7514933432892092</v>
      </c>
      <c r="Y16" s="82">
        <f t="shared" si="14"/>
        <v>2.1987299279324295E-2</v>
      </c>
      <c r="Z16" s="82">
        <f t="shared" si="15"/>
        <v>0.17620657377155025</v>
      </c>
      <c r="AB16" s="70"/>
      <c r="AC16" s="70"/>
      <c r="AD16" s="70"/>
      <c r="AE16" s="70"/>
    </row>
    <row r="17" spans="1:42" x14ac:dyDescent="0.35">
      <c r="A17" s="5" t="s">
        <v>179</v>
      </c>
      <c r="B17" s="1">
        <v>44595</v>
      </c>
      <c r="C17" s="27">
        <v>0.3976851851851852</v>
      </c>
      <c r="D17" s="27">
        <f t="shared" si="17"/>
        <v>0.35601851851851851</v>
      </c>
      <c r="E17" s="711"/>
      <c r="F17" s="449" t="s">
        <v>131</v>
      </c>
      <c r="G17" s="445"/>
      <c r="H17" s="715"/>
      <c r="I17" s="11">
        <v>1.7430000000000001</v>
      </c>
      <c r="J17" s="9">
        <v>0.51800000000000002</v>
      </c>
      <c r="K17" s="50">
        <v>6.1159999999999997</v>
      </c>
      <c r="L17" s="425" t="s">
        <v>28</v>
      </c>
      <c r="M17" s="53"/>
      <c r="N17" s="69">
        <f t="shared" si="0"/>
        <v>0.15456888033699098</v>
      </c>
      <c r="O17" s="69">
        <f t="shared" si="1"/>
        <v>1.3825709974411471E-3</v>
      </c>
      <c r="P17" s="69">
        <f t="shared" si="2"/>
        <v>1.6555994983721847E-3</v>
      </c>
      <c r="Q17" s="68">
        <f t="shared" si="3"/>
        <v>7.9876550774500024E-2</v>
      </c>
      <c r="R17" s="68">
        <f t="shared" si="4"/>
        <v>7.9851149864702639E-2</v>
      </c>
      <c r="S17" s="69">
        <f t="shared" si="5"/>
        <v>1.3209E-2</v>
      </c>
      <c r="T17" s="81">
        <f t="shared" si="6"/>
        <v>9.2674935514067292E-3</v>
      </c>
      <c r="U17" s="69">
        <f t="shared" si="7"/>
        <v>0.283554568888509</v>
      </c>
      <c r="V17" s="69">
        <f t="shared" si="8"/>
        <v>1.728408429002559</v>
      </c>
      <c r="W17" s="69">
        <f t="shared" si="9"/>
        <v>0.28357996979830635</v>
      </c>
      <c r="X17" s="81">
        <f t="shared" si="10"/>
        <v>1.7320769069502211</v>
      </c>
      <c r="Y17" s="82">
        <f t="shared" si="14"/>
        <v>2.3436361140355896E-2</v>
      </c>
      <c r="Z17" s="82">
        <f t="shared" si="15"/>
        <v>0.17425320995475063</v>
      </c>
      <c r="AG17" t="s">
        <v>185</v>
      </c>
    </row>
    <row r="18" spans="1:42" x14ac:dyDescent="0.35">
      <c r="A18" s="5" t="s">
        <v>180</v>
      </c>
      <c r="B18" s="1">
        <v>44663</v>
      </c>
      <c r="C18" s="27">
        <v>0.31450231481481478</v>
      </c>
      <c r="D18" s="27">
        <f>C18-$AB$3</f>
        <v>0.23116898148148146</v>
      </c>
      <c r="E18" s="711"/>
      <c r="F18" s="449" t="s">
        <v>131</v>
      </c>
      <c r="G18" s="448"/>
      <c r="H18" s="715"/>
      <c r="I18" s="11">
        <v>1.728</v>
      </c>
      <c r="J18" s="9">
        <v>0.64600000000000002</v>
      </c>
      <c r="K18" s="50">
        <v>6.3410000000000002</v>
      </c>
      <c r="L18" s="425" t="s">
        <v>28</v>
      </c>
      <c r="M18" s="53"/>
      <c r="N18" s="69">
        <f t="shared" si="0"/>
        <v>0.16387167952682935</v>
      </c>
      <c r="O18" s="69">
        <f t="shared" si="1"/>
        <v>1.4640894249756461E-3</v>
      </c>
      <c r="P18" s="69">
        <f t="shared" si="2"/>
        <v>1.8416731086379641E-3</v>
      </c>
      <c r="Q18" s="68">
        <f t="shared" si="3"/>
        <v>7.847967977915761E-2</v>
      </c>
      <c r="R18" s="68">
        <f t="shared" si="4"/>
        <v>7.8444870028739816E-2</v>
      </c>
      <c r="S18" s="69">
        <f t="shared" si="5"/>
        <v>1.6472999999999998E-2</v>
      </c>
      <c r="T18" s="81">
        <f t="shared" si="6"/>
        <v>1.2294272172065851E-2</v>
      </c>
      <c r="U18" s="69">
        <f t="shared" si="7"/>
        <v>0.40364864069401307</v>
      </c>
      <c r="V18" s="69">
        <f t="shared" si="8"/>
        <v>1.7100629105750245</v>
      </c>
      <c r="W18" s="69">
        <f t="shared" si="9"/>
        <v>0.40368345044443088</v>
      </c>
      <c r="X18" s="81">
        <f t="shared" si="10"/>
        <v>1.7138640547192963</v>
      </c>
      <c r="Y18" s="82">
        <f t="shared" si="14"/>
        <v>3.336226863177115E-2</v>
      </c>
      <c r="Z18" s="82">
        <f t="shared" si="15"/>
        <v>0.1724209310582793</v>
      </c>
    </row>
    <row r="19" spans="1:42" x14ac:dyDescent="0.35">
      <c r="A19" s="131" t="s">
        <v>183</v>
      </c>
      <c r="B19" s="1">
        <v>44672</v>
      </c>
      <c r="C19" s="27">
        <v>0.34454861111111112</v>
      </c>
      <c r="D19" s="27">
        <f>C19-$AB$3</f>
        <v>0.26121527777777781</v>
      </c>
      <c r="E19" s="711"/>
      <c r="F19" s="453" t="s">
        <v>9</v>
      </c>
      <c r="G19" s="448"/>
      <c r="H19" s="715"/>
      <c r="I19" s="11">
        <v>1.7829999999999999</v>
      </c>
      <c r="J19" s="9">
        <v>0.49399999999999999</v>
      </c>
      <c r="K19" s="50">
        <v>6.0659999999999998</v>
      </c>
      <c r="L19" s="425" t="s">
        <v>28</v>
      </c>
      <c r="M19" s="443"/>
      <c r="N19" s="69">
        <f t="shared" si="0"/>
        <v>0.14921912255355416</v>
      </c>
      <c r="O19" s="69">
        <f t="shared" si="1"/>
        <v>1.3356270972696546E-3</v>
      </c>
      <c r="P19" s="69">
        <f t="shared" si="2"/>
        <v>1.5898086124760155E-3</v>
      </c>
      <c r="Q19" s="68">
        <f t="shared" si="3"/>
        <v>8.3647297769585002E-2</v>
      </c>
      <c r="R19" s="68">
        <f t="shared" si="4"/>
        <v>8.362308228783559E-2</v>
      </c>
      <c r="S19" s="69">
        <f t="shared" si="5"/>
        <v>1.2596999999999999E-2</v>
      </c>
      <c r="T19" s="442">
        <f t="shared" si="6"/>
        <v>8.7919123748843673E-3</v>
      </c>
      <c r="U19" s="69">
        <f t="shared" si="7"/>
        <v>0.26113357967686079</v>
      </c>
      <c r="V19" s="69">
        <f t="shared" si="8"/>
        <v>1.7690673729027302</v>
      </c>
      <c r="W19" s="69">
        <f t="shared" si="9"/>
        <v>0.26115779515861021</v>
      </c>
      <c r="X19" s="442">
        <f t="shared" si="10"/>
        <v>1.7726182790126397</v>
      </c>
      <c r="Y19" s="82">
        <f t="shared" si="14"/>
        <v>2.1583288856083488E-2</v>
      </c>
      <c r="Z19" s="82">
        <f t="shared" si="15"/>
        <v>0.17833181881414886</v>
      </c>
    </row>
    <row r="20" spans="1:42" s="143" customFormat="1" x14ac:dyDescent="0.35">
      <c r="B20" s="457"/>
      <c r="C20" s="458"/>
      <c r="D20" s="458"/>
      <c r="E20" s="458"/>
      <c r="G20" s="454"/>
      <c r="H20" s="715"/>
      <c r="I20" s="459"/>
      <c r="J20" s="454"/>
      <c r="K20" s="454"/>
      <c r="L20" s="460"/>
      <c r="M20" s="454"/>
      <c r="N20" s="455"/>
      <c r="O20" s="455"/>
      <c r="P20" s="455"/>
      <c r="Q20" s="461"/>
      <c r="R20" s="461"/>
      <c r="S20" s="455"/>
      <c r="T20" s="455"/>
      <c r="U20" s="455"/>
      <c r="V20" s="455"/>
      <c r="W20" s="455"/>
      <c r="X20" s="455"/>
      <c r="Y20" s="462"/>
      <c r="Z20" s="462"/>
    </row>
    <row r="21" spans="1:42" s="143" customFormat="1" x14ac:dyDescent="0.35">
      <c r="B21" s="456"/>
      <c r="C21" s="458"/>
      <c r="D21" s="458"/>
      <c r="E21" s="458"/>
      <c r="H21" s="176"/>
      <c r="L21" s="460"/>
      <c r="N21" s="463"/>
      <c r="O21" s="463"/>
      <c r="P21" s="463"/>
      <c r="Q21" s="463"/>
      <c r="R21" s="463"/>
      <c r="S21" s="463"/>
      <c r="T21" s="463"/>
      <c r="U21" s="463"/>
      <c r="V21" s="463"/>
      <c r="W21" s="463"/>
      <c r="X21" s="463"/>
      <c r="Y21" s="463"/>
      <c r="Z21" s="463"/>
    </row>
    <row r="22" spans="1:42" s="464" customFormat="1" x14ac:dyDescent="0.35">
      <c r="A22" s="2"/>
      <c r="B22" s="788" t="s">
        <v>11</v>
      </c>
      <c r="C22" s="789"/>
      <c r="D22" s="790"/>
      <c r="E22" s="2"/>
      <c r="F22" s="449"/>
      <c r="G22" s="444"/>
      <c r="H22" s="717"/>
      <c r="I22" s="786" t="s">
        <v>36</v>
      </c>
      <c r="J22" s="787"/>
      <c r="K22" s="787"/>
      <c r="L22" s="466"/>
      <c r="M22" s="52"/>
      <c r="N22" s="54">
        <v>220</v>
      </c>
      <c r="O22" s="54">
        <v>219</v>
      </c>
      <c r="P22" s="55">
        <v>219</v>
      </c>
      <c r="Q22" s="54">
        <v>220</v>
      </c>
      <c r="R22" s="55">
        <v>220</v>
      </c>
      <c r="S22" s="54">
        <v>219</v>
      </c>
      <c r="T22" s="56">
        <v>219</v>
      </c>
      <c r="U22" s="57" t="s">
        <v>37</v>
      </c>
      <c r="V22" s="57" t="s">
        <v>37</v>
      </c>
      <c r="W22" s="58" t="s">
        <v>37</v>
      </c>
      <c r="X22" s="58" t="s">
        <v>37</v>
      </c>
      <c r="Y22" s="59" t="s">
        <v>38</v>
      </c>
      <c r="Z22" s="60" t="s">
        <v>38</v>
      </c>
      <c r="AA22" s="467"/>
    </row>
    <row r="23" spans="1:42" x14ac:dyDescent="0.35">
      <c r="A23" s="6" t="s">
        <v>0</v>
      </c>
      <c r="B23" s="7" t="s">
        <v>1</v>
      </c>
      <c r="C23" s="6" t="s">
        <v>154</v>
      </c>
      <c r="D23" s="6" t="s">
        <v>153</v>
      </c>
      <c r="E23" s="710"/>
      <c r="F23" s="450" t="s">
        <v>7</v>
      </c>
      <c r="G23" s="448"/>
      <c r="H23" s="715"/>
      <c r="I23" s="468" t="s">
        <v>158</v>
      </c>
      <c r="J23" s="469" t="s">
        <v>159</v>
      </c>
      <c r="K23" s="470" t="s">
        <v>160</v>
      </c>
      <c r="M23" s="443"/>
      <c r="N23" s="61" t="s">
        <v>34</v>
      </c>
      <c r="O23" s="61" t="s">
        <v>34</v>
      </c>
      <c r="P23" s="62" t="s">
        <v>34</v>
      </c>
      <c r="Q23" s="61" t="s">
        <v>39</v>
      </c>
      <c r="R23" s="62" t="s">
        <v>39</v>
      </c>
      <c r="S23" s="61" t="s">
        <v>40</v>
      </c>
      <c r="T23" s="63" t="s">
        <v>40</v>
      </c>
      <c r="U23" s="64">
        <v>220</v>
      </c>
      <c r="V23" s="64">
        <v>219</v>
      </c>
      <c r="W23" s="65">
        <v>220</v>
      </c>
      <c r="X23" s="65">
        <v>219</v>
      </c>
      <c r="Y23" s="66">
        <v>220</v>
      </c>
      <c r="Z23" s="67">
        <v>219</v>
      </c>
    </row>
    <row r="24" spans="1:42" s="464" customFormat="1" x14ac:dyDescent="0.35">
      <c r="A24" s="464" t="s">
        <v>145</v>
      </c>
      <c r="B24" s="471">
        <v>44353</v>
      </c>
      <c r="C24" s="465">
        <v>0.45915509259259263</v>
      </c>
      <c r="D24" s="465">
        <f t="shared" si="12"/>
        <v>0.37582175925925931</v>
      </c>
      <c r="E24" s="713"/>
      <c r="F24" s="488" t="s">
        <v>8</v>
      </c>
      <c r="G24" s="445"/>
      <c r="H24" s="718"/>
      <c r="I24" s="472">
        <v>9.0999999999999998E-2</v>
      </c>
      <c r="J24" s="473">
        <v>0.96</v>
      </c>
      <c r="K24" s="472">
        <v>3.2469999999999999</v>
      </c>
      <c r="L24" s="474" t="s">
        <v>28</v>
      </c>
      <c r="M24" s="53"/>
      <c r="N24" s="475">
        <f t="shared" ref="N24:N39" si="18">((K24-J24-I24)^2*0.01)/(1-((K24-J24-I24)*0.01))</f>
        <v>4.9306940411435102E-2</v>
      </c>
      <c r="O24" s="475">
        <f t="shared" ref="O24:O39" si="19">((K24-J24-I24)^2*0.000093)/(1-((K24-J24-I24)*0.000093))</f>
        <v>4.4857629984056368E-4</v>
      </c>
      <c r="P24" s="475">
        <f t="shared" ref="P24:P39" si="20">((K24-N24-I24)^2*0.000093)/(1-((K24-N24-I24)*0.000093))</f>
        <v>8.9785279411719885E-4</v>
      </c>
      <c r="Q24" s="476">
        <f t="shared" ref="Q24:Q39" si="21">((1.6*(I24-O24))^2*0.01)/((1-(1.6*(I24-O24))*0.01))</f>
        <v>2.102133063803958E-4</v>
      </c>
      <c r="R24" s="476">
        <f t="shared" ref="R24:R39" si="22">((1.6*(I24-P24))^2*0.01)/((1-(1.6*(I24-P24))*0.01))</f>
        <v>2.0813101025121092E-4</v>
      </c>
      <c r="S24" s="475">
        <f t="shared" ref="S24:S39" si="23">J24*0.0255</f>
        <v>2.4479999999999998E-2</v>
      </c>
      <c r="T24" s="477">
        <f t="shared" ref="T24:T39" si="24">(J24-N24)*0.0255</f>
        <v>2.3222673019508401E-2</v>
      </c>
      <c r="U24" s="475">
        <f t="shared" ref="U24:U39" si="25">J24-N24-Q24</f>
        <v>0.91048284628218445</v>
      </c>
      <c r="V24" s="475">
        <f t="shared" ref="V24:V39" si="26">I24-O24-S24</f>
        <v>6.6071423700159435E-2</v>
      </c>
      <c r="W24" s="475">
        <f t="shared" ref="W24:W39" si="27">J24-N24-R24</f>
        <v>0.91048492857831365</v>
      </c>
      <c r="X24" s="477">
        <f t="shared" ref="X24:X39" si="28">I24-P24-T24</f>
        <v>6.687947418637441E-2</v>
      </c>
      <c r="Y24" s="478">
        <f t="shared" ref="Y24:Y39" si="29">W24/$AD$3</f>
        <v>7.5246688312257323E-2</v>
      </c>
      <c r="Z24" s="478">
        <f t="shared" ref="Z24:Z39" si="30">X24/$AC$3</f>
        <v>6.7283173225728783E-3</v>
      </c>
      <c r="AA24" s="467"/>
    </row>
    <row r="25" spans="1:42" x14ac:dyDescent="0.35">
      <c r="A25" t="s">
        <v>146</v>
      </c>
      <c r="B25" s="1">
        <v>44353</v>
      </c>
      <c r="C25" s="27">
        <v>0.84752314814814822</v>
      </c>
      <c r="D25" s="27">
        <f t="shared" si="12"/>
        <v>0.76418981481481485</v>
      </c>
      <c r="E25" s="711"/>
      <c r="F25" s="489" t="s">
        <v>130</v>
      </c>
      <c r="G25" s="445"/>
      <c r="H25" s="715"/>
      <c r="I25" s="9">
        <v>3.4000000000000002E-2</v>
      </c>
      <c r="J25" s="11">
        <v>0.94699999999999995</v>
      </c>
      <c r="K25" s="50">
        <v>2.581</v>
      </c>
      <c r="L25" s="425" t="s">
        <v>28</v>
      </c>
      <c r="M25" s="53"/>
      <c r="N25" s="69">
        <f t="shared" si="18"/>
        <v>2.6016260162601623E-2</v>
      </c>
      <c r="O25" s="69">
        <f t="shared" si="19"/>
        <v>2.3811543157621848E-4</v>
      </c>
      <c r="P25" s="69">
        <f t="shared" si="20"/>
        <v>5.9118699320691195E-4</v>
      </c>
      <c r="Q25" s="68">
        <f t="shared" si="21"/>
        <v>2.9196311710148757E-5</v>
      </c>
      <c r="R25" s="68">
        <f t="shared" si="22"/>
        <v>2.8588690762566129E-5</v>
      </c>
      <c r="S25" s="69">
        <f t="shared" si="23"/>
        <v>2.4148499999999996E-2</v>
      </c>
      <c r="T25" s="81">
        <f t="shared" si="24"/>
        <v>2.3485085365853656E-2</v>
      </c>
      <c r="U25" s="69">
        <f t="shared" si="25"/>
        <v>0.92095454352568817</v>
      </c>
      <c r="V25" s="69">
        <f t="shared" si="26"/>
        <v>9.6133845684237898E-3</v>
      </c>
      <c r="W25" s="69">
        <f t="shared" si="27"/>
        <v>0.92095515114663573</v>
      </c>
      <c r="X25" s="81">
        <f t="shared" si="28"/>
        <v>9.9237276409394337E-3</v>
      </c>
      <c r="Y25" s="82">
        <f t="shared" si="29"/>
        <v>7.6111995962531875E-2</v>
      </c>
      <c r="Z25" s="82">
        <f t="shared" si="30"/>
        <v>9.9836294174440992E-4</v>
      </c>
    </row>
    <row r="26" spans="1:42" x14ac:dyDescent="0.35">
      <c r="A26" t="s">
        <v>147</v>
      </c>
      <c r="B26" s="1">
        <v>44353</v>
      </c>
      <c r="C26" s="27">
        <v>0.96650462962962969</v>
      </c>
      <c r="D26" s="27">
        <f t="shared" si="12"/>
        <v>0.88317129629629632</v>
      </c>
      <c r="E26" s="711"/>
      <c r="F26" s="489" t="s">
        <v>131</v>
      </c>
      <c r="G26" s="445"/>
      <c r="H26" s="715"/>
      <c r="I26" s="9">
        <v>1.6E-2</v>
      </c>
      <c r="J26" s="11">
        <v>0.996</v>
      </c>
      <c r="K26" s="50">
        <v>3.3119999999999998</v>
      </c>
      <c r="L26" s="425" t="s">
        <v>28</v>
      </c>
      <c r="M26" s="53"/>
      <c r="N26" s="69">
        <f t="shared" si="18"/>
        <v>5.4145342886386894E-2</v>
      </c>
      <c r="O26" s="69">
        <f t="shared" si="19"/>
        <v>4.9207525489702235E-4</v>
      </c>
      <c r="P26" s="69">
        <f t="shared" si="20"/>
        <v>9.7768957651811418E-4</v>
      </c>
      <c r="Q26" s="68">
        <f t="shared" si="21"/>
        <v>6.1582187045100331E-6</v>
      </c>
      <c r="R26" s="68">
        <f t="shared" si="22"/>
        <v>5.7785360591615693E-6</v>
      </c>
      <c r="S26" s="69">
        <f t="shared" si="23"/>
        <v>2.5397999999999997E-2</v>
      </c>
      <c r="T26" s="81">
        <f t="shared" si="24"/>
        <v>2.4017293756397131E-2</v>
      </c>
      <c r="U26" s="69">
        <f t="shared" si="25"/>
        <v>0.94184849889490851</v>
      </c>
      <c r="V26" s="69">
        <f t="shared" si="26"/>
        <v>-9.8900752548970183E-3</v>
      </c>
      <c r="W26" s="69">
        <f t="shared" si="27"/>
        <v>0.94184887857755384</v>
      </c>
      <c r="X26" s="81">
        <f t="shared" si="28"/>
        <v>-8.9949833329152455E-3</v>
      </c>
      <c r="Y26" s="82">
        <f t="shared" si="29"/>
        <v>7.7838750295665615E-2</v>
      </c>
      <c r="Z26" s="82">
        <f t="shared" si="30"/>
        <v>-9.0492790069569883E-4</v>
      </c>
    </row>
    <row r="27" spans="1:42" x14ac:dyDescent="0.35">
      <c r="A27" t="s">
        <v>148</v>
      </c>
      <c r="B27" s="1">
        <v>44354</v>
      </c>
      <c r="C27" s="27">
        <v>0.42766203703703703</v>
      </c>
      <c r="D27" s="27">
        <f t="shared" si="12"/>
        <v>0.34432870370370372</v>
      </c>
      <c r="E27" s="711"/>
      <c r="F27" s="489" t="s">
        <v>9</v>
      </c>
      <c r="G27" s="445"/>
      <c r="H27" s="715"/>
      <c r="I27" s="9">
        <v>2.5999999999999999E-2</v>
      </c>
      <c r="J27" s="11">
        <v>1.0249999999999999</v>
      </c>
      <c r="K27" s="50">
        <v>3.2810000000000001</v>
      </c>
      <c r="L27" s="425" t="s">
        <v>28</v>
      </c>
      <c r="M27" s="53"/>
      <c r="N27" s="69">
        <f t="shared" si="18"/>
        <v>5.0863250485834122E-2</v>
      </c>
      <c r="O27" s="69">
        <f t="shared" si="19"/>
        <v>4.6257563356064428E-4</v>
      </c>
      <c r="P27" s="69">
        <f t="shared" si="20"/>
        <v>9.5506838057338422E-4</v>
      </c>
      <c r="Q27" s="68">
        <f t="shared" si="21"/>
        <v>1.6702121574416685E-5</v>
      </c>
      <c r="R27" s="68">
        <f t="shared" si="22"/>
        <v>1.6064001304464207E-5</v>
      </c>
      <c r="S27" s="69">
        <f t="shared" si="23"/>
        <v>2.6137499999999998E-2</v>
      </c>
      <c r="T27" s="81">
        <f t="shared" si="24"/>
        <v>2.4840487112611224E-2</v>
      </c>
      <c r="U27" s="69">
        <f t="shared" si="25"/>
        <v>0.97412004739259128</v>
      </c>
      <c r="V27" s="69">
        <f t="shared" si="26"/>
        <v>-6.0007563356064345E-4</v>
      </c>
      <c r="W27" s="69">
        <f t="shared" si="27"/>
        <v>0.97412068551286124</v>
      </c>
      <c r="X27" s="81">
        <f t="shared" si="28"/>
        <v>2.0444450681538981E-4</v>
      </c>
      <c r="Y27" s="82">
        <f t="shared" si="29"/>
        <v>8.0505841777922416E-2</v>
      </c>
      <c r="Z27" s="82">
        <f t="shared" si="30"/>
        <v>2.0567857828510043E-5</v>
      </c>
    </row>
    <row r="28" spans="1:42" s="426" customFormat="1" x14ac:dyDescent="0.35">
      <c r="A28" s="426" t="s">
        <v>149</v>
      </c>
      <c r="B28" s="427">
        <v>44354</v>
      </c>
      <c r="C28" s="428">
        <v>0.62060185185185179</v>
      </c>
      <c r="D28" s="428">
        <f t="shared" si="12"/>
        <v>0.53726851851851842</v>
      </c>
      <c r="E28" s="712"/>
      <c r="F28" s="490" t="s">
        <v>8</v>
      </c>
      <c r="G28" s="446"/>
      <c r="H28" s="716"/>
      <c r="I28" s="430">
        <v>3.1E-2</v>
      </c>
      <c r="J28" s="431">
        <v>1.002</v>
      </c>
      <c r="K28" s="430">
        <v>3.2480000000000002</v>
      </c>
      <c r="L28" s="432" t="s">
        <v>28</v>
      </c>
      <c r="M28" s="429"/>
      <c r="N28" s="433">
        <f t="shared" si="18"/>
        <v>5.0173595132177749E-2</v>
      </c>
      <c r="O28" s="433">
        <f t="shared" si="19"/>
        <v>4.5637293554285719E-4</v>
      </c>
      <c r="P28" s="433">
        <f t="shared" si="20"/>
        <v>9.3295218978633489E-4</v>
      </c>
      <c r="Q28" s="434">
        <f t="shared" si="21"/>
        <v>2.3894253823711952E-5</v>
      </c>
      <c r="R28" s="434">
        <f t="shared" si="22"/>
        <v>2.3154239392920244E-5</v>
      </c>
      <c r="S28" s="433">
        <f t="shared" si="23"/>
        <v>2.5550999999999997E-2</v>
      </c>
      <c r="T28" s="435">
        <f t="shared" si="24"/>
        <v>2.4271573324129464E-2</v>
      </c>
      <c r="U28" s="433">
        <f t="shared" si="25"/>
        <v>0.95180251061399845</v>
      </c>
      <c r="V28" s="433">
        <f t="shared" si="26"/>
        <v>4.992627064457144E-3</v>
      </c>
      <c r="W28" s="433">
        <f t="shared" si="27"/>
        <v>0.9518032506284293</v>
      </c>
      <c r="X28" s="435">
        <f t="shared" si="28"/>
        <v>5.7954744860842025E-3</v>
      </c>
      <c r="Y28" s="436">
        <f t="shared" si="29"/>
        <v>7.8661425671771021E-2</v>
      </c>
      <c r="Z28" s="436">
        <f t="shared" si="30"/>
        <v>5.8304572294609689E-4</v>
      </c>
      <c r="AA28" s="416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</row>
    <row r="29" spans="1:42" x14ac:dyDescent="0.35">
      <c r="A29" s="5" t="s">
        <v>161</v>
      </c>
      <c r="B29" s="1">
        <v>44376</v>
      </c>
      <c r="C29" s="27">
        <v>0.50521990740740741</v>
      </c>
      <c r="D29" s="27">
        <f t="shared" si="12"/>
        <v>0.42188657407407409</v>
      </c>
      <c r="E29" s="711"/>
      <c r="F29" s="449" t="s">
        <v>9</v>
      </c>
      <c r="G29" s="447"/>
      <c r="H29" s="715"/>
      <c r="I29" s="9">
        <v>1.7000000000000001E-2</v>
      </c>
      <c r="J29" s="11">
        <v>0.874</v>
      </c>
      <c r="K29" s="50">
        <v>2.573</v>
      </c>
      <c r="L29" s="425" t="s">
        <v>28</v>
      </c>
      <c r="M29" s="391"/>
      <c r="N29" s="69">
        <f t="shared" si="18"/>
        <v>2.8775239528875687E-2</v>
      </c>
      <c r="O29" s="69">
        <f t="shared" si="19"/>
        <v>2.6314969545426108E-4</v>
      </c>
      <c r="P29" s="69">
        <f t="shared" si="20"/>
        <v>5.9411808076723018E-4</v>
      </c>
      <c r="Q29" s="68">
        <f t="shared" si="21"/>
        <v>7.1730481155099705E-6</v>
      </c>
      <c r="R29" s="68">
        <f t="shared" si="22"/>
        <v>6.8921249578355974E-6</v>
      </c>
      <c r="S29" s="69">
        <f t="shared" si="23"/>
        <v>2.2286999999999998E-2</v>
      </c>
      <c r="T29" s="81">
        <f t="shared" si="24"/>
        <v>2.1553231392013667E-2</v>
      </c>
      <c r="U29" s="69">
        <f t="shared" si="25"/>
        <v>0.84521758742300879</v>
      </c>
      <c r="V29" s="69">
        <f t="shared" si="26"/>
        <v>-5.5501496954542574E-3</v>
      </c>
      <c r="W29" s="69">
        <f t="shared" si="27"/>
        <v>0.84521786834616641</v>
      </c>
      <c r="X29" s="81">
        <f t="shared" si="28"/>
        <v>-5.1473494727808967E-3</v>
      </c>
      <c r="Y29" s="82">
        <f t="shared" si="29"/>
        <v>6.9852716392245162E-2</v>
      </c>
      <c r="Z29" s="82">
        <f t="shared" si="30"/>
        <v>-5.1784199927373212E-4</v>
      </c>
    </row>
    <row r="30" spans="1:42" s="426" customFormat="1" x14ac:dyDescent="0.35">
      <c r="A30" s="439" t="s">
        <v>164</v>
      </c>
      <c r="B30" s="427">
        <v>44377</v>
      </c>
      <c r="C30" s="428">
        <v>0.53407407407407403</v>
      </c>
      <c r="D30" s="428">
        <f t="shared" si="12"/>
        <v>0.45074074074074072</v>
      </c>
      <c r="E30" s="712"/>
      <c r="F30" s="452" t="s">
        <v>8</v>
      </c>
      <c r="G30" s="446"/>
      <c r="H30" s="716"/>
      <c r="I30" s="430">
        <v>5.5E-2</v>
      </c>
      <c r="J30" s="431">
        <v>1.268</v>
      </c>
      <c r="K30" s="430">
        <v>3.226</v>
      </c>
      <c r="L30" s="432" t="s">
        <v>28</v>
      </c>
      <c r="M30" s="429"/>
      <c r="N30" s="433">
        <f t="shared" si="18"/>
        <v>3.6916613148210445E-2</v>
      </c>
      <c r="O30" s="433">
        <f t="shared" si="19"/>
        <v>3.3685065249162733E-4</v>
      </c>
      <c r="P30" s="433">
        <f t="shared" si="20"/>
        <v>9.1375684932883811E-4</v>
      </c>
      <c r="Q30" s="434">
        <f t="shared" si="21"/>
        <v>7.6561294656397603E-5</v>
      </c>
      <c r="R30" s="434">
        <f t="shared" si="22"/>
        <v>7.4953098376789447E-5</v>
      </c>
      <c r="S30" s="433">
        <f t="shared" si="23"/>
        <v>3.2334000000000002E-2</v>
      </c>
      <c r="T30" s="435">
        <f t="shared" si="24"/>
        <v>3.1392626364720636E-2</v>
      </c>
      <c r="U30" s="433">
        <f t="shared" si="25"/>
        <v>1.2310068255571331</v>
      </c>
      <c r="V30" s="433">
        <f t="shared" si="26"/>
        <v>2.2329149347508369E-2</v>
      </c>
      <c r="W30" s="433">
        <f t="shared" si="27"/>
        <v>1.2310084337534128</v>
      </c>
      <c r="X30" s="435">
        <f t="shared" si="28"/>
        <v>2.2693616785950527E-2</v>
      </c>
      <c r="Y30" s="436">
        <f t="shared" si="29"/>
        <v>0.10173623419449693</v>
      </c>
      <c r="Z30" s="436">
        <f t="shared" si="30"/>
        <v>2.283060038828021E-3</v>
      </c>
      <c r="AA30" s="416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</row>
    <row r="31" spans="1:42" x14ac:dyDescent="0.35">
      <c r="A31" s="5" t="s">
        <v>165</v>
      </c>
      <c r="B31" s="1">
        <v>44475</v>
      </c>
      <c r="C31" s="27">
        <v>0.43342592592592594</v>
      </c>
      <c r="D31" s="27">
        <f t="shared" si="12"/>
        <v>0.35009259259259262</v>
      </c>
      <c r="E31" s="711"/>
      <c r="F31" s="449" t="s">
        <v>8</v>
      </c>
      <c r="G31" s="447"/>
      <c r="H31" s="715"/>
      <c r="I31" s="9">
        <v>4.5999999999999999E-2</v>
      </c>
      <c r="J31" s="11">
        <v>0.94199999999999995</v>
      </c>
      <c r="K31" s="50">
        <v>2.552</v>
      </c>
      <c r="L31" s="425" t="s">
        <v>28</v>
      </c>
      <c r="M31" s="391"/>
      <c r="N31" s="69">
        <f t="shared" si="18"/>
        <v>2.4849607867040518E-2</v>
      </c>
      <c r="O31" s="69">
        <f t="shared" si="19"/>
        <v>2.2752002124212976E-4</v>
      </c>
      <c r="P31" s="69">
        <f t="shared" si="20"/>
        <v>5.7265011324741596E-4</v>
      </c>
      <c r="Q31" s="68">
        <f t="shared" si="21"/>
        <v>5.3674378990191458E-5</v>
      </c>
      <c r="R31" s="68">
        <f t="shared" si="22"/>
        <v>5.2867715657446214E-5</v>
      </c>
      <c r="S31" s="69">
        <f t="shared" si="23"/>
        <v>2.4020999999999997E-2</v>
      </c>
      <c r="T31" s="81">
        <f t="shared" si="24"/>
        <v>2.3387334999390465E-2</v>
      </c>
      <c r="U31" s="69">
        <f t="shared" si="25"/>
        <v>0.91709671775396928</v>
      </c>
      <c r="V31" s="69">
        <f t="shared" si="26"/>
        <v>2.1751479978757874E-2</v>
      </c>
      <c r="W31" s="69">
        <f t="shared" si="27"/>
        <v>0.91709752441730197</v>
      </c>
      <c r="X31" s="81">
        <f t="shared" si="28"/>
        <v>2.2040014887362114E-2</v>
      </c>
      <c r="Y31" s="82">
        <f t="shared" si="29"/>
        <v>7.5793183836140657E-2</v>
      </c>
      <c r="Z31" s="82">
        <f t="shared" si="30"/>
        <v>2.2173053206601726E-3</v>
      </c>
    </row>
    <row r="32" spans="1:42" x14ac:dyDescent="0.35">
      <c r="A32" s="5" t="s">
        <v>168</v>
      </c>
      <c r="B32" s="1">
        <v>44504</v>
      </c>
      <c r="C32" s="27">
        <v>0.49710648148148145</v>
      </c>
      <c r="D32" s="27">
        <f>C32-$AB$4</f>
        <v>0.45543981481481477</v>
      </c>
      <c r="E32" s="711"/>
      <c r="F32" s="449" t="s">
        <v>8</v>
      </c>
      <c r="G32" s="445"/>
      <c r="H32" s="715"/>
      <c r="I32" s="9">
        <v>3.5999999999999997E-2</v>
      </c>
      <c r="J32" s="11">
        <v>0.75</v>
      </c>
      <c r="K32" s="50">
        <v>2.214</v>
      </c>
      <c r="L32" s="425" t="s">
        <v>28</v>
      </c>
      <c r="M32" s="53"/>
      <c r="N32" s="69">
        <f t="shared" si="18"/>
        <v>2.0687253986933406E-2</v>
      </c>
      <c r="O32" s="69">
        <f t="shared" si="19"/>
        <v>1.8966930084182899E-4</v>
      </c>
      <c r="P32" s="69">
        <f t="shared" si="20"/>
        <v>4.3290869493069607E-4</v>
      </c>
      <c r="Q32" s="68">
        <f t="shared" si="21"/>
        <v>3.2847743107140796E-5</v>
      </c>
      <c r="R32" s="68">
        <f t="shared" si="22"/>
        <v>3.2402900018376327E-5</v>
      </c>
      <c r="S32" s="69">
        <f t="shared" si="23"/>
        <v>1.9125E-2</v>
      </c>
      <c r="T32" s="81">
        <f t="shared" si="24"/>
        <v>1.8597475023333199E-2</v>
      </c>
      <c r="U32" s="69">
        <f t="shared" si="25"/>
        <v>0.72927989826995943</v>
      </c>
      <c r="V32" s="69">
        <f t="shared" si="26"/>
        <v>1.6685330699158171E-2</v>
      </c>
      <c r="W32" s="69">
        <f t="shared" si="27"/>
        <v>0.72928034311304824</v>
      </c>
      <c r="X32" s="81">
        <f t="shared" si="28"/>
        <v>1.69696162817361E-2</v>
      </c>
      <c r="Y32" s="82">
        <f t="shared" si="29"/>
        <v>6.027110273661556E-2</v>
      </c>
      <c r="Z32" s="82">
        <f t="shared" si="30"/>
        <v>1.7072048573175151E-3</v>
      </c>
    </row>
    <row r="33" spans="1:42" x14ac:dyDescent="0.35">
      <c r="A33" s="5" t="s">
        <v>170</v>
      </c>
      <c r="B33" s="1">
        <v>44504</v>
      </c>
      <c r="C33" s="27">
        <v>0.53819444444444442</v>
      </c>
      <c r="D33" s="27">
        <f t="shared" ref="D33:D34" si="31">C33-$AB$4</f>
        <v>0.49652777777777773</v>
      </c>
      <c r="E33" s="711"/>
      <c r="F33" s="449" t="s">
        <v>130</v>
      </c>
      <c r="G33" s="445"/>
      <c r="H33" s="715"/>
      <c r="I33" s="9">
        <v>1.7999999999999999E-2</v>
      </c>
      <c r="J33" s="11">
        <v>0.879</v>
      </c>
      <c r="K33" s="50">
        <v>2.4289999999999998</v>
      </c>
      <c r="L33" s="425" t="s">
        <v>28</v>
      </c>
      <c r="M33" s="53"/>
      <c r="N33" s="69">
        <f t="shared" si="18"/>
        <v>2.3835398301986426E-2</v>
      </c>
      <c r="O33" s="69">
        <f t="shared" si="19"/>
        <v>2.1830433512845168E-4</v>
      </c>
      <c r="P33" s="69">
        <f t="shared" si="20"/>
        <v>5.3008328154304884E-4</v>
      </c>
      <c r="Q33" s="68">
        <f t="shared" si="21"/>
        <v>8.0967343170317347E-6</v>
      </c>
      <c r="R33" s="68">
        <f t="shared" si="22"/>
        <v>7.8152530569560532E-6</v>
      </c>
      <c r="S33" s="69">
        <f t="shared" si="23"/>
        <v>2.2414499999999997E-2</v>
      </c>
      <c r="T33" s="81">
        <f t="shared" si="24"/>
        <v>2.1806697343299344E-2</v>
      </c>
      <c r="U33" s="69">
        <f t="shared" si="25"/>
        <v>0.85515650496369655</v>
      </c>
      <c r="V33" s="69">
        <f t="shared" si="26"/>
        <v>-4.6328043351284501E-3</v>
      </c>
      <c r="W33" s="69">
        <f t="shared" si="27"/>
        <v>0.85515678644495663</v>
      </c>
      <c r="X33" s="81">
        <f t="shared" si="28"/>
        <v>-4.336780624842395E-3</v>
      </c>
      <c r="Y33" s="82">
        <f t="shared" si="29"/>
        <v>7.0674114582227818E-2</v>
      </c>
      <c r="Z33" s="82">
        <f t="shared" si="30"/>
        <v>-4.3629583750929527E-4</v>
      </c>
    </row>
    <row r="34" spans="1:42" s="426" customFormat="1" x14ac:dyDescent="0.35">
      <c r="A34" s="439" t="s">
        <v>172</v>
      </c>
      <c r="B34" s="427">
        <v>44508</v>
      </c>
      <c r="C34" s="428">
        <v>0.45590277777777777</v>
      </c>
      <c r="D34" s="438">
        <f t="shared" si="31"/>
        <v>0.41423611111111108</v>
      </c>
      <c r="E34" s="714"/>
      <c r="F34" s="452" t="s">
        <v>130</v>
      </c>
      <c r="G34" s="446"/>
      <c r="H34" s="716"/>
      <c r="I34" s="430">
        <v>3.5000000000000003E-2</v>
      </c>
      <c r="J34" s="431">
        <v>0.75600000000000001</v>
      </c>
      <c r="K34" s="430">
        <v>2.633</v>
      </c>
      <c r="L34" s="432" t="s">
        <v>28</v>
      </c>
      <c r="M34" s="429"/>
      <c r="N34" s="433">
        <f t="shared" si="18"/>
        <v>3.4566352207665199E-2</v>
      </c>
      <c r="O34" s="433">
        <f t="shared" si="19"/>
        <v>3.1559971612497053E-4</v>
      </c>
      <c r="P34" s="433">
        <f t="shared" si="20"/>
        <v>6.1126658774146136E-4</v>
      </c>
      <c r="Q34" s="434">
        <f t="shared" si="21"/>
        <v>3.0814095444865736E-5</v>
      </c>
      <c r="R34" s="434">
        <f t="shared" si="22"/>
        <v>3.0290842253089504E-5</v>
      </c>
      <c r="S34" s="433">
        <f t="shared" si="23"/>
        <v>1.9278E-2</v>
      </c>
      <c r="T34" s="435">
        <f t="shared" si="24"/>
        <v>1.8396558018704535E-2</v>
      </c>
      <c r="U34" s="433">
        <f t="shared" si="25"/>
        <v>0.72140283369688984</v>
      </c>
      <c r="V34" s="433">
        <f t="shared" si="26"/>
        <v>1.5406400283875032E-2</v>
      </c>
      <c r="W34" s="433">
        <f t="shared" si="27"/>
        <v>0.72140335695008162</v>
      </c>
      <c r="X34" s="435">
        <f t="shared" si="28"/>
        <v>1.599217539355401E-2</v>
      </c>
      <c r="Y34" s="436">
        <f t="shared" si="29"/>
        <v>5.9620112144634849E-2</v>
      </c>
      <c r="Z34" s="436">
        <f t="shared" si="30"/>
        <v>1.6088707639390352E-3</v>
      </c>
      <c r="AA34" s="416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</row>
    <row r="35" spans="1:42" x14ac:dyDescent="0.35">
      <c r="A35" s="5" t="s">
        <v>174</v>
      </c>
      <c r="B35" s="1">
        <v>44519</v>
      </c>
      <c r="C35" s="27">
        <v>0.37965277777777778</v>
      </c>
      <c r="D35" s="27">
        <f>C35-$AB$4</f>
        <v>0.3379861111111111</v>
      </c>
      <c r="E35" s="711"/>
      <c r="F35" s="449" t="s">
        <v>9</v>
      </c>
      <c r="G35" s="447"/>
      <c r="H35" s="715"/>
      <c r="I35" s="9">
        <v>1.2999999999999999E-2</v>
      </c>
      <c r="J35" s="11">
        <v>1.02</v>
      </c>
      <c r="K35" s="50">
        <v>2.9329999999999998</v>
      </c>
      <c r="L35" s="425" t="s">
        <v>28</v>
      </c>
      <c r="M35" s="391"/>
      <c r="N35" s="69">
        <f t="shared" si="18"/>
        <v>3.6799184505606528E-2</v>
      </c>
      <c r="O35" s="69">
        <f t="shared" si="19"/>
        <v>3.3578933397531341E-4</v>
      </c>
      <c r="P35" s="69">
        <f t="shared" si="20"/>
        <v>7.7330211708187806E-4</v>
      </c>
      <c r="Q35" s="68">
        <f t="shared" si="21"/>
        <v>4.106617246967453E-6</v>
      </c>
      <c r="R35" s="68">
        <f t="shared" si="22"/>
        <v>3.8277476240963057E-6</v>
      </c>
      <c r="S35" s="69">
        <f t="shared" si="23"/>
        <v>2.6009999999999998E-2</v>
      </c>
      <c r="T35" s="81">
        <f t="shared" si="24"/>
        <v>2.5071620795107035E-2</v>
      </c>
      <c r="U35" s="69">
        <f t="shared" si="25"/>
        <v>0.98319670887714661</v>
      </c>
      <c r="V35" s="69">
        <f t="shared" si="26"/>
        <v>-1.3345789333975313E-2</v>
      </c>
      <c r="W35" s="69">
        <f t="shared" si="27"/>
        <v>0.98319698774676945</v>
      </c>
      <c r="X35" s="81">
        <f t="shared" si="28"/>
        <v>-1.2844922912188913E-2</v>
      </c>
      <c r="Y35" s="82">
        <f t="shared" si="29"/>
        <v>8.1255949400559455E-2</v>
      </c>
      <c r="Z35" s="82">
        <f t="shared" si="30"/>
        <v>-1.292245765813774E-3</v>
      </c>
    </row>
    <row r="36" spans="1:42" x14ac:dyDescent="0.35">
      <c r="A36" s="5" t="s">
        <v>175</v>
      </c>
      <c r="B36" s="1">
        <v>44522</v>
      </c>
      <c r="C36" s="27">
        <v>0.41525462962962961</v>
      </c>
      <c r="D36" s="27">
        <f>C36-$AB$4</f>
        <v>0.37358796296296293</v>
      </c>
      <c r="E36" s="711"/>
      <c r="F36" s="449" t="s">
        <v>131</v>
      </c>
      <c r="G36" s="445"/>
      <c r="H36" s="715"/>
      <c r="I36" s="9">
        <v>3.3000000000000002E-2</v>
      </c>
      <c r="J36" s="11">
        <v>1.0109999999999999</v>
      </c>
      <c r="K36" s="50">
        <v>3.004</v>
      </c>
      <c r="L36" s="425" t="s">
        <v>28</v>
      </c>
      <c r="M36" s="53"/>
      <c r="N36" s="69">
        <f t="shared" si="18"/>
        <v>3.9184006527947783E-2</v>
      </c>
      <c r="O36" s="69">
        <f t="shared" si="19"/>
        <v>3.5733393482964077E-4</v>
      </c>
      <c r="P36" s="69">
        <f t="shared" si="20"/>
        <v>7.99603705877602E-4</v>
      </c>
      <c r="Q36" s="68">
        <f t="shared" si="21"/>
        <v>2.7292171612667286E-5</v>
      </c>
      <c r="R36" s="68">
        <f t="shared" si="22"/>
        <v>2.655743991179789E-5</v>
      </c>
      <c r="S36" s="69">
        <f t="shared" si="23"/>
        <v>2.5780499999999994E-2</v>
      </c>
      <c r="T36" s="81">
        <f t="shared" si="24"/>
        <v>2.4781307833537328E-2</v>
      </c>
      <c r="U36" s="69">
        <f t="shared" si="25"/>
        <v>0.97178870130043948</v>
      </c>
      <c r="V36" s="69">
        <f t="shared" si="26"/>
        <v>6.8621660651703685E-3</v>
      </c>
      <c r="W36" s="69">
        <f t="shared" si="27"/>
        <v>0.97178943603214041</v>
      </c>
      <c r="X36" s="81">
        <f t="shared" si="28"/>
        <v>7.4190884605850708E-3</v>
      </c>
      <c r="Y36" s="82">
        <f t="shared" si="29"/>
        <v>8.0313176531581848E-2</v>
      </c>
      <c r="Z36" s="82">
        <f t="shared" si="30"/>
        <v>7.4638716907294482E-4</v>
      </c>
    </row>
    <row r="37" spans="1:42" x14ac:dyDescent="0.35">
      <c r="A37" s="5" t="s">
        <v>178</v>
      </c>
      <c r="B37" s="1">
        <v>44523</v>
      </c>
      <c r="C37" s="27">
        <v>0.41047453703703707</v>
      </c>
      <c r="D37" s="27">
        <f>C37-$AB$4</f>
        <v>0.36880787037037038</v>
      </c>
      <c r="E37" s="711"/>
      <c r="F37" s="449" t="s">
        <v>130</v>
      </c>
      <c r="G37" s="445"/>
      <c r="H37" s="715"/>
      <c r="I37" s="9">
        <v>2.8000000000000001E-2</v>
      </c>
      <c r="J37" s="11">
        <v>0.86099999999999999</v>
      </c>
      <c r="K37" s="50">
        <v>2.5089999999999999</v>
      </c>
      <c r="L37" s="425" t="s">
        <v>28</v>
      </c>
      <c r="M37" s="53"/>
      <c r="N37" s="69">
        <f t="shared" si="18"/>
        <v>2.6676153689774339E-2</v>
      </c>
      <c r="O37" s="69">
        <f t="shared" si="19"/>
        <v>2.4410597700649575E-4</v>
      </c>
      <c r="P37" s="69">
        <f t="shared" si="20"/>
        <v>5.603325125413404E-4</v>
      </c>
      <c r="Q37" s="68">
        <f t="shared" si="21"/>
        <v>1.9730737425312114E-5</v>
      </c>
      <c r="R37" s="68">
        <f t="shared" si="22"/>
        <v>1.9283611180710874E-5</v>
      </c>
      <c r="S37" s="69">
        <f t="shared" si="23"/>
        <v>2.1955499999999999E-2</v>
      </c>
      <c r="T37" s="81">
        <f t="shared" si="24"/>
        <v>2.1275258080910752E-2</v>
      </c>
      <c r="U37" s="69">
        <f t="shared" si="25"/>
        <v>0.83430411557280026</v>
      </c>
      <c r="V37" s="69">
        <f t="shared" si="26"/>
        <v>5.8003940229935068E-3</v>
      </c>
      <c r="W37" s="69">
        <f t="shared" si="27"/>
        <v>0.83430456269904485</v>
      </c>
      <c r="X37" s="81">
        <f t="shared" si="28"/>
        <v>6.1644094065479091E-3</v>
      </c>
      <c r="Y37" s="82">
        <f t="shared" si="29"/>
        <v>6.8950790305706194E-2</v>
      </c>
      <c r="Z37" s="82">
        <f t="shared" si="30"/>
        <v>6.2016191212755625E-4</v>
      </c>
    </row>
    <row r="38" spans="1:42" x14ac:dyDescent="0.35">
      <c r="A38" s="5" t="s">
        <v>181</v>
      </c>
      <c r="B38" s="1">
        <v>44663</v>
      </c>
      <c r="C38" s="27">
        <v>0.31451388888888893</v>
      </c>
      <c r="D38" s="27">
        <f>C38-$AB$3</f>
        <v>0.23118055555555561</v>
      </c>
      <c r="E38" s="711"/>
      <c r="F38" s="449" t="s">
        <v>130</v>
      </c>
      <c r="G38" s="445"/>
      <c r="H38" s="715"/>
      <c r="I38" s="9">
        <v>2.5999999999999999E-2</v>
      </c>
      <c r="J38" s="11">
        <v>0.84299999999999997</v>
      </c>
      <c r="K38" s="50">
        <v>2.6309999999999998</v>
      </c>
      <c r="L38" s="425" t="s">
        <v>28</v>
      </c>
      <c r="M38" s="53"/>
      <c r="N38" s="69">
        <f t="shared" si="18"/>
        <v>3.1603289969258319E-2</v>
      </c>
      <c r="O38" s="69">
        <f t="shared" si="19"/>
        <v>2.8877921309453287E-4</v>
      </c>
      <c r="P38" s="69">
        <f t="shared" si="20"/>
        <v>6.1602789975718369E-4</v>
      </c>
      <c r="Q38" s="68">
        <f t="shared" si="21"/>
        <v>1.6930276752773976E-5</v>
      </c>
      <c r="R38" s="68">
        <f t="shared" si="22"/>
        <v>1.6501960778391159E-5</v>
      </c>
      <c r="S38" s="69">
        <f t="shared" si="23"/>
        <v>2.1496499999999998E-2</v>
      </c>
      <c r="T38" s="81">
        <f t="shared" si="24"/>
        <v>2.0690616105783911E-2</v>
      </c>
      <c r="U38" s="69">
        <f t="shared" si="25"/>
        <v>0.81137977975398889</v>
      </c>
      <c r="V38" s="69">
        <f t="shared" si="26"/>
        <v>4.2147207869054661E-3</v>
      </c>
      <c r="W38" s="69">
        <f t="shared" si="27"/>
        <v>0.81138020806996325</v>
      </c>
      <c r="X38" s="81">
        <f t="shared" si="28"/>
        <v>4.6933559944589039E-3</v>
      </c>
      <c r="Y38" s="82">
        <f t="shared" si="29"/>
        <v>6.705621554297217E-2</v>
      </c>
      <c r="Z38" s="82">
        <f t="shared" si="30"/>
        <v>4.7216861111256579E-4</v>
      </c>
    </row>
    <row r="39" spans="1:42" x14ac:dyDescent="0.35">
      <c r="A39" s="5" t="s">
        <v>182</v>
      </c>
      <c r="B39" s="1">
        <v>44672</v>
      </c>
      <c r="C39" s="27">
        <v>0.34453703703703703</v>
      </c>
      <c r="D39" s="27">
        <f>C39-$AB$3</f>
        <v>0.26120370370370372</v>
      </c>
      <c r="E39" s="711"/>
      <c r="F39" s="449" t="s">
        <v>8</v>
      </c>
      <c r="G39" s="445"/>
      <c r="H39" s="715"/>
      <c r="I39" s="9">
        <v>1.7999999999999999E-2</v>
      </c>
      <c r="J39" s="11">
        <v>0.76300000000000001</v>
      </c>
      <c r="K39" s="50">
        <v>2.5179999999999998</v>
      </c>
      <c r="L39" s="425" t="s">
        <v>28</v>
      </c>
      <c r="M39" s="53"/>
      <c r="N39" s="69">
        <f t="shared" si="18"/>
        <v>3.0705036483722251E-2</v>
      </c>
      <c r="O39" s="69">
        <f t="shared" si="19"/>
        <v>2.8064205219775399E-4</v>
      </c>
      <c r="P39" s="69">
        <f t="shared" si="20"/>
        <v>5.6719009041268338E-4</v>
      </c>
      <c r="Q39" s="68">
        <f t="shared" si="21"/>
        <v>8.0400559737834891E-6</v>
      </c>
      <c r="R39" s="68">
        <f t="shared" si="22"/>
        <v>7.782083867821719E-6</v>
      </c>
      <c r="S39" s="69">
        <f t="shared" si="23"/>
        <v>1.9456499999999998E-2</v>
      </c>
      <c r="T39" s="81">
        <f t="shared" si="24"/>
        <v>1.8673521569665081E-2</v>
      </c>
      <c r="U39" s="69">
        <f t="shared" si="25"/>
        <v>0.732286923460304</v>
      </c>
      <c r="V39" s="69">
        <f t="shared" si="26"/>
        <v>-1.7371420521977536E-3</v>
      </c>
      <c r="W39" s="69">
        <f t="shared" si="27"/>
        <v>0.73228718143240989</v>
      </c>
      <c r="X39" s="81">
        <f t="shared" si="28"/>
        <v>-1.2407116600777653E-3</v>
      </c>
      <c r="Y39" s="82">
        <f t="shared" si="29"/>
        <v>6.0519601771273544E-2</v>
      </c>
      <c r="Z39" s="82">
        <f t="shared" si="30"/>
        <v>-1.2482008652693816E-4</v>
      </c>
    </row>
    <row r="40" spans="1:42" x14ac:dyDescent="0.35">
      <c r="C40" s="27"/>
      <c r="D40" s="27"/>
      <c r="E40" s="711"/>
    </row>
    <row r="41" spans="1:42" x14ac:dyDescent="0.35">
      <c r="C41" s="27"/>
      <c r="D41" s="27"/>
      <c r="E41" s="711"/>
    </row>
    <row r="42" spans="1:42" x14ac:dyDescent="0.35">
      <c r="C42" s="27"/>
      <c r="D42" s="27"/>
      <c r="E42" s="711"/>
    </row>
  </sheetData>
  <mergeCells count="6">
    <mergeCell ref="AF6:AH6"/>
    <mergeCell ref="I22:K22"/>
    <mergeCell ref="B1:D1"/>
    <mergeCell ref="I1:K1"/>
    <mergeCell ref="B22:D22"/>
    <mergeCell ref="AC6:AE6"/>
  </mergeCells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C3" sqref="C3"/>
    </sheetView>
  </sheetViews>
  <sheetFormatPr defaultColWidth="11.1640625" defaultRowHeight="15.5" x14ac:dyDescent="0.35"/>
  <cols>
    <col min="2" max="2" width="18.33203125" bestFit="1" customWidth="1"/>
    <col min="3" max="3" width="13.6640625" bestFit="1" customWidth="1"/>
    <col min="5" max="5" width="18.6640625" customWidth="1"/>
  </cols>
  <sheetData>
    <row r="1" spans="1:5" ht="31" x14ac:dyDescent="0.35">
      <c r="B1" t="s">
        <v>21</v>
      </c>
      <c r="C1" t="s">
        <v>25</v>
      </c>
      <c r="E1" s="21" t="s">
        <v>32</v>
      </c>
    </row>
    <row r="2" spans="1:5" x14ac:dyDescent="0.35">
      <c r="A2" t="s">
        <v>22</v>
      </c>
      <c r="B2">
        <v>11.4</v>
      </c>
      <c r="C2" s="4">
        <f>LN(2)/B2</f>
        <v>6.0802384259644321E-2</v>
      </c>
      <c r="D2" s="4"/>
      <c r="E2" s="21">
        <v>1.6932378275984212</v>
      </c>
    </row>
    <row r="3" spans="1:5" x14ac:dyDescent="0.35">
      <c r="A3" t="s">
        <v>23</v>
      </c>
      <c r="B3">
        <v>3.66</v>
      </c>
      <c r="C3" s="126">
        <f>LN(2)/B3</f>
        <v>0.18938447556282656</v>
      </c>
      <c r="D3" s="4"/>
      <c r="E3" s="21">
        <v>1.6932378275984212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</vt:lpstr>
      <vt:lpstr>Count 1 </vt:lpstr>
      <vt:lpstr>Count 2</vt:lpstr>
      <vt:lpstr>Samples</vt:lpstr>
      <vt:lpstr>Blanks</vt:lpstr>
      <vt:lpstr>STDs</vt:lpstr>
      <vt:lpstr>Reference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Bryce</dc:creator>
  <cp:lastModifiedBy>Mears,  Chantal</cp:lastModifiedBy>
  <dcterms:created xsi:type="dcterms:W3CDTF">2019-09-14T17:54:07Z</dcterms:created>
  <dcterms:modified xsi:type="dcterms:W3CDTF">2022-07-07T15:15:40Z</dcterms:modified>
</cp:coreProperties>
</file>