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ce/Documents/Data/Projects/NSea_Baltic_sediment/Data/HE541 Data/Radium/"/>
    </mc:Choice>
  </mc:AlternateContent>
  <xr:revisionPtr revIDLastSave="0" documentId="13_ncr:1_{215FB8A7-B184-C04A-8F53-9F6A25F3E39E}" xr6:coauthVersionLast="47" xr6:coauthVersionMax="47" xr10:uidLastSave="{00000000-0000-0000-0000-000000000000}"/>
  <bookViews>
    <workbookView xWindow="1080" yWindow="500" windowWidth="39880" windowHeight="22540" xr2:uid="{00000000-000D-0000-FFFF-FFFF00000000}"/>
  </bookViews>
  <sheets>
    <sheet name="Summary" sheetId="10" r:id="rId1"/>
    <sheet name="Count 1 " sheetId="4" r:id="rId2"/>
    <sheet name="Count 2" sheetId="9" r:id="rId3"/>
    <sheet name="Samples" sheetId="1" r:id="rId4"/>
    <sheet name="Blanks" sheetId="8" r:id="rId5"/>
    <sheet name="STDs" sheetId="7" r:id="rId6"/>
    <sheet name="Reference" sheetId="5" r:id="rId7"/>
  </sheets>
  <definedNames>
    <definedName name="_xlnm._FilterDatabase" localSheetId="0" hidden="1">Summary!$A$2:$T$37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7" i="4" l="1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D3" i="4"/>
  <c r="BF3" i="4" l="1"/>
  <c r="BH3" i="4"/>
  <c r="BK3" i="4" s="1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N3" i="9"/>
  <c r="AM3" i="9"/>
  <c r="T3" i="9"/>
  <c r="AI3" i="9" s="1"/>
  <c r="U3" i="9"/>
  <c r="W3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F37" i="9"/>
  <c r="F36" i="9"/>
  <c r="F35" i="9"/>
  <c r="F33" i="9"/>
  <c r="F32" i="9"/>
  <c r="F31" i="9"/>
  <c r="F29" i="9"/>
  <c r="F27" i="9"/>
  <c r="F26" i="9"/>
  <c r="F25" i="9"/>
  <c r="F23" i="9"/>
  <c r="F22" i="9"/>
  <c r="F21" i="9"/>
  <c r="F20" i="9"/>
  <c r="F19" i="9"/>
  <c r="F18" i="9"/>
  <c r="F16" i="9"/>
  <c r="F15" i="9"/>
  <c r="F14" i="9"/>
  <c r="F13" i="9"/>
  <c r="F12" i="9"/>
  <c r="F11" i="9"/>
  <c r="F10" i="9"/>
  <c r="F9" i="9"/>
  <c r="F8" i="9"/>
  <c r="F7" i="9"/>
  <c r="F6" i="9"/>
  <c r="F4" i="9"/>
  <c r="F3" i="9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R24" i="4" l="1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Q3" i="4"/>
  <c r="AD3" i="4" s="1"/>
  <c r="AB3" i="4" s="1"/>
  <c r="AN3" i="4"/>
  <c r="AP3" i="4" s="1"/>
  <c r="Y9" i="7"/>
  <c r="K5" i="8"/>
  <c r="Y8" i="7"/>
  <c r="AA9" i="7"/>
  <c r="AA8" i="7"/>
  <c r="AB3" i="9"/>
  <c r="AA3" i="9"/>
  <c r="R3" i="9"/>
  <c r="AK3" i="4"/>
  <c r="AG3" i="4"/>
  <c r="AE3" i="4"/>
  <c r="AA3" i="4"/>
  <c r="Z3" i="4"/>
  <c r="Y3" i="4"/>
  <c r="X3" i="4"/>
  <c r="W3" i="4"/>
  <c r="V3" i="4"/>
  <c r="U3" i="4"/>
  <c r="T3" i="4"/>
  <c r="S3" i="4"/>
  <c r="P3" i="4"/>
  <c r="O3" i="4"/>
  <c r="H5" i="10"/>
  <c r="I5" i="10"/>
  <c r="J5" i="10"/>
  <c r="K5" i="10"/>
  <c r="H17" i="10"/>
  <c r="I17" i="10"/>
  <c r="J17" i="10"/>
  <c r="K17" i="10"/>
  <c r="H24" i="10"/>
  <c r="I24" i="10"/>
  <c r="J24" i="10"/>
  <c r="K24" i="10"/>
  <c r="H28" i="10"/>
  <c r="I28" i="10"/>
  <c r="J28" i="10"/>
  <c r="K28" i="10"/>
  <c r="H30" i="10"/>
  <c r="I30" i="10"/>
  <c r="J30" i="10"/>
  <c r="K30" i="10"/>
  <c r="H34" i="10"/>
  <c r="I34" i="10"/>
  <c r="J34" i="10"/>
  <c r="K34" i="10"/>
  <c r="J13" i="9"/>
  <c r="O37" i="9" l="1"/>
  <c r="N37" i="9"/>
  <c r="M37" i="9"/>
  <c r="AD36" i="9"/>
  <c r="O36" i="9"/>
  <c r="N36" i="9"/>
  <c r="M36" i="9"/>
  <c r="O35" i="9"/>
  <c r="N35" i="9"/>
  <c r="M35" i="9"/>
  <c r="O34" i="9"/>
  <c r="N34" i="9"/>
  <c r="M34" i="9"/>
  <c r="O33" i="9"/>
  <c r="N33" i="9"/>
  <c r="M33" i="9"/>
  <c r="AD32" i="9"/>
  <c r="O32" i="9"/>
  <c r="N32" i="9"/>
  <c r="M32" i="9"/>
  <c r="O31" i="9"/>
  <c r="N31" i="9"/>
  <c r="M31" i="9"/>
  <c r="O30" i="9"/>
  <c r="N30" i="9"/>
  <c r="M30" i="9"/>
  <c r="O29" i="9"/>
  <c r="N29" i="9"/>
  <c r="M29" i="9"/>
  <c r="O28" i="9"/>
  <c r="S28" i="9" s="1"/>
  <c r="R28" i="9" s="1"/>
  <c r="N28" i="9"/>
  <c r="M28" i="9"/>
  <c r="O27" i="9"/>
  <c r="N27" i="9"/>
  <c r="M27" i="9"/>
  <c r="O26" i="9"/>
  <c r="N26" i="9"/>
  <c r="AD26" i="9" s="1"/>
  <c r="M26" i="9"/>
  <c r="O25" i="9"/>
  <c r="N25" i="9"/>
  <c r="M25" i="9"/>
  <c r="O24" i="9"/>
  <c r="N24" i="9"/>
  <c r="M24" i="9"/>
  <c r="AD24" i="9" s="1"/>
  <c r="O23" i="9"/>
  <c r="N23" i="9"/>
  <c r="M23" i="9"/>
  <c r="O22" i="9"/>
  <c r="N22" i="9"/>
  <c r="M22" i="9"/>
  <c r="O21" i="9"/>
  <c r="N21" i="9"/>
  <c r="M21" i="9"/>
  <c r="O20" i="9"/>
  <c r="N20" i="9"/>
  <c r="M20" i="9"/>
  <c r="AB19" i="9"/>
  <c r="O19" i="9"/>
  <c r="AJ19" i="9" s="1"/>
  <c r="AH19" i="9" s="1"/>
  <c r="N19" i="9"/>
  <c r="M19" i="9"/>
  <c r="AD19" i="9" s="1"/>
  <c r="AA18" i="9"/>
  <c r="O18" i="9"/>
  <c r="N18" i="9"/>
  <c r="M18" i="9"/>
  <c r="O17" i="9"/>
  <c r="N17" i="9"/>
  <c r="M17" i="9"/>
  <c r="AB16" i="9"/>
  <c r="AJ16" i="9" s="1"/>
  <c r="O16" i="9"/>
  <c r="N16" i="9"/>
  <c r="M16" i="9"/>
  <c r="O15" i="9"/>
  <c r="N15" i="9"/>
  <c r="M15" i="9"/>
  <c r="AB14" i="9"/>
  <c r="O14" i="9"/>
  <c r="N14" i="9"/>
  <c r="M14" i="9"/>
  <c r="AD14" i="9" s="1"/>
  <c r="S13" i="9"/>
  <c r="R13" i="9" s="1"/>
  <c r="O13" i="9"/>
  <c r="W13" i="9" s="1"/>
  <c r="N13" i="9"/>
  <c r="M13" i="9"/>
  <c r="O12" i="9"/>
  <c r="N12" i="9"/>
  <c r="M12" i="9"/>
  <c r="O11" i="9"/>
  <c r="N11" i="9"/>
  <c r="M11" i="9"/>
  <c r="O10" i="9"/>
  <c r="N10" i="9"/>
  <c r="M10" i="9"/>
  <c r="O9" i="9"/>
  <c r="N9" i="9"/>
  <c r="M9" i="9"/>
  <c r="AB8" i="9"/>
  <c r="O8" i="9"/>
  <c r="N8" i="9"/>
  <c r="M8" i="9"/>
  <c r="AD8" i="9" s="1"/>
  <c r="O7" i="9"/>
  <c r="N7" i="9"/>
  <c r="M7" i="9"/>
  <c r="O6" i="9"/>
  <c r="N6" i="9"/>
  <c r="M6" i="9"/>
  <c r="O5" i="9"/>
  <c r="N5" i="9"/>
  <c r="M5" i="9"/>
  <c r="O4" i="9"/>
  <c r="N4" i="9"/>
  <c r="M4" i="9"/>
  <c r="N37" i="4"/>
  <c r="M37" i="4"/>
  <c r="L37" i="4"/>
  <c r="N36" i="4"/>
  <c r="Q36" i="4" s="1"/>
  <c r="M36" i="4"/>
  <c r="L36" i="4"/>
  <c r="N35" i="4"/>
  <c r="U35" i="4" s="1"/>
  <c r="M35" i="4"/>
  <c r="AA35" i="4" s="1"/>
  <c r="L35" i="4"/>
  <c r="N34" i="4"/>
  <c r="M34" i="4"/>
  <c r="L34" i="4"/>
  <c r="N33" i="4"/>
  <c r="M33" i="4"/>
  <c r="L33" i="4"/>
  <c r="N32" i="4"/>
  <c r="M32" i="4"/>
  <c r="L32" i="4"/>
  <c r="V31" i="4"/>
  <c r="T31" i="4" s="1"/>
  <c r="N31" i="4"/>
  <c r="M31" i="4"/>
  <c r="L31" i="4"/>
  <c r="N30" i="4"/>
  <c r="M30" i="4"/>
  <c r="L30" i="4"/>
  <c r="AA29" i="4"/>
  <c r="AX29" i="4" s="1"/>
  <c r="N29" i="4"/>
  <c r="M29" i="4"/>
  <c r="L29" i="4"/>
  <c r="N28" i="4"/>
  <c r="M28" i="4"/>
  <c r="L28" i="4"/>
  <c r="N27" i="4"/>
  <c r="M27" i="4"/>
  <c r="L27" i="4"/>
  <c r="N26" i="4"/>
  <c r="M26" i="4"/>
  <c r="L26" i="4"/>
  <c r="V25" i="4"/>
  <c r="T25" i="4" s="1"/>
  <c r="N25" i="4"/>
  <c r="M25" i="4"/>
  <c r="L25" i="4"/>
  <c r="N24" i="4"/>
  <c r="M24" i="4"/>
  <c r="L24" i="4"/>
  <c r="N23" i="4"/>
  <c r="M23" i="4"/>
  <c r="L23" i="4"/>
  <c r="N22" i="4"/>
  <c r="M22" i="4"/>
  <c r="L22" i="4"/>
  <c r="AC22" i="4" s="1"/>
  <c r="N21" i="4"/>
  <c r="M21" i="4"/>
  <c r="L21" i="4"/>
  <c r="N20" i="4"/>
  <c r="M20" i="4"/>
  <c r="L20" i="4"/>
  <c r="AC20" i="4" s="1"/>
  <c r="N19" i="4"/>
  <c r="AA19" i="4" s="1"/>
  <c r="M19" i="4"/>
  <c r="L19" i="4"/>
  <c r="N18" i="4"/>
  <c r="M18" i="4"/>
  <c r="L18" i="4"/>
  <c r="AC18" i="4" s="1"/>
  <c r="N17" i="4"/>
  <c r="M17" i="4"/>
  <c r="L17" i="4"/>
  <c r="AC17" i="4" s="1"/>
  <c r="N16" i="4"/>
  <c r="M16" i="4"/>
  <c r="L16" i="4"/>
  <c r="N15" i="4"/>
  <c r="M15" i="4"/>
  <c r="L15" i="4"/>
  <c r="N14" i="4"/>
  <c r="M14" i="4"/>
  <c r="L14" i="4"/>
  <c r="N13" i="4"/>
  <c r="Q13" i="4" s="1"/>
  <c r="M13" i="4"/>
  <c r="L13" i="4"/>
  <c r="AA13" i="4" s="1"/>
  <c r="Z12" i="4"/>
  <c r="X12" i="4" s="1"/>
  <c r="N12" i="4"/>
  <c r="M12" i="4"/>
  <c r="L12" i="4"/>
  <c r="AC12" i="4" s="1"/>
  <c r="N11" i="4"/>
  <c r="M11" i="4"/>
  <c r="L11" i="4"/>
  <c r="N10" i="4"/>
  <c r="M10" i="4"/>
  <c r="L10" i="4"/>
  <c r="Z9" i="4"/>
  <c r="N9" i="4"/>
  <c r="M9" i="4"/>
  <c r="L9" i="4"/>
  <c r="N8" i="4"/>
  <c r="M8" i="4"/>
  <c r="L8" i="4"/>
  <c r="N7" i="4"/>
  <c r="M7" i="4"/>
  <c r="L7" i="4"/>
  <c r="N6" i="4"/>
  <c r="M6" i="4"/>
  <c r="L6" i="4"/>
  <c r="V5" i="4"/>
  <c r="N5" i="4"/>
  <c r="M5" i="4"/>
  <c r="L5" i="4"/>
  <c r="N4" i="4"/>
  <c r="M4" i="4"/>
  <c r="L4" i="4"/>
  <c r="J37" i="9"/>
  <c r="AA37" i="9" s="1"/>
  <c r="I37" i="9"/>
  <c r="H37" i="9"/>
  <c r="J36" i="9"/>
  <c r="I36" i="9"/>
  <c r="H36" i="9"/>
  <c r="J35" i="9"/>
  <c r="I35" i="9"/>
  <c r="H35" i="9"/>
  <c r="J34" i="9"/>
  <c r="AA34" i="9" s="1"/>
  <c r="I34" i="9"/>
  <c r="H34" i="9"/>
  <c r="J33" i="9"/>
  <c r="AA33" i="9" s="1"/>
  <c r="I33" i="9"/>
  <c r="H33" i="9"/>
  <c r="J32" i="9"/>
  <c r="AA32" i="9" s="1"/>
  <c r="I32" i="9"/>
  <c r="H32" i="9"/>
  <c r="J31" i="9"/>
  <c r="I31" i="9"/>
  <c r="H31" i="9"/>
  <c r="J30" i="9"/>
  <c r="AA30" i="9" s="1"/>
  <c r="I30" i="9"/>
  <c r="H30" i="9"/>
  <c r="J29" i="9"/>
  <c r="I29" i="9"/>
  <c r="H29" i="9"/>
  <c r="J28" i="9"/>
  <c r="AA28" i="9" s="1"/>
  <c r="I28" i="9"/>
  <c r="H28" i="9"/>
  <c r="J27" i="9"/>
  <c r="I27" i="9"/>
  <c r="H27" i="9"/>
  <c r="J26" i="9"/>
  <c r="I26" i="9"/>
  <c r="H26" i="9"/>
  <c r="J25" i="9"/>
  <c r="I25" i="9"/>
  <c r="H25" i="9"/>
  <c r="J24" i="9"/>
  <c r="W24" i="9" s="1"/>
  <c r="I24" i="9"/>
  <c r="H24" i="9"/>
  <c r="J23" i="9"/>
  <c r="I23" i="9"/>
  <c r="H23" i="9"/>
  <c r="J22" i="9"/>
  <c r="I22" i="9"/>
  <c r="H22" i="9"/>
  <c r="J21" i="9"/>
  <c r="I21" i="9"/>
  <c r="H21" i="9"/>
  <c r="J20" i="9"/>
  <c r="W20" i="9" s="1"/>
  <c r="U20" i="9" s="1"/>
  <c r="I20" i="9"/>
  <c r="H20" i="9"/>
  <c r="J19" i="9"/>
  <c r="I19" i="9"/>
  <c r="H19" i="9"/>
  <c r="J18" i="9"/>
  <c r="W18" i="9" s="1"/>
  <c r="U18" i="9" s="1"/>
  <c r="I18" i="9"/>
  <c r="H18" i="9"/>
  <c r="J17" i="9"/>
  <c r="I17" i="9"/>
  <c r="H17" i="9"/>
  <c r="J16" i="9"/>
  <c r="AA16" i="9" s="1"/>
  <c r="Y16" i="9" s="1"/>
  <c r="I16" i="9"/>
  <c r="H16" i="9"/>
  <c r="J15" i="9"/>
  <c r="W15" i="9" s="1"/>
  <c r="I15" i="9"/>
  <c r="H15" i="9"/>
  <c r="J14" i="9"/>
  <c r="AA14" i="9" s="1"/>
  <c r="Y14" i="9" s="1"/>
  <c r="I14" i="9"/>
  <c r="H14" i="9"/>
  <c r="I13" i="9"/>
  <c r="H13" i="9"/>
  <c r="J12" i="9"/>
  <c r="AA12" i="9" s="1"/>
  <c r="I12" i="9"/>
  <c r="H12" i="9"/>
  <c r="J11" i="9"/>
  <c r="I11" i="9"/>
  <c r="H11" i="9"/>
  <c r="J10" i="9"/>
  <c r="AA10" i="9" s="1"/>
  <c r="I10" i="9"/>
  <c r="H10" i="9"/>
  <c r="J9" i="9"/>
  <c r="W9" i="9" s="1"/>
  <c r="I9" i="9"/>
  <c r="H9" i="9"/>
  <c r="J8" i="9"/>
  <c r="AA8" i="9" s="1"/>
  <c r="I8" i="9"/>
  <c r="H8" i="9"/>
  <c r="K8" i="9" s="1"/>
  <c r="J7" i="9"/>
  <c r="W7" i="9" s="1"/>
  <c r="T7" i="9" s="1"/>
  <c r="I7" i="9"/>
  <c r="H7" i="9"/>
  <c r="J6" i="9"/>
  <c r="AA6" i="9" s="1"/>
  <c r="I6" i="9"/>
  <c r="H6" i="9"/>
  <c r="J5" i="9"/>
  <c r="W5" i="9" s="1"/>
  <c r="I5" i="9"/>
  <c r="H5" i="9"/>
  <c r="J4" i="9"/>
  <c r="AA4" i="9" s="1"/>
  <c r="I4" i="9"/>
  <c r="H4" i="9"/>
  <c r="J3" i="9"/>
  <c r="I3" i="9"/>
  <c r="H3" i="9"/>
  <c r="O3" i="9"/>
  <c r="S3" i="9" s="1"/>
  <c r="N3" i="9"/>
  <c r="M3" i="9"/>
  <c r="G37" i="9"/>
  <c r="E37" i="9"/>
  <c r="D37" i="9"/>
  <c r="C37" i="9"/>
  <c r="B37" i="9"/>
  <c r="A37" i="9"/>
  <c r="G36" i="9"/>
  <c r="E36" i="9"/>
  <c r="D36" i="9"/>
  <c r="C36" i="9"/>
  <c r="B36" i="9"/>
  <c r="A36" i="9"/>
  <c r="G35" i="9"/>
  <c r="E35" i="9"/>
  <c r="D35" i="9"/>
  <c r="C35" i="9"/>
  <c r="B35" i="9"/>
  <c r="A35" i="9"/>
  <c r="G34" i="9"/>
  <c r="E34" i="9"/>
  <c r="D34" i="9"/>
  <c r="C34" i="9"/>
  <c r="B34" i="9"/>
  <c r="A34" i="9"/>
  <c r="G33" i="9"/>
  <c r="E33" i="9"/>
  <c r="D33" i="9"/>
  <c r="C33" i="9"/>
  <c r="B33" i="9"/>
  <c r="A33" i="9"/>
  <c r="G32" i="9"/>
  <c r="E32" i="9"/>
  <c r="D32" i="9"/>
  <c r="C32" i="9"/>
  <c r="B32" i="9"/>
  <c r="A32" i="9"/>
  <c r="G31" i="9"/>
  <c r="E31" i="9"/>
  <c r="D31" i="9"/>
  <c r="C31" i="9"/>
  <c r="B31" i="9"/>
  <c r="A31" i="9"/>
  <c r="G30" i="9"/>
  <c r="E30" i="9"/>
  <c r="D30" i="9"/>
  <c r="C30" i="9"/>
  <c r="B30" i="9"/>
  <c r="A30" i="9"/>
  <c r="G29" i="9"/>
  <c r="E29" i="9"/>
  <c r="D29" i="9"/>
  <c r="C29" i="9"/>
  <c r="B29" i="9"/>
  <c r="A29" i="9"/>
  <c r="G28" i="9"/>
  <c r="E28" i="9"/>
  <c r="D28" i="9"/>
  <c r="C28" i="9"/>
  <c r="B28" i="9"/>
  <c r="A28" i="9"/>
  <c r="G27" i="9"/>
  <c r="E27" i="9"/>
  <c r="D27" i="9"/>
  <c r="C27" i="9"/>
  <c r="B27" i="9"/>
  <c r="A27" i="9"/>
  <c r="G26" i="9"/>
  <c r="E26" i="9"/>
  <c r="D26" i="9"/>
  <c r="C26" i="9"/>
  <c r="B26" i="9"/>
  <c r="A26" i="9"/>
  <c r="G25" i="9"/>
  <c r="E25" i="9"/>
  <c r="D25" i="9"/>
  <c r="C25" i="9"/>
  <c r="B25" i="9"/>
  <c r="A25" i="9"/>
  <c r="G24" i="9"/>
  <c r="E24" i="9"/>
  <c r="D24" i="9"/>
  <c r="C24" i="9"/>
  <c r="B24" i="9"/>
  <c r="A24" i="9"/>
  <c r="G23" i="9"/>
  <c r="E23" i="9"/>
  <c r="D23" i="9"/>
  <c r="C23" i="9"/>
  <c r="B23" i="9"/>
  <c r="A23" i="9"/>
  <c r="G22" i="9"/>
  <c r="E22" i="9"/>
  <c r="D22" i="9"/>
  <c r="C22" i="9"/>
  <c r="B22" i="9"/>
  <c r="A22" i="9"/>
  <c r="G21" i="9"/>
  <c r="E21" i="9"/>
  <c r="D21" i="9"/>
  <c r="C21" i="9"/>
  <c r="B21" i="9"/>
  <c r="A21" i="9"/>
  <c r="G20" i="9"/>
  <c r="E20" i="9"/>
  <c r="D20" i="9"/>
  <c r="C20" i="9"/>
  <c r="B20" i="9"/>
  <c r="A20" i="9"/>
  <c r="G19" i="9"/>
  <c r="E19" i="9"/>
  <c r="D19" i="9"/>
  <c r="C19" i="9"/>
  <c r="B19" i="9"/>
  <c r="A19" i="9"/>
  <c r="G18" i="9"/>
  <c r="E18" i="9"/>
  <c r="D18" i="9"/>
  <c r="C18" i="9"/>
  <c r="B18" i="9"/>
  <c r="A18" i="9"/>
  <c r="G17" i="9"/>
  <c r="E17" i="9"/>
  <c r="D17" i="9"/>
  <c r="C17" i="9"/>
  <c r="B17" i="9"/>
  <c r="A17" i="9"/>
  <c r="G16" i="9"/>
  <c r="E16" i="9"/>
  <c r="D16" i="9"/>
  <c r="C16" i="9"/>
  <c r="B16" i="9"/>
  <c r="A16" i="9"/>
  <c r="G15" i="9"/>
  <c r="E15" i="9"/>
  <c r="D15" i="9"/>
  <c r="C15" i="9"/>
  <c r="B15" i="9"/>
  <c r="A15" i="9"/>
  <c r="G14" i="9"/>
  <c r="E14" i="9"/>
  <c r="D14" i="9"/>
  <c r="C14" i="9"/>
  <c r="B14" i="9"/>
  <c r="A14" i="9"/>
  <c r="G13" i="9"/>
  <c r="E13" i="9"/>
  <c r="D13" i="9"/>
  <c r="C13" i="9"/>
  <c r="B13" i="9"/>
  <c r="A13" i="9"/>
  <c r="G12" i="9"/>
  <c r="E12" i="9"/>
  <c r="D12" i="9"/>
  <c r="C12" i="9"/>
  <c r="B12" i="9"/>
  <c r="A12" i="9"/>
  <c r="G11" i="9"/>
  <c r="E11" i="9"/>
  <c r="D11" i="9"/>
  <c r="C11" i="9"/>
  <c r="B11" i="9"/>
  <c r="A11" i="9"/>
  <c r="G10" i="9"/>
  <c r="E10" i="9"/>
  <c r="D10" i="9"/>
  <c r="C10" i="9"/>
  <c r="B10" i="9"/>
  <c r="A10" i="9"/>
  <c r="G9" i="9"/>
  <c r="E9" i="9"/>
  <c r="D9" i="9"/>
  <c r="C9" i="9"/>
  <c r="B9" i="9"/>
  <c r="A9" i="9"/>
  <c r="G8" i="9"/>
  <c r="E8" i="9"/>
  <c r="D8" i="9"/>
  <c r="C8" i="9"/>
  <c r="B8" i="9"/>
  <c r="A8" i="9"/>
  <c r="G7" i="9"/>
  <c r="E7" i="9"/>
  <c r="D7" i="9"/>
  <c r="C7" i="9"/>
  <c r="B7" i="9"/>
  <c r="A7" i="9"/>
  <c r="G6" i="9"/>
  <c r="E6" i="9"/>
  <c r="D6" i="9"/>
  <c r="C6" i="9"/>
  <c r="B6" i="9"/>
  <c r="A6" i="9"/>
  <c r="G5" i="9"/>
  <c r="E5" i="9"/>
  <c r="D5" i="9"/>
  <c r="C5" i="9"/>
  <c r="B5" i="9"/>
  <c r="A5" i="9"/>
  <c r="G4" i="9"/>
  <c r="E4" i="9"/>
  <c r="D4" i="9"/>
  <c r="C4" i="9"/>
  <c r="B4" i="9"/>
  <c r="A4" i="9"/>
  <c r="G3" i="9"/>
  <c r="E3" i="9"/>
  <c r="D3" i="9"/>
  <c r="C3" i="9"/>
  <c r="B3" i="9"/>
  <c r="A3" i="9"/>
  <c r="O6" i="8"/>
  <c r="O5" i="8"/>
  <c r="P6" i="8"/>
  <c r="P5" i="8"/>
  <c r="M6" i="8"/>
  <c r="M5" i="8"/>
  <c r="N6" i="8"/>
  <c r="N5" i="8"/>
  <c r="L6" i="8"/>
  <c r="L5" i="8"/>
  <c r="K6" i="8"/>
  <c r="J4" i="7"/>
  <c r="N3" i="4"/>
  <c r="M3" i="4"/>
  <c r="L3" i="4"/>
  <c r="AC3" i="4" s="1"/>
  <c r="J37" i="4"/>
  <c r="J36" i="4"/>
  <c r="Z36" i="4" s="1"/>
  <c r="X36" i="4" s="1"/>
  <c r="J35" i="4"/>
  <c r="V35" i="4" s="1"/>
  <c r="J34" i="4"/>
  <c r="J33" i="4"/>
  <c r="V33" i="4" s="1"/>
  <c r="J32" i="4"/>
  <c r="V32" i="4" s="1"/>
  <c r="S32" i="4" s="1"/>
  <c r="J31" i="4"/>
  <c r="J30" i="4"/>
  <c r="J29" i="4"/>
  <c r="Z29" i="4" s="1"/>
  <c r="W29" i="4" s="1"/>
  <c r="J28" i="4"/>
  <c r="V28" i="4" s="1"/>
  <c r="J27" i="4"/>
  <c r="V27" i="4" s="1"/>
  <c r="J26" i="4"/>
  <c r="J25" i="4"/>
  <c r="J24" i="4"/>
  <c r="J23" i="4"/>
  <c r="Z23" i="4" s="1"/>
  <c r="J22" i="4"/>
  <c r="Z22" i="4" s="1"/>
  <c r="J21" i="4"/>
  <c r="Z21" i="4" s="1"/>
  <c r="J20" i="4"/>
  <c r="J19" i="4"/>
  <c r="J18" i="4"/>
  <c r="Z18" i="4" s="1"/>
  <c r="J17" i="4"/>
  <c r="J16" i="4"/>
  <c r="J15" i="4"/>
  <c r="V15" i="4" s="1"/>
  <c r="J14" i="4"/>
  <c r="J13" i="4"/>
  <c r="J12" i="4"/>
  <c r="J11" i="4"/>
  <c r="V11" i="4" s="1"/>
  <c r="J10" i="4"/>
  <c r="J9" i="4"/>
  <c r="V9" i="4" s="1"/>
  <c r="J8" i="4"/>
  <c r="Z8" i="4" s="1"/>
  <c r="J7" i="4"/>
  <c r="J6" i="4"/>
  <c r="J5" i="4"/>
  <c r="J4" i="4"/>
  <c r="Z4" i="4" s="1"/>
  <c r="W4" i="4" s="1"/>
  <c r="J3" i="4"/>
  <c r="T15" i="4" l="1"/>
  <c r="S15" i="4"/>
  <c r="S27" i="4"/>
  <c r="T27" i="4"/>
  <c r="V10" i="4"/>
  <c r="S10" i="4" s="1"/>
  <c r="Q14" i="4"/>
  <c r="V14" i="4"/>
  <c r="W18" i="4"/>
  <c r="X18" i="4"/>
  <c r="Z26" i="4"/>
  <c r="U26" i="4"/>
  <c r="Q30" i="4"/>
  <c r="Z30" i="4"/>
  <c r="Z34" i="4"/>
  <c r="X34" i="4" s="1"/>
  <c r="BB4" i="4"/>
  <c r="Q5" i="4"/>
  <c r="BB5" i="4"/>
  <c r="BB7" i="4"/>
  <c r="AA7" i="4"/>
  <c r="AX7" i="4" s="1"/>
  <c r="Y6" i="9"/>
  <c r="X6" i="9"/>
  <c r="Q8" i="9"/>
  <c r="P8" i="9"/>
  <c r="AA17" i="9"/>
  <c r="W17" i="9"/>
  <c r="W21" i="9"/>
  <c r="AA21" i="9"/>
  <c r="W25" i="9"/>
  <c r="AA25" i="9"/>
  <c r="AA29" i="9"/>
  <c r="S29" i="9"/>
  <c r="R29" i="9" s="1"/>
  <c r="W29" i="9"/>
  <c r="X33" i="9"/>
  <c r="Y33" i="9"/>
  <c r="X37" i="9"/>
  <c r="Y37" i="9"/>
  <c r="X4" i="4"/>
  <c r="S5" i="4"/>
  <c r="T5" i="4"/>
  <c r="AA9" i="4"/>
  <c r="AC9" i="4"/>
  <c r="S21" i="9"/>
  <c r="R21" i="9" s="1"/>
  <c r="S25" i="9"/>
  <c r="R25" i="9" s="1"/>
  <c r="W8" i="4"/>
  <c r="X8" i="4"/>
  <c r="S9" i="4"/>
  <c r="T9" i="4"/>
  <c r="W21" i="4"/>
  <c r="X21" i="4"/>
  <c r="Q11" i="4"/>
  <c r="BB11" i="4"/>
  <c r="U11" i="4"/>
  <c r="BB21" i="4"/>
  <c r="BB23" i="4"/>
  <c r="AB34" i="9"/>
  <c r="AD34" i="9"/>
  <c r="BB3" i="4"/>
  <c r="Y4" i="9"/>
  <c r="X4" i="9"/>
  <c r="K19" i="9"/>
  <c r="AA19" i="9"/>
  <c r="X19" i="9" s="1"/>
  <c r="W19" i="9"/>
  <c r="AA23" i="9"/>
  <c r="W23" i="9"/>
  <c r="K27" i="9"/>
  <c r="W27" i="9"/>
  <c r="W31" i="9"/>
  <c r="AA31" i="9"/>
  <c r="K35" i="9"/>
  <c r="AA35" i="9"/>
  <c r="Y6" i="4"/>
  <c r="BB8" i="4"/>
  <c r="Q9" i="4"/>
  <c r="BB9" i="4"/>
  <c r="U9" i="4"/>
  <c r="Q10" i="4"/>
  <c r="BB10" i="4"/>
  <c r="AC11" i="4"/>
  <c r="BB12" i="4"/>
  <c r="Q12" i="4"/>
  <c r="AC13" i="4"/>
  <c r="AC19" i="4"/>
  <c r="BB20" i="4"/>
  <c r="AE21" i="4"/>
  <c r="AK21" i="4" s="1"/>
  <c r="V23" i="4"/>
  <c r="V24" i="4"/>
  <c r="BB24" i="4"/>
  <c r="U24" i="4"/>
  <c r="Q28" i="4"/>
  <c r="Y30" i="4"/>
  <c r="AC37" i="4"/>
  <c r="S5" i="9"/>
  <c r="R5" i="9" s="1"/>
  <c r="S7" i="9"/>
  <c r="R7" i="9" s="1"/>
  <c r="S9" i="9"/>
  <c r="R9" i="9" s="1"/>
  <c r="AJ14" i="9"/>
  <c r="W16" i="9"/>
  <c r="S17" i="9"/>
  <c r="R17" i="9" s="1"/>
  <c r="S23" i="9"/>
  <c r="R23" i="9" s="1"/>
  <c r="S27" i="9"/>
  <c r="R27" i="9" s="1"/>
  <c r="S31" i="9"/>
  <c r="R31" i="9" s="1"/>
  <c r="S32" i="9"/>
  <c r="R32" i="9" s="1"/>
  <c r="S36" i="9"/>
  <c r="R36" i="9" s="1"/>
  <c r="Z14" i="4"/>
  <c r="Z15" i="4"/>
  <c r="X15" i="4" s="1"/>
  <c r="Z17" i="4"/>
  <c r="BB22" i="4"/>
  <c r="U28" i="4"/>
  <c r="K11" i="9"/>
  <c r="W11" i="9"/>
  <c r="K16" i="9"/>
  <c r="AA22" i="9"/>
  <c r="Y22" i="9" s="1"/>
  <c r="W22" i="9"/>
  <c r="AA26" i="9"/>
  <c r="W26" i="9"/>
  <c r="BB6" i="4"/>
  <c r="Z11" i="4"/>
  <c r="W12" i="4"/>
  <c r="Z13" i="4"/>
  <c r="W13" i="4" s="1"/>
  <c r="Q22" i="4"/>
  <c r="BB26" i="4"/>
  <c r="AC26" i="4"/>
  <c r="X29" i="4"/>
  <c r="AC31" i="4"/>
  <c r="BB32" i="4"/>
  <c r="BB33" i="4"/>
  <c r="Z37" i="4"/>
  <c r="W37" i="4" s="1"/>
  <c r="Y37" i="4"/>
  <c r="AB6" i="9"/>
  <c r="AJ6" i="9" s="1"/>
  <c r="AD10" i="9"/>
  <c r="AD12" i="9"/>
  <c r="AB12" i="9"/>
  <c r="AJ12" i="9" s="1"/>
  <c r="S15" i="9"/>
  <c r="R15" i="9" s="1"/>
  <c r="S18" i="9"/>
  <c r="R18" i="9" s="1"/>
  <c r="AB30" i="9"/>
  <c r="AD30" i="9"/>
  <c r="BB13" i="4"/>
  <c r="U13" i="4"/>
  <c r="BB16" i="4"/>
  <c r="BB18" i="4"/>
  <c r="BB19" i="4"/>
  <c r="U19" i="4"/>
  <c r="Q21" i="4"/>
  <c r="AA21" i="4"/>
  <c r="AI21" i="4" s="1"/>
  <c r="BC21" i="4" s="1"/>
  <c r="Q23" i="4"/>
  <c r="Z31" i="4"/>
  <c r="K3" i="9"/>
  <c r="T5" i="9"/>
  <c r="U5" i="9"/>
  <c r="T9" i="9"/>
  <c r="U9" i="9"/>
  <c r="U24" i="9"/>
  <c r="T24" i="9"/>
  <c r="AA36" i="9"/>
  <c r="W36" i="9"/>
  <c r="Q8" i="4"/>
  <c r="Y9" i="4"/>
  <c r="BB14" i="4"/>
  <c r="BB15" i="4"/>
  <c r="BB17" i="4"/>
  <c r="AA20" i="4"/>
  <c r="U20" i="4" s="1"/>
  <c r="AC21" i="4"/>
  <c r="Q24" i="4"/>
  <c r="BB25" i="4"/>
  <c r="AI29" i="4"/>
  <c r="BB29" i="4"/>
  <c r="U29" i="4"/>
  <c r="U31" i="4"/>
  <c r="AA33" i="4"/>
  <c r="AX33" i="4" s="1"/>
  <c r="AA37" i="4"/>
  <c r="AX37" i="4" s="1"/>
  <c r="U14" i="4"/>
  <c r="AJ8" i="9"/>
  <c r="S11" i="9"/>
  <c r="R11" i="9" s="1"/>
  <c r="AA24" i="9"/>
  <c r="Y24" i="9" s="1"/>
  <c r="AA27" i="9"/>
  <c r="AD28" i="9"/>
  <c r="AC33" i="4"/>
  <c r="BB34" i="4"/>
  <c r="Q37" i="4"/>
  <c r="BB37" i="4"/>
  <c r="AB10" i="9"/>
  <c r="AJ10" i="9" s="1"/>
  <c r="AH10" i="9" s="1"/>
  <c r="AD20" i="9"/>
  <c r="S22" i="9"/>
  <c r="R22" i="9" s="1"/>
  <c r="S26" i="9"/>
  <c r="R26" i="9" s="1"/>
  <c r="BB36" i="4"/>
  <c r="AB4" i="9"/>
  <c r="AJ4" i="9" s="1"/>
  <c r="S20" i="9"/>
  <c r="R20" i="9" s="1"/>
  <c r="S24" i="9"/>
  <c r="R24" i="9" s="1"/>
  <c r="AB28" i="9"/>
  <c r="S30" i="9"/>
  <c r="R30" i="9" s="1"/>
  <c r="AB32" i="9"/>
  <c r="S34" i="9"/>
  <c r="R34" i="9" s="1"/>
  <c r="AB36" i="9"/>
  <c r="AJ36" i="9" s="1"/>
  <c r="Q27" i="4"/>
  <c r="BB27" i="4"/>
  <c r="BB28" i="4"/>
  <c r="BB30" i="4"/>
  <c r="BB31" i="4"/>
  <c r="Q31" i="4"/>
  <c r="Q35" i="4"/>
  <c r="BB35" i="4"/>
  <c r="U37" i="4"/>
  <c r="AD15" i="9"/>
  <c r="S19" i="9"/>
  <c r="R19" i="9" s="1"/>
  <c r="AB26" i="9"/>
  <c r="AJ26" i="9" s="1"/>
  <c r="Y30" i="9"/>
  <c r="X30" i="9"/>
  <c r="AD7" i="9"/>
  <c r="AB7" i="9"/>
  <c r="AJ7" i="9" s="1"/>
  <c r="AH8" i="9"/>
  <c r="AD9" i="9"/>
  <c r="AB9" i="9"/>
  <c r="AF9" i="9" s="1"/>
  <c r="AA15" i="9"/>
  <c r="AD5" i="9"/>
  <c r="AB5" i="9"/>
  <c r="AJ5" i="9" s="1"/>
  <c r="U15" i="9"/>
  <c r="T15" i="9"/>
  <c r="AA5" i="9"/>
  <c r="AH4" i="9"/>
  <c r="AA9" i="9"/>
  <c r="Y10" i="9"/>
  <c r="X10" i="9"/>
  <c r="AH16" i="9"/>
  <c r="AA13" i="9"/>
  <c r="AA7" i="9"/>
  <c r="Y8" i="9"/>
  <c r="X8" i="9"/>
  <c r="AH6" i="9"/>
  <c r="AD11" i="9"/>
  <c r="AB11" i="9"/>
  <c r="AF11" i="9" s="1"/>
  <c r="U13" i="9"/>
  <c r="T13" i="9"/>
  <c r="AH14" i="9"/>
  <c r="W4" i="9"/>
  <c r="S4" i="9"/>
  <c r="R4" i="9" s="1"/>
  <c r="AD4" i="9"/>
  <c r="AA11" i="9"/>
  <c r="Y12" i="9"/>
  <c r="X12" i="9"/>
  <c r="U16" i="9"/>
  <c r="T16" i="9"/>
  <c r="X17" i="9"/>
  <c r="Y17" i="9"/>
  <c r="W6" i="9"/>
  <c r="S6" i="9"/>
  <c r="R6" i="9" s="1"/>
  <c r="AD6" i="9"/>
  <c r="U7" i="9"/>
  <c r="AH12" i="9"/>
  <c r="AD13" i="9"/>
  <c r="AB13" i="9"/>
  <c r="AF13" i="9" s="1"/>
  <c r="Y18" i="9"/>
  <c r="X18" i="9"/>
  <c r="S8" i="9"/>
  <c r="R8" i="9" s="1"/>
  <c r="S10" i="9"/>
  <c r="R10" i="9" s="1"/>
  <c r="S12" i="9"/>
  <c r="R12" i="9" s="1"/>
  <c r="S14" i="9"/>
  <c r="R14" i="9" s="1"/>
  <c r="S16" i="9"/>
  <c r="R16" i="9" s="1"/>
  <c r="AB17" i="9"/>
  <c r="AJ17" i="9" s="1"/>
  <c r="AH17" i="9" s="1"/>
  <c r="AB18" i="9"/>
  <c r="AF18" i="9" s="1"/>
  <c r="T20" i="9"/>
  <c r="AD21" i="9"/>
  <c r="AB21" i="9"/>
  <c r="AJ21" i="9" s="1"/>
  <c r="AD29" i="9"/>
  <c r="AB29" i="9"/>
  <c r="AJ29" i="9" s="1"/>
  <c r="AD16" i="9"/>
  <c r="AD18" i="9"/>
  <c r="AF19" i="9"/>
  <c r="AB24" i="9"/>
  <c r="AJ24" i="9" s="1"/>
  <c r="AH24" i="9" s="1"/>
  <c r="AD37" i="9"/>
  <c r="AB37" i="9"/>
  <c r="AF37" i="9" s="1"/>
  <c r="AD17" i="9"/>
  <c r="T18" i="9"/>
  <c r="AE18" i="9" s="1"/>
  <c r="AC18" i="9" s="1"/>
  <c r="AD25" i="9"/>
  <c r="AB25" i="9"/>
  <c r="AJ25" i="9" s="1"/>
  <c r="AD27" i="9"/>
  <c r="AB27" i="9"/>
  <c r="AJ27" i="9" s="1"/>
  <c r="Y28" i="9"/>
  <c r="X28" i="9"/>
  <c r="AF33" i="9"/>
  <c r="AL33" i="9" s="1"/>
  <c r="AD33" i="9"/>
  <c r="AB33" i="9"/>
  <c r="AF4" i="9"/>
  <c r="AL4" i="9" s="1"/>
  <c r="AF6" i="9"/>
  <c r="AL6" i="9" s="1"/>
  <c r="W8" i="9"/>
  <c r="AF8" i="9"/>
  <c r="AL8" i="9" s="1"/>
  <c r="W10" i="9"/>
  <c r="AF10" i="9"/>
  <c r="AL10" i="9" s="1"/>
  <c r="W12" i="9"/>
  <c r="AF12" i="9"/>
  <c r="AL12" i="9" s="1"/>
  <c r="W14" i="9"/>
  <c r="AF14" i="9"/>
  <c r="AL14" i="9" s="1"/>
  <c r="AB15" i="9"/>
  <c r="AF15" i="9" s="1"/>
  <c r="AF16" i="9"/>
  <c r="AL16" i="9" s="1"/>
  <c r="Y19" i="9"/>
  <c r="AB20" i="9"/>
  <c r="AJ20" i="9" s="1"/>
  <c r="Y36" i="9"/>
  <c r="X36" i="9"/>
  <c r="X16" i="9"/>
  <c r="AF17" i="9"/>
  <c r="AA20" i="9"/>
  <c r="AB22" i="9"/>
  <c r="AF22" i="9" s="1"/>
  <c r="Y26" i="9"/>
  <c r="X26" i="9"/>
  <c r="Y32" i="9"/>
  <c r="X32" i="9"/>
  <c r="AD35" i="9"/>
  <c r="AB35" i="9"/>
  <c r="AF35" i="9" s="1"/>
  <c r="AL35" i="9" s="1"/>
  <c r="X14" i="9"/>
  <c r="AD22" i="9"/>
  <c r="AD23" i="9"/>
  <c r="AB23" i="9"/>
  <c r="AJ23" i="9" s="1"/>
  <c r="AF31" i="9"/>
  <c r="AL31" i="9" s="1"/>
  <c r="AD31" i="9"/>
  <c r="AB31" i="9"/>
  <c r="Y34" i="9"/>
  <c r="X34" i="9"/>
  <c r="AF26" i="9"/>
  <c r="W28" i="9"/>
  <c r="AF28" i="9"/>
  <c r="AL28" i="9" s="1"/>
  <c r="W30" i="9"/>
  <c r="AF30" i="9"/>
  <c r="AL30" i="9" s="1"/>
  <c r="AJ31" i="9"/>
  <c r="AH31" i="9" s="1"/>
  <c r="W32" i="9"/>
  <c r="AF32" i="9"/>
  <c r="AL32" i="9" s="1"/>
  <c r="AJ33" i="9"/>
  <c r="AH33" i="9" s="1"/>
  <c r="W34" i="9"/>
  <c r="AF34" i="9"/>
  <c r="AL34" i="9" s="1"/>
  <c r="AJ35" i="9"/>
  <c r="AF36" i="9"/>
  <c r="AJ37" i="9"/>
  <c r="S33" i="9"/>
  <c r="R33" i="9" s="1"/>
  <c r="S35" i="9"/>
  <c r="R35" i="9" s="1"/>
  <c r="S37" i="9"/>
  <c r="R37" i="9" s="1"/>
  <c r="AH26" i="9"/>
  <c r="AH32" i="9"/>
  <c r="AH36" i="9"/>
  <c r="AJ28" i="9"/>
  <c r="AJ30" i="9"/>
  <c r="AH30" i="9" s="1"/>
  <c r="AJ32" i="9"/>
  <c r="W33" i="9"/>
  <c r="AJ34" i="9"/>
  <c r="W35" i="9"/>
  <c r="W37" i="9"/>
  <c r="W11" i="4"/>
  <c r="X11" i="4"/>
  <c r="AA14" i="4"/>
  <c r="AE14" i="4" s="1"/>
  <c r="Y14" i="4" s="1"/>
  <c r="AC14" i="4"/>
  <c r="Q6" i="4"/>
  <c r="Z25" i="4"/>
  <c r="AC25" i="4"/>
  <c r="AX13" i="4"/>
  <c r="AI13" i="4"/>
  <c r="BC13" i="4" s="1"/>
  <c r="AG21" i="4"/>
  <c r="AA4" i="4"/>
  <c r="AE4" i="4" s="1"/>
  <c r="Q17" i="4"/>
  <c r="V17" i="4"/>
  <c r="Z10" i="4"/>
  <c r="AE7" i="4"/>
  <c r="AK7" i="4" s="1"/>
  <c r="V7" i="4"/>
  <c r="AC7" i="4"/>
  <c r="Q7" i="4"/>
  <c r="V6" i="4"/>
  <c r="Q18" i="4"/>
  <c r="AA18" i="4"/>
  <c r="AX18" i="4" s="1"/>
  <c r="V18" i="4"/>
  <c r="X14" i="4"/>
  <c r="W14" i="4"/>
  <c r="Q4" i="4"/>
  <c r="AX4" i="4"/>
  <c r="V4" i="4"/>
  <c r="AC4" i="4"/>
  <c r="X9" i="4"/>
  <c r="W9" i="4"/>
  <c r="AD9" i="4" s="1"/>
  <c r="AB9" i="4" s="1"/>
  <c r="AJ9" i="4" s="1"/>
  <c r="T10" i="4"/>
  <c r="AC5" i="4"/>
  <c r="AA5" i="4"/>
  <c r="U5" i="4" s="1"/>
  <c r="Z6" i="4"/>
  <c r="X17" i="4"/>
  <c r="W17" i="4"/>
  <c r="Z5" i="4"/>
  <c r="AE5" i="4"/>
  <c r="Y5" i="4" s="1"/>
  <c r="AC6" i="4"/>
  <c r="AC27" i="4"/>
  <c r="AE27" i="4"/>
  <c r="AA27" i="4"/>
  <c r="U27" i="4" s="1"/>
  <c r="AE19" i="4"/>
  <c r="Y19" i="4" s="1"/>
  <c r="Z27" i="4"/>
  <c r="T33" i="4"/>
  <c r="S33" i="4"/>
  <c r="Z7" i="4"/>
  <c r="AA8" i="4"/>
  <c r="AX8" i="4" s="1"/>
  <c r="AC10" i="4"/>
  <c r="AA11" i="4"/>
  <c r="Q16" i="4"/>
  <c r="AX20" i="4"/>
  <c r="AI20" i="4"/>
  <c r="BC20" i="4" s="1"/>
  <c r="V20" i="4"/>
  <c r="AE20" i="4"/>
  <c r="AX21" i="4"/>
  <c r="AI35" i="4"/>
  <c r="BC35" i="4" s="1"/>
  <c r="AE35" i="4"/>
  <c r="AX35" i="4"/>
  <c r="AA6" i="4"/>
  <c r="AE6" i="4" s="1"/>
  <c r="AC8" i="4"/>
  <c r="W15" i="4"/>
  <c r="V16" i="4"/>
  <c r="AX23" i="4"/>
  <c r="AA30" i="4"/>
  <c r="U30" i="4" s="1"/>
  <c r="AE30" i="4"/>
  <c r="AK30" i="4" s="1"/>
  <c r="AC30" i="4"/>
  <c r="X23" i="4"/>
  <c r="W23" i="4"/>
  <c r="AE9" i="4"/>
  <c r="AA10" i="4"/>
  <c r="AI10" i="4" s="1"/>
  <c r="BC10" i="4" s="1"/>
  <c r="AX10" i="4"/>
  <c r="V12" i="4"/>
  <c r="AA12" i="4"/>
  <c r="AI12" i="4" s="1"/>
  <c r="BC12" i="4" s="1"/>
  <c r="Q15" i="4"/>
  <c r="AA15" i="4"/>
  <c r="AE15" i="4" s="1"/>
  <c r="AK15" i="4" s="1"/>
  <c r="AC16" i="4"/>
  <c r="AA16" i="4"/>
  <c r="AE16" i="4" s="1"/>
  <c r="Q20" i="4"/>
  <c r="Z33" i="4"/>
  <c r="Q19" i="4"/>
  <c r="AX19" i="4"/>
  <c r="AI19" i="4"/>
  <c r="V19" i="4"/>
  <c r="W22" i="4"/>
  <c r="X22" i="4"/>
  <c r="V8" i="4"/>
  <c r="AE13" i="4"/>
  <c r="AK13" i="4" s="1"/>
  <c r="AC15" i="4"/>
  <c r="Z16" i="4"/>
  <c r="V26" i="4"/>
  <c r="Q26" i="4"/>
  <c r="T28" i="4"/>
  <c r="S28" i="4"/>
  <c r="T32" i="4"/>
  <c r="AC34" i="4"/>
  <c r="AA34" i="4"/>
  <c r="AE34" i="4" s="1"/>
  <c r="Y34" i="4" s="1"/>
  <c r="AA36" i="4"/>
  <c r="AX36" i="4" s="1"/>
  <c r="V36" i="4"/>
  <c r="AE37" i="4"/>
  <c r="AK37" i="4" s="1"/>
  <c r="AI37" i="4"/>
  <c r="BC37" i="4" s="1"/>
  <c r="AI14" i="4"/>
  <c r="BC14" i="4" s="1"/>
  <c r="AE10" i="4"/>
  <c r="T11" i="4"/>
  <c r="S11" i="4"/>
  <c r="AD11" i="4" s="1"/>
  <c r="AB11" i="4" s="1"/>
  <c r="X13" i="4"/>
  <c r="AA17" i="4"/>
  <c r="AX17" i="4" s="1"/>
  <c r="T35" i="4"/>
  <c r="S35" i="4"/>
  <c r="V13" i="4"/>
  <c r="AA23" i="4"/>
  <c r="AI23" i="4" s="1"/>
  <c r="BC23" i="4" s="1"/>
  <c r="AC24" i="4"/>
  <c r="Q25" i="4"/>
  <c r="AC28" i="4"/>
  <c r="AC29" i="4"/>
  <c r="S31" i="4"/>
  <c r="AD31" i="4" s="1"/>
  <c r="AB31" i="4" s="1"/>
  <c r="AC32" i="4"/>
  <c r="AA32" i="4"/>
  <c r="AI32" i="4" s="1"/>
  <c r="Q33" i="4"/>
  <c r="AI33" i="4"/>
  <c r="BC33" i="4" s="1"/>
  <c r="AC35" i="4"/>
  <c r="W36" i="4"/>
  <c r="V21" i="4"/>
  <c r="AC23" i="4"/>
  <c r="Z24" i="4"/>
  <c r="S25" i="4"/>
  <c r="Z28" i="4"/>
  <c r="Q29" i="4"/>
  <c r="Z32" i="4"/>
  <c r="AX34" i="4"/>
  <c r="V34" i="4"/>
  <c r="Q34" i="4"/>
  <c r="Z35" i="4"/>
  <c r="AK35" i="4"/>
  <c r="AA24" i="4"/>
  <c r="AI24" i="4" s="1"/>
  <c r="AA28" i="4"/>
  <c r="X31" i="4"/>
  <c r="W31" i="4"/>
  <c r="AX32" i="4"/>
  <c r="AC36" i="4"/>
  <c r="AK19" i="4"/>
  <c r="Z19" i="4"/>
  <c r="AA22" i="4"/>
  <c r="AE22" i="4" s="1"/>
  <c r="Y22" i="4" s="1"/>
  <c r="AA25" i="4"/>
  <c r="AE25" i="4" s="1"/>
  <c r="Y25" i="4" s="1"/>
  <c r="AE29" i="4"/>
  <c r="AK29" i="4" s="1"/>
  <c r="AA31" i="4"/>
  <c r="AX31" i="4" s="1"/>
  <c r="AE32" i="4"/>
  <c r="X37" i="4"/>
  <c r="Z20" i="4"/>
  <c r="AG23" i="4"/>
  <c r="AE26" i="4"/>
  <c r="AK26" i="4" s="1"/>
  <c r="AA26" i="4"/>
  <c r="AX26" i="4" s="1"/>
  <c r="V29" i="4"/>
  <c r="Q32" i="4"/>
  <c r="V22" i="4"/>
  <c r="V30" i="4"/>
  <c r="V37" i="4"/>
  <c r="K13" i="9"/>
  <c r="K37" i="9"/>
  <c r="K32" i="9"/>
  <c r="K10" i="9"/>
  <c r="K18" i="9"/>
  <c r="K34" i="9"/>
  <c r="K33" i="9"/>
  <c r="K20" i="9"/>
  <c r="K28" i="9"/>
  <c r="K36" i="9"/>
  <c r="K17" i="9"/>
  <c r="K7" i="9"/>
  <c r="K15" i="9"/>
  <c r="K23" i="9"/>
  <c r="K31" i="9"/>
  <c r="K9" i="9"/>
  <c r="K26" i="9"/>
  <c r="K5" i="9"/>
  <c r="K21" i="9"/>
  <c r="K29" i="9"/>
  <c r="K25" i="9"/>
  <c r="K6" i="9"/>
  <c r="K14" i="9"/>
  <c r="K24" i="9"/>
  <c r="K4" i="9"/>
  <c r="K12" i="9"/>
  <c r="K22" i="9"/>
  <c r="K30" i="9"/>
  <c r="P3" i="9"/>
  <c r="Y3" i="9"/>
  <c r="AD3" i="9"/>
  <c r="AF3" i="9"/>
  <c r="AK4" i="4" l="1"/>
  <c r="Y4" i="4"/>
  <c r="AL18" i="9"/>
  <c r="BC32" i="4"/>
  <c r="AG32" i="4"/>
  <c r="P24" i="9"/>
  <c r="Q24" i="9"/>
  <c r="P20" i="9"/>
  <c r="Q20" i="9"/>
  <c r="AD23" i="4"/>
  <c r="AB23" i="4" s="1"/>
  <c r="AJ23" i="4" s="1"/>
  <c r="AO23" i="4" s="1"/>
  <c r="Q21" i="9"/>
  <c r="P21" i="9"/>
  <c r="Q33" i="9"/>
  <c r="P33" i="9"/>
  <c r="AI34" i="4"/>
  <c r="AE18" i="4"/>
  <c r="AX15" i="4"/>
  <c r="AK27" i="4"/>
  <c r="AI18" i="4"/>
  <c r="BC18" i="4" s="1"/>
  <c r="AK25" i="4"/>
  <c r="AG14" i="4"/>
  <c r="AJ18" i="9"/>
  <c r="AH18" i="9" s="1"/>
  <c r="X22" i="9"/>
  <c r="X24" i="9"/>
  <c r="AL11" i="9"/>
  <c r="AF5" i="9"/>
  <c r="U25" i="4"/>
  <c r="U32" i="4"/>
  <c r="Y13" i="4"/>
  <c r="U26" i="9"/>
  <c r="T26" i="9"/>
  <c r="AE26" i="9" s="1"/>
  <c r="AC26" i="9" s="1"/>
  <c r="AK26" i="9" s="1"/>
  <c r="Q16" i="9"/>
  <c r="P16" i="9"/>
  <c r="X35" i="9"/>
  <c r="Y35" i="9"/>
  <c r="U27" i="9"/>
  <c r="T27" i="9"/>
  <c r="U19" i="9"/>
  <c r="T19" i="9"/>
  <c r="U21" i="4"/>
  <c r="Y16" i="4"/>
  <c r="X25" i="9"/>
  <c r="Y25" i="9"/>
  <c r="T17" i="9"/>
  <c r="U17" i="9"/>
  <c r="Y32" i="4"/>
  <c r="AI7" i="4"/>
  <c r="U4" i="4"/>
  <c r="W30" i="4"/>
  <c r="X30" i="4"/>
  <c r="X26" i="4"/>
  <c r="W26" i="4"/>
  <c r="P30" i="9"/>
  <c r="Q30" i="9"/>
  <c r="Q9" i="9"/>
  <c r="P9" i="9"/>
  <c r="Y27" i="4"/>
  <c r="U15" i="4"/>
  <c r="X23" i="9"/>
  <c r="Y23" i="9"/>
  <c r="Y20" i="4"/>
  <c r="U18" i="4"/>
  <c r="X29" i="9"/>
  <c r="Y29" i="9"/>
  <c r="U21" i="9"/>
  <c r="T21" i="9"/>
  <c r="Q22" i="9"/>
  <c r="P22" i="9"/>
  <c r="Q17" i="9"/>
  <c r="P17" i="9"/>
  <c r="Q32" i="9"/>
  <c r="P32" i="9"/>
  <c r="P12" i="9"/>
  <c r="Q12" i="9"/>
  <c r="Q6" i="9"/>
  <c r="P6" i="9"/>
  <c r="Q5" i="9"/>
  <c r="P5" i="9"/>
  <c r="P23" i="9"/>
  <c r="Q23" i="9"/>
  <c r="Q36" i="9"/>
  <c r="P36" i="9"/>
  <c r="P34" i="9"/>
  <c r="Q34" i="9"/>
  <c r="Q37" i="9"/>
  <c r="P37" i="9"/>
  <c r="AK20" i="4"/>
  <c r="AG24" i="4"/>
  <c r="BC24" i="4"/>
  <c r="AK32" i="4"/>
  <c r="AI26" i="4"/>
  <c r="BC26" i="4" s="1"/>
  <c r="AG19" i="4"/>
  <c r="BC19" i="4"/>
  <c r="AD15" i="4"/>
  <c r="AB15" i="4" s="1"/>
  <c r="AJ15" i="4" s="1"/>
  <c r="W34" i="4"/>
  <c r="AI4" i="4"/>
  <c r="BC4" i="4" s="1"/>
  <c r="AJ22" i="9"/>
  <c r="AH22" i="9" s="1"/>
  <c r="AF20" i="9"/>
  <c r="AE16" i="9"/>
  <c r="AC16" i="9" s="1"/>
  <c r="Y35" i="4"/>
  <c r="AE33" i="4"/>
  <c r="U17" i="4"/>
  <c r="U36" i="9"/>
  <c r="T36" i="9"/>
  <c r="AE36" i="9" s="1"/>
  <c r="AC36" i="9" s="1"/>
  <c r="AK36" i="9" s="1"/>
  <c r="Q3" i="9"/>
  <c r="U16" i="4"/>
  <c r="U22" i="4"/>
  <c r="Y21" i="4"/>
  <c r="Y7" i="4"/>
  <c r="T11" i="9"/>
  <c r="U11" i="9"/>
  <c r="S24" i="4"/>
  <c r="T24" i="4"/>
  <c r="U12" i="4"/>
  <c r="U8" i="4"/>
  <c r="Q35" i="9"/>
  <c r="P35" i="9"/>
  <c r="Q27" i="9"/>
  <c r="P27" i="9"/>
  <c r="AX9" i="4"/>
  <c r="AI9" i="4"/>
  <c r="T29" i="9"/>
  <c r="U29" i="9"/>
  <c r="U25" i="9"/>
  <c r="T25" i="9"/>
  <c r="AE25" i="9" s="1"/>
  <c r="AC25" i="9" s="1"/>
  <c r="AK25" i="9" s="1"/>
  <c r="U10" i="4"/>
  <c r="Q29" i="9"/>
  <c r="P29" i="9"/>
  <c r="Q7" i="9"/>
  <c r="P7" i="9"/>
  <c r="Q10" i="9"/>
  <c r="P10" i="9"/>
  <c r="Y15" i="4"/>
  <c r="U31" i="9"/>
  <c r="T31" i="9"/>
  <c r="AE31" i="9" s="1"/>
  <c r="AC31" i="9" s="1"/>
  <c r="AK31" i="9" s="1"/>
  <c r="S14" i="4"/>
  <c r="AD14" i="4" s="1"/>
  <c r="AB14" i="4" s="1"/>
  <c r="AJ14" i="4" s="1"/>
  <c r="AO14" i="4" s="1"/>
  <c r="T14" i="4"/>
  <c r="Q14" i="9"/>
  <c r="P14" i="9"/>
  <c r="Q31" i="9"/>
  <c r="P31" i="9"/>
  <c r="P4" i="9"/>
  <c r="Q4" i="9"/>
  <c r="Q25" i="9"/>
  <c r="P25" i="9"/>
  <c r="Q26" i="9"/>
  <c r="P26" i="9"/>
  <c r="Q15" i="9"/>
  <c r="P15" i="9"/>
  <c r="Q28" i="9"/>
  <c r="P28" i="9"/>
  <c r="Q18" i="9"/>
  <c r="P18" i="9"/>
  <c r="AK16" i="4"/>
  <c r="AI8" i="4"/>
  <c r="BC8" i="4" s="1"/>
  <c r="AF25" i="9"/>
  <c r="AF24" i="9"/>
  <c r="AF29" i="9"/>
  <c r="AJ9" i="9"/>
  <c r="AJ13" i="9"/>
  <c r="AL15" i="9"/>
  <c r="AF7" i="9"/>
  <c r="U36" i="4"/>
  <c r="X27" i="9"/>
  <c r="Y27" i="9"/>
  <c r="AG29" i="4"/>
  <c r="BC29" i="4"/>
  <c r="Y10" i="4"/>
  <c r="Y29" i="4"/>
  <c r="U6" i="4"/>
  <c r="U33" i="4"/>
  <c r="U22" i="9"/>
  <c r="T22" i="9"/>
  <c r="AE22" i="9" s="1"/>
  <c r="AC22" i="9" s="1"/>
  <c r="AK22" i="9" s="1"/>
  <c r="AP22" i="9" s="1"/>
  <c r="P11" i="9"/>
  <c r="Q11" i="9"/>
  <c r="AE27" i="9"/>
  <c r="AC27" i="9" s="1"/>
  <c r="AK27" i="9" s="1"/>
  <c r="Y26" i="4"/>
  <c r="T23" i="4"/>
  <c r="S23" i="4"/>
  <c r="X31" i="9"/>
  <c r="Y31" i="9"/>
  <c r="T23" i="9"/>
  <c r="U23" i="9"/>
  <c r="Q19" i="9"/>
  <c r="P19" i="9"/>
  <c r="U23" i="4"/>
  <c r="AE29" i="9"/>
  <c r="AC29" i="9" s="1"/>
  <c r="AK29" i="9" s="1"/>
  <c r="AP29" i="9" s="1"/>
  <c r="X21" i="9"/>
  <c r="AE21" i="9" s="1"/>
  <c r="AC21" i="9" s="1"/>
  <c r="AK21" i="9" s="1"/>
  <c r="Y21" i="9"/>
  <c r="U7" i="4"/>
  <c r="U34" i="4"/>
  <c r="Q13" i="9"/>
  <c r="P13" i="9"/>
  <c r="AH20" i="9"/>
  <c r="AL13" i="9"/>
  <c r="AH5" i="9"/>
  <c r="AH7" i="9"/>
  <c r="AL22" i="9"/>
  <c r="AP26" i="9"/>
  <c r="AG26" i="9"/>
  <c r="AM26" i="9" s="1"/>
  <c r="AL37" i="9"/>
  <c r="AL9" i="9"/>
  <c r="AH37" i="9"/>
  <c r="AH27" i="9"/>
  <c r="AL29" i="9"/>
  <c r="X9" i="9"/>
  <c r="Y9" i="9"/>
  <c r="AL36" i="9"/>
  <c r="Y15" i="9"/>
  <c r="X15" i="9"/>
  <c r="AH23" i="9"/>
  <c r="AF27" i="9"/>
  <c r="AL24" i="9"/>
  <c r="AH13" i="9"/>
  <c r="AH28" i="9"/>
  <c r="AF23" i="9"/>
  <c r="U10" i="9"/>
  <c r="T10" i="9"/>
  <c r="AH25" i="9"/>
  <c r="AF21" i="9"/>
  <c r="AE10" i="9"/>
  <c r="AC10" i="9" s="1"/>
  <c r="AJ15" i="9"/>
  <c r="U28" i="9"/>
  <c r="T28" i="9"/>
  <c r="X11" i="9"/>
  <c r="Y11" i="9"/>
  <c r="U12" i="9"/>
  <c r="T12" i="9"/>
  <c r="AE24" i="9"/>
  <c r="AC24" i="9" s="1"/>
  <c r="AK24" i="9" s="1"/>
  <c r="AE12" i="9"/>
  <c r="AC12" i="9" s="1"/>
  <c r="AH35" i="9"/>
  <c r="AE8" i="9"/>
  <c r="AC8" i="9" s="1"/>
  <c r="U6" i="9"/>
  <c r="T6" i="9"/>
  <c r="AE6" i="9" s="1"/>
  <c r="AC6" i="9" s="1"/>
  <c r="AK16" i="9"/>
  <c r="U32" i="9"/>
  <c r="T32" i="9"/>
  <c r="AH9" i="9"/>
  <c r="AL26" i="9"/>
  <c r="AL25" i="9"/>
  <c r="U4" i="9"/>
  <c r="T4" i="9"/>
  <c r="AE4" i="9" s="1"/>
  <c r="AC4" i="9" s="1"/>
  <c r="X7" i="9"/>
  <c r="Y7" i="9"/>
  <c r="X13" i="9"/>
  <c r="AE13" i="9" s="1"/>
  <c r="AC13" i="9" s="1"/>
  <c r="AK13" i="9" s="1"/>
  <c r="Y13" i="9"/>
  <c r="T37" i="9"/>
  <c r="U37" i="9"/>
  <c r="AL20" i="9"/>
  <c r="AH29" i="9"/>
  <c r="AL7" i="9"/>
  <c r="AH34" i="9"/>
  <c r="T33" i="9"/>
  <c r="AE33" i="9" s="1"/>
  <c r="AC33" i="9" s="1"/>
  <c r="U33" i="9"/>
  <c r="U34" i="9"/>
  <c r="T34" i="9"/>
  <c r="U30" i="9"/>
  <c r="T30" i="9"/>
  <c r="AH21" i="9"/>
  <c r="U8" i="9"/>
  <c r="T8" i="9"/>
  <c r="T35" i="9"/>
  <c r="U35" i="9"/>
  <c r="X20" i="9"/>
  <c r="Y20" i="9"/>
  <c r="U14" i="9"/>
  <c r="T14" i="9"/>
  <c r="AK18" i="9"/>
  <c r="AL19" i="9"/>
  <c r="AL17" i="9"/>
  <c r="AJ11" i="9"/>
  <c r="X5" i="9"/>
  <c r="Y5" i="9"/>
  <c r="AE17" i="9"/>
  <c r="AC17" i="9" s="1"/>
  <c r="AK17" i="9" s="1"/>
  <c r="AO15" i="4"/>
  <c r="AK14" i="4"/>
  <c r="AK22" i="4"/>
  <c r="AG12" i="4"/>
  <c r="AK6" i="4"/>
  <c r="AK34" i="4"/>
  <c r="AO9" i="4"/>
  <c r="W10" i="4"/>
  <c r="X10" i="4"/>
  <c r="W25" i="4"/>
  <c r="X25" i="4"/>
  <c r="X20" i="4"/>
  <c r="W20" i="4"/>
  <c r="AG37" i="4"/>
  <c r="AX16" i="4"/>
  <c r="T12" i="4"/>
  <c r="S12" i="4"/>
  <c r="X7" i="4"/>
  <c r="W7" i="4"/>
  <c r="W5" i="4"/>
  <c r="X5" i="4"/>
  <c r="AI5" i="4"/>
  <c r="BC5" i="4" s="1"/>
  <c r="AX5" i="4"/>
  <c r="S4" i="4"/>
  <c r="T4" i="4"/>
  <c r="AE12" i="4"/>
  <c r="Y12" i="4" s="1"/>
  <c r="AE8" i="4"/>
  <c r="Y8" i="4" s="1"/>
  <c r="AK10" i="4"/>
  <c r="AI17" i="4"/>
  <c r="BC17" i="4" s="1"/>
  <c r="AK9" i="4"/>
  <c r="W27" i="4"/>
  <c r="X27" i="4"/>
  <c r="T29" i="4"/>
  <c r="S29" i="4"/>
  <c r="AX24" i="4"/>
  <c r="AG26" i="4"/>
  <c r="T37" i="4"/>
  <c r="S37" i="4"/>
  <c r="T8" i="4"/>
  <c r="S8" i="4"/>
  <c r="S30" i="4"/>
  <c r="T30" i="4"/>
  <c r="T21" i="4"/>
  <c r="S21" i="4"/>
  <c r="AI16" i="4"/>
  <c r="BC16" i="4" s="1"/>
  <c r="T36" i="4"/>
  <c r="S36" i="4"/>
  <c r="W33" i="4"/>
  <c r="AD33" i="4" s="1"/>
  <c r="AB33" i="4" s="1"/>
  <c r="AJ33" i="4" s="1"/>
  <c r="X33" i="4"/>
  <c r="AX12" i="4"/>
  <c r="T18" i="4"/>
  <c r="S18" i="4"/>
  <c r="AD18" i="4" s="1"/>
  <c r="AB18" i="4" s="1"/>
  <c r="AI6" i="4"/>
  <c r="BC6" i="4" s="1"/>
  <c r="T20" i="4"/>
  <c r="S20" i="4"/>
  <c r="T17" i="4"/>
  <c r="S17" i="4"/>
  <c r="X24" i="4"/>
  <c r="W24" i="4"/>
  <c r="AD20" i="4"/>
  <c r="AB20" i="4" s="1"/>
  <c r="AI30" i="4"/>
  <c r="BC30" i="4" s="1"/>
  <c r="AX30" i="4"/>
  <c r="AG20" i="4"/>
  <c r="X6" i="4"/>
  <c r="W6" i="4"/>
  <c r="AX25" i="4"/>
  <c r="AK5" i="4"/>
  <c r="S22" i="4"/>
  <c r="T22" i="4"/>
  <c r="AE36" i="4"/>
  <c r="Y36" i="4" s="1"/>
  <c r="S16" i="4"/>
  <c r="T16" i="4"/>
  <c r="AE23" i="4"/>
  <c r="Y23" i="4" s="1"/>
  <c r="T6" i="4"/>
  <c r="S6" i="4"/>
  <c r="AD6" i="4" s="1"/>
  <c r="AB6" i="4" s="1"/>
  <c r="T7" i="4"/>
  <c r="S7" i="4"/>
  <c r="AD7" i="4" s="1"/>
  <c r="AB7" i="4" s="1"/>
  <c r="AG33" i="4"/>
  <c r="AI36" i="4"/>
  <c r="BC36" i="4" s="1"/>
  <c r="W35" i="4"/>
  <c r="X35" i="4"/>
  <c r="T26" i="4"/>
  <c r="S26" i="4"/>
  <c r="AG35" i="4"/>
  <c r="AX6" i="4"/>
  <c r="AE28" i="4"/>
  <c r="Y28" i="4" s="1"/>
  <c r="AI28" i="4"/>
  <c r="BC28" i="4" s="1"/>
  <c r="AJ3" i="4"/>
  <c r="AO3" i="4" s="1"/>
  <c r="AI25" i="4"/>
  <c r="BC25" i="4" s="1"/>
  <c r="W19" i="4"/>
  <c r="X19" i="4"/>
  <c r="AX28" i="4"/>
  <c r="S34" i="4"/>
  <c r="AD34" i="4" s="1"/>
  <c r="AB34" i="4" s="1"/>
  <c r="T34" i="4"/>
  <c r="X28" i="4"/>
  <c r="W28" i="4"/>
  <c r="AX14" i="4"/>
  <c r="T13" i="4"/>
  <c r="S13" i="4"/>
  <c r="AJ11" i="4"/>
  <c r="S19" i="4"/>
  <c r="T19" i="4"/>
  <c r="AX11" i="4"/>
  <c r="AI11" i="4"/>
  <c r="BC11" i="4" s="1"/>
  <c r="AE11" i="4"/>
  <c r="Y11" i="4" s="1"/>
  <c r="AX27" i="4"/>
  <c r="AI27" i="4"/>
  <c r="BC27" i="4" s="1"/>
  <c r="AI15" i="4"/>
  <c r="BC15" i="4" s="1"/>
  <c r="AD4" i="4"/>
  <c r="AB4" i="4" s="1"/>
  <c r="AE17" i="4"/>
  <c r="Y17" i="4" s="1"/>
  <c r="AG4" i="4"/>
  <c r="AG8" i="4"/>
  <c r="X32" i="4"/>
  <c r="W32" i="4"/>
  <c r="AG13" i="4"/>
  <c r="AI22" i="4"/>
  <c r="BC22" i="4" s="1"/>
  <c r="AX22" i="4"/>
  <c r="AE24" i="4"/>
  <c r="Y24" i="4" s="1"/>
  <c r="AI31" i="4"/>
  <c r="BC31" i="4" s="1"/>
  <c r="AE31" i="4"/>
  <c r="Y31" i="4" s="1"/>
  <c r="AJ31" i="4"/>
  <c r="X16" i="4"/>
  <c r="W16" i="4"/>
  <c r="AD16" i="4" s="1"/>
  <c r="AB16" i="4" s="1"/>
  <c r="AG10" i="4"/>
  <c r="AX3" i="4"/>
  <c r="X3" i="9"/>
  <c r="AE3" i="9" s="1"/>
  <c r="AC3" i="9" s="1"/>
  <c r="AK3" i="9" s="1"/>
  <c r="AI3" i="4"/>
  <c r="AL3" i="9"/>
  <c r="AJ3" i="9"/>
  <c r="AG21" i="9" l="1"/>
  <c r="AM21" i="9" s="1"/>
  <c r="AP21" i="9"/>
  <c r="AP27" i="9"/>
  <c r="AG27" i="9"/>
  <c r="AM27" i="9" s="1"/>
  <c r="AP36" i="9"/>
  <c r="AG36" i="9"/>
  <c r="AM36" i="9" s="1"/>
  <c r="AG31" i="9"/>
  <c r="AM31" i="9" s="1"/>
  <c r="AP31" i="9"/>
  <c r="AG25" i="9"/>
  <c r="AM25" i="9" s="1"/>
  <c r="AP25" i="9"/>
  <c r="BC3" i="4"/>
  <c r="AG18" i="4"/>
  <c r="AG22" i="9"/>
  <c r="AM22" i="9" s="1"/>
  <c r="AK33" i="4"/>
  <c r="Y33" i="4"/>
  <c r="BC34" i="4"/>
  <c r="AG34" i="4"/>
  <c r="AG29" i="9"/>
  <c r="AM29" i="9" s="1"/>
  <c r="AE23" i="9"/>
  <c r="AC23" i="9" s="1"/>
  <c r="AK23" i="9" s="1"/>
  <c r="AL5" i="9"/>
  <c r="BC9" i="4"/>
  <c r="AG9" i="4"/>
  <c r="AK19" i="9"/>
  <c r="AE19" i="9"/>
  <c r="AC19" i="9" s="1"/>
  <c r="BC7" i="4"/>
  <c r="AG7" i="4"/>
  <c r="AK18" i="4"/>
  <c r="Y18" i="4"/>
  <c r="AG13" i="9"/>
  <c r="AM13" i="9" s="1"/>
  <c r="AP13" i="9"/>
  <c r="AE30" i="9"/>
  <c r="AC30" i="9" s="1"/>
  <c r="AK30" i="9" s="1"/>
  <c r="AK33" i="9"/>
  <c r="AE32" i="9"/>
  <c r="AC32" i="9" s="1"/>
  <c r="AK32" i="9" s="1"/>
  <c r="AE20" i="9"/>
  <c r="AC20" i="9" s="1"/>
  <c r="AK20" i="9" s="1"/>
  <c r="AE11" i="9"/>
  <c r="AC11" i="9" s="1"/>
  <c r="AK11" i="9" s="1"/>
  <c r="AL23" i="9"/>
  <c r="AL21" i="9"/>
  <c r="AG17" i="9"/>
  <c r="AM17" i="9" s="1"/>
  <c r="AP17" i="9"/>
  <c r="AP24" i="9"/>
  <c r="AG24" i="9"/>
  <c r="AM24" i="9" s="1"/>
  <c r="AG18" i="9"/>
  <c r="AM18" i="9" s="1"/>
  <c r="AP18" i="9"/>
  <c r="AE7" i="9"/>
  <c r="AC7" i="9" s="1"/>
  <c r="AK7" i="9" s="1"/>
  <c r="AE9" i="9"/>
  <c r="AC9" i="9" s="1"/>
  <c r="AK9" i="9" s="1"/>
  <c r="AE34" i="9"/>
  <c r="AC34" i="9" s="1"/>
  <c r="AK34" i="9" s="1"/>
  <c r="AE28" i="9"/>
  <c r="AC28" i="9" s="1"/>
  <c r="AK28" i="9" s="1"/>
  <c r="AE5" i="9"/>
  <c r="AC5" i="9" s="1"/>
  <c r="AK5" i="9" s="1"/>
  <c r="AP5" i="9" s="1"/>
  <c r="AK8" i="9"/>
  <c r="AE37" i="9"/>
  <c r="AC37" i="9" s="1"/>
  <c r="AK37" i="9" s="1"/>
  <c r="AK4" i="9"/>
  <c r="AG16" i="9"/>
  <c r="AM16" i="9" s="1"/>
  <c r="AP16" i="9"/>
  <c r="AK12" i="9"/>
  <c r="AH15" i="9"/>
  <c r="AK10" i="9"/>
  <c r="AE35" i="9"/>
  <c r="AC35" i="9" s="1"/>
  <c r="AK35" i="9" s="1"/>
  <c r="AK6" i="9"/>
  <c r="AL27" i="9"/>
  <c r="AH11" i="9"/>
  <c r="AE14" i="9"/>
  <c r="AC14" i="9" s="1"/>
  <c r="AK14" i="9" s="1"/>
  <c r="AE15" i="9"/>
  <c r="AC15" i="9" s="1"/>
  <c r="AK15" i="9" s="1"/>
  <c r="AO33" i="4"/>
  <c r="AO11" i="4"/>
  <c r="AG6" i="4"/>
  <c r="AJ4" i="4"/>
  <c r="AK17" i="4"/>
  <c r="AG25" i="4"/>
  <c r="AD36" i="4"/>
  <c r="AB36" i="4" s="1"/>
  <c r="AJ36" i="4" s="1"/>
  <c r="AD30" i="4"/>
  <c r="AB30" i="4" s="1"/>
  <c r="AJ30" i="4" s="1"/>
  <c r="AG17" i="4"/>
  <c r="AD26" i="4"/>
  <c r="AB26" i="4" s="1"/>
  <c r="AJ26" i="4" s="1"/>
  <c r="AO31" i="4"/>
  <c r="AJ7" i="4"/>
  <c r="AK23" i="4"/>
  <c r="AD22" i="4"/>
  <c r="AB22" i="4" s="1"/>
  <c r="AJ22" i="4" s="1"/>
  <c r="AJ20" i="4"/>
  <c r="AG16" i="4"/>
  <c r="AK8" i="4"/>
  <c r="AK31" i="4"/>
  <c r="AG15" i="4"/>
  <c r="AG28" i="4"/>
  <c r="AD35" i="4"/>
  <c r="AB35" i="4" s="1"/>
  <c r="AJ35" i="4" s="1"/>
  <c r="AD17" i="4"/>
  <c r="AB17" i="4" s="1"/>
  <c r="AJ17" i="4" s="1"/>
  <c r="AD21" i="4"/>
  <c r="AB21" i="4" s="1"/>
  <c r="AJ21" i="4" s="1"/>
  <c r="AK12" i="4"/>
  <c r="AD25" i="4"/>
  <c r="AB25" i="4" s="1"/>
  <c r="AJ25" i="4" s="1"/>
  <c r="AD10" i="4"/>
  <c r="AB10" i="4" s="1"/>
  <c r="AJ10" i="4" s="1"/>
  <c r="AD28" i="4"/>
  <c r="AB28" i="4" s="1"/>
  <c r="AJ28" i="4" s="1"/>
  <c r="AD29" i="4"/>
  <c r="AB29" i="4" s="1"/>
  <c r="AJ29" i="4" s="1"/>
  <c r="AD8" i="4"/>
  <c r="AB8" i="4" s="1"/>
  <c r="AJ8" i="4" s="1"/>
  <c r="AG31" i="4"/>
  <c r="AG27" i="4"/>
  <c r="AJ34" i="4"/>
  <c r="AK28" i="4"/>
  <c r="AG36" i="4"/>
  <c r="AJ6" i="4"/>
  <c r="AJ16" i="4"/>
  <c r="AG30" i="4"/>
  <c r="AD37" i="4"/>
  <c r="AB37" i="4" s="1"/>
  <c r="AJ37" i="4" s="1"/>
  <c r="AD27" i="4"/>
  <c r="AB27" i="4" s="1"/>
  <c r="AJ27" i="4" s="1"/>
  <c r="AD12" i="4"/>
  <c r="AB12" i="4" s="1"/>
  <c r="AJ12" i="4" s="1"/>
  <c r="AK24" i="4"/>
  <c r="AK11" i="4"/>
  <c r="AD13" i="4"/>
  <c r="AB13" i="4" s="1"/>
  <c r="AJ13" i="4" s="1"/>
  <c r="AK36" i="4"/>
  <c r="AD24" i="4"/>
  <c r="AB24" i="4" s="1"/>
  <c r="AJ24" i="4" s="1"/>
  <c r="AJ18" i="4"/>
  <c r="AD5" i="4"/>
  <c r="AB5" i="4" s="1"/>
  <c r="AJ5" i="4" s="1"/>
  <c r="AG22" i="4"/>
  <c r="AG11" i="4"/>
  <c r="AD32" i="4"/>
  <c r="AB32" i="4" s="1"/>
  <c r="AJ32" i="4" s="1"/>
  <c r="AG5" i="4"/>
  <c r="AD19" i="4"/>
  <c r="AB19" i="4" s="1"/>
  <c r="AJ19" i="4" s="1"/>
  <c r="AP3" i="9"/>
  <c r="AG3" i="9"/>
  <c r="AH3" i="9"/>
  <c r="AP19" i="9" l="1"/>
  <c r="AG19" i="9"/>
  <c r="AM19" i="9" s="1"/>
  <c r="AP23" i="9"/>
  <c r="AG23" i="9"/>
  <c r="AM23" i="9" s="1"/>
  <c r="AP32" i="9"/>
  <c r="AG32" i="9"/>
  <c r="AM32" i="9" s="1"/>
  <c r="AP30" i="9"/>
  <c r="AG30" i="9"/>
  <c r="AM30" i="9" s="1"/>
  <c r="AG35" i="9"/>
  <c r="AM35" i="9" s="1"/>
  <c r="AP35" i="9"/>
  <c r="AP28" i="9"/>
  <c r="AG28" i="9"/>
  <c r="AM28" i="9" s="1"/>
  <c r="AG14" i="9"/>
  <c r="AM14" i="9" s="1"/>
  <c r="AP14" i="9"/>
  <c r="AG37" i="9"/>
  <c r="AM37" i="9" s="1"/>
  <c r="AP37" i="9"/>
  <c r="AP34" i="9"/>
  <c r="AG34" i="9"/>
  <c r="AM34" i="9" s="1"/>
  <c r="AP12" i="9"/>
  <c r="AG12" i="9"/>
  <c r="AM12" i="9" s="1"/>
  <c r="AP8" i="9"/>
  <c r="AG8" i="9"/>
  <c r="AM8" i="9" s="1"/>
  <c r="AP6" i="9"/>
  <c r="AG6" i="9"/>
  <c r="AM6" i="9" s="1"/>
  <c r="AG15" i="9"/>
  <c r="AM15" i="9" s="1"/>
  <c r="AP15" i="9"/>
  <c r="AG5" i="9"/>
  <c r="AM5" i="9" s="1"/>
  <c r="AG7" i="9"/>
  <c r="AM7" i="9" s="1"/>
  <c r="AP7" i="9"/>
  <c r="AP4" i="9"/>
  <c r="AG4" i="9"/>
  <c r="AM4" i="9" s="1"/>
  <c r="AP20" i="9"/>
  <c r="AG20" i="9"/>
  <c r="AM20" i="9" s="1"/>
  <c r="AG33" i="9"/>
  <c r="AM33" i="9" s="1"/>
  <c r="AP33" i="9"/>
  <c r="AG11" i="9"/>
  <c r="AM11" i="9" s="1"/>
  <c r="AP11" i="9"/>
  <c r="AP10" i="9"/>
  <c r="AG10" i="9"/>
  <c r="AM10" i="9" s="1"/>
  <c r="AG9" i="9"/>
  <c r="AM9" i="9" s="1"/>
  <c r="AP9" i="9"/>
  <c r="AO13" i="4"/>
  <c r="AO17" i="4"/>
  <c r="AO36" i="4"/>
  <c r="AO37" i="4"/>
  <c r="AO12" i="4"/>
  <c r="AO22" i="4"/>
  <c r="AO26" i="4"/>
  <c r="AO21" i="4"/>
  <c r="AO5" i="4"/>
  <c r="AO18" i="4"/>
  <c r="AO8" i="4"/>
  <c r="AO24" i="4"/>
  <c r="AO34" i="4"/>
  <c r="AO19" i="4"/>
  <c r="AO7" i="4"/>
  <c r="AO25" i="4"/>
  <c r="AO16" i="4"/>
  <c r="AO28" i="4"/>
  <c r="AO30" i="4"/>
  <c r="AO6" i="4"/>
  <c r="AO29" i="4"/>
  <c r="AO20" i="4"/>
  <c r="AO32" i="4"/>
  <c r="AO27" i="4"/>
  <c r="AO10" i="4"/>
  <c r="AO35" i="4"/>
  <c r="AO4" i="4"/>
  <c r="J9" i="7" l="1"/>
  <c r="O18" i="7"/>
  <c r="K18" i="7"/>
  <c r="M18" i="7" s="1"/>
  <c r="J18" i="7"/>
  <c r="O17" i="7"/>
  <c r="K17" i="7"/>
  <c r="M17" i="7" s="1"/>
  <c r="J17" i="7"/>
  <c r="O16" i="7"/>
  <c r="K16" i="7"/>
  <c r="M16" i="7" s="1"/>
  <c r="J16" i="7"/>
  <c r="O15" i="7"/>
  <c r="K15" i="7"/>
  <c r="M15" i="7" s="1"/>
  <c r="J15" i="7"/>
  <c r="O14" i="7"/>
  <c r="K14" i="7"/>
  <c r="M14" i="7" s="1"/>
  <c r="J14" i="7"/>
  <c r="O13" i="7"/>
  <c r="K13" i="7"/>
  <c r="M13" i="7" s="1"/>
  <c r="J13" i="7"/>
  <c r="O12" i="7"/>
  <c r="K12" i="7"/>
  <c r="M12" i="7" s="1"/>
  <c r="J12" i="7"/>
  <c r="O11" i="7"/>
  <c r="K11" i="7"/>
  <c r="M11" i="7" s="1"/>
  <c r="J11" i="7"/>
  <c r="O10" i="7"/>
  <c r="K10" i="7"/>
  <c r="M10" i="7" s="1"/>
  <c r="J10" i="7"/>
  <c r="O9" i="7"/>
  <c r="K9" i="7"/>
  <c r="M9" i="7" s="1"/>
  <c r="O8" i="7"/>
  <c r="K8" i="7"/>
  <c r="M8" i="7" s="1"/>
  <c r="J8" i="7"/>
  <c r="O7" i="7"/>
  <c r="K7" i="7"/>
  <c r="M7" i="7" s="1"/>
  <c r="J7" i="7"/>
  <c r="O6" i="7"/>
  <c r="K6" i="7"/>
  <c r="M6" i="7" s="1"/>
  <c r="J6" i="7"/>
  <c r="O5" i="7"/>
  <c r="K5" i="7"/>
  <c r="M5" i="7" s="1"/>
  <c r="J5" i="7"/>
  <c r="O4" i="7"/>
  <c r="K4" i="7"/>
  <c r="M4" i="7" s="1"/>
  <c r="J24" i="7"/>
  <c r="L24" i="7" s="1"/>
  <c r="K24" i="7"/>
  <c r="M24" i="7" s="1"/>
  <c r="Q24" i="7" s="1"/>
  <c r="O24" i="7"/>
  <c r="J25" i="7"/>
  <c r="L25" i="7" s="1"/>
  <c r="N25" i="7" s="1"/>
  <c r="S25" i="7" s="1"/>
  <c r="U25" i="7" s="1"/>
  <c r="K25" i="7"/>
  <c r="M25" i="7" s="1"/>
  <c r="O25" i="7"/>
  <c r="J26" i="7"/>
  <c r="L26" i="7" s="1"/>
  <c r="N26" i="7" s="1"/>
  <c r="S26" i="7" s="1"/>
  <c r="U26" i="7" s="1"/>
  <c r="K26" i="7"/>
  <c r="M26" i="7" s="1"/>
  <c r="O26" i="7"/>
  <c r="R26" i="7" s="1"/>
  <c r="P26" i="7"/>
  <c r="J27" i="7"/>
  <c r="L27" i="7" s="1"/>
  <c r="N27" i="7" s="1"/>
  <c r="K27" i="7"/>
  <c r="M27" i="7" s="1"/>
  <c r="Q27" i="7" s="1"/>
  <c r="O27" i="7"/>
  <c r="J28" i="7"/>
  <c r="L28" i="7" s="1"/>
  <c r="N28" i="7" s="1"/>
  <c r="K28" i="7"/>
  <c r="M28" i="7" s="1"/>
  <c r="O28" i="7"/>
  <c r="J29" i="7"/>
  <c r="L29" i="7" s="1"/>
  <c r="N29" i="7" s="1"/>
  <c r="K29" i="7"/>
  <c r="M29" i="7" s="1"/>
  <c r="O29" i="7"/>
  <c r="J30" i="7"/>
  <c r="L30" i="7" s="1"/>
  <c r="N30" i="7" s="1"/>
  <c r="K30" i="7"/>
  <c r="M30" i="7" s="1"/>
  <c r="O30" i="7"/>
  <c r="J31" i="7"/>
  <c r="L31" i="7" s="1"/>
  <c r="N31" i="7" s="1"/>
  <c r="K31" i="7"/>
  <c r="M31" i="7" s="1"/>
  <c r="O31" i="7"/>
  <c r="J32" i="7"/>
  <c r="L32" i="7" s="1"/>
  <c r="N32" i="7" s="1"/>
  <c r="K32" i="7"/>
  <c r="M32" i="7" s="1"/>
  <c r="O32" i="7"/>
  <c r="R32" i="7" s="1"/>
  <c r="J33" i="7"/>
  <c r="L33" i="7" s="1"/>
  <c r="N33" i="7" s="1"/>
  <c r="K33" i="7"/>
  <c r="M33" i="7" s="1"/>
  <c r="O33" i="7"/>
  <c r="J34" i="7"/>
  <c r="L34" i="7" s="1"/>
  <c r="N34" i="7" s="1"/>
  <c r="K34" i="7"/>
  <c r="M34" i="7" s="1"/>
  <c r="O34" i="7"/>
  <c r="J35" i="7"/>
  <c r="L35" i="7" s="1"/>
  <c r="N35" i="7" s="1"/>
  <c r="K35" i="7"/>
  <c r="M35" i="7" s="1"/>
  <c r="O35" i="7"/>
  <c r="J36" i="7"/>
  <c r="L36" i="7" s="1"/>
  <c r="N36" i="7" s="1"/>
  <c r="K36" i="7"/>
  <c r="M36" i="7" s="1"/>
  <c r="O36" i="7"/>
  <c r="J37" i="7"/>
  <c r="L37" i="7" s="1"/>
  <c r="N37" i="7" s="1"/>
  <c r="K37" i="7"/>
  <c r="M37" i="7" s="1"/>
  <c r="O37" i="7"/>
  <c r="P37" i="7"/>
  <c r="J38" i="7"/>
  <c r="L38" i="7" s="1"/>
  <c r="N38" i="7" s="1"/>
  <c r="K38" i="7"/>
  <c r="M38" i="7" s="1"/>
  <c r="O38" i="7"/>
  <c r="P38" i="7"/>
  <c r="O23" i="7"/>
  <c r="K23" i="7"/>
  <c r="M23" i="7" s="1"/>
  <c r="J23" i="7"/>
  <c r="O3" i="7"/>
  <c r="K3" i="7"/>
  <c r="M3" i="7" s="1"/>
  <c r="J3" i="7"/>
  <c r="P3" i="7" s="1"/>
  <c r="P32" i="7" l="1"/>
  <c r="L3" i="7"/>
  <c r="Q33" i="7"/>
  <c r="P31" i="7"/>
  <c r="P30" i="7"/>
  <c r="P25" i="7"/>
  <c r="R24" i="7"/>
  <c r="Q3" i="7"/>
  <c r="R36" i="7"/>
  <c r="Q34" i="7"/>
  <c r="Q32" i="7"/>
  <c r="R30" i="7"/>
  <c r="Q28" i="7"/>
  <c r="Q26" i="7"/>
  <c r="P34" i="7"/>
  <c r="R31" i="7"/>
  <c r="P28" i="7"/>
  <c r="R25" i="7"/>
  <c r="P36" i="7"/>
  <c r="P35" i="7"/>
  <c r="T35" i="7" s="1"/>
  <c r="V35" i="7" s="1"/>
  <c r="P29" i="7"/>
  <c r="T29" i="7" s="1"/>
  <c r="V29" i="7" s="1"/>
  <c r="Q38" i="7"/>
  <c r="Q37" i="7"/>
  <c r="R34" i="7"/>
  <c r="P33" i="7"/>
  <c r="T33" i="7" s="1"/>
  <c r="V33" i="7" s="1"/>
  <c r="Q31" i="7"/>
  <c r="R28" i="7"/>
  <c r="P27" i="7"/>
  <c r="T27" i="7" s="1"/>
  <c r="V27" i="7" s="1"/>
  <c r="P24" i="7"/>
  <c r="Q36" i="7"/>
  <c r="Q35" i="7"/>
  <c r="Q30" i="7"/>
  <c r="Q29" i="7"/>
  <c r="Q25" i="7"/>
  <c r="Q15" i="7"/>
  <c r="R37" i="7"/>
  <c r="R35" i="7"/>
  <c r="R33" i="7"/>
  <c r="Q14" i="7"/>
  <c r="Q18" i="7"/>
  <c r="R29" i="7"/>
  <c r="R27" i="7"/>
  <c r="R3" i="7"/>
  <c r="R38" i="7"/>
  <c r="Q23" i="7"/>
  <c r="Q13" i="7"/>
  <c r="Q17" i="7"/>
  <c r="T38" i="7"/>
  <c r="V38" i="7" s="1"/>
  <c r="S38" i="7"/>
  <c r="U38" i="7" s="1"/>
  <c r="S36" i="7"/>
  <c r="U36" i="7" s="1"/>
  <c r="S35" i="7"/>
  <c r="U35" i="7" s="1"/>
  <c r="S34" i="7"/>
  <c r="U34" i="7" s="1"/>
  <c r="S33" i="7"/>
  <c r="U33" i="7" s="1"/>
  <c r="S32" i="7"/>
  <c r="U32" i="7" s="1"/>
  <c r="S31" i="7"/>
  <c r="U31" i="7" s="1"/>
  <c r="S30" i="7"/>
  <c r="U30" i="7" s="1"/>
  <c r="S29" i="7"/>
  <c r="U29" i="7" s="1"/>
  <c r="S28" i="7"/>
  <c r="U28" i="7" s="1"/>
  <c r="S27" i="7"/>
  <c r="U27" i="7" s="1"/>
  <c r="R4" i="7"/>
  <c r="R5" i="7"/>
  <c r="R6" i="7"/>
  <c r="R7" i="7"/>
  <c r="R8" i="7"/>
  <c r="R9" i="7"/>
  <c r="R10" i="7"/>
  <c r="R11" i="7"/>
  <c r="T3" i="7"/>
  <c r="V3" i="7" s="1"/>
  <c r="S37" i="7"/>
  <c r="U37" i="7" s="1"/>
  <c r="R23" i="7"/>
  <c r="T37" i="7"/>
  <c r="V37" i="7" s="1"/>
  <c r="T36" i="7"/>
  <c r="V36" i="7" s="1"/>
  <c r="T34" i="7"/>
  <c r="V34" i="7" s="1"/>
  <c r="T32" i="7"/>
  <c r="V32" i="7" s="1"/>
  <c r="T31" i="7"/>
  <c r="V31" i="7" s="1"/>
  <c r="T30" i="7"/>
  <c r="V30" i="7" s="1"/>
  <c r="T28" i="7"/>
  <c r="V28" i="7" s="1"/>
  <c r="T26" i="7"/>
  <c r="V26" i="7" s="1"/>
  <c r="T25" i="7"/>
  <c r="V25" i="7" s="1"/>
  <c r="Q4" i="7"/>
  <c r="Q5" i="7"/>
  <c r="Q6" i="7"/>
  <c r="Q7" i="7"/>
  <c r="Q8" i="7"/>
  <c r="Q9" i="7"/>
  <c r="Q10" i="7"/>
  <c r="Q11" i="7"/>
  <c r="Q12" i="7"/>
  <c r="Q16" i="7"/>
  <c r="R12" i="7"/>
  <c r="R13" i="7"/>
  <c r="R14" i="7"/>
  <c r="R15" i="7"/>
  <c r="R16" i="7"/>
  <c r="R17" i="7"/>
  <c r="R18" i="7"/>
  <c r="N3" i="7"/>
  <c r="S3" i="7" s="1"/>
  <c r="U3" i="7" s="1"/>
  <c r="L4" i="7"/>
  <c r="P4" i="7"/>
  <c r="L5" i="7"/>
  <c r="P5" i="7"/>
  <c r="L6" i="7"/>
  <c r="P6" i="7"/>
  <c r="L7" i="7"/>
  <c r="P7" i="7"/>
  <c r="L8" i="7"/>
  <c r="P8" i="7"/>
  <c r="L9" i="7"/>
  <c r="P9" i="7"/>
  <c r="L10" i="7"/>
  <c r="P10" i="7"/>
  <c r="L11" i="7"/>
  <c r="P11" i="7"/>
  <c r="L12" i="7"/>
  <c r="P12" i="7"/>
  <c r="L13" i="7"/>
  <c r="P13" i="7"/>
  <c r="L14" i="7"/>
  <c r="P14" i="7"/>
  <c r="L15" i="7"/>
  <c r="P15" i="7"/>
  <c r="L16" i="7"/>
  <c r="P16" i="7"/>
  <c r="L17" i="7"/>
  <c r="P17" i="7"/>
  <c r="L18" i="7"/>
  <c r="P18" i="7"/>
  <c r="N24" i="7"/>
  <c r="S24" i="7" s="1"/>
  <c r="U24" i="7" s="1"/>
  <c r="T24" i="7"/>
  <c r="V24" i="7" s="1"/>
  <c r="L23" i="7"/>
  <c r="P23" i="7"/>
  <c r="T18" i="7" l="1"/>
  <c r="V18" i="7" s="1"/>
  <c r="N18" i="7"/>
  <c r="S18" i="7" s="1"/>
  <c r="U18" i="7" s="1"/>
  <c r="T16" i="7"/>
  <c r="V16" i="7" s="1"/>
  <c r="N16" i="7"/>
  <c r="S16" i="7" s="1"/>
  <c r="U16" i="7" s="1"/>
  <c r="T14" i="7"/>
  <c r="V14" i="7" s="1"/>
  <c r="N14" i="7"/>
  <c r="S14" i="7" s="1"/>
  <c r="U14" i="7" s="1"/>
  <c r="T12" i="7"/>
  <c r="V12" i="7" s="1"/>
  <c r="N12" i="7"/>
  <c r="S12" i="7" s="1"/>
  <c r="U12" i="7" s="1"/>
  <c r="T10" i="7"/>
  <c r="V10" i="7" s="1"/>
  <c r="N10" i="7"/>
  <c r="S10" i="7" s="1"/>
  <c r="U10" i="7" s="1"/>
  <c r="T8" i="7"/>
  <c r="V8" i="7" s="1"/>
  <c r="Z8" i="7" s="1"/>
  <c r="N8" i="7"/>
  <c r="S8" i="7" s="1"/>
  <c r="U8" i="7" s="1"/>
  <c r="T6" i="7"/>
  <c r="V6" i="7" s="1"/>
  <c r="N6" i="7"/>
  <c r="S6" i="7" s="1"/>
  <c r="U6" i="7" s="1"/>
  <c r="T4" i="7"/>
  <c r="V4" i="7" s="1"/>
  <c r="N4" i="7"/>
  <c r="S4" i="7" s="1"/>
  <c r="U4" i="7" s="1"/>
  <c r="T17" i="7"/>
  <c r="V17" i="7" s="1"/>
  <c r="N17" i="7"/>
  <c r="S17" i="7" s="1"/>
  <c r="U17" i="7" s="1"/>
  <c r="T15" i="7"/>
  <c r="V15" i="7" s="1"/>
  <c r="N15" i="7"/>
  <c r="S15" i="7" s="1"/>
  <c r="U15" i="7" s="1"/>
  <c r="T13" i="7"/>
  <c r="V13" i="7" s="1"/>
  <c r="N13" i="7"/>
  <c r="S13" i="7" s="1"/>
  <c r="U13" i="7" s="1"/>
  <c r="T11" i="7"/>
  <c r="V11" i="7" s="1"/>
  <c r="N11" i="7"/>
  <c r="S11" i="7" s="1"/>
  <c r="U11" i="7" s="1"/>
  <c r="T9" i="7"/>
  <c r="V9" i="7" s="1"/>
  <c r="N9" i="7"/>
  <c r="S9" i="7" s="1"/>
  <c r="U9" i="7" s="1"/>
  <c r="N7" i="7"/>
  <c r="S7" i="7" s="1"/>
  <c r="U7" i="7" s="1"/>
  <c r="T7" i="7"/>
  <c r="V7" i="7" s="1"/>
  <c r="N5" i="7"/>
  <c r="S5" i="7" s="1"/>
  <c r="U5" i="7" s="1"/>
  <c r="AB8" i="7" s="1"/>
  <c r="T5" i="7"/>
  <c r="V5" i="7" s="1"/>
  <c r="T23" i="7"/>
  <c r="V23" i="7" s="1"/>
  <c r="N23" i="7"/>
  <c r="S23" i="7" s="1"/>
  <c r="U23" i="7" s="1"/>
  <c r="AO8" i="9" l="1"/>
  <c r="AO28" i="9"/>
  <c r="AO24" i="9"/>
  <c r="AO31" i="9"/>
  <c r="AO6" i="9"/>
  <c r="AO29" i="9"/>
  <c r="AO16" i="9"/>
  <c r="AO22" i="9"/>
  <c r="AO12" i="9"/>
  <c r="AO14" i="9"/>
  <c r="AO37" i="9"/>
  <c r="AO34" i="9"/>
  <c r="AO25" i="9"/>
  <c r="AO4" i="9"/>
  <c r="AO18" i="9"/>
  <c r="AO15" i="9"/>
  <c r="AO9" i="9"/>
  <c r="AO36" i="9"/>
  <c r="AO20" i="9"/>
  <c r="Z9" i="7"/>
  <c r="AB9" i="7"/>
  <c r="AQ4" i="9" l="1"/>
  <c r="AS4" i="9" s="1"/>
  <c r="AR4" i="9"/>
  <c r="AX4" i="9"/>
  <c r="AQ29" i="9"/>
  <c r="AS29" i="9" s="1"/>
  <c r="AR29" i="9"/>
  <c r="AX29" i="9"/>
  <c r="AQ15" i="9"/>
  <c r="AS15" i="9" s="1"/>
  <c r="AR15" i="9"/>
  <c r="AX15" i="9"/>
  <c r="AQ34" i="9"/>
  <c r="AS34" i="9" s="1"/>
  <c r="AR34" i="9"/>
  <c r="AT34" i="9" s="1"/>
  <c r="AX34" i="9"/>
  <c r="AQ22" i="9"/>
  <c r="AS22" i="9" s="1"/>
  <c r="AV22" i="9" s="1"/>
  <c r="AR22" i="9"/>
  <c r="AX22" i="9"/>
  <c r="AQ31" i="9"/>
  <c r="AS31" i="9" s="1"/>
  <c r="AV31" i="9" s="1"/>
  <c r="AR31" i="9"/>
  <c r="AX31" i="9"/>
  <c r="AO33" i="9"/>
  <c r="AO10" i="9"/>
  <c r="AO17" i="9"/>
  <c r="AO13" i="9"/>
  <c r="AO32" i="9"/>
  <c r="AO19" i="9"/>
  <c r="AO11" i="9"/>
  <c r="AO3" i="9"/>
  <c r="AO35" i="9"/>
  <c r="AO30" i="9"/>
  <c r="AO26" i="9"/>
  <c r="AO5" i="9"/>
  <c r="AO23" i="9"/>
  <c r="AO7" i="9"/>
  <c r="AO21" i="9"/>
  <c r="AO27" i="9"/>
  <c r="AQ14" i="9"/>
  <c r="AS14" i="9" s="1"/>
  <c r="AV14" i="9" s="1"/>
  <c r="AR14" i="9"/>
  <c r="AT14" i="9" s="1"/>
  <c r="AX14" i="9"/>
  <c r="AQ20" i="9"/>
  <c r="AS20" i="9" s="1"/>
  <c r="AX20" i="9"/>
  <c r="AR20" i="9"/>
  <c r="AT20" i="9" s="1"/>
  <c r="AQ18" i="9"/>
  <c r="AS18" i="9" s="1"/>
  <c r="AX18" i="9"/>
  <c r="AR18" i="9"/>
  <c r="AT18" i="9" s="1"/>
  <c r="AQ37" i="9"/>
  <c r="AS37" i="9" s="1"/>
  <c r="AX37" i="9"/>
  <c r="AR37" i="9"/>
  <c r="AQ16" i="9"/>
  <c r="AS16" i="9" s="1"/>
  <c r="AV16" i="9" s="1"/>
  <c r="AX16" i="9"/>
  <c r="AR16" i="9"/>
  <c r="AQ24" i="9"/>
  <c r="AS24" i="9" s="1"/>
  <c r="AV24" i="9" s="1"/>
  <c r="AX24" i="9"/>
  <c r="AR24" i="9"/>
  <c r="AT24" i="9" s="1"/>
  <c r="AQ36" i="9"/>
  <c r="AS36" i="9" s="1"/>
  <c r="AV36" i="9" s="1"/>
  <c r="AX36" i="9"/>
  <c r="AR36" i="9"/>
  <c r="AT36" i="9" s="1"/>
  <c r="AQ28" i="9"/>
  <c r="AS28" i="9" s="1"/>
  <c r="AV28" i="9" s="1"/>
  <c r="AX28" i="9"/>
  <c r="AR28" i="9"/>
  <c r="AQ9" i="9"/>
  <c r="AS9" i="9" s="1"/>
  <c r="AX9" i="9"/>
  <c r="AR9" i="9"/>
  <c r="AQ25" i="9"/>
  <c r="AS25" i="9" s="1"/>
  <c r="AV25" i="9" s="1"/>
  <c r="AX25" i="9"/>
  <c r="AR25" i="9"/>
  <c r="AT25" i="9" s="1"/>
  <c r="AQ12" i="9"/>
  <c r="AS12" i="9" s="1"/>
  <c r="AV12" i="9" s="1"/>
  <c r="AX12" i="9"/>
  <c r="AR12" i="9"/>
  <c r="AT12" i="9" s="1"/>
  <c r="AQ6" i="9"/>
  <c r="AS6" i="9" s="1"/>
  <c r="AV6" i="9" s="1"/>
  <c r="AR6" i="9"/>
  <c r="AX6" i="9"/>
  <c r="AQ8" i="9"/>
  <c r="AS8" i="9" s="1"/>
  <c r="AV8" i="9" s="1"/>
  <c r="AX8" i="9"/>
  <c r="AR8" i="9"/>
  <c r="S37" i="1"/>
  <c r="Q37" i="1"/>
  <c r="R28" i="1"/>
  <c r="R37" i="1"/>
  <c r="AA37" i="1"/>
  <c r="AB37" i="1"/>
  <c r="AC37" i="1"/>
  <c r="AK37" i="1"/>
  <c r="AL37" i="1"/>
  <c r="AM37" i="1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AT15" i="9" l="1"/>
  <c r="AT22" i="9"/>
  <c r="AT4" i="9"/>
  <c r="AQ10" i="9"/>
  <c r="AS10" i="9" s="1"/>
  <c r="AV10" i="9" s="1"/>
  <c r="AX10" i="9"/>
  <c r="AR10" i="9"/>
  <c r="AV9" i="9"/>
  <c r="AQ23" i="9"/>
  <c r="AS23" i="9" s="1"/>
  <c r="AR23" i="9"/>
  <c r="AX23" i="9"/>
  <c r="AQ35" i="9"/>
  <c r="AS35" i="9" s="1"/>
  <c r="AX35" i="9"/>
  <c r="AR35" i="9"/>
  <c r="AQ32" i="9"/>
  <c r="AS32" i="9" s="1"/>
  <c r="AR32" i="9"/>
  <c r="AX32" i="9"/>
  <c r="AQ33" i="9"/>
  <c r="AS33" i="9" s="1"/>
  <c r="AX33" i="9"/>
  <c r="AR33" i="9"/>
  <c r="AV15" i="9"/>
  <c r="AQ30" i="9"/>
  <c r="AS30" i="9" s="1"/>
  <c r="AV30" i="9" s="1"/>
  <c r="AR30" i="9"/>
  <c r="AX30" i="9"/>
  <c r="AV29" i="9"/>
  <c r="AT28" i="9"/>
  <c r="AT37" i="9"/>
  <c r="AV20" i="9"/>
  <c r="AQ27" i="9"/>
  <c r="AS27" i="9" s="1"/>
  <c r="AX27" i="9"/>
  <c r="AR27" i="9"/>
  <c r="AQ5" i="9"/>
  <c r="AS5" i="9" s="1"/>
  <c r="AV5" i="9" s="1"/>
  <c r="AR5" i="9"/>
  <c r="AX5" i="9"/>
  <c r="AQ3" i="9"/>
  <c r="AS3" i="9" s="1"/>
  <c r="AV3" i="9" s="1"/>
  <c r="AX3" i="9"/>
  <c r="AR3" i="9"/>
  <c r="AT3" i="9" s="1"/>
  <c r="AQ13" i="9"/>
  <c r="AS13" i="9" s="1"/>
  <c r="AX13" i="9"/>
  <c r="AR13" i="9"/>
  <c r="AW34" i="9"/>
  <c r="AV34" i="9"/>
  <c r="AV37" i="9"/>
  <c r="AQ7" i="9"/>
  <c r="AS7" i="9" s="1"/>
  <c r="AX7" i="9"/>
  <c r="AR7" i="9"/>
  <c r="AQ19" i="9"/>
  <c r="AS19" i="9" s="1"/>
  <c r="AX19" i="9"/>
  <c r="AR19" i="9"/>
  <c r="AT19" i="9" s="1"/>
  <c r="AT8" i="9"/>
  <c r="AT6" i="9"/>
  <c r="AT9" i="9"/>
  <c r="AT16" i="9"/>
  <c r="AV18" i="9"/>
  <c r="AQ21" i="9"/>
  <c r="AS21" i="9" s="1"/>
  <c r="AR21" i="9"/>
  <c r="AX21" i="9"/>
  <c r="AQ26" i="9"/>
  <c r="AS26" i="9" s="1"/>
  <c r="AX26" i="9"/>
  <c r="AR26" i="9"/>
  <c r="AQ11" i="9"/>
  <c r="AS11" i="9" s="1"/>
  <c r="AX11" i="9"/>
  <c r="AR11" i="9"/>
  <c r="AQ17" i="9"/>
  <c r="AS17" i="9" s="1"/>
  <c r="AV17" i="9" s="1"/>
  <c r="AR17" i="9"/>
  <c r="AX17" i="9"/>
  <c r="AT31" i="9"/>
  <c r="AT29" i="9"/>
  <c r="AV4" i="9"/>
  <c r="K12" i="4"/>
  <c r="K20" i="4"/>
  <c r="K7" i="4"/>
  <c r="K11" i="4"/>
  <c r="K15" i="4"/>
  <c r="K19" i="4"/>
  <c r="K23" i="4"/>
  <c r="K27" i="4"/>
  <c r="K31" i="4"/>
  <c r="K35" i="4"/>
  <c r="K28" i="4"/>
  <c r="K16" i="4"/>
  <c r="K9" i="4"/>
  <c r="K13" i="4"/>
  <c r="K17" i="4"/>
  <c r="K21" i="4"/>
  <c r="K25" i="4"/>
  <c r="K29" i="4"/>
  <c r="K33" i="4"/>
  <c r="K37" i="4"/>
  <c r="K32" i="4"/>
  <c r="K36" i="4"/>
  <c r="K10" i="4"/>
  <c r="K14" i="4"/>
  <c r="K18" i="4"/>
  <c r="K22" i="4"/>
  <c r="K26" i="4"/>
  <c r="K30" i="4"/>
  <c r="K34" i="4"/>
  <c r="K8" i="4"/>
  <c r="K24" i="4"/>
  <c r="Q3" i="1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R34" i="1"/>
  <c r="AM36" i="1"/>
  <c r="AL36" i="1"/>
  <c r="AK36" i="1"/>
  <c r="AC36" i="1"/>
  <c r="AB36" i="1"/>
  <c r="AA36" i="1"/>
  <c r="S36" i="1"/>
  <c r="R36" i="1"/>
  <c r="Q36" i="1"/>
  <c r="AM35" i="1"/>
  <c r="AL35" i="1"/>
  <c r="AK35" i="1"/>
  <c r="AC35" i="1"/>
  <c r="AB35" i="1"/>
  <c r="AA35" i="1"/>
  <c r="S35" i="1"/>
  <c r="R35" i="1"/>
  <c r="Q35" i="1"/>
  <c r="G37" i="4"/>
  <c r="AH37" i="4" s="1"/>
  <c r="AF37" i="4" s="1"/>
  <c r="AL37" i="4" s="1"/>
  <c r="BE37" i="4" s="1"/>
  <c r="F37" i="4"/>
  <c r="E37" i="4"/>
  <c r="B37" i="4"/>
  <c r="A37" i="4"/>
  <c r="G36" i="4"/>
  <c r="AH36" i="4" s="1"/>
  <c r="AF36" i="4" s="1"/>
  <c r="AL36" i="4" s="1"/>
  <c r="BE36" i="4" s="1"/>
  <c r="F36" i="4"/>
  <c r="E36" i="4"/>
  <c r="B36" i="4"/>
  <c r="A36" i="4"/>
  <c r="G35" i="4"/>
  <c r="AH35" i="4" s="1"/>
  <c r="AF35" i="4" s="1"/>
  <c r="AL35" i="4" s="1"/>
  <c r="BE35" i="4" s="1"/>
  <c r="BG35" i="4" s="1"/>
  <c r="F35" i="4"/>
  <c r="E35" i="4"/>
  <c r="B35" i="4"/>
  <c r="A35" i="4"/>
  <c r="G34" i="4"/>
  <c r="AH34" i="4" s="1"/>
  <c r="AF34" i="4" s="1"/>
  <c r="AL34" i="4" s="1"/>
  <c r="BE34" i="4" s="1"/>
  <c r="BG34" i="4" s="1"/>
  <c r="F34" i="4"/>
  <c r="E34" i="4"/>
  <c r="B34" i="4"/>
  <c r="A34" i="4"/>
  <c r="G33" i="4"/>
  <c r="AH33" i="4" s="1"/>
  <c r="AF33" i="4" s="1"/>
  <c r="AL33" i="4" s="1"/>
  <c r="BE33" i="4" s="1"/>
  <c r="F33" i="4"/>
  <c r="E33" i="4"/>
  <c r="B33" i="4"/>
  <c r="A33" i="4"/>
  <c r="S34" i="1"/>
  <c r="Q34" i="1"/>
  <c r="AM33" i="1"/>
  <c r="AL33" i="1"/>
  <c r="AK33" i="1"/>
  <c r="AC33" i="1"/>
  <c r="AB33" i="1"/>
  <c r="AA33" i="1"/>
  <c r="S33" i="1"/>
  <c r="R33" i="1"/>
  <c r="Q33" i="1"/>
  <c r="AB15" i="1"/>
  <c r="AT35" i="9" l="1"/>
  <c r="AT5" i="9"/>
  <c r="AT21" i="9"/>
  <c r="AT26" i="9"/>
  <c r="AT32" i="9"/>
  <c r="AT11" i="9"/>
  <c r="AT30" i="9"/>
  <c r="AT10" i="9"/>
  <c r="O22" i="4"/>
  <c r="P22" i="4"/>
  <c r="L22" i="9"/>
  <c r="O29" i="4"/>
  <c r="P29" i="4"/>
  <c r="L29" i="9"/>
  <c r="O19" i="4"/>
  <c r="P19" i="4"/>
  <c r="L19" i="9"/>
  <c r="AV13" i="9"/>
  <c r="AN33" i="4"/>
  <c r="AP33" i="4" s="1"/>
  <c r="AR33" i="4" s="1"/>
  <c r="BF33" i="4"/>
  <c r="BH33" i="4" s="1"/>
  <c r="BG33" i="4"/>
  <c r="AN34" i="4"/>
  <c r="AP34" i="4" s="1"/>
  <c r="AR34" i="4" s="1"/>
  <c r="BF34" i="4"/>
  <c r="BH34" i="4" s="1"/>
  <c r="BG37" i="4"/>
  <c r="P30" i="4"/>
  <c r="O30" i="4"/>
  <c r="L30" i="9"/>
  <c r="P14" i="4"/>
  <c r="O14" i="4"/>
  <c r="L14" i="9"/>
  <c r="P37" i="4"/>
  <c r="O37" i="4"/>
  <c r="L37" i="9"/>
  <c r="O21" i="4"/>
  <c r="P21" i="4"/>
  <c r="L21" i="9"/>
  <c r="O16" i="4"/>
  <c r="P16" i="4"/>
  <c r="L16" i="9"/>
  <c r="P27" i="4"/>
  <c r="O27" i="4"/>
  <c r="L27" i="9"/>
  <c r="O11" i="4"/>
  <c r="P11" i="4"/>
  <c r="L11" i="9"/>
  <c r="AV26" i="9"/>
  <c r="AV19" i="9"/>
  <c r="AT13" i="9"/>
  <c r="AV32" i="9"/>
  <c r="O36" i="4"/>
  <c r="P36" i="4"/>
  <c r="L36" i="9"/>
  <c r="P35" i="4"/>
  <c r="O35" i="4"/>
  <c r="L35" i="9"/>
  <c r="AV23" i="9"/>
  <c r="BF35" i="4"/>
  <c r="BH35" i="4" s="1"/>
  <c r="AN35" i="4"/>
  <c r="AP35" i="4" s="1"/>
  <c r="AR35" i="4" s="1"/>
  <c r="P24" i="4"/>
  <c r="O24" i="4"/>
  <c r="L24" i="9"/>
  <c r="P26" i="4"/>
  <c r="O26" i="4"/>
  <c r="L26" i="9"/>
  <c r="P10" i="4"/>
  <c r="O10" i="4"/>
  <c r="L10" i="9"/>
  <c r="O33" i="4"/>
  <c r="P33" i="4"/>
  <c r="L33" i="9"/>
  <c r="P17" i="4"/>
  <c r="O17" i="4"/>
  <c r="L17" i="9"/>
  <c r="P28" i="4"/>
  <c r="O28" i="4"/>
  <c r="L28" i="9"/>
  <c r="O23" i="4"/>
  <c r="P23" i="4"/>
  <c r="L23" i="9"/>
  <c r="O7" i="4"/>
  <c r="P7" i="4"/>
  <c r="L7" i="9"/>
  <c r="AT17" i="9"/>
  <c r="AV11" i="9"/>
  <c r="AT7" i="9"/>
  <c r="AT27" i="9"/>
  <c r="AV33" i="9"/>
  <c r="AT23" i="9"/>
  <c r="AN36" i="4"/>
  <c r="AP36" i="4" s="1"/>
  <c r="AR36" i="4" s="1"/>
  <c r="BF36" i="4"/>
  <c r="BH36" i="4" s="1"/>
  <c r="O8" i="4"/>
  <c r="P8" i="4"/>
  <c r="L8" i="9"/>
  <c r="O13" i="4"/>
  <c r="P13" i="4"/>
  <c r="L13" i="9"/>
  <c r="P20" i="4"/>
  <c r="O20" i="4"/>
  <c r="L20" i="9"/>
  <c r="BG36" i="4"/>
  <c r="AN37" i="4"/>
  <c r="AP37" i="4" s="1"/>
  <c r="AR37" i="4" s="1"/>
  <c r="BF37" i="4"/>
  <c r="BH37" i="4" s="1"/>
  <c r="BK37" i="4" s="1"/>
  <c r="BM37" i="4" s="1"/>
  <c r="J37" i="10" s="1"/>
  <c r="P34" i="4"/>
  <c r="O34" i="4"/>
  <c r="L34" i="9"/>
  <c r="O18" i="4"/>
  <c r="P18" i="4"/>
  <c r="L18" i="9"/>
  <c r="O32" i="4"/>
  <c r="P32" i="4"/>
  <c r="L32" i="9"/>
  <c r="P25" i="4"/>
  <c r="O25" i="4"/>
  <c r="L25" i="9"/>
  <c r="O9" i="4"/>
  <c r="P9" i="4"/>
  <c r="L9" i="9"/>
  <c r="P31" i="4"/>
  <c r="O31" i="4"/>
  <c r="L31" i="9"/>
  <c r="P15" i="4"/>
  <c r="O15" i="4"/>
  <c r="L15" i="9"/>
  <c r="O12" i="4"/>
  <c r="P12" i="4"/>
  <c r="L12" i="9"/>
  <c r="AV21" i="9"/>
  <c r="AV7" i="9"/>
  <c r="AV27" i="9"/>
  <c r="AT33" i="9"/>
  <c r="AV35" i="9"/>
  <c r="AO34" i="1"/>
  <c r="AN34" i="1"/>
  <c r="G32" i="4"/>
  <c r="AH32" i="4" s="1"/>
  <c r="AF32" i="4" s="1"/>
  <c r="AL32" i="4" s="1"/>
  <c r="BE32" i="4" s="1"/>
  <c r="F32" i="4"/>
  <c r="E32" i="4"/>
  <c r="B32" i="4"/>
  <c r="A32" i="4"/>
  <c r="G31" i="4"/>
  <c r="AH31" i="4" s="1"/>
  <c r="AF31" i="4" s="1"/>
  <c r="AL31" i="4" s="1"/>
  <c r="BE31" i="4" s="1"/>
  <c r="BG31" i="4" s="1"/>
  <c r="F31" i="4"/>
  <c r="E31" i="4"/>
  <c r="B31" i="4"/>
  <c r="A31" i="4"/>
  <c r="G30" i="4"/>
  <c r="AH30" i="4" s="1"/>
  <c r="AF30" i="4" s="1"/>
  <c r="AL30" i="4" s="1"/>
  <c r="BE30" i="4" s="1"/>
  <c r="BG30" i="4" s="1"/>
  <c r="F30" i="4"/>
  <c r="E30" i="4"/>
  <c r="B30" i="4"/>
  <c r="A30" i="4"/>
  <c r="G29" i="4"/>
  <c r="AH29" i="4" s="1"/>
  <c r="AF29" i="4" s="1"/>
  <c r="AL29" i="4" s="1"/>
  <c r="BE29" i="4" s="1"/>
  <c r="BG29" i="4" s="1"/>
  <c r="F29" i="4"/>
  <c r="E29" i="4"/>
  <c r="B29" i="4"/>
  <c r="A29" i="4"/>
  <c r="R30" i="1"/>
  <c r="AM32" i="1"/>
  <c r="AL32" i="1"/>
  <c r="AK32" i="1"/>
  <c r="AC32" i="1"/>
  <c r="AB32" i="1"/>
  <c r="AA32" i="1"/>
  <c r="S32" i="1"/>
  <c r="R32" i="1"/>
  <c r="Q32" i="1"/>
  <c r="AM31" i="1"/>
  <c r="AL31" i="1"/>
  <c r="AK31" i="1"/>
  <c r="AC31" i="1"/>
  <c r="AB31" i="1"/>
  <c r="AA31" i="1"/>
  <c r="S31" i="1"/>
  <c r="R31" i="1"/>
  <c r="Q31" i="1"/>
  <c r="S30" i="1"/>
  <c r="Q30" i="1"/>
  <c r="AM29" i="1"/>
  <c r="AL29" i="1"/>
  <c r="AK29" i="1"/>
  <c r="AC29" i="1"/>
  <c r="AB29" i="1"/>
  <c r="AA29" i="1"/>
  <c r="S29" i="1"/>
  <c r="R29" i="1"/>
  <c r="Q29" i="1"/>
  <c r="R27" i="1"/>
  <c r="AM28" i="1"/>
  <c r="AL28" i="1"/>
  <c r="AK28" i="1"/>
  <c r="AC28" i="1"/>
  <c r="AB28" i="1"/>
  <c r="AA28" i="1"/>
  <c r="S28" i="1"/>
  <c r="Q28" i="1"/>
  <c r="AM27" i="1"/>
  <c r="AL27" i="1"/>
  <c r="AK27" i="1"/>
  <c r="AC27" i="1"/>
  <c r="AB27" i="1"/>
  <c r="AA27" i="1"/>
  <c r="S27" i="1"/>
  <c r="Q27" i="1"/>
  <c r="AN28" i="1" s="1"/>
  <c r="AA6" i="1"/>
  <c r="G28" i="4"/>
  <c r="AH28" i="4" s="1"/>
  <c r="AF28" i="4" s="1"/>
  <c r="AL28" i="4" s="1"/>
  <c r="BE28" i="4" s="1"/>
  <c r="F28" i="4"/>
  <c r="E28" i="4"/>
  <c r="B28" i="4"/>
  <c r="A28" i="4"/>
  <c r="G27" i="4"/>
  <c r="AH27" i="4" s="1"/>
  <c r="AF27" i="4" s="1"/>
  <c r="AL27" i="4" s="1"/>
  <c r="BE27" i="4" s="1"/>
  <c r="BG27" i="4" s="1"/>
  <c r="F27" i="4"/>
  <c r="E27" i="4"/>
  <c r="B27" i="4"/>
  <c r="A27" i="4"/>
  <c r="AM5" i="1"/>
  <c r="AM26" i="1"/>
  <c r="AL26" i="1"/>
  <c r="AK26" i="1"/>
  <c r="AC26" i="1"/>
  <c r="AB26" i="1"/>
  <c r="AA26" i="1"/>
  <c r="S26" i="1"/>
  <c r="R26" i="1"/>
  <c r="Q26" i="1"/>
  <c r="AM25" i="1"/>
  <c r="AL25" i="1"/>
  <c r="AK25" i="1"/>
  <c r="AC25" i="1"/>
  <c r="AB25" i="1"/>
  <c r="AA25" i="1"/>
  <c r="S25" i="1"/>
  <c r="R25" i="1"/>
  <c r="Q25" i="1"/>
  <c r="AM24" i="1"/>
  <c r="AL24" i="1"/>
  <c r="AK24" i="1"/>
  <c r="AC24" i="1"/>
  <c r="AB24" i="1"/>
  <c r="AA24" i="1"/>
  <c r="S24" i="1"/>
  <c r="R24" i="1"/>
  <c r="Q24" i="1"/>
  <c r="AM23" i="1"/>
  <c r="AL23" i="1"/>
  <c r="AK23" i="1"/>
  <c r="AC23" i="1"/>
  <c r="AB23" i="1"/>
  <c r="AA23" i="1"/>
  <c r="S23" i="1"/>
  <c r="R23" i="1"/>
  <c r="Q23" i="1"/>
  <c r="G26" i="4"/>
  <c r="AH26" i="4" s="1"/>
  <c r="AF26" i="4" s="1"/>
  <c r="AL26" i="4" s="1"/>
  <c r="BE26" i="4" s="1"/>
  <c r="BG26" i="4" s="1"/>
  <c r="F26" i="4"/>
  <c r="E26" i="4"/>
  <c r="B26" i="4"/>
  <c r="A26" i="4"/>
  <c r="G25" i="4"/>
  <c r="AH25" i="4" s="1"/>
  <c r="AF25" i="4" s="1"/>
  <c r="AL25" i="4" s="1"/>
  <c r="BE25" i="4" s="1"/>
  <c r="F25" i="4"/>
  <c r="E25" i="4"/>
  <c r="B25" i="4"/>
  <c r="A25" i="4"/>
  <c r="G24" i="4"/>
  <c r="AH24" i="4" s="1"/>
  <c r="AF24" i="4" s="1"/>
  <c r="AL24" i="4" s="1"/>
  <c r="BE24" i="4" s="1"/>
  <c r="BG24" i="4" s="1"/>
  <c r="F24" i="4"/>
  <c r="E24" i="4"/>
  <c r="B24" i="4"/>
  <c r="A24" i="4"/>
  <c r="G23" i="4"/>
  <c r="AH23" i="4" s="1"/>
  <c r="AF23" i="4" s="1"/>
  <c r="AL23" i="4" s="1"/>
  <c r="BE23" i="4" s="1"/>
  <c r="F23" i="4"/>
  <c r="E23" i="4"/>
  <c r="B23" i="4"/>
  <c r="A23" i="4"/>
  <c r="BI33" i="4" l="1"/>
  <c r="BI36" i="4"/>
  <c r="BI34" i="4"/>
  <c r="AQ35" i="4"/>
  <c r="AS35" i="4" s="1"/>
  <c r="BI35" i="4"/>
  <c r="AN25" i="4"/>
  <c r="AP25" i="4" s="1"/>
  <c r="AR25" i="4" s="1"/>
  <c r="BF25" i="4"/>
  <c r="BH25" i="4" s="1"/>
  <c r="BK25" i="4" s="1"/>
  <c r="BM25" i="4" s="1"/>
  <c r="J25" i="10" s="1"/>
  <c r="BG25" i="4"/>
  <c r="BI25" i="4" s="1"/>
  <c r="BL25" i="4" s="1"/>
  <c r="BN25" i="4" s="1"/>
  <c r="BF26" i="4"/>
  <c r="BH26" i="4" s="1"/>
  <c r="BK26" i="4" s="1"/>
  <c r="BM26" i="4" s="1"/>
  <c r="J26" i="10" s="1"/>
  <c r="AN26" i="4"/>
  <c r="AP26" i="4" s="1"/>
  <c r="AR26" i="4" s="1"/>
  <c r="BG28" i="4"/>
  <c r="AN29" i="4"/>
  <c r="AP29" i="4" s="1"/>
  <c r="AR29" i="4" s="1"/>
  <c r="BF29" i="4"/>
  <c r="BH29" i="4" s="1"/>
  <c r="BK29" i="4" s="1"/>
  <c r="BM29" i="4" s="1"/>
  <c r="J29" i="10" s="1"/>
  <c r="BG32" i="4"/>
  <c r="AQ37" i="4"/>
  <c r="AS37" i="4" s="1"/>
  <c r="BI37" i="4"/>
  <c r="BL37" i="4" s="1"/>
  <c r="BN37" i="4" s="1"/>
  <c r="AN32" i="4"/>
  <c r="AP32" i="4" s="1"/>
  <c r="AR32" i="4" s="1"/>
  <c r="BF32" i="4"/>
  <c r="BH32" i="4" s="1"/>
  <c r="BK32" i="4" s="1"/>
  <c r="BM32" i="4" s="1"/>
  <c r="J32" i="10" s="1"/>
  <c r="AN23" i="4"/>
  <c r="AP23" i="4" s="1"/>
  <c r="AR23" i="4" s="1"/>
  <c r="AQ23" i="4"/>
  <c r="AS23" i="4" s="1"/>
  <c r="BF23" i="4"/>
  <c r="BH23" i="4" s="1"/>
  <c r="BK23" i="4" s="1"/>
  <c r="BM23" i="4" s="1"/>
  <c r="J23" i="10" s="1"/>
  <c r="BF30" i="4"/>
  <c r="BH30" i="4" s="1"/>
  <c r="BK30" i="4" s="1"/>
  <c r="AN30" i="4"/>
  <c r="AP30" i="4" s="1"/>
  <c r="AR30" i="4" s="1"/>
  <c r="AW30" i="9" s="1"/>
  <c r="AQ36" i="4"/>
  <c r="AS36" i="4" s="1"/>
  <c r="AQ34" i="4"/>
  <c r="AS34" i="4" s="1"/>
  <c r="AQ33" i="4"/>
  <c r="AS33" i="4" s="1"/>
  <c r="AN28" i="4"/>
  <c r="AP28" i="4" s="1"/>
  <c r="AR28" i="4" s="1"/>
  <c r="AW28" i="9" s="1"/>
  <c r="BF28" i="4"/>
  <c r="BH28" i="4" s="1"/>
  <c r="BK28" i="4" s="1"/>
  <c r="BG23" i="4"/>
  <c r="AN24" i="4"/>
  <c r="AP24" i="4" s="1"/>
  <c r="AR24" i="4" s="1"/>
  <c r="AW24" i="9" s="1"/>
  <c r="BF24" i="4"/>
  <c r="BH24" i="4" s="1"/>
  <c r="BK24" i="4" s="1"/>
  <c r="AN27" i="4"/>
  <c r="AP27" i="4" s="1"/>
  <c r="AR27" i="4" s="1"/>
  <c r="BF27" i="4"/>
  <c r="BH27" i="4" s="1"/>
  <c r="BK27" i="4" s="1"/>
  <c r="BM27" i="4" s="1"/>
  <c r="J27" i="10" s="1"/>
  <c r="AN31" i="4"/>
  <c r="AP31" i="4" s="1"/>
  <c r="AR31" i="4" s="1"/>
  <c r="BF31" i="4"/>
  <c r="BH31" i="4" s="1"/>
  <c r="BK31" i="4" s="1"/>
  <c r="BM31" i="4" s="1"/>
  <c r="J31" i="10" s="1"/>
  <c r="BK36" i="4"/>
  <c r="BM36" i="4" s="1"/>
  <c r="J36" i="10" s="1"/>
  <c r="BK35" i="4"/>
  <c r="BM35" i="4" s="1"/>
  <c r="J35" i="10" s="1"/>
  <c r="BK34" i="4"/>
  <c r="BK33" i="4"/>
  <c r="BM33" i="4" s="1"/>
  <c r="J33" i="10" s="1"/>
  <c r="AO30" i="1"/>
  <c r="AN30" i="1"/>
  <c r="AO28" i="1"/>
  <c r="AO24" i="1"/>
  <c r="AN24" i="1"/>
  <c r="R21" i="1"/>
  <c r="G22" i="4"/>
  <c r="AH22" i="4" s="1"/>
  <c r="AF22" i="4" s="1"/>
  <c r="AL22" i="4" s="1"/>
  <c r="BE22" i="4" s="1"/>
  <c r="BG22" i="4" s="1"/>
  <c r="F22" i="4"/>
  <c r="E22" i="4"/>
  <c r="B22" i="4"/>
  <c r="A22" i="4"/>
  <c r="Q22" i="1"/>
  <c r="R22" i="1"/>
  <c r="S22" i="1"/>
  <c r="AA22" i="1"/>
  <c r="AB22" i="1"/>
  <c r="AC22" i="1"/>
  <c r="AK22" i="1"/>
  <c r="AL22" i="1"/>
  <c r="AM22" i="1"/>
  <c r="G21" i="4"/>
  <c r="AH21" i="4" s="1"/>
  <c r="AF21" i="4" s="1"/>
  <c r="AL21" i="4" s="1"/>
  <c r="BE21" i="4" s="1"/>
  <c r="BG21" i="4" s="1"/>
  <c r="F21" i="4"/>
  <c r="E21" i="4"/>
  <c r="B21" i="4"/>
  <c r="A21" i="4"/>
  <c r="AM21" i="1"/>
  <c r="AL21" i="1"/>
  <c r="AK21" i="1"/>
  <c r="AC21" i="1"/>
  <c r="AB21" i="1"/>
  <c r="AA21" i="1"/>
  <c r="S21" i="1"/>
  <c r="Q21" i="1"/>
  <c r="S14" i="1"/>
  <c r="BL34" i="4" l="1"/>
  <c r="BI26" i="4"/>
  <c r="BL26" i="4" s="1"/>
  <c r="BN26" i="4" s="1"/>
  <c r="K26" i="10" s="1"/>
  <c r="BI23" i="4"/>
  <c r="BL23" i="4" s="1"/>
  <c r="BN23" i="4" s="1"/>
  <c r="BI29" i="4"/>
  <c r="BL29" i="4" s="1"/>
  <c r="BN29" i="4" s="1"/>
  <c r="BO29" i="4" s="1"/>
  <c r="BI32" i="4"/>
  <c r="BL32" i="4" s="1"/>
  <c r="BN32" i="4" s="1"/>
  <c r="BO32" i="4" s="1"/>
  <c r="BL35" i="4"/>
  <c r="BN35" i="4" s="1"/>
  <c r="K35" i="10" s="1"/>
  <c r="BO23" i="4"/>
  <c r="K23" i="10"/>
  <c r="BI28" i="4"/>
  <c r="BL28" i="4" s="1"/>
  <c r="BO25" i="4"/>
  <c r="K25" i="10"/>
  <c r="BI31" i="4"/>
  <c r="BL31" i="4" s="1"/>
  <c r="BN31" i="4" s="1"/>
  <c r="AN21" i="4"/>
  <c r="AP21" i="4" s="1"/>
  <c r="AR21" i="4" s="1"/>
  <c r="BF21" i="4"/>
  <c r="BH21" i="4" s="1"/>
  <c r="BK21" i="4" s="1"/>
  <c r="BM21" i="4" s="1"/>
  <c r="J21" i="10" s="1"/>
  <c r="BI30" i="4"/>
  <c r="BL30" i="4" s="1"/>
  <c r="AQ24" i="4"/>
  <c r="AS24" i="4" s="1"/>
  <c r="BL36" i="4"/>
  <c r="BN36" i="4" s="1"/>
  <c r="BI24" i="4"/>
  <c r="BL24" i="4" s="1"/>
  <c r="AQ32" i="4"/>
  <c r="AS32" i="4" s="1"/>
  <c r="AQ29" i="4"/>
  <c r="AS29" i="4" s="1"/>
  <c r="AQ26" i="4"/>
  <c r="AS26" i="4" s="1"/>
  <c r="AQ25" i="4"/>
  <c r="AS25" i="4" s="1"/>
  <c r="BI27" i="4"/>
  <c r="BL27" i="4" s="1"/>
  <c r="BN27" i="4" s="1"/>
  <c r="AQ31" i="4"/>
  <c r="AS31" i="4" s="1"/>
  <c r="AQ27" i="4"/>
  <c r="AS27" i="4" s="1"/>
  <c r="AQ28" i="4"/>
  <c r="AS28" i="4" s="1"/>
  <c r="AQ30" i="4"/>
  <c r="AS30" i="4" s="1"/>
  <c r="BO26" i="4"/>
  <c r="BL33" i="4"/>
  <c r="BN33" i="4" s="1"/>
  <c r="AN22" i="4"/>
  <c r="AP22" i="4" s="1"/>
  <c r="AR22" i="4" s="1"/>
  <c r="BF22" i="4"/>
  <c r="BH22" i="4" s="1"/>
  <c r="BK22" i="4" s="1"/>
  <c r="BM22" i="4" s="1"/>
  <c r="J22" i="10" s="1"/>
  <c r="BO37" i="4"/>
  <c r="K37" i="10"/>
  <c r="G20" i="4"/>
  <c r="AH20" i="4" s="1"/>
  <c r="AF20" i="4" s="1"/>
  <c r="AL20" i="4" s="1"/>
  <c r="BE20" i="4" s="1"/>
  <c r="BG20" i="4" s="1"/>
  <c r="F20" i="4"/>
  <c r="E20" i="4"/>
  <c r="B20" i="4"/>
  <c r="A20" i="4"/>
  <c r="G19" i="4"/>
  <c r="AH19" i="4" s="1"/>
  <c r="AF19" i="4" s="1"/>
  <c r="AL19" i="4" s="1"/>
  <c r="BE19" i="4" s="1"/>
  <c r="F19" i="4"/>
  <c r="E19" i="4"/>
  <c r="B19" i="4"/>
  <c r="A19" i="4"/>
  <c r="G18" i="4"/>
  <c r="AH18" i="4" s="1"/>
  <c r="AF18" i="4" s="1"/>
  <c r="AL18" i="4" s="1"/>
  <c r="BE18" i="4" s="1"/>
  <c r="BG18" i="4" s="1"/>
  <c r="F18" i="4"/>
  <c r="E18" i="4"/>
  <c r="B18" i="4"/>
  <c r="A18" i="4"/>
  <c r="AM20" i="1"/>
  <c r="AL20" i="1"/>
  <c r="AK20" i="1"/>
  <c r="AC20" i="1"/>
  <c r="AB20" i="1"/>
  <c r="AA20" i="1"/>
  <c r="S20" i="1"/>
  <c r="R20" i="1"/>
  <c r="Q20" i="1"/>
  <c r="AM19" i="1"/>
  <c r="AL19" i="1"/>
  <c r="AK19" i="1"/>
  <c r="AC19" i="1"/>
  <c r="AB19" i="1"/>
  <c r="AA19" i="1"/>
  <c r="S19" i="1"/>
  <c r="R19" i="1"/>
  <c r="Q19" i="1"/>
  <c r="AM18" i="1"/>
  <c r="AL18" i="1"/>
  <c r="AK18" i="1"/>
  <c r="AC18" i="1"/>
  <c r="AB18" i="1"/>
  <c r="AA18" i="1"/>
  <c r="S18" i="1"/>
  <c r="R18" i="1"/>
  <c r="Q18" i="1"/>
  <c r="Q16" i="1"/>
  <c r="G17" i="4"/>
  <c r="AH17" i="4" s="1"/>
  <c r="AF17" i="4" s="1"/>
  <c r="AL17" i="4" s="1"/>
  <c r="BE17" i="4" s="1"/>
  <c r="F17" i="4"/>
  <c r="E17" i="4"/>
  <c r="B17" i="4"/>
  <c r="A17" i="4"/>
  <c r="G16" i="4"/>
  <c r="AH16" i="4" s="1"/>
  <c r="AF16" i="4" s="1"/>
  <c r="AL16" i="4" s="1"/>
  <c r="BE16" i="4" s="1"/>
  <c r="BG16" i="4" s="1"/>
  <c r="F16" i="4"/>
  <c r="E16" i="4"/>
  <c r="B16" i="4"/>
  <c r="A16" i="4"/>
  <c r="A4" i="4"/>
  <c r="B4" i="4"/>
  <c r="E4" i="4"/>
  <c r="F4" i="4"/>
  <c r="G4" i="4"/>
  <c r="AH4" i="4" s="1"/>
  <c r="AF4" i="4" s="1"/>
  <c r="AL4" i="4" s="1"/>
  <c r="BE4" i="4" s="1"/>
  <c r="H4" i="4"/>
  <c r="I4" i="4"/>
  <c r="A5" i="4"/>
  <c r="B5" i="4"/>
  <c r="E5" i="4"/>
  <c r="F5" i="4"/>
  <c r="G5" i="4"/>
  <c r="AH5" i="4" s="1"/>
  <c r="AF5" i="4" s="1"/>
  <c r="AL5" i="4" s="1"/>
  <c r="BE5" i="4" s="1"/>
  <c r="BG5" i="4" s="1"/>
  <c r="H5" i="4"/>
  <c r="I5" i="4"/>
  <c r="A6" i="4"/>
  <c r="B6" i="4"/>
  <c r="E6" i="4"/>
  <c r="F6" i="4"/>
  <c r="G6" i="4"/>
  <c r="AH6" i="4" s="1"/>
  <c r="AF6" i="4" s="1"/>
  <c r="AL6" i="4" s="1"/>
  <c r="BE6" i="4" s="1"/>
  <c r="H6" i="4"/>
  <c r="I6" i="4"/>
  <c r="A7" i="4"/>
  <c r="B7" i="4"/>
  <c r="E7" i="4"/>
  <c r="F7" i="4"/>
  <c r="G7" i="4"/>
  <c r="AH7" i="4" s="1"/>
  <c r="AF7" i="4" s="1"/>
  <c r="AL7" i="4" s="1"/>
  <c r="BE7" i="4" s="1"/>
  <c r="BG7" i="4" s="1"/>
  <c r="A8" i="4"/>
  <c r="B8" i="4"/>
  <c r="E8" i="4"/>
  <c r="F8" i="4"/>
  <c r="G8" i="4"/>
  <c r="AH8" i="4" s="1"/>
  <c r="AF8" i="4" s="1"/>
  <c r="AL8" i="4" s="1"/>
  <c r="BE8" i="4" s="1"/>
  <c r="A9" i="4"/>
  <c r="B9" i="4"/>
  <c r="E9" i="4"/>
  <c r="F9" i="4"/>
  <c r="G9" i="4"/>
  <c r="AH9" i="4" s="1"/>
  <c r="AF9" i="4" s="1"/>
  <c r="AL9" i="4" s="1"/>
  <c r="BE9" i="4" s="1"/>
  <c r="BG9" i="4" s="1"/>
  <c r="A10" i="4"/>
  <c r="B10" i="4"/>
  <c r="E10" i="4"/>
  <c r="F10" i="4"/>
  <c r="G10" i="4"/>
  <c r="AH10" i="4" s="1"/>
  <c r="AF10" i="4" s="1"/>
  <c r="AL10" i="4" s="1"/>
  <c r="BE10" i="4" s="1"/>
  <c r="A11" i="4"/>
  <c r="B11" i="4"/>
  <c r="E11" i="4"/>
  <c r="F11" i="4"/>
  <c r="G11" i="4"/>
  <c r="AH11" i="4" s="1"/>
  <c r="AF11" i="4" s="1"/>
  <c r="AL11" i="4" s="1"/>
  <c r="BE11" i="4" s="1"/>
  <c r="BG11" i="4" s="1"/>
  <c r="A12" i="4"/>
  <c r="B12" i="4"/>
  <c r="E12" i="4"/>
  <c r="F12" i="4"/>
  <c r="G12" i="4"/>
  <c r="AH12" i="4" s="1"/>
  <c r="AF12" i="4" s="1"/>
  <c r="AL12" i="4" s="1"/>
  <c r="BE12" i="4" s="1"/>
  <c r="A13" i="4"/>
  <c r="B13" i="4"/>
  <c r="E13" i="4"/>
  <c r="F13" i="4"/>
  <c r="G13" i="4"/>
  <c r="AH13" i="4" s="1"/>
  <c r="AF13" i="4" s="1"/>
  <c r="AL13" i="4" s="1"/>
  <c r="BE13" i="4" s="1"/>
  <c r="BG13" i="4" s="1"/>
  <c r="A14" i="4"/>
  <c r="B14" i="4"/>
  <c r="E14" i="4"/>
  <c r="F14" i="4"/>
  <c r="G14" i="4"/>
  <c r="AH14" i="4" s="1"/>
  <c r="AF14" i="4" s="1"/>
  <c r="AL14" i="4" s="1"/>
  <c r="BE14" i="4" s="1"/>
  <c r="A15" i="4"/>
  <c r="B15" i="4"/>
  <c r="E15" i="4"/>
  <c r="F15" i="4"/>
  <c r="G15" i="4"/>
  <c r="AH15" i="4" s="1"/>
  <c r="AF15" i="4" s="1"/>
  <c r="AL15" i="4" s="1"/>
  <c r="BE15" i="4" s="1"/>
  <c r="BG15" i="4" s="1"/>
  <c r="I3" i="4"/>
  <c r="H3" i="4"/>
  <c r="G3" i="4"/>
  <c r="AH3" i="4" s="1"/>
  <c r="F3" i="4"/>
  <c r="E3" i="4"/>
  <c r="D3" i="4"/>
  <c r="C3" i="4"/>
  <c r="B3" i="4"/>
  <c r="A3" i="4"/>
  <c r="AM17" i="1"/>
  <c r="AL17" i="1"/>
  <c r="AK17" i="1"/>
  <c r="AM16" i="1"/>
  <c r="AL16" i="1"/>
  <c r="AK16" i="1"/>
  <c r="AM15" i="1"/>
  <c r="AL15" i="1"/>
  <c r="AK15" i="1"/>
  <c r="AC17" i="1"/>
  <c r="AB17" i="1"/>
  <c r="AA17" i="1"/>
  <c r="AC16" i="1"/>
  <c r="AB16" i="1"/>
  <c r="AA16" i="1"/>
  <c r="AC15" i="1"/>
  <c r="AA15" i="1"/>
  <c r="S17" i="1"/>
  <c r="R17" i="1"/>
  <c r="Q17" i="1"/>
  <c r="S16" i="1"/>
  <c r="R16" i="1"/>
  <c r="S15" i="1"/>
  <c r="R15" i="1"/>
  <c r="Q15" i="1"/>
  <c r="BO35" i="4" l="1"/>
  <c r="K29" i="10"/>
  <c r="BI21" i="4"/>
  <c r="BL21" i="4" s="1"/>
  <c r="BN21" i="4" s="1"/>
  <c r="BO21" i="4" s="1"/>
  <c r="AF3" i="4"/>
  <c r="AL3" i="4" s="1"/>
  <c r="BE3" i="4" s="1"/>
  <c r="BG3" i="4" s="1"/>
  <c r="BI3" i="4" s="1"/>
  <c r="K32" i="10"/>
  <c r="AQ22" i="4"/>
  <c r="AS22" i="4" s="1"/>
  <c r="AN14" i="4"/>
  <c r="AP14" i="4" s="1"/>
  <c r="AR14" i="4" s="1"/>
  <c r="BF14" i="4"/>
  <c r="BH14" i="4" s="1"/>
  <c r="BK14" i="4" s="1"/>
  <c r="BM14" i="4" s="1"/>
  <c r="J14" i="10" s="1"/>
  <c r="AN4" i="4"/>
  <c r="AP4" i="4" s="1"/>
  <c r="AR4" i="4" s="1"/>
  <c r="BF4" i="4"/>
  <c r="BH4" i="4" s="1"/>
  <c r="AN17" i="4"/>
  <c r="AP17" i="4" s="1"/>
  <c r="AR17" i="4" s="1"/>
  <c r="BF17" i="4"/>
  <c r="BH17" i="4" s="1"/>
  <c r="BK17" i="4" s="1"/>
  <c r="BF13" i="4"/>
  <c r="BH13" i="4" s="1"/>
  <c r="BK13" i="4" s="1"/>
  <c r="BM13" i="4" s="1"/>
  <c r="J13" i="10" s="1"/>
  <c r="AN13" i="4"/>
  <c r="AP13" i="4" s="1"/>
  <c r="AR13" i="4" s="1"/>
  <c r="BG12" i="4"/>
  <c r="AN9" i="4"/>
  <c r="AP9" i="4" s="1"/>
  <c r="AR9" i="4" s="1"/>
  <c r="BF9" i="4"/>
  <c r="BH9" i="4" s="1"/>
  <c r="BK9" i="4" s="1"/>
  <c r="BM9" i="4" s="1"/>
  <c r="J9" i="10" s="1"/>
  <c r="BG8" i="4"/>
  <c r="BG6" i="4"/>
  <c r="AN5" i="4"/>
  <c r="AP5" i="4" s="1"/>
  <c r="AR5" i="4" s="1"/>
  <c r="AW5" i="9" s="1"/>
  <c r="BF5" i="4"/>
  <c r="BH5" i="4" s="1"/>
  <c r="BG17" i="4"/>
  <c r="AN18" i="4"/>
  <c r="AP18" i="4" s="1"/>
  <c r="AR18" i="4" s="1"/>
  <c r="BF18" i="4"/>
  <c r="BH18" i="4" s="1"/>
  <c r="BK18" i="4" s="1"/>
  <c r="BM18" i="4" s="1"/>
  <c r="J18" i="10" s="1"/>
  <c r="BO33" i="4"/>
  <c r="K33" i="10"/>
  <c r="BO27" i="4"/>
  <c r="K27" i="10"/>
  <c r="BI9" i="4"/>
  <c r="BL9" i="4" s="1"/>
  <c r="BN9" i="4" s="1"/>
  <c r="AN8" i="4"/>
  <c r="AP8" i="4" s="1"/>
  <c r="BF8" i="4"/>
  <c r="BH8" i="4" s="1"/>
  <c r="BK8" i="4" s="1"/>
  <c r="BM8" i="4" s="1"/>
  <c r="J8" i="10" s="1"/>
  <c r="AN6" i="4"/>
  <c r="AP6" i="4" s="1"/>
  <c r="AR6" i="4" s="1"/>
  <c r="BF6" i="4"/>
  <c r="BH6" i="4" s="1"/>
  <c r="AN19" i="4"/>
  <c r="AP19" i="4" s="1"/>
  <c r="AR19" i="4" s="1"/>
  <c r="BF19" i="4"/>
  <c r="BH19" i="4" s="1"/>
  <c r="BK19" i="4" s="1"/>
  <c r="BM19" i="4" s="1"/>
  <c r="J19" i="10" s="1"/>
  <c r="BO31" i="4"/>
  <c r="K31" i="10"/>
  <c r="AN10" i="4"/>
  <c r="AP10" i="4" s="1"/>
  <c r="AR10" i="4" s="1"/>
  <c r="BF10" i="4"/>
  <c r="BH10" i="4" s="1"/>
  <c r="BK10" i="4" s="1"/>
  <c r="BM10" i="4" s="1"/>
  <c r="J10" i="10" s="1"/>
  <c r="AN12" i="4"/>
  <c r="AP12" i="4" s="1"/>
  <c r="AR12" i="4" s="1"/>
  <c r="BF12" i="4"/>
  <c r="BH12" i="4" s="1"/>
  <c r="BK12" i="4" s="1"/>
  <c r="BM12" i="4" s="1"/>
  <c r="J12" i="10" s="1"/>
  <c r="AN15" i="4"/>
  <c r="AP15" i="4" s="1"/>
  <c r="AR15" i="4" s="1"/>
  <c r="BF15" i="4"/>
  <c r="BH15" i="4" s="1"/>
  <c r="BK15" i="4" s="1"/>
  <c r="BM15" i="4" s="1"/>
  <c r="J15" i="10" s="1"/>
  <c r="BG14" i="4"/>
  <c r="AN11" i="4"/>
  <c r="AP11" i="4" s="1"/>
  <c r="AR11" i="4" s="1"/>
  <c r="BF11" i="4"/>
  <c r="BH11" i="4" s="1"/>
  <c r="BK11" i="4" s="1"/>
  <c r="BM11" i="4" s="1"/>
  <c r="J11" i="10" s="1"/>
  <c r="BG10" i="4"/>
  <c r="AN7" i="4"/>
  <c r="AP7" i="4" s="1"/>
  <c r="AR7" i="4" s="1"/>
  <c r="BF7" i="4"/>
  <c r="BH7" i="4" s="1"/>
  <c r="BK7" i="4" s="1"/>
  <c r="BM7" i="4" s="1"/>
  <c r="J7" i="10" s="1"/>
  <c r="BG4" i="4"/>
  <c r="AN16" i="4"/>
  <c r="AP16" i="4" s="1"/>
  <c r="AR16" i="4" s="1"/>
  <c r="BF16" i="4"/>
  <c r="BH16" i="4" s="1"/>
  <c r="BK16" i="4" s="1"/>
  <c r="BM16" i="4" s="1"/>
  <c r="J16" i="10" s="1"/>
  <c r="BG19" i="4"/>
  <c r="AN20" i="4"/>
  <c r="AP20" i="4" s="1"/>
  <c r="AR20" i="4" s="1"/>
  <c r="BF20" i="4"/>
  <c r="BH20" i="4" s="1"/>
  <c r="BK20" i="4" s="1"/>
  <c r="BM20" i="4" s="1"/>
  <c r="J20" i="10" s="1"/>
  <c r="BI22" i="4"/>
  <c r="BL22" i="4" s="1"/>
  <c r="BN22" i="4" s="1"/>
  <c r="BO36" i="4"/>
  <c r="K36" i="10"/>
  <c r="AQ21" i="4"/>
  <c r="AS21" i="4" s="1"/>
  <c r="K3" i="4"/>
  <c r="K5" i="4"/>
  <c r="K6" i="4"/>
  <c r="K4" i="4"/>
  <c r="AN17" i="1"/>
  <c r="AO17" i="1"/>
  <c r="C3" i="5"/>
  <c r="C2" i="5"/>
  <c r="Q13" i="1"/>
  <c r="AK13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AC5" i="1"/>
  <c r="AB5" i="1"/>
  <c r="AA5" i="1"/>
  <c r="AC4" i="1"/>
  <c r="AB4" i="1"/>
  <c r="AA4" i="1"/>
  <c r="AC3" i="1"/>
  <c r="AB3" i="1"/>
  <c r="AA3" i="1"/>
  <c r="AM14" i="1"/>
  <c r="AL14" i="1"/>
  <c r="AK14" i="1"/>
  <c r="AM13" i="1"/>
  <c r="AL13" i="1"/>
  <c r="AM12" i="1"/>
  <c r="AL12" i="1"/>
  <c r="AK12" i="1"/>
  <c r="AM11" i="1"/>
  <c r="AL11" i="1"/>
  <c r="AK11" i="1"/>
  <c r="AM10" i="1"/>
  <c r="AL10" i="1"/>
  <c r="AK10" i="1"/>
  <c r="AM9" i="1"/>
  <c r="AL9" i="1"/>
  <c r="AK9" i="1"/>
  <c r="AL8" i="1"/>
  <c r="AK8" i="1"/>
  <c r="AM7" i="1"/>
  <c r="AL7" i="1"/>
  <c r="AK7" i="1"/>
  <c r="AM6" i="1"/>
  <c r="AL6" i="1"/>
  <c r="AK6" i="1"/>
  <c r="AL5" i="1"/>
  <c r="AK5" i="1"/>
  <c r="AM4" i="1"/>
  <c r="AL4" i="1"/>
  <c r="AK4" i="1"/>
  <c r="AM3" i="1"/>
  <c r="AL3" i="1"/>
  <c r="AK3" i="1"/>
  <c r="S13" i="1"/>
  <c r="R13" i="1"/>
  <c r="Q12" i="1"/>
  <c r="R12" i="1"/>
  <c r="S12" i="1"/>
  <c r="R14" i="1"/>
  <c r="Q14" i="1"/>
  <c r="R10" i="1"/>
  <c r="Q10" i="1"/>
  <c r="Q11" i="1"/>
  <c r="S11" i="1"/>
  <c r="R11" i="1"/>
  <c r="S10" i="1"/>
  <c r="S9" i="1"/>
  <c r="R9" i="1"/>
  <c r="Q9" i="1"/>
  <c r="S8" i="1"/>
  <c r="R8" i="1"/>
  <c r="Q8" i="1"/>
  <c r="R7" i="1"/>
  <c r="S7" i="1"/>
  <c r="Q7" i="1"/>
  <c r="S6" i="1"/>
  <c r="R6" i="1"/>
  <c r="Q6" i="1"/>
  <c r="S5" i="1"/>
  <c r="R5" i="1"/>
  <c r="Q5" i="1"/>
  <c r="S4" i="1"/>
  <c r="R4" i="1"/>
  <c r="Q4" i="1"/>
  <c r="S3" i="1"/>
  <c r="R3" i="1"/>
  <c r="K21" i="10" l="1"/>
  <c r="BI18" i="4"/>
  <c r="BL18" i="4" s="1"/>
  <c r="BN18" i="4" s="1"/>
  <c r="BI11" i="4"/>
  <c r="BL11" i="4" s="1"/>
  <c r="BN11" i="4" s="1"/>
  <c r="BO11" i="4" s="1"/>
  <c r="AQ13" i="4"/>
  <c r="AS13" i="4" s="1"/>
  <c r="BI7" i="4"/>
  <c r="BL7" i="4" s="1"/>
  <c r="BN7" i="4" s="1"/>
  <c r="K7" i="10" s="1"/>
  <c r="BI15" i="4"/>
  <c r="BL15" i="4" s="1"/>
  <c r="BN15" i="4" s="1"/>
  <c r="BI12" i="4"/>
  <c r="BL12" i="4" s="1"/>
  <c r="BN12" i="4" s="1"/>
  <c r="K12" i="10" s="1"/>
  <c r="BI13" i="4"/>
  <c r="BL13" i="4" s="1"/>
  <c r="BN13" i="4" s="1"/>
  <c r="K13" i="10" s="1"/>
  <c r="BI17" i="4"/>
  <c r="BL17" i="4" s="1"/>
  <c r="AQ14" i="4"/>
  <c r="AS14" i="4" s="1"/>
  <c r="AQ16" i="4"/>
  <c r="AS16" i="4" s="1"/>
  <c r="AQ15" i="4"/>
  <c r="AS15" i="4" s="1"/>
  <c r="AQ18" i="4"/>
  <c r="AS18" i="4" s="1"/>
  <c r="AQ5" i="4"/>
  <c r="AS5" i="4" s="1"/>
  <c r="AQ3" i="4"/>
  <c r="BI19" i="4"/>
  <c r="BL19" i="4" s="1"/>
  <c r="BN19" i="4" s="1"/>
  <c r="K19" i="10" s="1"/>
  <c r="BI14" i="4"/>
  <c r="BL14" i="4" s="1"/>
  <c r="BN14" i="4" s="1"/>
  <c r="K14" i="10" s="1"/>
  <c r="AQ20" i="4"/>
  <c r="AS20" i="4" s="1"/>
  <c r="AQ7" i="4"/>
  <c r="AS7" i="4" s="1"/>
  <c r="AQ11" i="4"/>
  <c r="AS11" i="4" s="1"/>
  <c r="AQ12" i="4"/>
  <c r="AS12" i="4" s="1"/>
  <c r="AQ10" i="4"/>
  <c r="AS10" i="4" s="1"/>
  <c r="BI8" i="4"/>
  <c r="BL8" i="4" s="1"/>
  <c r="BN8" i="4" s="1"/>
  <c r="BO8" i="4" s="1"/>
  <c r="AQ17" i="4"/>
  <c r="AS17" i="4" s="1"/>
  <c r="BO7" i="4"/>
  <c r="O4" i="4"/>
  <c r="P4" i="4"/>
  <c r="L4" i="9"/>
  <c r="AU4" i="9" s="1"/>
  <c r="AT4" i="4" s="1"/>
  <c r="AU4" i="4" s="1"/>
  <c r="AY4" i="4" s="1"/>
  <c r="BO22" i="4"/>
  <c r="K22" i="10"/>
  <c r="AU20" i="9"/>
  <c r="AT20" i="4" s="1"/>
  <c r="AU20" i="4" s="1"/>
  <c r="AY20" i="4" s="1"/>
  <c r="AU16" i="9"/>
  <c r="AT16" i="4" s="1"/>
  <c r="AU16" i="4" s="1"/>
  <c r="AY16" i="4" s="1"/>
  <c r="AU7" i="9"/>
  <c r="AT7" i="4" s="1"/>
  <c r="AU7" i="4" s="1"/>
  <c r="AY7" i="4" s="1"/>
  <c r="AU11" i="9"/>
  <c r="AT11" i="4" s="1"/>
  <c r="AU11" i="4" s="1"/>
  <c r="AU15" i="9"/>
  <c r="AT15" i="4" s="1"/>
  <c r="AU15" i="4" s="1"/>
  <c r="AY15" i="4" s="1"/>
  <c r="AU12" i="9"/>
  <c r="AT12" i="4" s="1"/>
  <c r="AU12" i="4" s="1"/>
  <c r="AY12" i="4" s="1"/>
  <c r="BI16" i="4"/>
  <c r="BL16" i="4" s="1"/>
  <c r="BN16" i="4" s="1"/>
  <c r="BK6" i="4"/>
  <c r="BM6" i="4" s="1"/>
  <c r="J6" i="10" s="1"/>
  <c r="AU18" i="9"/>
  <c r="AT18" i="4" s="1"/>
  <c r="AU18" i="4" s="1"/>
  <c r="AY18" i="4" s="1"/>
  <c r="AQ9" i="4"/>
  <c r="AS9" i="4" s="1"/>
  <c r="AU13" i="9"/>
  <c r="AT13" i="4" s="1"/>
  <c r="AU13" i="4" s="1"/>
  <c r="AW17" i="9"/>
  <c r="AU17" i="9"/>
  <c r="AT17" i="4" s="1"/>
  <c r="AU17" i="4" s="1"/>
  <c r="BI5" i="4"/>
  <c r="BO18" i="4"/>
  <c r="K18" i="10"/>
  <c r="BO9" i="4"/>
  <c r="K9" i="10"/>
  <c r="AU36" i="9"/>
  <c r="AT36" i="4" s="1"/>
  <c r="AU36" i="4" s="1"/>
  <c r="AU26" i="9"/>
  <c r="AT26" i="4" s="1"/>
  <c r="AU26" i="4" s="1"/>
  <c r="AU28" i="9"/>
  <c r="AT28" i="4" s="1"/>
  <c r="AU28" i="4" s="1"/>
  <c r="AV28" i="4" s="1"/>
  <c r="AW28" i="4" s="1"/>
  <c r="AU25" i="9"/>
  <c r="AT25" i="4" s="1"/>
  <c r="AU25" i="4" s="1"/>
  <c r="AU33" i="9"/>
  <c r="AT33" i="4" s="1"/>
  <c r="AU33" i="4" s="1"/>
  <c r="AU29" i="9"/>
  <c r="AT29" i="4" s="1"/>
  <c r="AU29" i="4" s="1"/>
  <c r="AU34" i="9"/>
  <c r="AT34" i="4" s="1"/>
  <c r="AU34" i="4" s="1"/>
  <c r="AV34" i="4" s="1"/>
  <c r="AW34" i="4" s="1"/>
  <c r="AU37" i="9"/>
  <c r="AT37" i="4" s="1"/>
  <c r="AU37" i="4" s="1"/>
  <c r="AU35" i="9"/>
  <c r="AT35" i="4" s="1"/>
  <c r="AU35" i="4" s="1"/>
  <c r="AU32" i="9"/>
  <c r="AT32" i="4" s="1"/>
  <c r="AU32" i="4" s="1"/>
  <c r="AU23" i="9"/>
  <c r="AT23" i="4" s="1"/>
  <c r="AU23" i="4" s="1"/>
  <c r="AU27" i="9"/>
  <c r="AT27" i="4" s="1"/>
  <c r="AU27" i="4" s="1"/>
  <c r="AU31" i="9"/>
  <c r="AT31" i="4" s="1"/>
  <c r="AU31" i="4" s="1"/>
  <c r="AU24" i="9"/>
  <c r="AT24" i="4" s="1"/>
  <c r="AU24" i="4" s="1"/>
  <c r="AV24" i="4" s="1"/>
  <c r="AW24" i="4" s="1"/>
  <c r="AU30" i="9"/>
  <c r="AT30" i="4" s="1"/>
  <c r="AU30" i="4" s="1"/>
  <c r="AV30" i="4" s="1"/>
  <c r="AW30" i="4" s="1"/>
  <c r="P6" i="4"/>
  <c r="O6" i="4"/>
  <c r="L6" i="9"/>
  <c r="AU6" i="9" s="1"/>
  <c r="AT6" i="4" s="1"/>
  <c r="AU6" i="4" s="1"/>
  <c r="AY6" i="4" s="1"/>
  <c r="H6" i="10" s="1"/>
  <c r="BI4" i="4"/>
  <c r="BI10" i="4"/>
  <c r="BL10" i="4" s="1"/>
  <c r="BN10" i="4" s="1"/>
  <c r="BO15" i="4"/>
  <c r="K15" i="10"/>
  <c r="AU22" i="9"/>
  <c r="AT22" i="4" s="1"/>
  <c r="AU22" i="4" s="1"/>
  <c r="AU19" i="9"/>
  <c r="AT19" i="4" s="1"/>
  <c r="AU19" i="4" s="1"/>
  <c r="AY19" i="4" s="1"/>
  <c r="AR8" i="4"/>
  <c r="AU8" i="9" s="1"/>
  <c r="AT8" i="4" s="1"/>
  <c r="AU8" i="4" s="1"/>
  <c r="AY8" i="4" s="1"/>
  <c r="H8" i="10" s="1"/>
  <c r="BI20" i="4"/>
  <c r="BL20" i="4" s="1"/>
  <c r="BN20" i="4" s="1"/>
  <c r="BI6" i="4"/>
  <c r="AU9" i="9"/>
  <c r="AT9" i="4" s="1"/>
  <c r="AU9" i="4" s="1"/>
  <c r="AY9" i="4" s="1"/>
  <c r="AQ4" i="4"/>
  <c r="AS4" i="4" s="1"/>
  <c r="O5" i="4"/>
  <c r="P5" i="4"/>
  <c r="L5" i="9"/>
  <c r="AU5" i="9" s="1"/>
  <c r="AT5" i="4" s="1"/>
  <c r="BK4" i="4"/>
  <c r="BM4" i="4" s="1"/>
  <c r="J4" i="10" s="1"/>
  <c r="BM3" i="4"/>
  <c r="J3" i="10" s="1"/>
  <c r="L3" i="9"/>
  <c r="AU10" i="9"/>
  <c r="AT10" i="4" s="1"/>
  <c r="AU10" i="4" s="1"/>
  <c r="AY10" i="4" s="1"/>
  <c r="AQ19" i="4"/>
  <c r="AS19" i="4" s="1"/>
  <c r="AQ6" i="4"/>
  <c r="AS6" i="4" s="1"/>
  <c r="AQ8" i="4"/>
  <c r="AS8" i="4" s="1"/>
  <c r="AU21" i="9"/>
  <c r="AT21" i="4" s="1"/>
  <c r="AU21" i="4" s="1"/>
  <c r="AY21" i="4" s="1"/>
  <c r="BK5" i="4"/>
  <c r="AU14" i="9"/>
  <c r="AT14" i="4" s="1"/>
  <c r="AU14" i="4" s="1"/>
  <c r="AV14" i="4" s="1"/>
  <c r="AN5" i="1"/>
  <c r="AO5" i="1"/>
  <c r="BO12" i="4" l="1"/>
  <c r="K8" i="10"/>
  <c r="K11" i="10"/>
  <c r="BO19" i="4"/>
  <c r="AV18" i="4"/>
  <c r="AV13" i="4"/>
  <c r="AZ13" i="4" s="1"/>
  <c r="BO13" i="4"/>
  <c r="BO14" i="4"/>
  <c r="AV19" i="4"/>
  <c r="AW19" i="4" s="1"/>
  <c r="AV11" i="4"/>
  <c r="AW11" i="4" s="1"/>
  <c r="AV17" i="4"/>
  <c r="AW17" i="4" s="1"/>
  <c r="AR3" i="4"/>
  <c r="AU3" i="9" s="1"/>
  <c r="AT3" i="4" s="1"/>
  <c r="AU3" i="4" s="1"/>
  <c r="AY3" i="4" s="1"/>
  <c r="AV16" i="4"/>
  <c r="AZ16" i="4" s="1"/>
  <c r="AV8" i="4"/>
  <c r="AZ8" i="4" s="1"/>
  <c r="AW8" i="9"/>
  <c r="AV7" i="4"/>
  <c r="AZ7" i="4" s="1"/>
  <c r="BL5" i="4"/>
  <c r="BL3" i="4"/>
  <c r="BN3" i="4" s="1"/>
  <c r="BO3" i="4" s="1"/>
  <c r="AY13" i="4"/>
  <c r="H13" i="10" s="1"/>
  <c r="AV4" i="4"/>
  <c r="AZ4" i="4" s="1"/>
  <c r="AV20" i="4"/>
  <c r="AZ20" i="4" s="1"/>
  <c r="AV6" i="4"/>
  <c r="AZ6" i="4" s="1"/>
  <c r="AV15" i="4"/>
  <c r="AZ15" i="4" s="1"/>
  <c r="AW10" i="9"/>
  <c r="H10" i="10"/>
  <c r="H18" i="10"/>
  <c r="AW18" i="9"/>
  <c r="H15" i="10"/>
  <c r="AW15" i="9"/>
  <c r="AW12" i="9"/>
  <c r="H12" i="10"/>
  <c r="AZ14" i="4"/>
  <c r="AW14" i="4"/>
  <c r="H20" i="10"/>
  <c r="AW20" i="9"/>
  <c r="AY29" i="4"/>
  <c r="AV29" i="4"/>
  <c r="AW16" i="9"/>
  <c r="H16" i="10"/>
  <c r="AV12" i="4"/>
  <c r="BL6" i="4"/>
  <c r="BN6" i="4" s="1"/>
  <c r="AW6" i="9"/>
  <c r="AV10" i="4"/>
  <c r="AY31" i="4"/>
  <c r="AV31" i="4"/>
  <c r="AY35" i="4"/>
  <c r="AV35" i="4"/>
  <c r="AY33" i="4"/>
  <c r="AV33" i="4"/>
  <c r="AY36" i="4"/>
  <c r="AV36" i="4"/>
  <c r="AV9" i="4"/>
  <c r="AY11" i="4"/>
  <c r="H4" i="10"/>
  <c r="AW4" i="9"/>
  <c r="AW13" i="4"/>
  <c r="H9" i="10"/>
  <c r="AW9" i="9"/>
  <c r="AY26" i="4"/>
  <c r="AV26" i="4"/>
  <c r="H21" i="10"/>
  <c r="AW21" i="9"/>
  <c r="AZ18" i="4"/>
  <c r="AW18" i="4"/>
  <c r="BO20" i="4"/>
  <c r="K20" i="10"/>
  <c r="AY27" i="4"/>
  <c r="AV27" i="4"/>
  <c r="AY37" i="4"/>
  <c r="AV37" i="4"/>
  <c r="AY25" i="4"/>
  <c r="AV25" i="4"/>
  <c r="H7" i="10"/>
  <c r="AW7" i="9"/>
  <c r="AV22" i="4"/>
  <c r="AY22" i="4"/>
  <c r="BL4" i="4"/>
  <c r="BN4" i="4" s="1"/>
  <c r="AY32" i="4"/>
  <c r="AV32" i="4"/>
  <c r="AY14" i="4"/>
  <c r="AW8" i="4"/>
  <c r="AU5" i="4"/>
  <c r="AV5" i="4" s="1"/>
  <c r="AW5" i="4" s="1"/>
  <c r="H19" i="10"/>
  <c r="AW19" i="9"/>
  <c r="BO10" i="4"/>
  <c r="K10" i="10"/>
  <c r="AV21" i="4"/>
  <c r="AY23" i="4"/>
  <c r="AV23" i="4"/>
  <c r="BO16" i="4"/>
  <c r="K16" i="10"/>
  <c r="AR3" i="1"/>
  <c r="AQ3" i="1"/>
  <c r="AQ4" i="1"/>
  <c r="AP4" i="1"/>
  <c r="AP3" i="1"/>
  <c r="AZ11" i="4" l="1"/>
  <c r="AZ19" i="4"/>
  <c r="I19" i="10" s="1"/>
  <c r="AW7" i="4"/>
  <c r="AW20" i="4"/>
  <c r="AW16" i="4"/>
  <c r="H3" i="10"/>
  <c r="AW3" i="9"/>
  <c r="K3" i="10"/>
  <c r="AW13" i="9"/>
  <c r="AW15" i="4"/>
  <c r="AS3" i="4"/>
  <c r="AV3" i="4" s="1"/>
  <c r="AW4" i="4"/>
  <c r="AW6" i="4"/>
  <c r="BA18" i="4"/>
  <c r="I18" i="10"/>
  <c r="AW9" i="4"/>
  <c r="AZ9" i="4"/>
  <c r="AW31" i="9"/>
  <c r="H31" i="10"/>
  <c r="BA20" i="4"/>
  <c r="I20" i="10"/>
  <c r="AW23" i="4"/>
  <c r="AZ23" i="4"/>
  <c r="H32" i="10"/>
  <c r="AW32" i="9"/>
  <c r="AW22" i="9"/>
  <c r="H22" i="10"/>
  <c r="BA15" i="4"/>
  <c r="I15" i="10"/>
  <c r="AZ37" i="4"/>
  <c r="AW37" i="4"/>
  <c r="BA7" i="4"/>
  <c r="I7" i="10"/>
  <c r="AW36" i="4"/>
  <c r="AZ36" i="4"/>
  <c r="AW35" i="4"/>
  <c r="AZ35" i="4"/>
  <c r="AZ10" i="4"/>
  <c r="AW10" i="4"/>
  <c r="BA19" i="4"/>
  <c r="AZ29" i="4"/>
  <c r="AW29" i="4"/>
  <c r="AZ32" i="4"/>
  <c r="AW32" i="4"/>
  <c r="H27" i="10"/>
  <c r="AW27" i="9"/>
  <c r="H26" i="10"/>
  <c r="AW26" i="9"/>
  <c r="AZ12" i="4"/>
  <c r="AW12" i="4"/>
  <c r="H23" i="10"/>
  <c r="AW23" i="9"/>
  <c r="BA8" i="4"/>
  <c r="I8" i="10"/>
  <c r="BO4" i="4"/>
  <c r="K4" i="10"/>
  <c r="AZ22" i="4"/>
  <c r="AW22" i="4"/>
  <c r="H37" i="10"/>
  <c r="AW37" i="9"/>
  <c r="AW36" i="9"/>
  <c r="H36" i="10"/>
  <c r="H35" i="10"/>
  <c r="AW35" i="9"/>
  <c r="H29" i="10"/>
  <c r="AW29" i="9"/>
  <c r="BA14" i="4"/>
  <c r="I14" i="10"/>
  <c r="AW25" i="9"/>
  <c r="H25" i="10"/>
  <c r="BA4" i="4"/>
  <c r="I4" i="10"/>
  <c r="H33" i="10"/>
  <c r="AW33" i="9"/>
  <c r="BA6" i="4"/>
  <c r="I6" i="10"/>
  <c r="BA16" i="4"/>
  <c r="I16" i="10"/>
  <c r="AZ21" i="4"/>
  <c r="AW21" i="4"/>
  <c r="AW14" i="9"/>
  <c r="H14" i="10"/>
  <c r="AZ25" i="4"/>
  <c r="AW25" i="4"/>
  <c r="AW27" i="4"/>
  <c r="AZ27" i="4"/>
  <c r="AW26" i="4"/>
  <c r="AZ26" i="4"/>
  <c r="BA13" i="4"/>
  <c r="I13" i="10"/>
  <c r="H11" i="10"/>
  <c r="AW11" i="9"/>
  <c r="AZ33" i="4"/>
  <c r="AW33" i="4"/>
  <c r="AZ31" i="4"/>
  <c r="AW31" i="4"/>
  <c r="BO6" i="4"/>
  <c r="K6" i="10"/>
  <c r="BA11" i="4"/>
  <c r="I11" i="10"/>
  <c r="AW3" i="4" l="1"/>
  <c r="AZ3" i="4"/>
  <c r="BA26" i="4"/>
  <c r="I26" i="10"/>
  <c r="BA23" i="4"/>
  <c r="I23" i="10"/>
  <c r="BA27" i="4"/>
  <c r="I27" i="10"/>
  <c r="BA35" i="4"/>
  <c r="I35" i="10"/>
  <c r="BA9" i="4"/>
  <c r="I9" i="10"/>
  <c r="BA36" i="4"/>
  <c r="I36" i="10"/>
  <c r="BA33" i="4"/>
  <c r="I33" i="10"/>
  <c r="BA32" i="4"/>
  <c r="I32" i="10"/>
  <c r="BA31" i="4"/>
  <c r="I31" i="10"/>
  <c r="BA25" i="4"/>
  <c r="I25" i="10"/>
  <c r="BA21" i="4"/>
  <c r="I21" i="10"/>
  <c r="BA22" i="4"/>
  <c r="I22" i="10"/>
  <c r="BA12" i="4"/>
  <c r="I12" i="10"/>
  <c r="BA29" i="4"/>
  <c r="I29" i="10"/>
  <c r="BA10" i="4"/>
  <c r="I10" i="10"/>
  <c r="BA37" i="4"/>
  <c r="I37" i="10"/>
  <c r="BA3" i="4" l="1"/>
  <c r="I3" i="10"/>
</calcChain>
</file>

<file path=xl/sharedStrings.xml><?xml version="1.0" encoding="utf-8"?>
<sst xmlns="http://schemas.openxmlformats.org/spreadsheetml/2006/main" count="741" uniqueCount="234">
  <si>
    <t>SampleID</t>
  </si>
  <si>
    <t>Date</t>
  </si>
  <si>
    <t>Time</t>
  </si>
  <si>
    <t>Volume (L)</t>
  </si>
  <si>
    <t>Sample type</t>
  </si>
  <si>
    <t>Notes</t>
  </si>
  <si>
    <t>Surface water</t>
  </si>
  <si>
    <t>Taken from ship SW line</t>
  </si>
  <si>
    <t>Detector</t>
  </si>
  <si>
    <t>Grey</t>
  </si>
  <si>
    <t>HE541_18-1</t>
  </si>
  <si>
    <t>HE541_18-1B</t>
  </si>
  <si>
    <t>Efficiency check for 18-1 (attached to outlet of  first canister)</t>
  </si>
  <si>
    <t>Orange</t>
  </si>
  <si>
    <t>HE541_19-16-MUC</t>
  </si>
  <si>
    <t>HE541_19-16-MUC-PW</t>
  </si>
  <si>
    <t>Porewater</t>
  </si>
  <si>
    <t>Sample Time</t>
  </si>
  <si>
    <t>Analysis Time</t>
  </si>
  <si>
    <t>Total</t>
  </si>
  <si>
    <t>Efficiency</t>
  </si>
  <si>
    <t xml:space="preserve">Sampled from bottom 4 cm using 7 rhizons. Drew out porewater until overlying water fell by half its original height. We need to consider this measurement as a minimum value because of the high chance that  surface water made it into the sample during Rhizon work. </t>
  </si>
  <si>
    <t>Surface water. Essentially duplicate of HE541_18-1</t>
  </si>
  <si>
    <t>Surface water (Efficiency)</t>
  </si>
  <si>
    <t>HE541-2</t>
  </si>
  <si>
    <t>140919_223_O</t>
  </si>
  <si>
    <t>140919_224_G</t>
  </si>
  <si>
    <t>150919_223_G</t>
  </si>
  <si>
    <t>150919_223_O</t>
  </si>
  <si>
    <t>150919_224_O</t>
  </si>
  <si>
    <t>160919_224_O</t>
  </si>
  <si>
    <t>160919_223_O</t>
  </si>
  <si>
    <t>160919_224_G</t>
  </si>
  <si>
    <t>HE541_26-4-MUC</t>
  </si>
  <si>
    <t>Canister #</t>
  </si>
  <si>
    <t>HE541-26-4-MUC-OverlyingWater</t>
  </si>
  <si>
    <t>HE541-19-PostFlux-OverlyingWater</t>
  </si>
  <si>
    <t>Overlying water drained off of cores used for pore-water profiling.  All 4 cores were combined into one water sample, which was GF/F filtered then pumped slowly (300 mL/min) onto cartridge</t>
  </si>
  <si>
    <t>Overlying water from sed core (Pre-porewater profile)</t>
  </si>
  <si>
    <t>Overlying water from sed core (post O2 flux)</t>
  </si>
  <si>
    <t>HE541-26-4-MUC-Porewater1</t>
  </si>
  <si>
    <t>HE541-26-4-MUC-Porewater2</t>
  </si>
  <si>
    <t>HE541-26-4-MUC-Porewater3</t>
  </si>
  <si>
    <t>HE541-26-4-MUC-OverlyingWater-</t>
  </si>
  <si>
    <t>Core taken 16.9.19. Pore-water sampled next day</t>
  </si>
  <si>
    <t>Overlying water, post O2 flux experiment. Overlying water from all 4 cores were siphoned off into one water sample, which was GF/F filtered then pumped slowly (300 mL/min) onto cartridge. This is intended to represent ADVECTIVE+DIFFUSIVE Ra Flux</t>
  </si>
  <si>
    <t>Core taken 16.9.19. On 17.9.19, overlying water from 3 cores was pooled together, filtered (GF/F), and put on cartridge. This should only represent DIFFUSIVE Ra Flux</t>
  </si>
  <si>
    <t>HE541-26-PostFlux</t>
  </si>
  <si>
    <t>Average CPM Count 1</t>
  </si>
  <si>
    <t>Average CPM/100L Count 1</t>
  </si>
  <si>
    <t>Average CPM Count 2</t>
  </si>
  <si>
    <t>Average CPM/100L Count 2</t>
  </si>
  <si>
    <t>Average CPM Count 3</t>
  </si>
  <si>
    <t>Average CPM/100L Count 3</t>
  </si>
  <si>
    <t>Run 1 Time</t>
  </si>
  <si>
    <t>Run 2 Time</t>
  </si>
  <si>
    <t>Run 3 Time</t>
  </si>
  <si>
    <t>Mean half life (days)</t>
  </si>
  <si>
    <t>223 Ra</t>
  </si>
  <si>
    <t>224 Ra</t>
  </si>
  <si>
    <t>Count 1</t>
  </si>
  <si>
    <t>Decay Constant (days-1)</t>
  </si>
  <si>
    <t>180919_224_O</t>
  </si>
  <si>
    <t>180919_223_O</t>
  </si>
  <si>
    <t>180919_224_G</t>
  </si>
  <si>
    <t>180919_223_G</t>
  </si>
  <si>
    <t>HE541_27-SW</t>
  </si>
  <si>
    <t>HE541_27-SWB</t>
  </si>
  <si>
    <t>Efficiency check for HE541_27-SW (attached to outlet of  first canister)</t>
  </si>
  <si>
    <t>Taken from ship SW line during CTD casts</t>
  </si>
  <si>
    <t>HE541-33-PW1</t>
  </si>
  <si>
    <t>HE541-33-PW2</t>
  </si>
  <si>
    <t>HE541-33-PW3</t>
  </si>
  <si>
    <t>Run time (min)</t>
  </si>
  <si>
    <t>200919_223_G</t>
  </si>
  <si>
    <t>Blank</t>
  </si>
  <si>
    <t>HE541-33-OverlyingWater</t>
  </si>
  <si>
    <t>200919_224_O</t>
  </si>
  <si>
    <t>Overlying water drained off of cores used for pore-water profiling.  All 4 cores were combined into one water sample, which was GF/F filtered then pumped slowly (300 mL/min) onto cartridge. This should only represent DIFFUSIVE Ra Flux</t>
  </si>
  <si>
    <t>HE541-33-PostFlux</t>
  </si>
  <si>
    <t>Overlying water, post O2 flux experiment. Overlying water from 3 cores were siphoned off into one water sample, which was GF/F filtered then pumped slowly (300 mL/min) onto cartridge. This is intended to represent ADVECTIVE+DIFFUSIVE Ra Flux</t>
  </si>
  <si>
    <t>2nd run!</t>
  </si>
  <si>
    <t>3rd run!</t>
  </si>
  <si>
    <t>210919_224_G</t>
  </si>
  <si>
    <t>210919_223_O</t>
  </si>
  <si>
    <t>HE541-47-SW</t>
  </si>
  <si>
    <t>HE541-47-SWB</t>
  </si>
  <si>
    <t>Efficiency check for HE541_47-SW (attached to outlet of  first canister)</t>
  </si>
  <si>
    <t>HE541-47-PW1</t>
  </si>
  <si>
    <t>HE541-47-PW2</t>
  </si>
  <si>
    <t>210919_223_G</t>
  </si>
  <si>
    <t>x</t>
  </si>
  <si>
    <t>Core taken 19.9.19. Top 10 cm pore-water sampled same day</t>
  </si>
  <si>
    <t xml:space="preserve">Taken from ship SW line after last samples taken…Efficiency was bad for first sample, so I had to re-sample the water. </t>
  </si>
  <si>
    <t>a</t>
  </si>
  <si>
    <t>HE541-47-PostFlux</t>
  </si>
  <si>
    <t>Efficiency check for HE541-47-PostFlux</t>
  </si>
  <si>
    <t>HE541-47-PostFlux-Eff</t>
  </si>
  <si>
    <t>Average 220 Efficiency</t>
  </si>
  <si>
    <t>Average 219 Efficiency</t>
  </si>
  <si>
    <t>230919_224_O</t>
  </si>
  <si>
    <t>230919_223_G</t>
  </si>
  <si>
    <t>HE541-66-SW</t>
  </si>
  <si>
    <t>HE541-66-SWB</t>
  </si>
  <si>
    <t>Efficiency Count</t>
  </si>
  <si>
    <t>HE541-70-PW1</t>
  </si>
  <si>
    <t>HE541-70-PW2</t>
  </si>
  <si>
    <t>Core and porewater from 23.9.19. Top 10 cm</t>
  </si>
  <si>
    <t>Core and top 14 cm porewater sampled 21.9.19</t>
  </si>
  <si>
    <t>Core and top 15 cm porewater sampled 21.9.19</t>
  </si>
  <si>
    <t>240919_223_O</t>
  </si>
  <si>
    <t>240919_224_G</t>
  </si>
  <si>
    <t>Used old efficiency check column from HE541_18-1B, which was 0.03 CPM for 15.09.19, so should be 0.0064 when run on 23.09.19 at 14:08, after accounting for decay over the  8.02 days:decay factor =  1/exp(8.02*.1925)= 0.2136   |    corrected Activity = 0.03*0.2136 = 0.0064 CPM</t>
  </si>
  <si>
    <t>Used old efficiency check column from HE541-47-SWB, which was 0.076 CPM for previous run, so should be 0.07159 when run on 22.09.19 at 16:38, after accounting for decay over the  0.31 days: decay factor =  1/exp(0.31*.1925)= 0.942   |    corrected Activity = 0.076*.942 = .7159 CPM</t>
  </si>
  <si>
    <t>250919_224_O</t>
  </si>
  <si>
    <t>250919_223_G</t>
  </si>
  <si>
    <t>HE541-84-SW</t>
  </si>
  <si>
    <t>HE541-84-SWB</t>
  </si>
  <si>
    <t>HE541-90-PW1</t>
  </si>
  <si>
    <t>HE541-90-PW2</t>
  </si>
  <si>
    <t>Used old efficiency check column from HE541_47-PostFlux-Eff, which was 0.111 CPM on 22.09.19, so should be 0.0635 CPM when run on 25.09.19 at 14:14, after accounting for decay over the  2.90 days:decay factor =  1/exp(2.90*.1925)= 0.572   |    corrected Activity = 0.111*0.572 = 0.0635 CPM</t>
  </si>
  <si>
    <t>40/18</t>
  </si>
  <si>
    <t>Core and porewater from 25.9.19. Top 10 cm</t>
  </si>
  <si>
    <t>Overlying water enrichment factor</t>
  </si>
  <si>
    <t>260919_223_O</t>
  </si>
  <si>
    <t>260919_224_G</t>
  </si>
  <si>
    <t>HE541-90-PostFlux</t>
  </si>
  <si>
    <t>Overlying water, post O2 flux experiment. Overlying water from 4 cores were siphoned off into one water sample, which was GF/F filtered then pumped slowly (&lt;300 mL/min) onto cartridge. This is intended to represent ADVECTIVE+DIFFUSIVE Ra Flux</t>
  </si>
  <si>
    <t>Overlying water, post O2 flux experiment. Overlying water from 3 cores were siphoned off into one water sample, which was GF/F filtered then pumped slowly (&lt;300 mL/min) onto cartridge. This is intended to represent ADVECTIVE+DIFFUSIVE Ra Flux</t>
  </si>
  <si>
    <t>260919_224_O</t>
  </si>
  <si>
    <t>151019_224_O</t>
  </si>
  <si>
    <t>151019_223_G</t>
  </si>
  <si>
    <t>151019_224_G</t>
  </si>
  <si>
    <t>151019_223_O</t>
  </si>
  <si>
    <t>241019_224_O</t>
  </si>
  <si>
    <t>241019_223_G</t>
  </si>
  <si>
    <t>Count 2</t>
  </si>
  <si>
    <t>CC</t>
  </si>
  <si>
    <t>223 STD (STD1)</t>
  </si>
  <si>
    <t>224 STD  (STD2)</t>
  </si>
  <si>
    <t>corr.</t>
  </si>
  <si>
    <t>EFF.</t>
  </si>
  <si>
    <t>fr. 219</t>
  </si>
  <si>
    <t>fr. 220</t>
  </si>
  <si>
    <t xml:space="preserve">223 STD </t>
  </si>
  <si>
    <t>DPM</t>
  </si>
  <si>
    <t xml:space="preserve">224 STD </t>
  </si>
  <si>
    <t>Ave EFF</t>
  </si>
  <si>
    <t>N</t>
  </si>
  <si>
    <t>Counter</t>
  </si>
  <si>
    <t>&lt;&lt;Personal Comm Walter Geibert (AWI)</t>
  </si>
  <si>
    <t>Counting Mid-point</t>
  </si>
  <si>
    <t>Runtime (minutes)</t>
  </si>
  <si>
    <t>Err Total CPM</t>
  </si>
  <si>
    <t>Err 220 CPM</t>
  </si>
  <si>
    <t>220 Counts</t>
  </si>
  <si>
    <t>Total Counts</t>
  </si>
  <si>
    <t>220 (CPM)</t>
  </si>
  <si>
    <t>Total Counts (CPM)</t>
  </si>
  <si>
    <t>219 (CPM)</t>
  </si>
  <si>
    <t>Err 220 (2/sqrt)</t>
  </si>
  <si>
    <t>Err 220</t>
  </si>
  <si>
    <t>Err 219 CPM</t>
  </si>
  <si>
    <t>Err 219 (2/sqrt)</t>
  </si>
  <si>
    <t>Err 219</t>
  </si>
  <si>
    <t>219 Counts</t>
  </si>
  <si>
    <t>ERR Total CPM</t>
  </si>
  <si>
    <t>220 CC</t>
  </si>
  <si>
    <t>ERR 220 CC</t>
  </si>
  <si>
    <t>ERR X</t>
  </si>
  <si>
    <t>Total-220-219</t>
  </si>
  <si>
    <t>219 CC</t>
  </si>
  <si>
    <t>ERR 219 CC</t>
  </si>
  <si>
    <t>ERR Y</t>
  </si>
  <si>
    <t>Y (Tot-Corr220-cpm219)</t>
  </si>
  <si>
    <t>CORR 220</t>
  </si>
  <si>
    <t>ERR CORR 220</t>
  </si>
  <si>
    <t>CORR 219</t>
  </si>
  <si>
    <t>ERR CORR 219</t>
  </si>
  <si>
    <t>Final 220</t>
  </si>
  <si>
    <t>ERR Final 220</t>
  </si>
  <si>
    <t>Effic.</t>
  </si>
  <si>
    <t>220 DPM</t>
  </si>
  <si>
    <t>ERR 220 DPM</t>
  </si>
  <si>
    <t>SD</t>
  </si>
  <si>
    <t>220 DPM/100L</t>
  </si>
  <si>
    <t>?</t>
  </si>
  <si>
    <t>228 Th on Fiber</t>
  </si>
  <si>
    <t>220 Decay Corrected</t>
  </si>
  <si>
    <t>220 Error Decay Corrected</t>
  </si>
  <si>
    <t>Decay</t>
  </si>
  <si>
    <t>Time since first count</t>
  </si>
  <si>
    <t>Error</t>
  </si>
  <si>
    <t>228Th Relative Err</t>
  </si>
  <si>
    <t>228Th est. DPM/100L</t>
  </si>
  <si>
    <t>224Ra (DPM/100L)</t>
  </si>
  <si>
    <t>224Ra ERR (DPM/100L)</t>
  </si>
  <si>
    <t>% Error</t>
  </si>
  <si>
    <t>220 Decay Corrected (DPM/100L)</t>
  </si>
  <si>
    <t>Final 224 Values</t>
  </si>
  <si>
    <t>219 From 220</t>
  </si>
  <si>
    <t>Final 219</t>
  </si>
  <si>
    <t>Err Final 219</t>
  </si>
  <si>
    <t>219 DPM</t>
  </si>
  <si>
    <t>Err 219 DPM</t>
  </si>
  <si>
    <t>219 DPM/100L</t>
  </si>
  <si>
    <t>227Ac Estimate</t>
  </si>
  <si>
    <t>219 Decay Corrected (DPM/100L)</t>
  </si>
  <si>
    <t>219 Error Decay Corrected</t>
  </si>
  <si>
    <t>Final 223 Values</t>
  </si>
  <si>
    <t>223Ra (DPM/100L)</t>
  </si>
  <si>
    <t>223Ra ERR (DPM/100L)</t>
  </si>
  <si>
    <t>Ra 224</t>
  </si>
  <si>
    <t>error (dpm/100 L)</t>
  </si>
  <si>
    <t>activity (dpm/100 L)</t>
  </si>
  <si>
    <t>Ra 223</t>
  </si>
  <si>
    <t>Station</t>
  </si>
  <si>
    <t>D2</t>
  </si>
  <si>
    <t>D</t>
  </si>
  <si>
    <t>E</t>
  </si>
  <si>
    <t>E1</t>
  </si>
  <si>
    <t>B1</t>
  </si>
  <si>
    <t>B2</t>
  </si>
  <si>
    <t>Water Depth</t>
  </si>
  <si>
    <t>Wind speed</t>
  </si>
  <si>
    <t>Lat</t>
  </si>
  <si>
    <t>Long</t>
  </si>
  <si>
    <t>Sample Date</t>
  </si>
  <si>
    <t>SSS</t>
  </si>
  <si>
    <t>SST</t>
  </si>
  <si>
    <t>DO (mg/L)</t>
  </si>
  <si>
    <t>Chl-a</t>
  </si>
  <si>
    <t>Turbidity</t>
  </si>
  <si>
    <t>Average Surface Water hydrography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</si>
</sst>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%"/>
    <numFmt numFmtId="167" formatCode="[$-F400]h:mm:ss\ AM/PM"/>
    <numFmt numFmtId="168" formatCode="0.0"/>
    <numFmt numFmtId="169" formatCode="[$-409]d/m/yy\ h:mm\ AM/PM;@"/>
  </numFmts>
  <fonts count="3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 (Body)_x0000_"/>
    </font>
    <font>
      <sz val="11"/>
      <color theme="1"/>
      <name val="Calibri"/>
      <family val="2"/>
      <scheme val="minor"/>
    </font>
    <font>
      <sz val="12"/>
      <color rgb="FFAEAAAA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2"/>
      <name val="Calibri"/>
      <family val="2"/>
      <scheme val="minor"/>
    </font>
    <font>
      <b/>
      <sz val="12"/>
      <color indexed="10"/>
      <name val="Arial"/>
      <family val="2"/>
    </font>
    <font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5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5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3" fillId="0" borderId="29" applyNumberFormat="0" applyFill="0" applyAlignment="0" applyProtection="0"/>
    <xf numFmtId="0" fontId="14" fillId="0" borderId="30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9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8" xfId="0" applyBorder="1"/>
    <xf numFmtId="20" fontId="0" fillId="0" borderId="4" xfId="0" applyNumberFormat="1" applyBorder="1"/>
    <xf numFmtId="0" fontId="0" fillId="0" borderId="11" xfId="0" applyBorder="1"/>
    <xf numFmtId="0" fontId="5" fillId="0" borderId="6" xfId="0" applyFont="1" applyBorder="1"/>
    <xf numFmtId="0" fontId="5" fillId="0" borderId="0" xfId="0" applyFont="1"/>
    <xf numFmtId="0" fontId="5" fillId="0" borderId="8" xfId="0" applyFont="1" applyBorder="1"/>
    <xf numFmtId="0" fontId="5" fillId="0" borderId="4" xfId="0" applyFont="1" applyBorder="1"/>
    <xf numFmtId="0" fontId="2" fillId="0" borderId="8" xfId="0" applyFont="1" applyBorder="1"/>
    <xf numFmtId="0" fontId="2" fillId="0" borderId="0" xfId="0" applyFont="1"/>
    <xf numFmtId="0" fontId="2" fillId="0" borderId="6" xfId="0" applyFont="1" applyBorder="1"/>
    <xf numFmtId="0" fontId="0" fillId="0" borderId="0" xfId="0" applyFont="1"/>
    <xf numFmtId="0" fontId="0" fillId="0" borderId="4" xfId="0" applyFont="1" applyBorder="1"/>
    <xf numFmtId="14" fontId="6" fillId="0" borderId="0" xfId="0" applyNumberFormat="1" applyFont="1"/>
    <xf numFmtId="2" fontId="2" fillId="0" borderId="0" xfId="0" applyNumberFormat="1" applyFont="1"/>
    <xf numFmtId="2" fontId="7" fillId="0" borderId="0" xfId="0" applyNumberFormat="1" applyFont="1"/>
    <xf numFmtId="2" fontId="7" fillId="0" borderId="4" xfId="0" applyNumberFormat="1" applyFont="1" applyBorder="1"/>
    <xf numFmtId="0" fontId="4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/>
    <xf numFmtId="2" fontId="0" fillId="0" borderId="0" xfId="0" applyNumberFormat="1" applyFont="1" applyBorder="1"/>
    <xf numFmtId="0" fontId="0" fillId="0" borderId="4" xfId="0" applyFont="1" applyBorder="1" applyAlignment="1">
      <alignment wrapText="1"/>
    </xf>
    <xf numFmtId="0" fontId="0" fillId="0" borderId="0" xfId="0" applyFont="1" applyBorder="1"/>
    <xf numFmtId="0" fontId="0" fillId="0" borderId="11" xfId="0" applyFont="1" applyBorder="1"/>
    <xf numFmtId="2" fontId="0" fillId="0" borderId="0" xfId="0" applyNumberFormat="1" applyFont="1"/>
    <xf numFmtId="0" fontId="0" fillId="0" borderId="11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Font="1" applyBorder="1" applyAlignment="1">
      <alignment wrapText="1"/>
    </xf>
    <xf numFmtId="167" fontId="0" fillId="0" borderId="4" xfId="0" applyNumberFormat="1" applyFont="1" applyBorder="1" applyAlignment="1">
      <alignment wrapText="1"/>
    </xf>
    <xf numFmtId="0" fontId="0" fillId="0" borderId="11" xfId="0" applyNumberFormat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NumberFormat="1" applyBorder="1"/>
    <xf numFmtId="0" fontId="0" fillId="0" borderId="1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9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/>
    <xf numFmtId="0" fontId="10" fillId="0" borderId="11" xfId="0" applyFont="1" applyBorder="1"/>
    <xf numFmtId="0" fontId="0" fillId="0" borderId="13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0" fontId="0" fillId="0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7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2" fontId="8" fillId="0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1" fillId="2" borderId="4" xfId="4" applyBorder="1" applyAlignment="1">
      <alignment wrapText="1"/>
    </xf>
    <xf numFmtId="14" fontId="1" fillId="2" borderId="4" xfId="4" applyNumberFormat="1" applyBorder="1" applyAlignment="1">
      <alignment wrapText="1"/>
    </xf>
    <xf numFmtId="167" fontId="1" fillId="2" borderId="4" xfId="4" applyNumberFormat="1" applyBorder="1" applyAlignment="1">
      <alignment wrapText="1"/>
    </xf>
    <xf numFmtId="2" fontId="1" fillId="2" borderId="4" xfId="4" applyNumberFormat="1" applyBorder="1" applyAlignment="1">
      <alignment wrapText="1"/>
    </xf>
    <xf numFmtId="2" fontId="1" fillId="2" borderId="0" xfId="4" applyNumberFormat="1" applyBorder="1"/>
    <xf numFmtId="0" fontId="1" fillId="2" borderId="0" xfId="4"/>
    <xf numFmtId="0" fontId="1" fillId="3" borderId="4" xfId="5" applyBorder="1" applyAlignment="1">
      <alignment wrapText="1"/>
    </xf>
    <xf numFmtId="14" fontId="1" fillId="3" borderId="4" xfId="5" applyNumberFormat="1" applyBorder="1" applyAlignment="1">
      <alignment wrapText="1"/>
    </xf>
    <xf numFmtId="167" fontId="1" fillId="3" borderId="4" xfId="5" applyNumberFormat="1" applyBorder="1" applyAlignment="1">
      <alignment wrapText="1"/>
    </xf>
    <xf numFmtId="2" fontId="1" fillId="3" borderId="4" xfId="5" applyNumberFormat="1" applyBorder="1" applyAlignment="1">
      <alignment wrapText="1"/>
    </xf>
    <xf numFmtId="2" fontId="1" fillId="3" borderId="0" xfId="5" applyNumberFormat="1" applyBorder="1"/>
    <xf numFmtId="0" fontId="1" fillId="3" borderId="0" xfId="5"/>
    <xf numFmtId="0" fontId="1" fillId="4" borderId="4" xfId="6" applyBorder="1" applyAlignment="1">
      <alignment wrapText="1"/>
    </xf>
    <xf numFmtId="14" fontId="1" fillId="4" borderId="4" xfId="6" applyNumberFormat="1" applyBorder="1" applyAlignment="1">
      <alignment wrapText="1"/>
    </xf>
    <xf numFmtId="167" fontId="1" fillId="4" borderId="4" xfId="6" applyNumberFormat="1" applyBorder="1" applyAlignment="1">
      <alignment wrapText="1"/>
    </xf>
    <xf numFmtId="2" fontId="1" fillId="4" borderId="4" xfId="6" applyNumberFormat="1" applyBorder="1" applyAlignment="1">
      <alignment wrapText="1"/>
    </xf>
    <xf numFmtId="2" fontId="1" fillId="4" borderId="0" xfId="6" applyNumberFormat="1" applyBorder="1"/>
    <xf numFmtId="0" fontId="1" fillId="4" borderId="0" xfId="6"/>
    <xf numFmtId="2" fontId="1" fillId="4" borderId="0" xfId="6" applyNumberFormat="1"/>
    <xf numFmtId="168" fontId="1" fillId="4" borderId="0" xfId="6" applyNumberFormat="1"/>
    <xf numFmtId="0" fontId="1" fillId="5" borderId="4" xfId="7" applyBorder="1" applyAlignment="1">
      <alignment wrapText="1"/>
    </xf>
    <xf numFmtId="14" fontId="1" fillId="5" borderId="4" xfId="7" applyNumberFormat="1" applyBorder="1" applyAlignment="1">
      <alignment wrapText="1"/>
    </xf>
    <xf numFmtId="167" fontId="1" fillId="5" borderId="4" xfId="7" applyNumberFormat="1" applyBorder="1" applyAlignment="1">
      <alignment wrapText="1"/>
    </xf>
    <xf numFmtId="2" fontId="1" fillId="5" borderId="4" xfId="7" applyNumberFormat="1" applyBorder="1" applyAlignment="1">
      <alignment wrapText="1"/>
    </xf>
    <xf numFmtId="2" fontId="1" fillId="5" borderId="0" xfId="7" applyNumberFormat="1" applyBorder="1"/>
    <xf numFmtId="0" fontId="1" fillId="5" borderId="0" xfId="7"/>
    <xf numFmtId="0" fontId="1" fillId="6" borderId="4" xfId="8" applyBorder="1" applyAlignment="1">
      <alignment wrapText="1"/>
    </xf>
    <xf numFmtId="14" fontId="1" fillId="6" borderId="4" xfId="8" applyNumberFormat="1" applyBorder="1" applyAlignment="1">
      <alignment wrapText="1"/>
    </xf>
    <xf numFmtId="167" fontId="1" fillId="6" borderId="4" xfId="8" applyNumberFormat="1" applyBorder="1" applyAlignment="1">
      <alignment wrapText="1"/>
    </xf>
    <xf numFmtId="2" fontId="1" fillId="6" borderId="4" xfId="8" applyNumberFormat="1" applyBorder="1" applyAlignment="1">
      <alignment wrapText="1"/>
    </xf>
    <xf numFmtId="2" fontId="1" fillId="6" borderId="0" xfId="8" applyNumberFormat="1" applyBorder="1"/>
    <xf numFmtId="0" fontId="1" fillId="6" borderId="0" xfId="8"/>
    <xf numFmtId="0" fontId="13" fillId="0" borderId="29" xfId="2" applyAlignment="1">
      <alignment horizontal="center" wrapText="1"/>
    </xf>
    <xf numFmtId="0" fontId="13" fillId="0" borderId="29" xfId="2" applyAlignment="1">
      <alignment horizontal="center"/>
    </xf>
    <xf numFmtId="0" fontId="13" fillId="0" borderId="29" xfId="2"/>
    <xf numFmtId="0" fontId="14" fillId="0" borderId="30" xfId="3" applyAlignment="1">
      <alignment wrapText="1"/>
    </xf>
    <xf numFmtId="0" fontId="14" fillId="0" borderId="30" xfId="3" applyNumberFormat="1" applyAlignment="1">
      <alignment wrapText="1"/>
    </xf>
    <xf numFmtId="2" fontId="14" fillId="0" borderId="30" xfId="3" applyNumberFormat="1" applyAlignment="1">
      <alignment wrapText="1"/>
    </xf>
    <xf numFmtId="0" fontId="14" fillId="0" borderId="32" xfId="3" applyBorder="1" applyAlignment="1">
      <alignment wrapText="1"/>
    </xf>
    <xf numFmtId="0" fontId="1" fillId="3" borderId="31" xfId="5" applyNumberFormat="1" applyBorder="1" applyAlignment="1">
      <alignment wrapText="1"/>
    </xf>
    <xf numFmtId="0" fontId="1" fillId="2" borderId="31" xfId="4" applyNumberFormat="1" applyBorder="1" applyAlignment="1">
      <alignment wrapText="1"/>
    </xf>
    <xf numFmtId="0" fontId="1" fillId="4" borderId="31" xfId="6" applyNumberFormat="1" applyBorder="1" applyAlignment="1">
      <alignment wrapText="1"/>
    </xf>
    <xf numFmtId="0" fontId="1" fillId="5" borderId="31" xfId="7" applyNumberFormat="1" applyBorder="1" applyAlignment="1">
      <alignment wrapText="1"/>
    </xf>
    <xf numFmtId="0" fontId="1" fillId="6" borderId="31" xfId="8" applyNumberFormat="1" applyBorder="1" applyAlignment="1">
      <alignment wrapText="1"/>
    </xf>
    <xf numFmtId="0" fontId="0" fillId="0" borderId="31" xfId="0" applyNumberFormat="1" applyFont="1" applyBorder="1" applyAlignment="1">
      <alignment wrapText="1"/>
    </xf>
    <xf numFmtId="0" fontId="0" fillId="0" borderId="31" xfId="0" applyFont="1" applyBorder="1"/>
    <xf numFmtId="0" fontId="0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20" fontId="6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20" fontId="0" fillId="0" borderId="11" xfId="0" applyNumberFormat="1" applyFill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13" fillId="0" borderId="29" xfId="2" applyBorder="1" applyAlignment="1">
      <alignment horizontal="center"/>
    </xf>
    <xf numFmtId="0" fontId="5" fillId="0" borderId="0" xfId="0" applyFont="1" applyBorder="1"/>
    <xf numFmtId="0" fontId="5" fillId="0" borderId="35" xfId="0" applyFont="1" applyBorder="1"/>
    <xf numFmtId="0" fontId="0" fillId="8" borderId="1" xfId="0" applyFill="1" applyBorder="1" applyAlignment="1">
      <alignment horizontal="center"/>
    </xf>
    <xf numFmtId="0" fontId="5" fillId="8" borderId="1" xfId="0" applyFont="1" applyFill="1" applyBorder="1"/>
    <xf numFmtId="1" fontId="16" fillId="0" borderId="36" xfId="0" applyNumberFormat="1" applyFont="1" applyBorder="1" applyAlignment="1">
      <alignment horizontal="center"/>
    </xf>
    <xf numFmtId="1" fontId="17" fillId="0" borderId="36" xfId="0" applyNumberFormat="1" applyFont="1" applyBorder="1" applyAlignment="1">
      <alignment horizontal="center"/>
    </xf>
    <xf numFmtId="1" fontId="17" fillId="0" borderId="34" xfId="0" applyNumberFormat="1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1" fontId="16" fillId="0" borderId="38" xfId="0" applyNumberFormat="1" applyFont="1" applyBorder="1" applyAlignment="1">
      <alignment horizontal="center"/>
    </xf>
    <xf numFmtId="1" fontId="17" fillId="0" borderId="38" xfId="0" applyNumberFormat="1" applyFont="1" applyBorder="1" applyAlignment="1">
      <alignment horizontal="center"/>
    </xf>
    <xf numFmtId="1" fontId="18" fillId="0" borderId="40" xfId="0" applyNumberFormat="1" applyFont="1" applyBorder="1" applyAlignment="1">
      <alignment horizontal="center"/>
    </xf>
    <xf numFmtId="1" fontId="18" fillId="0" borderId="38" xfId="0" applyNumberFormat="1" applyFont="1" applyBorder="1" applyAlignment="1">
      <alignment horizontal="center"/>
    </xf>
    <xf numFmtId="165" fontId="19" fillId="7" borderId="0" xfId="0" applyNumberFormat="1" applyFont="1" applyFill="1" applyAlignment="1">
      <alignment horizontal="center"/>
    </xf>
    <xf numFmtId="165" fontId="21" fillId="7" borderId="0" xfId="0" applyNumberFormat="1" applyFont="1" applyFill="1"/>
    <xf numFmtId="165" fontId="0" fillId="0" borderId="0" xfId="0" applyNumberFormat="1"/>
    <xf numFmtId="0" fontId="22" fillId="0" borderId="22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0" borderId="23" xfId="0" applyBorder="1" applyAlignment="1"/>
    <xf numFmtId="0" fontId="0" fillId="0" borderId="24" xfId="0" applyBorder="1"/>
    <xf numFmtId="0" fontId="0" fillId="0" borderId="41" xfId="0" applyBorder="1"/>
    <xf numFmtId="0" fontId="0" fillId="0" borderId="25" xfId="0" applyBorder="1"/>
    <xf numFmtId="0" fontId="0" fillId="0" borderId="27" xfId="0" applyBorder="1"/>
    <xf numFmtId="0" fontId="0" fillId="0" borderId="33" xfId="0" applyBorder="1"/>
    <xf numFmtId="165" fontId="15" fillId="0" borderId="22" xfId="0" applyNumberFormat="1" applyFont="1" applyBorder="1"/>
    <xf numFmtId="165" fontId="15" fillId="0" borderId="25" xfId="0" applyNumberFormat="1" applyFont="1" applyBorder="1"/>
    <xf numFmtId="165" fontId="21" fillId="7" borderId="31" xfId="0" applyNumberFormat="1" applyFont="1" applyFill="1" applyBorder="1"/>
    <xf numFmtId="165" fontId="20" fillId="7" borderId="0" xfId="0" applyNumberFormat="1" applyFont="1" applyFill="1"/>
    <xf numFmtId="0" fontId="13" fillId="0" borderId="29" xfId="2" applyAlignment="1">
      <alignment horizontal="center"/>
    </xf>
    <xf numFmtId="0" fontId="21" fillId="0" borderId="6" xfId="0" applyFont="1" applyBorder="1"/>
    <xf numFmtId="0" fontId="21" fillId="0" borderId="4" xfId="0" applyFont="1" applyBorder="1"/>
    <xf numFmtId="0" fontId="21" fillId="0" borderId="8" xfId="0" applyFont="1" applyBorder="1"/>
    <xf numFmtId="0" fontId="21" fillId="0" borderId="0" xfId="0" applyFont="1"/>
    <xf numFmtId="2" fontId="0" fillId="3" borderId="4" xfId="5" applyNumberFormat="1" applyFont="1" applyBorder="1" applyAlignment="1">
      <alignment wrapText="1"/>
    </xf>
    <xf numFmtId="0" fontId="24" fillId="0" borderId="30" xfId="3" applyNumberFormat="1" applyFont="1" applyAlignment="1">
      <alignment horizontal="center" vertical="center" wrapText="1"/>
    </xf>
    <xf numFmtId="2" fontId="25" fillId="3" borderId="4" xfId="5" applyNumberFormat="1" applyFont="1" applyBorder="1" applyAlignment="1">
      <alignment horizontal="center" vertical="center" wrapText="1"/>
    </xf>
    <xf numFmtId="2" fontId="25" fillId="2" borderId="4" xfId="4" applyNumberFormat="1" applyFont="1" applyBorder="1" applyAlignment="1">
      <alignment horizontal="center" vertical="center" wrapText="1"/>
    </xf>
    <xf numFmtId="2" fontId="25" fillId="4" borderId="4" xfId="6" applyNumberFormat="1" applyFont="1" applyBorder="1" applyAlignment="1">
      <alignment horizontal="center" vertical="center" wrapText="1"/>
    </xf>
    <xf numFmtId="2" fontId="25" fillId="5" borderId="4" xfId="7" applyNumberFormat="1" applyFont="1" applyBorder="1" applyAlignment="1">
      <alignment horizontal="center" vertical="center" wrapText="1"/>
    </xf>
    <xf numFmtId="2" fontId="25" fillId="6" borderId="4" xfId="8" applyNumberFormat="1" applyFont="1" applyBorder="1" applyAlignment="1">
      <alignment horizontal="center" vertical="center" wrapText="1"/>
    </xf>
    <xf numFmtId="2" fontId="25" fillId="0" borderId="4" xfId="0" applyNumberFormat="1" applyFont="1" applyBorder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0" fontId="13" fillId="0" borderId="0" xfId="2" applyBorder="1" applyAlignment="1"/>
    <xf numFmtId="0" fontId="24" fillId="0" borderId="43" xfId="3" applyNumberFormat="1" applyFont="1" applyBorder="1" applyAlignment="1">
      <alignment horizontal="center" vertical="center" wrapText="1"/>
    </xf>
    <xf numFmtId="1" fontId="14" fillId="0" borderId="30" xfId="3" applyNumberFormat="1" applyAlignment="1">
      <alignment wrapText="1"/>
    </xf>
    <xf numFmtId="1" fontId="1" fillId="3" borderId="4" xfId="5" applyNumberFormat="1" applyBorder="1" applyAlignment="1">
      <alignment wrapText="1"/>
    </xf>
    <xf numFmtId="1" fontId="1" fillId="2" borderId="4" xfId="4" applyNumberFormat="1" applyBorder="1" applyAlignment="1">
      <alignment wrapText="1"/>
    </xf>
    <xf numFmtId="1" fontId="1" fillId="4" borderId="4" xfId="6" applyNumberFormat="1" applyBorder="1" applyAlignment="1">
      <alignment wrapText="1"/>
    </xf>
    <xf numFmtId="1" fontId="1" fillId="5" borderId="4" xfId="7" applyNumberFormat="1" applyBorder="1" applyAlignment="1">
      <alignment wrapText="1"/>
    </xf>
    <xf numFmtId="1" fontId="1" fillId="6" borderId="4" xfId="8" applyNumberFormat="1" applyBorder="1" applyAlignment="1">
      <alignment wrapText="1"/>
    </xf>
    <xf numFmtId="1" fontId="0" fillId="0" borderId="4" xfId="0" applyNumberFormat="1" applyFont="1" applyBorder="1" applyAlignment="1">
      <alignment wrapText="1"/>
    </xf>
    <xf numFmtId="1" fontId="0" fillId="0" borderId="0" xfId="0" applyNumberFormat="1" applyFont="1" applyBorder="1"/>
    <xf numFmtId="0" fontId="1" fillId="3" borderId="31" xfId="5" applyBorder="1"/>
    <xf numFmtId="2" fontId="1" fillId="3" borderId="31" xfId="5" applyNumberFormat="1" applyBorder="1"/>
    <xf numFmtId="2" fontId="1" fillId="2" borderId="31" xfId="4" applyNumberFormat="1" applyBorder="1"/>
    <xf numFmtId="2" fontId="1" fillId="4" borderId="31" xfId="6" applyNumberFormat="1" applyBorder="1"/>
    <xf numFmtId="2" fontId="1" fillId="5" borderId="31" xfId="7" applyNumberFormat="1" applyBorder="1"/>
    <xf numFmtId="2" fontId="1" fillId="6" borderId="31" xfId="8" applyNumberFormat="1" applyBorder="1"/>
    <xf numFmtId="2" fontId="0" fillId="0" borderId="31" xfId="0" applyNumberFormat="1" applyFont="1" applyBorder="1"/>
    <xf numFmtId="0" fontId="14" fillId="0" borderId="32" xfId="3" applyNumberFormat="1" applyBorder="1" applyAlignment="1">
      <alignment wrapText="1"/>
    </xf>
    <xf numFmtId="0" fontId="1" fillId="2" borderId="31" xfId="4" applyBorder="1"/>
    <xf numFmtId="0" fontId="1" fillId="4" borderId="31" xfId="6" applyBorder="1"/>
    <xf numFmtId="0" fontId="1" fillId="5" borderId="31" xfId="7" applyBorder="1"/>
    <xf numFmtId="0" fontId="1" fillId="6" borderId="31" xfId="8" applyBorder="1"/>
    <xf numFmtId="2" fontId="1" fillId="3" borderId="0" xfId="5" applyNumberFormat="1"/>
    <xf numFmtId="165" fontId="15" fillId="0" borderId="23" xfId="0" applyNumberFormat="1" applyFont="1" applyBorder="1"/>
    <xf numFmtId="0" fontId="0" fillId="0" borderId="23" xfId="0" applyBorder="1"/>
    <xf numFmtId="0" fontId="0" fillId="0" borderId="26" xfId="0" applyBorder="1"/>
    <xf numFmtId="165" fontId="15" fillId="0" borderId="26" xfId="0" applyNumberFormat="1" applyFont="1" applyBorder="1"/>
    <xf numFmtId="0" fontId="0" fillId="3" borderId="0" xfId="5" applyFont="1"/>
    <xf numFmtId="2" fontId="25" fillId="3" borderId="0" xfId="5" applyNumberFormat="1" applyFont="1" applyBorder="1" applyAlignment="1">
      <alignment horizontal="center" vertical="center" wrapText="1"/>
    </xf>
    <xf numFmtId="2" fontId="25" fillId="2" borderId="0" xfId="4" applyNumberFormat="1" applyFont="1" applyBorder="1" applyAlignment="1">
      <alignment horizontal="center" vertical="center" wrapText="1"/>
    </xf>
    <xf numFmtId="2" fontId="25" fillId="4" borderId="0" xfId="6" applyNumberFormat="1" applyFont="1" applyBorder="1" applyAlignment="1">
      <alignment horizontal="center" vertical="center" wrapText="1"/>
    </xf>
    <xf numFmtId="2" fontId="25" fillId="5" borderId="0" xfId="7" applyNumberFormat="1" applyFont="1" applyBorder="1" applyAlignment="1">
      <alignment horizontal="center" vertical="center" wrapText="1"/>
    </xf>
    <xf numFmtId="2" fontId="25" fillId="6" borderId="0" xfId="8" applyNumberFormat="1" applyFont="1" applyBorder="1" applyAlignment="1">
      <alignment horizontal="center" vertical="center" wrapText="1"/>
    </xf>
    <xf numFmtId="2" fontId="25" fillId="0" borderId="0" xfId="0" applyNumberFormat="1" applyFont="1" applyBorder="1" applyAlignment="1">
      <alignment horizontal="center" vertical="center" wrapText="1"/>
    </xf>
    <xf numFmtId="2" fontId="25" fillId="0" borderId="0" xfId="0" applyNumberFormat="1" applyFont="1" applyBorder="1" applyAlignment="1">
      <alignment horizontal="center" vertical="center"/>
    </xf>
    <xf numFmtId="165" fontId="0" fillId="3" borderId="0" xfId="5" applyNumberFormat="1" applyFont="1"/>
    <xf numFmtId="14" fontId="14" fillId="0" borderId="30" xfId="3" applyNumberFormat="1" applyAlignment="1">
      <alignment wrapText="1"/>
    </xf>
    <xf numFmtId="14" fontId="0" fillId="3" borderId="4" xfId="5" applyNumberFormat="1" applyFont="1" applyBorder="1" applyAlignment="1">
      <alignment wrapText="1"/>
    </xf>
    <xf numFmtId="2" fontId="15" fillId="3" borderId="0" xfId="5" applyNumberFormat="1" applyFont="1"/>
    <xf numFmtId="0" fontId="15" fillId="3" borderId="0" xfId="5" applyFont="1"/>
    <xf numFmtId="0" fontId="15" fillId="2" borderId="0" xfId="4" applyFont="1"/>
    <xf numFmtId="0" fontId="15" fillId="4" borderId="0" xfId="6" applyFont="1"/>
    <xf numFmtId="0" fontId="15" fillId="5" borderId="0" xfId="7" applyFont="1"/>
    <xf numFmtId="0" fontId="15" fillId="6" borderId="0" xfId="8" applyFont="1"/>
    <xf numFmtId="0" fontId="15" fillId="0" borderId="0" xfId="0" applyFont="1"/>
    <xf numFmtId="0" fontId="14" fillId="0" borderId="30" xfId="3" applyNumberFormat="1" applyBorder="1" applyAlignment="1">
      <alignment wrapText="1"/>
    </xf>
    <xf numFmtId="0" fontId="13" fillId="0" borderId="0" xfId="2" applyBorder="1"/>
    <xf numFmtId="0" fontId="29" fillId="0" borderId="0" xfId="2" applyFont="1" applyBorder="1"/>
    <xf numFmtId="0" fontId="14" fillId="0" borderId="19" xfId="3" applyNumberFormat="1" applyBorder="1" applyAlignment="1">
      <alignment wrapText="1"/>
    </xf>
    <xf numFmtId="0" fontId="14" fillId="0" borderId="20" xfId="3" applyBorder="1" applyAlignment="1">
      <alignment wrapText="1"/>
    </xf>
    <xf numFmtId="0" fontId="30" fillId="0" borderId="20" xfId="3" applyFont="1" applyBorder="1" applyAlignment="1">
      <alignment wrapText="1"/>
    </xf>
    <xf numFmtId="0" fontId="14" fillId="0" borderId="20" xfId="3" applyBorder="1" applyAlignment="1">
      <alignment horizontal="center" wrapText="1"/>
    </xf>
    <xf numFmtId="0" fontId="26" fillId="0" borderId="22" xfId="2" applyFont="1" applyBorder="1"/>
    <xf numFmtId="0" fontId="26" fillId="0" borderId="24" xfId="2" applyFont="1" applyBorder="1"/>
    <xf numFmtId="0" fontId="27" fillId="0" borderId="19" xfId="3" applyFont="1" applyBorder="1" applyAlignment="1">
      <alignment wrapText="1"/>
    </xf>
    <xf numFmtId="0" fontId="27" fillId="0" borderId="21" xfId="3" applyFont="1" applyBorder="1" applyAlignment="1">
      <alignment wrapText="1"/>
    </xf>
    <xf numFmtId="2" fontId="28" fillId="3" borderId="41" xfId="5" applyNumberFormat="1" applyFont="1" applyBorder="1"/>
    <xf numFmtId="2" fontId="28" fillId="3" borderId="42" xfId="5" applyNumberFormat="1" applyFont="1" applyBorder="1"/>
    <xf numFmtId="0" fontId="28" fillId="0" borderId="41" xfId="0" applyFont="1" applyBorder="1"/>
    <xf numFmtId="0" fontId="28" fillId="0" borderId="42" xfId="0" applyFont="1" applyBorder="1"/>
    <xf numFmtId="0" fontId="36" fillId="0" borderId="21" xfId="3" applyFont="1" applyBorder="1" applyAlignment="1">
      <alignment wrapText="1"/>
    </xf>
    <xf numFmtId="0" fontId="35" fillId="0" borderId="22" xfId="2" applyFont="1" applyBorder="1"/>
    <xf numFmtId="0" fontId="35" fillId="0" borderId="24" xfId="2" applyFont="1" applyBorder="1"/>
    <xf numFmtId="0" fontId="36" fillId="0" borderId="19" xfId="3" applyFont="1" applyBorder="1" applyAlignment="1">
      <alignment wrapText="1"/>
    </xf>
    <xf numFmtId="2" fontId="37" fillId="3" borderId="41" xfId="5" applyNumberFormat="1" applyFont="1" applyBorder="1"/>
    <xf numFmtId="2" fontId="37" fillId="3" borderId="42" xfId="5" applyNumberFormat="1" applyFont="1" applyBorder="1"/>
    <xf numFmtId="0" fontId="37" fillId="3" borderId="41" xfId="5" applyFont="1" applyBorder="1"/>
    <xf numFmtId="0" fontId="37" fillId="3" borderId="42" xfId="5" applyFont="1" applyBorder="1"/>
    <xf numFmtId="0" fontId="37" fillId="2" borderId="41" xfId="4" applyFont="1" applyBorder="1"/>
    <xf numFmtId="0" fontId="37" fillId="2" borderId="42" xfId="4" applyFont="1" applyBorder="1"/>
    <xf numFmtId="0" fontId="37" fillId="4" borderId="41" xfId="6" applyFont="1" applyBorder="1"/>
    <xf numFmtId="0" fontId="37" fillId="4" borderId="42" xfId="6" applyFont="1" applyBorder="1"/>
    <xf numFmtId="0" fontId="37" fillId="5" borderId="41" xfId="7" applyFont="1" applyBorder="1"/>
    <xf numFmtId="0" fontId="37" fillId="5" borderId="42" xfId="7" applyFont="1" applyBorder="1"/>
    <xf numFmtId="0" fontId="37" fillId="6" borderId="41" xfId="8" applyFont="1" applyBorder="1"/>
    <xf numFmtId="0" fontId="37" fillId="6" borderId="42" xfId="8" applyFont="1" applyBorder="1"/>
    <xf numFmtId="0" fontId="37" fillId="0" borderId="41" xfId="0" applyFont="1" applyBorder="1"/>
    <xf numFmtId="0" fontId="37" fillId="0" borderId="42" xfId="0" applyFont="1" applyBorder="1"/>
    <xf numFmtId="0" fontId="31" fillId="9" borderId="41" xfId="0" applyFont="1" applyFill="1" applyBorder="1"/>
    <xf numFmtId="0" fontId="31" fillId="9" borderId="0" xfId="0" applyFont="1" applyFill="1" applyBorder="1"/>
    <xf numFmtId="0" fontId="38" fillId="9" borderId="19" xfId="3" applyFont="1" applyFill="1" applyBorder="1" applyAlignment="1">
      <alignment wrapText="1"/>
    </xf>
    <xf numFmtId="0" fontId="38" fillId="9" borderId="20" xfId="3" applyFont="1" applyFill="1" applyBorder="1" applyAlignment="1">
      <alignment wrapText="1"/>
    </xf>
    <xf numFmtId="168" fontId="31" fillId="9" borderId="41" xfId="5" applyNumberFormat="1" applyFont="1" applyFill="1" applyBorder="1"/>
    <xf numFmtId="168" fontId="31" fillId="9" borderId="0" xfId="5" applyNumberFormat="1" applyFont="1" applyFill="1" applyBorder="1"/>
    <xf numFmtId="168" fontId="31" fillId="9" borderId="41" xfId="4" applyNumberFormat="1" applyFont="1" applyFill="1" applyBorder="1"/>
    <xf numFmtId="168" fontId="31" fillId="9" borderId="0" xfId="4" applyNumberFormat="1" applyFont="1" applyFill="1" applyBorder="1"/>
    <xf numFmtId="168" fontId="31" fillId="9" borderId="41" xfId="6" applyNumberFormat="1" applyFont="1" applyFill="1" applyBorder="1"/>
    <xf numFmtId="168" fontId="31" fillId="9" borderId="0" xfId="6" applyNumberFormat="1" applyFont="1" applyFill="1" applyBorder="1"/>
    <xf numFmtId="168" fontId="31" fillId="9" borderId="41" xfId="7" applyNumberFormat="1" applyFont="1" applyFill="1" applyBorder="1"/>
    <xf numFmtId="168" fontId="31" fillId="9" borderId="0" xfId="7" applyNumberFormat="1" applyFont="1" applyFill="1" applyBorder="1"/>
    <xf numFmtId="168" fontId="31" fillId="9" borderId="41" xfId="8" applyNumberFormat="1" applyFont="1" applyFill="1" applyBorder="1"/>
    <xf numFmtId="168" fontId="31" fillId="9" borderId="0" xfId="8" applyNumberFormat="1" applyFont="1" applyFill="1" applyBorder="1"/>
    <xf numFmtId="2" fontId="33" fillId="0" borderId="20" xfId="3" applyNumberFormat="1" applyFont="1" applyBorder="1" applyAlignment="1">
      <alignment wrapText="1"/>
    </xf>
    <xf numFmtId="2" fontId="34" fillId="3" borderId="0" xfId="5" applyNumberFormat="1" applyFont="1"/>
    <xf numFmtId="2" fontId="34" fillId="2" borderId="0" xfId="4" applyNumberFormat="1" applyFont="1"/>
    <xf numFmtId="2" fontId="34" fillId="4" borderId="0" xfId="6" applyNumberFormat="1" applyFont="1"/>
    <xf numFmtId="2" fontId="34" fillId="5" borderId="0" xfId="7" applyNumberFormat="1" applyFont="1"/>
    <xf numFmtId="2" fontId="34" fillId="6" borderId="0" xfId="8" applyNumberFormat="1" applyFont="1"/>
    <xf numFmtId="2" fontId="34" fillId="0" borderId="0" xfId="0" applyNumberFormat="1" applyFont="1"/>
    <xf numFmtId="2" fontId="13" fillId="0" borderId="29" xfId="2" applyNumberFormat="1" applyBorder="1" applyAlignment="1">
      <alignment horizontal="center"/>
    </xf>
    <xf numFmtId="2" fontId="14" fillId="0" borderId="32" xfId="3" applyNumberFormat="1" applyBorder="1" applyAlignment="1">
      <alignment wrapText="1"/>
    </xf>
    <xf numFmtId="2" fontId="1" fillId="3" borderId="31" xfId="5" applyNumberFormat="1" applyBorder="1" applyAlignment="1">
      <alignment wrapText="1"/>
    </xf>
    <xf numFmtId="2" fontId="1" fillId="2" borderId="31" xfId="4" applyNumberFormat="1" applyBorder="1" applyAlignment="1">
      <alignment wrapText="1"/>
    </xf>
    <xf numFmtId="2" fontId="1" fillId="4" borderId="31" xfId="6" applyNumberFormat="1" applyBorder="1" applyAlignment="1">
      <alignment wrapText="1"/>
    </xf>
    <xf numFmtId="2" fontId="1" fillId="5" borderId="31" xfId="7" applyNumberFormat="1" applyBorder="1" applyAlignment="1">
      <alignment wrapText="1"/>
    </xf>
    <xf numFmtId="2" fontId="1" fillId="6" borderId="31" xfId="8" applyNumberFormat="1" applyBorder="1" applyAlignment="1">
      <alignment wrapText="1"/>
    </xf>
    <xf numFmtId="2" fontId="0" fillId="0" borderId="0" xfId="0" applyNumberFormat="1"/>
    <xf numFmtId="2" fontId="13" fillId="0" borderId="0" xfId="2" applyNumberFormat="1" applyBorder="1"/>
    <xf numFmtId="2" fontId="14" fillId="0" borderId="20" xfId="3" applyNumberFormat="1" applyBorder="1" applyAlignment="1">
      <alignment wrapText="1"/>
    </xf>
    <xf numFmtId="2" fontId="1" fillId="2" borderId="0" xfId="4" applyNumberFormat="1"/>
    <xf numFmtId="2" fontId="1" fillId="5" borderId="0" xfId="7" applyNumberFormat="1"/>
    <xf numFmtId="2" fontId="1" fillId="6" borderId="0" xfId="8" applyNumberFormat="1"/>
    <xf numFmtId="2" fontId="14" fillId="0" borderId="20" xfId="3" applyNumberFormat="1" applyBorder="1" applyAlignment="1">
      <alignment horizontal="center" wrapText="1"/>
    </xf>
    <xf numFmtId="2" fontId="24" fillId="0" borderId="30" xfId="3" applyNumberFormat="1" applyFont="1" applyAlignment="1">
      <alignment horizontal="center" vertical="center" wrapText="1"/>
    </xf>
    <xf numFmtId="2" fontId="24" fillId="0" borderId="43" xfId="3" applyNumberFormat="1" applyFont="1" applyBorder="1" applyAlignment="1">
      <alignment horizontal="center" vertical="center" wrapText="1"/>
    </xf>
    <xf numFmtId="0" fontId="32" fillId="0" borderId="0" xfId="2" applyNumberFormat="1" applyFont="1" applyBorder="1" applyAlignment="1">
      <alignment wrapText="1"/>
    </xf>
    <xf numFmtId="164" fontId="37" fillId="0" borderId="0" xfId="0" applyNumberFormat="1" applyFont="1"/>
    <xf numFmtId="2" fontId="0" fillId="3" borderId="0" xfId="5" applyNumberFormat="1" applyFont="1"/>
    <xf numFmtId="2" fontId="28" fillId="2" borderId="41" xfId="4" applyNumberFormat="1" applyFont="1" applyBorder="1"/>
    <xf numFmtId="2" fontId="28" fillId="2" borderId="42" xfId="4" applyNumberFormat="1" applyFont="1" applyBorder="1"/>
    <xf numFmtId="2" fontId="28" fillId="4" borderId="41" xfId="6" applyNumberFormat="1" applyFont="1" applyBorder="1"/>
    <xf numFmtId="2" fontId="28" fillId="4" borderId="42" xfId="6" applyNumberFormat="1" applyFont="1" applyBorder="1"/>
    <xf numFmtId="2" fontId="28" fillId="5" borderId="41" xfId="7" applyNumberFormat="1" applyFont="1" applyBorder="1"/>
    <xf numFmtId="2" fontId="28" fillId="5" borderId="42" xfId="7" applyNumberFormat="1" applyFont="1" applyBorder="1"/>
    <xf numFmtId="2" fontId="28" fillId="6" borderId="41" xfId="8" applyNumberFormat="1" applyFont="1" applyBorder="1"/>
    <xf numFmtId="2" fontId="28" fillId="6" borderId="42" xfId="8" applyNumberFormat="1" applyFont="1" applyBorder="1"/>
    <xf numFmtId="2" fontId="13" fillId="0" borderId="29" xfId="2" applyNumberFormat="1"/>
    <xf numFmtId="2" fontId="29" fillId="0" borderId="29" xfId="2" applyNumberFormat="1" applyFont="1"/>
    <xf numFmtId="2" fontId="30" fillId="0" borderId="20" xfId="3" applyNumberFormat="1" applyFont="1" applyBorder="1" applyAlignment="1">
      <alignment wrapText="1"/>
    </xf>
    <xf numFmtId="2" fontId="15" fillId="2" borderId="0" xfId="4" applyNumberFormat="1" applyFont="1"/>
    <xf numFmtId="2" fontId="15" fillId="4" borderId="0" xfId="6" applyNumberFormat="1" applyFont="1"/>
    <xf numFmtId="2" fontId="15" fillId="5" borderId="0" xfId="7" applyNumberFormat="1" applyFont="1"/>
    <xf numFmtId="2" fontId="15" fillId="6" borderId="0" xfId="8" applyNumberFormat="1" applyFont="1"/>
    <xf numFmtId="2" fontId="15" fillId="0" borderId="0" xfId="0" applyNumberFormat="1" applyFont="1"/>
    <xf numFmtId="9" fontId="38" fillId="9" borderId="21" xfId="1" applyFont="1" applyFill="1" applyBorder="1" applyAlignment="1">
      <alignment wrapText="1"/>
    </xf>
    <xf numFmtId="9" fontId="31" fillId="9" borderId="42" xfId="1" applyFont="1" applyFill="1" applyBorder="1"/>
    <xf numFmtId="0" fontId="0" fillId="0" borderId="0" xfId="0" applyFont="1" applyBorder="1" applyAlignment="1">
      <alignment wrapText="1"/>
    </xf>
    <xf numFmtId="0" fontId="0" fillId="3" borderId="4" xfId="5" applyFont="1" applyBorder="1" applyAlignment="1">
      <alignment wrapText="1"/>
    </xf>
    <xf numFmtId="0" fontId="0" fillId="2" borderId="4" xfId="4" applyFont="1" applyBorder="1" applyAlignment="1">
      <alignment wrapText="1"/>
    </xf>
    <xf numFmtId="0" fontId="0" fillId="4" borderId="4" xfId="6" applyFont="1" applyBorder="1" applyAlignment="1">
      <alignment wrapText="1"/>
    </xf>
    <xf numFmtId="0" fontId="0" fillId="6" borderId="4" xfId="8" applyFont="1" applyBorder="1" applyAlignment="1">
      <alignment wrapText="1"/>
    </xf>
    <xf numFmtId="0" fontId="0" fillId="5" borderId="4" xfId="7" applyFont="1" applyBorder="1" applyAlignment="1">
      <alignment wrapText="1"/>
    </xf>
    <xf numFmtId="0" fontId="14" fillId="0" borderId="44" xfId="3" applyBorder="1" applyAlignment="1">
      <alignment wrapText="1"/>
    </xf>
    <xf numFmtId="0" fontId="14" fillId="0" borderId="45" xfId="3" applyBorder="1" applyAlignment="1">
      <alignment wrapText="1"/>
    </xf>
    <xf numFmtId="0" fontId="14" fillId="0" borderId="45" xfId="3" applyFill="1" applyBorder="1" applyAlignment="1">
      <alignment wrapText="1"/>
    </xf>
    <xf numFmtId="0" fontId="14" fillId="0" borderId="18" xfId="3" applyFill="1" applyBorder="1" applyAlignment="1">
      <alignment wrapText="1"/>
    </xf>
    <xf numFmtId="0" fontId="0" fillId="0" borderId="31" xfId="0" applyBorder="1"/>
    <xf numFmtId="168" fontId="0" fillId="0" borderId="0" xfId="0" applyNumberFormat="1"/>
    <xf numFmtId="168" fontId="0" fillId="0" borderId="31" xfId="0" applyNumberFormat="1" applyBorder="1"/>
    <xf numFmtId="9" fontId="0" fillId="0" borderId="0" xfId="1" applyFont="1"/>
    <xf numFmtId="168" fontId="0" fillId="0" borderId="0" xfId="0" applyNumberFormat="1" applyFill="1" applyBorder="1"/>
    <xf numFmtId="2" fontId="0" fillId="0" borderId="0" xfId="1" applyNumberFormat="1" applyFont="1"/>
    <xf numFmtId="0" fontId="13" fillId="0" borderId="19" xfId="2" applyBorder="1" applyAlignment="1">
      <alignment horizontal="center" wrapText="1"/>
    </xf>
    <xf numFmtId="0" fontId="13" fillId="0" borderId="21" xfId="2" applyBorder="1" applyAlignment="1">
      <alignment horizontal="center" wrapText="1"/>
    </xf>
    <xf numFmtId="0" fontId="13" fillId="0" borderId="0" xfId="2" applyBorder="1" applyAlignment="1">
      <alignment horizontal="center" wrapText="1"/>
    </xf>
    <xf numFmtId="0" fontId="13" fillId="0" borderId="42" xfId="2" applyBorder="1" applyAlignment="1">
      <alignment horizontal="center" wrapText="1"/>
    </xf>
    <xf numFmtId="0" fontId="13" fillId="0" borderId="22" xfId="2" applyBorder="1" applyAlignment="1">
      <alignment horizontal="center" wrapText="1"/>
    </xf>
    <xf numFmtId="0" fontId="13" fillId="0" borderId="23" xfId="2" applyBorder="1" applyAlignment="1">
      <alignment horizontal="center" wrapText="1"/>
    </xf>
    <xf numFmtId="0" fontId="13" fillId="0" borderId="24" xfId="2" applyBorder="1" applyAlignment="1">
      <alignment horizontal="center" wrapText="1"/>
    </xf>
    <xf numFmtId="0" fontId="38" fillId="9" borderId="19" xfId="2" applyFont="1" applyFill="1" applyBorder="1" applyAlignment="1">
      <alignment horizontal="center"/>
    </xf>
    <xf numFmtId="0" fontId="38" fillId="9" borderId="20" xfId="2" applyFont="1" applyFill="1" applyBorder="1" applyAlignment="1">
      <alignment horizontal="center"/>
    </xf>
    <xf numFmtId="0" fontId="38" fillId="9" borderId="21" xfId="2" applyFont="1" applyFill="1" applyBorder="1" applyAlignment="1">
      <alignment horizontal="center"/>
    </xf>
    <xf numFmtId="0" fontId="13" fillId="0" borderId="29" xfId="2" applyAlignment="1">
      <alignment horizontal="center"/>
    </xf>
    <xf numFmtId="0" fontId="13" fillId="0" borderId="19" xfId="2" applyBorder="1" applyAlignment="1">
      <alignment horizontal="center"/>
    </xf>
    <xf numFmtId="0" fontId="13" fillId="0" borderId="20" xfId="2" applyBorder="1" applyAlignment="1">
      <alignment horizontal="center"/>
    </xf>
    <xf numFmtId="0" fontId="13" fillId="0" borderId="41" xfId="2" applyBorder="1" applyAlignment="1">
      <alignment horizontal="center"/>
    </xf>
    <xf numFmtId="0" fontId="13" fillId="0" borderId="31" xfId="2" applyBorder="1" applyAlignment="1">
      <alignment horizontal="center"/>
    </xf>
    <xf numFmtId="0" fontId="13" fillId="0" borderId="28" xfId="2" applyBorder="1" applyAlignment="1">
      <alignment horizontal="center"/>
    </xf>
    <xf numFmtId="0" fontId="13" fillId="0" borderId="0" xfId="2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9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20% - Accent1" xfId="4" builtinId="30"/>
    <cellStyle name="40% - Accent2" xfId="6" builtinId="35"/>
    <cellStyle name="40% - Accent3" xfId="7" builtinId="39"/>
    <cellStyle name="40% - Accent4" xfId="8" builtinId="43"/>
    <cellStyle name="60% - Accent1" xfId="5" builtinId="32"/>
    <cellStyle name="Heading 1" xfId="2" builtinId="16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J4" sqref="J4"/>
    </sheetView>
  </sheetViews>
  <sheetFormatPr baseColWidth="10" defaultColWidth="8.83203125" defaultRowHeight="16"/>
  <cols>
    <col min="1" max="1" width="23.6640625" style="27" customWidth="1"/>
    <col min="2" max="2" width="6.33203125" style="345" bestFit="1" customWidth="1"/>
    <col min="3" max="3" width="4.83203125" style="28" customWidth="1"/>
    <col min="4" max="4" width="10.5" style="17" bestFit="1" customWidth="1"/>
    <col min="5" max="5" width="7.83203125" style="18" bestFit="1" customWidth="1"/>
    <col min="6" max="6" width="23.1640625" style="31" customWidth="1"/>
    <col min="7" max="7" width="10.1640625" style="146" customWidth="1"/>
    <col min="8" max="9" width="10.6640625" customWidth="1"/>
    <col min="20" max="20" width="8.83203125" style="355"/>
  </cols>
  <sheetData>
    <row r="1" spans="1:23" ht="21" thickBot="1">
      <c r="A1" s="363"/>
      <c r="B1" s="363"/>
      <c r="C1" s="363"/>
      <c r="D1" s="363"/>
      <c r="E1" s="363"/>
      <c r="F1" s="363"/>
      <c r="G1" s="364"/>
      <c r="H1" s="361" t="s">
        <v>212</v>
      </c>
      <c r="I1" s="362"/>
      <c r="J1" s="361" t="s">
        <v>215</v>
      </c>
      <c r="K1" s="362"/>
      <c r="L1" s="365" t="s">
        <v>233</v>
      </c>
      <c r="M1" s="366"/>
      <c r="N1" s="366"/>
      <c r="O1" s="366"/>
      <c r="P1" s="366"/>
      <c r="Q1" s="366"/>
      <c r="R1" s="366"/>
      <c r="S1" s="366"/>
      <c r="T1" s="367"/>
    </row>
    <row r="2" spans="1:23" ht="49" thickBot="1">
      <c r="A2" s="136" t="s">
        <v>0</v>
      </c>
      <c r="B2" s="136" t="s">
        <v>216</v>
      </c>
      <c r="C2" s="136" t="s">
        <v>34</v>
      </c>
      <c r="D2" s="136" t="s">
        <v>227</v>
      </c>
      <c r="E2" s="136" t="s">
        <v>17</v>
      </c>
      <c r="F2" s="136" t="s">
        <v>4</v>
      </c>
      <c r="G2" s="139" t="s">
        <v>3</v>
      </c>
      <c r="H2" s="136" t="s">
        <v>214</v>
      </c>
      <c r="I2" s="139" t="s">
        <v>213</v>
      </c>
      <c r="J2" s="136" t="s">
        <v>214</v>
      </c>
      <c r="K2" s="139" t="s">
        <v>213</v>
      </c>
      <c r="L2" s="351" t="s">
        <v>225</v>
      </c>
      <c r="M2" s="352" t="s">
        <v>226</v>
      </c>
      <c r="N2" s="353" t="s">
        <v>223</v>
      </c>
      <c r="O2" s="353" t="s">
        <v>224</v>
      </c>
      <c r="P2" s="353" t="s">
        <v>228</v>
      </c>
      <c r="Q2" s="353" t="s">
        <v>229</v>
      </c>
      <c r="R2" s="353" t="s">
        <v>230</v>
      </c>
      <c r="S2" s="353" t="s">
        <v>231</v>
      </c>
      <c r="T2" s="354" t="s">
        <v>232</v>
      </c>
    </row>
    <row r="3" spans="1:23" ht="17">
      <c r="A3" s="107" t="s">
        <v>24</v>
      </c>
      <c r="B3" s="346" t="s">
        <v>217</v>
      </c>
      <c r="C3" s="107">
        <v>14</v>
      </c>
      <c r="D3" s="108">
        <v>43722</v>
      </c>
      <c r="E3" s="109">
        <v>0.53125</v>
      </c>
      <c r="F3" s="109" t="s">
        <v>6</v>
      </c>
      <c r="G3" s="140">
        <v>103.1</v>
      </c>
      <c r="H3" s="140">
        <f>'Count 1 '!AY3</f>
        <v>62.47201919991452</v>
      </c>
      <c r="I3" s="140">
        <f>'Count 1 '!AZ3</f>
        <v>2.7716034175796889</v>
      </c>
      <c r="J3" s="140">
        <f>'Count 1 '!BM3</f>
        <v>3.174401482005921</v>
      </c>
      <c r="K3" s="140">
        <f>'Count 1 '!BN3</f>
        <v>7.0048704294794515</v>
      </c>
      <c r="L3" s="356">
        <v>53.875658437499986</v>
      </c>
      <c r="M3" s="356">
        <v>7.5022490312500008</v>
      </c>
      <c r="N3" s="356">
        <v>16.803124999999998</v>
      </c>
      <c r="O3" s="356">
        <v>8.4000000000000021</v>
      </c>
      <c r="P3" s="315">
        <v>32.438800000000001</v>
      </c>
      <c r="Q3" s="356">
        <v>18.171837500000002</v>
      </c>
      <c r="R3" s="356">
        <v>5.2600937499999993</v>
      </c>
      <c r="S3" s="356">
        <v>2.8573541666666653</v>
      </c>
      <c r="T3" s="357">
        <v>82.202412500000008</v>
      </c>
      <c r="V3" s="359"/>
      <c r="W3" s="359"/>
    </row>
    <row r="4" spans="1:23" ht="17">
      <c r="A4" s="107" t="s">
        <v>10</v>
      </c>
      <c r="B4" s="346" t="s">
        <v>217</v>
      </c>
      <c r="C4" s="107">
        <v>23</v>
      </c>
      <c r="D4" s="108">
        <v>43723</v>
      </c>
      <c r="E4" s="109">
        <v>0.34722222222222227</v>
      </c>
      <c r="F4" s="109" t="s">
        <v>6</v>
      </c>
      <c r="G4" s="140">
        <v>188.8</v>
      </c>
      <c r="H4" s="140">
        <f>'Count 1 '!AY4</f>
        <v>35.033809121672704</v>
      </c>
      <c r="I4" s="140">
        <f>'Count 1 '!AZ4</f>
        <v>1.9434401735428908</v>
      </c>
      <c r="J4" s="140">
        <f>'Count 1 '!BM4</f>
        <v>3.0739284773094178</v>
      </c>
      <c r="K4" s="140">
        <f>'Count 1 '!BN4</f>
        <v>9.3965221937135439</v>
      </c>
      <c r="L4" s="356">
        <v>53.875658437499986</v>
      </c>
      <c r="M4" s="356">
        <v>7.5022490312500008</v>
      </c>
      <c r="N4" s="356">
        <v>16.803124999999998</v>
      </c>
      <c r="O4" s="356">
        <v>8.4000000000000021</v>
      </c>
      <c r="P4" s="315">
        <v>32.438800000000001</v>
      </c>
      <c r="Q4" s="356">
        <v>18.171837500000002</v>
      </c>
      <c r="R4" s="356">
        <v>5.2600937499999993</v>
      </c>
      <c r="S4" s="356">
        <v>2.8573541666666653</v>
      </c>
      <c r="T4" s="357">
        <v>82.202412500000008</v>
      </c>
      <c r="V4" s="360"/>
      <c r="W4" s="360"/>
    </row>
    <row r="5" spans="1:23" ht="17">
      <c r="A5" s="101" t="s">
        <v>11</v>
      </c>
      <c r="B5" s="347" t="s">
        <v>217</v>
      </c>
      <c r="C5" s="101">
        <v>0</v>
      </c>
      <c r="D5" s="102">
        <v>43723</v>
      </c>
      <c r="E5" s="103">
        <v>0.34722222222222227</v>
      </c>
      <c r="F5" s="103" t="s">
        <v>23</v>
      </c>
      <c r="G5" s="141">
        <v>188.8</v>
      </c>
      <c r="H5" s="141">
        <f>'Count 1 '!AY5</f>
        <v>0</v>
      </c>
      <c r="I5" s="141">
        <f>'Count 1 '!AZ5</f>
        <v>0</v>
      </c>
      <c r="J5" s="141">
        <f>'Count 1 '!BM5</f>
        <v>0</v>
      </c>
      <c r="K5" s="141">
        <f>'Count 1 '!BN5</f>
        <v>0</v>
      </c>
      <c r="L5" s="356">
        <v>53.875658437499986</v>
      </c>
      <c r="M5" s="356">
        <v>7.5022490312500008</v>
      </c>
      <c r="N5" s="356">
        <v>16.803124999999998</v>
      </c>
      <c r="O5" s="356">
        <v>8.4000000000000021</v>
      </c>
      <c r="P5" s="356">
        <v>32.438800000000001</v>
      </c>
      <c r="Q5" s="356">
        <v>18.171837500000002</v>
      </c>
      <c r="R5" s="356">
        <v>5.2600937499999993</v>
      </c>
      <c r="S5" s="356">
        <v>2.8573541666666653</v>
      </c>
      <c r="T5" s="357">
        <v>82.202412500000008</v>
      </c>
      <c r="W5" s="358"/>
    </row>
    <row r="6" spans="1:23" ht="17">
      <c r="A6" s="107" t="s">
        <v>14</v>
      </c>
      <c r="B6" s="346" t="s">
        <v>217</v>
      </c>
      <c r="C6" s="107">
        <v>26</v>
      </c>
      <c r="D6" s="108">
        <v>43723</v>
      </c>
      <c r="E6" s="109">
        <v>0.57291666666666663</v>
      </c>
      <c r="F6" s="109" t="s">
        <v>6</v>
      </c>
      <c r="G6" s="140">
        <v>178.4</v>
      </c>
      <c r="H6" s="140">
        <f>'Count 1 '!AY6</f>
        <v>38.051607872582537</v>
      </c>
      <c r="I6" s="140">
        <f>'Count 1 '!AZ6</f>
        <v>2.1016862846047033</v>
      </c>
      <c r="J6" s="140">
        <f>'Count 1 '!BM6</f>
        <v>2.4250519888095474</v>
      </c>
      <c r="K6" s="140">
        <f>'Count 1 '!BN6</f>
        <v>10.619457592164554</v>
      </c>
      <c r="L6" s="356">
        <v>53.875658437499986</v>
      </c>
      <c r="M6" s="356">
        <v>7.5022490312500008</v>
      </c>
      <c r="N6" s="356">
        <v>16.803124999999998</v>
      </c>
      <c r="O6" s="356">
        <v>8.4000000000000021</v>
      </c>
      <c r="P6" s="315">
        <v>32.438800000000001</v>
      </c>
      <c r="Q6" s="356">
        <v>18.171837500000002</v>
      </c>
      <c r="R6" s="356">
        <v>5.2600937499999993</v>
      </c>
      <c r="S6" s="356">
        <v>2.8573541666666653</v>
      </c>
      <c r="T6" s="357">
        <v>82.202412500000008</v>
      </c>
      <c r="W6" s="358"/>
    </row>
    <row r="7" spans="1:23" ht="17">
      <c r="A7" s="113" t="s">
        <v>15</v>
      </c>
      <c r="B7" s="348" t="s">
        <v>217</v>
      </c>
      <c r="C7" s="113">
        <v>24</v>
      </c>
      <c r="D7" s="114">
        <v>43723</v>
      </c>
      <c r="E7" s="115">
        <v>0.65972222222222221</v>
      </c>
      <c r="F7" s="115" t="s">
        <v>16</v>
      </c>
      <c r="G7" s="142">
        <v>0.36</v>
      </c>
      <c r="H7" s="142">
        <f>'Count 1 '!AY7</f>
        <v>1158.5297240404961</v>
      </c>
      <c r="I7" s="142">
        <f>'Count 1 '!AZ7</f>
        <v>79.630161900018663</v>
      </c>
      <c r="J7" s="142">
        <f>'Count 1 '!BM7</f>
        <v>16.286785858206674</v>
      </c>
      <c r="K7" s="142">
        <f>'Count 1 '!BN7</f>
        <v>11.658789828048265</v>
      </c>
      <c r="L7" s="356">
        <v>53.875658437499986</v>
      </c>
      <c r="M7" s="356">
        <v>7.5022490312500008</v>
      </c>
      <c r="N7" s="356">
        <v>16.803124999999998</v>
      </c>
      <c r="O7" s="356">
        <v>8.4000000000000021</v>
      </c>
      <c r="P7" s="356">
        <v>32.438800000000001</v>
      </c>
      <c r="Q7" s="356">
        <v>18.171837500000002</v>
      </c>
      <c r="R7" s="356">
        <v>5.2600937499999993</v>
      </c>
      <c r="S7" s="356">
        <v>2.8573541666666653</v>
      </c>
      <c r="T7" s="357">
        <v>82.202412500000008</v>
      </c>
      <c r="W7" s="358"/>
    </row>
    <row r="8" spans="1:23" ht="17">
      <c r="A8" s="107" t="s">
        <v>33</v>
      </c>
      <c r="B8" s="346" t="s">
        <v>218</v>
      </c>
      <c r="C8" s="107">
        <v>52</v>
      </c>
      <c r="D8" s="108">
        <v>43724</v>
      </c>
      <c r="E8" s="109">
        <v>0.53819444444444442</v>
      </c>
      <c r="F8" s="109" t="s">
        <v>6</v>
      </c>
      <c r="G8" s="140">
        <v>194.9</v>
      </c>
      <c r="H8" s="140">
        <f>'Count 1 '!AY8</f>
        <v>31.224056962641939</v>
      </c>
      <c r="I8" s="140">
        <f>'Count 1 '!AZ8</f>
        <v>1.668548599792044</v>
      </c>
      <c r="J8" s="140">
        <f>'Count 1 '!BM8</f>
        <v>2.4227848280747817</v>
      </c>
      <c r="K8" s="140">
        <f>'Count 1 '!BN8</f>
        <v>8.2846899324119008</v>
      </c>
      <c r="L8" s="356">
        <v>54.073930275862061</v>
      </c>
      <c r="M8" s="356">
        <v>7.3617577586206888</v>
      </c>
      <c r="N8" s="356">
        <v>32.213793103448282</v>
      </c>
      <c r="O8" s="356">
        <v>5.5103448275862075</v>
      </c>
      <c r="P8" s="315">
        <v>33.154233333333302</v>
      </c>
      <c r="Q8" s="356">
        <v>18.096166666666701</v>
      </c>
      <c r="R8" s="356">
        <v>5.2331766666666697</v>
      </c>
      <c r="S8" s="356">
        <v>2.5004666666666702</v>
      </c>
      <c r="T8" s="357">
        <v>80.279833333333301</v>
      </c>
      <c r="W8" s="358"/>
    </row>
    <row r="9" spans="1:23" ht="51">
      <c r="A9" s="121" t="s">
        <v>35</v>
      </c>
      <c r="B9" s="350" t="s">
        <v>218</v>
      </c>
      <c r="C9" s="121">
        <v>22</v>
      </c>
      <c r="D9" s="122">
        <v>43724</v>
      </c>
      <c r="E9" s="123">
        <v>0.625</v>
      </c>
      <c r="F9" s="123" t="s">
        <v>38</v>
      </c>
      <c r="G9" s="143">
        <v>6.8490000000000002</v>
      </c>
      <c r="H9" s="143">
        <f>'Count 1 '!AY9</f>
        <v>50.798384910763986</v>
      </c>
      <c r="I9" s="143">
        <f>'Count 1 '!AZ9</f>
        <v>3.2252321783894917</v>
      </c>
      <c r="J9" s="143">
        <f>'Count 1 '!BM9</f>
        <v>2.5130436799918212</v>
      </c>
      <c r="K9" s="143">
        <f>'Count 1 '!BN9</f>
        <v>2.6173418598441551</v>
      </c>
      <c r="L9" s="356">
        <v>54.073930275862061</v>
      </c>
      <c r="M9" s="356">
        <v>7.3617577586206888</v>
      </c>
      <c r="N9" s="356">
        <v>32.213793103448282</v>
      </c>
      <c r="O9" s="356">
        <v>5.5103448275862075</v>
      </c>
      <c r="P9" s="356">
        <v>33.154233333333302</v>
      </c>
      <c r="Q9" s="356">
        <v>18.096166666666701</v>
      </c>
      <c r="R9" s="356">
        <v>5.2331766666666697</v>
      </c>
      <c r="S9" s="356">
        <v>2.5004666666666702</v>
      </c>
      <c r="T9" s="357">
        <v>80.279833333333301</v>
      </c>
      <c r="W9" s="358"/>
    </row>
    <row r="10" spans="1:23" ht="34">
      <c r="A10" s="127" t="s">
        <v>36</v>
      </c>
      <c r="B10" s="349" t="s">
        <v>217</v>
      </c>
      <c r="C10" s="127">
        <v>39</v>
      </c>
      <c r="D10" s="128">
        <v>43724</v>
      </c>
      <c r="E10" s="129">
        <v>0.55208333333333337</v>
      </c>
      <c r="F10" s="129" t="s">
        <v>39</v>
      </c>
      <c r="G10" s="144">
        <v>4.4109999999999996</v>
      </c>
      <c r="H10" s="144">
        <f>'Count 1 '!AY10</f>
        <v>206.82011935175953</v>
      </c>
      <c r="I10" s="144">
        <f>'Count 1 '!AZ10</f>
        <v>10.816059651257818</v>
      </c>
      <c r="J10" s="144">
        <f>'Count 1 '!BM10</f>
        <v>6.8772166697769368</v>
      </c>
      <c r="K10" s="144">
        <f>'Count 1 '!BN10</f>
        <v>2.8695047049334859</v>
      </c>
      <c r="L10" s="356">
        <v>53.875658437499986</v>
      </c>
      <c r="M10" s="356">
        <v>7.5022490312500008</v>
      </c>
      <c r="N10" s="356">
        <v>16.803124999999998</v>
      </c>
      <c r="O10" s="356">
        <v>8.4000000000000021</v>
      </c>
      <c r="P10" s="356">
        <v>32.438800000000001</v>
      </c>
      <c r="Q10" s="356">
        <v>18.171837500000002</v>
      </c>
      <c r="R10" s="356">
        <v>5.2600937499999993</v>
      </c>
      <c r="S10" s="356">
        <v>2.8573541666666653</v>
      </c>
      <c r="T10" s="357">
        <v>82.202412500000008</v>
      </c>
      <c r="W10" s="358"/>
    </row>
    <row r="11" spans="1:23" ht="34">
      <c r="A11" s="113" t="s">
        <v>40</v>
      </c>
      <c r="B11" s="348" t="s">
        <v>218</v>
      </c>
      <c r="C11" s="113">
        <v>59</v>
      </c>
      <c r="D11" s="114">
        <v>43725</v>
      </c>
      <c r="E11" s="115">
        <v>0.54166666666666663</v>
      </c>
      <c r="F11" s="115" t="s">
        <v>16</v>
      </c>
      <c r="G11" s="142">
        <v>0.16600000000000001</v>
      </c>
      <c r="H11" s="142">
        <f>'Count 1 '!AY11</f>
        <v>4429.7660331509596</v>
      </c>
      <c r="I11" s="142">
        <f>'Count 1 '!AZ11</f>
        <v>223.48145316738095</v>
      </c>
      <c r="J11" s="142">
        <f>'Count 1 '!BM11</f>
        <v>108.8150626893384</v>
      </c>
      <c r="K11" s="142">
        <f>'Count 1 '!BN11</f>
        <v>48.021069734370464</v>
      </c>
      <c r="L11" s="356">
        <v>54.073930275862061</v>
      </c>
      <c r="M11" s="356">
        <v>7.3617577586206888</v>
      </c>
      <c r="N11" s="356">
        <v>32.213793103448282</v>
      </c>
      <c r="O11" s="356">
        <v>5.5103448275862075</v>
      </c>
      <c r="P11" s="356">
        <v>33.154233333333302</v>
      </c>
      <c r="Q11" s="356">
        <v>18.096166666666701</v>
      </c>
      <c r="R11" s="356">
        <v>5.2331766666666697</v>
      </c>
      <c r="S11" s="356">
        <v>2.5004666666666702</v>
      </c>
      <c r="T11" s="357">
        <v>80.279833333333301</v>
      </c>
      <c r="W11" s="358"/>
    </row>
    <row r="12" spans="1:23" ht="34">
      <c r="A12" s="113" t="s">
        <v>41</v>
      </c>
      <c r="B12" s="348" t="s">
        <v>218</v>
      </c>
      <c r="C12" s="113">
        <v>58</v>
      </c>
      <c r="D12" s="114">
        <v>43725</v>
      </c>
      <c r="E12" s="115">
        <v>0.70833333333333337</v>
      </c>
      <c r="F12" s="115" t="s">
        <v>16</v>
      </c>
      <c r="G12" s="142">
        <v>0.14099999999999999</v>
      </c>
      <c r="H12" s="142">
        <f>'Count 1 '!AY12</f>
        <v>3856.6936554524732</v>
      </c>
      <c r="I12" s="142">
        <f>'Count 1 '!AZ12</f>
        <v>253.06750282027576</v>
      </c>
      <c r="J12" s="142">
        <f>'Count 1 '!BM12</f>
        <v>54.871969940347668</v>
      </c>
      <c r="K12" s="142">
        <f>'Count 1 '!BN12</f>
        <v>66.714402948527905</v>
      </c>
      <c r="L12" s="356">
        <v>54.073930275862061</v>
      </c>
      <c r="M12" s="356">
        <v>7.3617577586206888</v>
      </c>
      <c r="N12" s="356">
        <v>32.213793103448282</v>
      </c>
      <c r="O12" s="356">
        <v>5.5103448275862075</v>
      </c>
      <c r="P12" s="356">
        <v>33.154233333333302</v>
      </c>
      <c r="Q12" s="356">
        <v>18.096166666666701</v>
      </c>
      <c r="R12" s="356">
        <v>5.2331766666666697</v>
      </c>
      <c r="S12" s="356">
        <v>2.5004666666666702</v>
      </c>
      <c r="T12" s="357">
        <v>80.279833333333301</v>
      </c>
      <c r="W12" s="358"/>
    </row>
    <row r="13" spans="1:23" ht="34">
      <c r="A13" s="113" t="s">
        <v>42</v>
      </c>
      <c r="B13" s="348" t="s">
        <v>218</v>
      </c>
      <c r="C13" s="113">
        <v>64</v>
      </c>
      <c r="D13" s="114">
        <v>43725</v>
      </c>
      <c r="E13" s="115">
        <v>0.75</v>
      </c>
      <c r="F13" s="115" t="s">
        <v>16</v>
      </c>
      <c r="G13" s="142">
        <v>0.13600000000000001</v>
      </c>
      <c r="H13" s="142">
        <f>'Count 1 '!AY13</f>
        <v>4894.5005792316297</v>
      </c>
      <c r="I13" s="142">
        <f>'Count 1 '!AZ13</f>
        <v>418.7771966382914</v>
      </c>
      <c r="J13" s="142">
        <f>'Count 1 '!BM13</f>
        <v>64.513859994422745</v>
      </c>
      <c r="K13" s="142">
        <f>'Count 1 '!BN13</f>
        <v>49.408549321815812</v>
      </c>
      <c r="L13" s="356">
        <v>54.073930275862061</v>
      </c>
      <c r="M13" s="356">
        <v>7.3617577586206888</v>
      </c>
      <c r="N13" s="356">
        <v>32.213793103448282</v>
      </c>
      <c r="O13" s="356">
        <v>5.5103448275862075</v>
      </c>
      <c r="P13" s="356">
        <v>33.154233333333302</v>
      </c>
      <c r="Q13" s="356">
        <v>18.096166666666701</v>
      </c>
      <c r="R13" s="356">
        <v>5.2331766666666697</v>
      </c>
      <c r="S13" s="356">
        <v>2.5004666666666702</v>
      </c>
      <c r="T13" s="357">
        <v>80.279833333333301</v>
      </c>
      <c r="W13" s="358"/>
    </row>
    <row r="14" spans="1:23" ht="51">
      <c r="A14" s="121" t="s">
        <v>43</v>
      </c>
      <c r="B14" s="350" t="s">
        <v>218</v>
      </c>
      <c r="C14" s="121">
        <v>10</v>
      </c>
      <c r="D14" s="122">
        <v>43725</v>
      </c>
      <c r="E14" s="123">
        <v>0.51041666666666663</v>
      </c>
      <c r="F14" s="123" t="s">
        <v>38</v>
      </c>
      <c r="G14" s="143">
        <v>7.55</v>
      </c>
      <c r="H14" s="143">
        <f>'Count 1 '!AY14</f>
        <v>125.93863839041532</v>
      </c>
      <c r="I14" s="143">
        <f>'Count 1 '!AZ14</f>
        <v>7.9369626026776885</v>
      </c>
      <c r="J14" s="143">
        <f>'Count 1 '!BM14</f>
        <v>8.3201217617135299</v>
      </c>
      <c r="K14" s="143">
        <f>'Count 1 '!BN14</f>
        <v>8.5348426989993929</v>
      </c>
      <c r="L14" s="356">
        <v>54.073930275862061</v>
      </c>
      <c r="M14" s="356">
        <v>7.3617577586206888</v>
      </c>
      <c r="N14" s="356">
        <v>32.213793103448282</v>
      </c>
      <c r="O14" s="356">
        <v>5.5103448275862075</v>
      </c>
      <c r="P14" s="356">
        <v>33.154233333333302</v>
      </c>
      <c r="Q14" s="356">
        <v>18.096166666666701</v>
      </c>
      <c r="R14" s="356">
        <v>5.2331766666666697</v>
      </c>
      <c r="S14" s="356">
        <v>2.5004666666666702</v>
      </c>
      <c r="T14" s="357">
        <v>80.279833333333301</v>
      </c>
      <c r="W14" s="358"/>
    </row>
    <row r="15" spans="1:23" ht="34">
      <c r="A15" s="127" t="s">
        <v>47</v>
      </c>
      <c r="B15" s="349" t="s">
        <v>218</v>
      </c>
      <c r="C15" s="127">
        <v>45</v>
      </c>
      <c r="D15" s="128">
        <v>43725</v>
      </c>
      <c r="E15" s="129">
        <v>0.70833333333333337</v>
      </c>
      <c r="F15" s="129" t="s">
        <v>39</v>
      </c>
      <c r="G15" s="144">
        <v>4.6429999999999998</v>
      </c>
      <c r="H15" s="144">
        <f>'Count 1 '!AY15</f>
        <v>348.13766402355645</v>
      </c>
      <c r="I15" s="144">
        <f>'Count 1 '!AZ15</f>
        <v>18.651888569951243</v>
      </c>
      <c r="J15" s="144">
        <f>'Count 1 '!BM15</f>
        <v>4.7613807375399952</v>
      </c>
      <c r="K15" s="144">
        <f>'Count 1 '!BN15</f>
        <v>5.3855429065991727</v>
      </c>
      <c r="L15" s="356">
        <v>54.073930275862061</v>
      </c>
      <c r="M15" s="356">
        <v>7.3617577586206888</v>
      </c>
      <c r="N15" s="356">
        <v>32.213793103448282</v>
      </c>
      <c r="O15" s="356">
        <v>5.5103448275862075</v>
      </c>
      <c r="P15" s="356">
        <v>33.154233333333302</v>
      </c>
      <c r="Q15" s="356">
        <v>18.096166666666701</v>
      </c>
      <c r="R15" s="356">
        <v>5.2331766666666697</v>
      </c>
      <c r="S15" s="356">
        <v>2.5004666666666702</v>
      </c>
      <c r="T15" s="357">
        <v>80.279833333333301</v>
      </c>
      <c r="W15" s="358"/>
    </row>
    <row r="16" spans="1:23" ht="17">
      <c r="A16" s="107" t="s">
        <v>66</v>
      </c>
      <c r="B16" s="346" t="s">
        <v>219</v>
      </c>
      <c r="C16" s="107">
        <v>13</v>
      </c>
      <c r="D16" s="108">
        <v>43727</v>
      </c>
      <c r="E16" s="109">
        <v>0.35416666666666669</v>
      </c>
      <c r="F16" s="109" t="s">
        <v>6</v>
      </c>
      <c r="G16" s="140">
        <v>179.8</v>
      </c>
      <c r="H16" s="140">
        <f>'Count 1 '!AY16</f>
        <v>26.212096891014557</v>
      </c>
      <c r="I16" s="140">
        <f>'Count 1 '!AZ16</f>
        <v>1.2374114460934604</v>
      </c>
      <c r="J16" s="140">
        <f>'Count 1 '!BM16</f>
        <v>1.1821421500198157</v>
      </c>
      <c r="K16" s="140">
        <f>'Count 1 '!BN16</f>
        <v>5.371184936695176</v>
      </c>
      <c r="L16" s="356">
        <v>54.442217923728819</v>
      </c>
      <c r="M16" s="356">
        <v>7.4187995169491527</v>
      </c>
      <c r="N16" s="356">
        <v>23.90169491525424</v>
      </c>
      <c r="O16" s="356">
        <v>5.9728813559322038</v>
      </c>
      <c r="P16" s="315">
        <v>33.244900000000001</v>
      </c>
      <c r="Q16" s="356">
        <v>16.5580125</v>
      </c>
      <c r="R16" s="356">
        <v>5.3491358333333352</v>
      </c>
      <c r="S16" s="356">
        <v>1.7836291666666648</v>
      </c>
      <c r="T16" s="357">
        <v>86.572987500000011</v>
      </c>
      <c r="W16" s="358"/>
    </row>
    <row r="17" spans="1:23" ht="17">
      <c r="A17" s="101" t="s">
        <v>67</v>
      </c>
      <c r="B17" s="347" t="s">
        <v>219</v>
      </c>
      <c r="C17" s="101">
        <v>0</v>
      </c>
      <c r="D17" s="102">
        <v>43727</v>
      </c>
      <c r="E17" s="103">
        <v>0.35416666666666669</v>
      </c>
      <c r="F17" s="103" t="s">
        <v>23</v>
      </c>
      <c r="G17" s="141">
        <v>179.8</v>
      </c>
      <c r="H17" s="141">
        <f>'Count 1 '!AY17</f>
        <v>0</v>
      </c>
      <c r="I17" s="141">
        <f>'Count 1 '!AZ17</f>
        <v>0</v>
      </c>
      <c r="J17" s="141">
        <f>'Count 1 '!BM17</f>
        <v>0</v>
      </c>
      <c r="K17" s="141">
        <f>'Count 1 '!BN17</f>
        <v>0</v>
      </c>
      <c r="L17" s="356">
        <v>54.442217923728819</v>
      </c>
      <c r="M17" s="356">
        <v>7.4187995169491527</v>
      </c>
      <c r="N17" s="356">
        <v>23.90169491525424</v>
      </c>
      <c r="O17" s="356">
        <v>5.9728813559322038</v>
      </c>
      <c r="P17" s="356">
        <v>33.244900000000001</v>
      </c>
      <c r="Q17" s="356">
        <v>16.5580125</v>
      </c>
      <c r="R17" s="356">
        <v>5.3491358333333352</v>
      </c>
      <c r="S17" s="356">
        <v>1.7836291666666648</v>
      </c>
      <c r="T17" s="357">
        <v>86.572987500000011</v>
      </c>
      <c r="W17" s="358"/>
    </row>
    <row r="18" spans="1:23" ht="17">
      <c r="A18" s="113" t="s">
        <v>70</v>
      </c>
      <c r="B18" s="348" t="s">
        <v>219</v>
      </c>
      <c r="C18" s="113">
        <v>4</v>
      </c>
      <c r="D18" s="114">
        <v>43727</v>
      </c>
      <c r="E18" s="115">
        <v>0.65625</v>
      </c>
      <c r="F18" s="115" t="s">
        <v>16</v>
      </c>
      <c r="G18" s="142">
        <v>0.20100000000000001</v>
      </c>
      <c r="H18" s="142">
        <f>'Count 1 '!AY18</f>
        <v>2954.9062837651304</v>
      </c>
      <c r="I18" s="142">
        <f>'Count 1 '!AZ18</f>
        <v>176.07040582649515</v>
      </c>
      <c r="J18" s="142">
        <f>'Count 1 '!BM18</f>
        <v>68.777443069067402</v>
      </c>
      <c r="K18" s="142">
        <f>'Count 1 '!BN18</f>
        <v>73.478240837356694</v>
      </c>
      <c r="L18" s="356">
        <v>54.442217923728819</v>
      </c>
      <c r="M18" s="356">
        <v>7.4187995169491527</v>
      </c>
      <c r="N18" s="356">
        <v>23.90169491525424</v>
      </c>
      <c r="O18" s="356">
        <v>5.9728813559322038</v>
      </c>
      <c r="P18" s="356">
        <v>33.244900000000001</v>
      </c>
      <c r="Q18" s="356">
        <v>16.5580125</v>
      </c>
      <c r="R18" s="356">
        <v>5.3491358333333352</v>
      </c>
      <c r="S18" s="356">
        <v>1.7836291666666648</v>
      </c>
      <c r="T18" s="357">
        <v>86.572987500000011</v>
      </c>
      <c r="W18" s="358"/>
    </row>
    <row r="19" spans="1:23" ht="17">
      <c r="A19" s="113" t="s">
        <v>71</v>
      </c>
      <c r="B19" s="348" t="s">
        <v>219</v>
      </c>
      <c r="C19" s="113">
        <v>36</v>
      </c>
      <c r="D19" s="114">
        <v>43727</v>
      </c>
      <c r="E19" s="115">
        <v>0.66666666666666663</v>
      </c>
      <c r="F19" s="115" t="s">
        <v>16</v>
      </c>
      <c r="G19" s="142">
        <v>0.151</v>
      </c>
      <c r="H19" s="142">
        <f>'Count 1 '!AY19</f>
        <v>2422.6078487638611</v>
      </c>
      <c r="I19" s="142">
        <f>'Count 1 '!AZ19</f>
        <v>166.65372963794258</v>
      </c>
      <c r="J19" s="142">
        <f>'Count 1 '!BM19</f>
        <v>24.294782179862619</v>
      </c>
      <c r="K19" s="142">
        <f>'Count 1 '!BN19</f>
        <v>22.737790570921099</v>
      </c>
      <c r="L19" s="356">
        <v>54.442217923728819</v>
      </c>
      <c r="M19" s="356">
        <v>7.4187995169491527</v>
      </c>
      <c r="N19" s="356">
        <v>23.90169491525424</v>
      </c>
      <c r="O19" s="356">
        <v>5.9728813559322038</v>
      </c>
      <c r="P19" s="356">
        <v>33.244900000000001</v>
      </c>
      <c r="Q19" s="356">
        <v>16.5580125</v>
      </c>
      <c r="R19" s="356">
        <v>5.3491358333333352</v>
      </c>
      <c r="S19" s="356">
        <v>1.7836291666666648</v>
      </c>
      <c r="T19" s="357">
        <v>86.572987500000011</v>
      </c>
      <c r="W19" s="358"/>
    </row>
    <row r="20" spans="1:23" ht="17">
      <c r="A20" s="113" t="s">
        <v>72</v>
      </c>
      <c r="B20" s="348" t="s">
        <v>219</v>
      </c>
      <c r="C20" s="113">
        <v>42</v>
      </c>
      <c r="D20" s="114">
        <v>43727</v>
      </c>
      <c r="E20" s="115">
        <v>0.79166666666666663</v>
      </c>
      <c r="F20" s="115" t="s">
        <v>16</v>
      </c>
      <c r="G20" s="142">
        <v>0.112</v>
      </c>
      <c r="H20" s="142">
        <f>'Count 1 '!AY20</f>
        <v>2158.2848142811827</v>
      </c>
      <c r="I20" s="142">
        <f>'Count 1 '!AZ20</f>
        <v>206.07914471876069</v>
      </c>
      <c r="J20" s="142">
        <f>'Count 1 '!BM20</f>
        <v>77.048377345171474</v>
      </c>
      <c r="K20" s="142">
        <f>'Count 1 '!BN20</f>
        <v>86.512437663063608</v>
      </c>
      <c r="L20" s="356">
        <v>54.442217923728819</v>
      </c>
      <c r="M20" s="356">
        <v>7.4187995169491527</v>
      </c>
      <c r="N20" s="356">
        <v>23.90169491525424</v>
      </c>
      <c r="O20" s="356">
        <v>5.9728813559322038</v>
      </c>
      <c r="P20" s="356">
        <v>33.244900000000001</v>
      </c>
      <c r="Q20" s="356">
        <v>16.5580125</v>
      </c>
      <c r="R20" s="356">
        <v>5.3491358333333352</v>
      </c>
      <c r="S20" s="356">
        <v>1.7836291666666648</v>
      </c>
      <c r="T20" s="357">
        <v>86.572987500000011</v>
      </c>
      <c r="W20" s="358"/>
    </row>
    <row r="21" spans="1:23" ht="51">
      <c r="A21" s="121" t="s">
        <v>76</v>
      </c>
      <c r="B21" s="350" t="s">
        <v>219</v>
      </c>
      <c r="C21" s="121">
        <v>12</v>
      </c>
      <c r="D21" s="122">
        <v>43727</v>
      </c>
      <c r="E21" s="123">
        <v>0.75</v>
      </c>
      <c r="F21" s="123" t="s">
        <v>38</v>
      </c>
      <c r="G21" s="143">
        <v>8.3350000000000009</v>
      </c>
      <c r="H21" s="143">
        <f>'Count 1 '!AY21</f>
        <v>51.737008528731543</v>
      </c>
      <c r="I21" s="143">
        <f>'Count 1 '!AZ21</f>
        <v>3.5030291624121679</v>
      </c>
      <c r="J21" s="143">
        <f>'Count 1 '!BM21</f>
        <v>0.94289326704495702</v>
      </c>
      <c r="K21" s="143">
        <f>'Count 1 '!BN21</f>
        <v>0.55012820118782213</v>
      </c>
      <c r="L21" s="356">
        <v>54.442217923728819</v>
      </c>
      <c r="M21" s="356">
        <v>7.4187995169491527</v>
      </c>
      <c r="N21" s="356">
        <v>23.90169491525424</v>
      </c>
      <c r="O21" s="356">
        <v>5.9728813559322038</v>
      </c>
      <c r="P21" s="356">
        <v>33.244900000000001</v>
      </c>
      <c r="Q21" s="356">
        <v>16.5580125</v>
      </c>
      <c r="R21" s="356">
        <v>5.3491358333333352</v>
      </c>
      <c r="S21" s="356">
        <v>1.7836291666666648</v>
      </c>
      <c r="T21" s="357">
        <v>86.572987500000011</v>
      </c>
      <c r="W21" s="358"/>
    </row>
    <row r="22" spans="1:23" ht="34">
      <c r="A22" s="127" t="s">
        <v>79</v>
      </c>
      <c r="B22" s="349" t="s">
        <v>219</v>
      </c>
      <c r="C22" s="127">
        <v>51</v>
      </c>
      <c r="D22" s="128">
        <v>43728</v>
      </c>
      <c r="E22" s="129">
        <v>0.79166666666666663</v>
      </c>
      <c r="F22" s="129" t="s">
        <v>39</v>
      </c>
      <c r="G22" s="144">
        <v>3.15</v>
      </c>
      <c r="H22" s="144">
        <f>'Count 1 '!AY22</f>
        <v>114.93905896487645</v>
      </c>
      <c r="I22" s="144">
        <f>'Count 1 '!AZ22</f>
        <v>8.6608186708964059</v>
      </c>
      <c r="J22" s="144">
        <f>'Count 1 '!BM22</f>
        <v>3.1077629564579654</v>
      </c>
      <c r="K22" s="144">
        <f>'Count 1 '!BN22</f>
        <v>3.4687282716620529</v>
      </c>
      <c r="L22" s="356">
        <v>54.442217923728819</v>
      </c>
      <c r="M22" s="356">
        <v>7.4187995169491527</v>
      </c>
      <c r="N22" s="356">
        <v>23.90169491525424</v>
      </c>
      <c r="O22" s="356">
        <v>5.9728813559322038</v>
      </c>
      <c r="P22" s="356">
        <v>33.244900000000001</v>
      </c>
      <c r="Q22" s="356">
        <v>16.5580125</v>
      </c>
      <c r="R22" s="356">
        <v>5.3491358333333352</v>
      </c>
      <c r="S22" s="356">
        <v>1.7836291666666648</v>
      </c>
      <c r="T22" s="357">
        <v>86.572987500000011</v>
      </c>
      <c r="W22" s="358"/>
    </row>
    <row r="23" spans="1:23" ht="17">
      <c r="A23" s="107" t="s">
        <v>85</v>
      </c>
      <c r="B23" s="346" t="s">
        <v>220</v>
      </c>
      <c r="C23" s="107">
        <v>1</v>
      </c>
      <c r="D23" s="108">
        <v>43729</v>
      </c>
      <c r="E23" s="109">
        <v>0.70833333333333337</v>
      </c>
      <c r="F23" s="109" t="s">
        <v>6</v>
      </c>
      <c r="G23" s="140">
        <v>174</v>
      </c>
      <c r="H23" s="140">
        <f>'Count 1 '!AY23</f>
        <v>38.475866450931044</v>
      </c>
      <c r="I23" s="140">
        <f>'Count 1 '!AZ23</f>
        <v>2.5406494183063733</v>
      </c>
      <c r="J23" s="140">
        <f>'Count 1 '!BM23</f>
        <v>2.0329722687928178</v>
      </c>
      <c r="K23" s="140">
        <f>'Count 1 '!BN23</f>
        <v>5.4959954642738946</v>
      </c>
      <c r="L23" s="356">
        <v>54.435798788990788</v>
      </c>
      <c r="M23" s="356">
        <v>7.9231667431192632</v>
      </c>
      <c r="N23" s="356">
        <v>12.359633027522941</v>
      </c>
      <c r="O23" s="356">
        <v>4.5174311926605482</v>
      </c>
      <c r="P23" s="315">
        <v>32.335462499999998</v>
      </c>
      <c r="Q23" s="356">
        <v>16.174666666666649</v>
      </c>
      <c r="R23" s="356">
        <v>5.4638187499999997</v>
      </c>
      <c r="S23" s="356">
        <v>2.1340333333333348</v>
      </c>
      <c r="T23" s="357">
        <v>83.412612499999994</v>
      </c>
      <c r="W23" s="358"/>
    </row>
    <row r="24" spans="1:23" ht="17">
      <c r="A24" s="101" t="s">
        <v>86</v>
      </c>
      <c r="B24" s="347" t="s">
        <v>220</v>
      </c>
      <c r="C24" s="101">
        <v>0</v>
      </c>
      <c r="D24" s="102">
        <v>43729</v>
      </c>
      <c r="E24" s="103">
        <v>0.70833333333333337</v>
      </c>
      <c r="F24" s="103" t="s">
        <v>23</v>
      </c>
      <c r="G24" s="141">
        <v>174</v>
      </c>
      <c r="H24" s="141">
        <f>'Count 1 '!AY24</f>
        <v>0</v>
      </c>
      <c r="I24" s="141">
        <f>'Count 1 '!AZ24</f>
        <v>0</v>
      </c>
      <c r="J24" s="141">
        <f>'Count 1 '!BM24</f>
        <v>0</v>
      </c>
      <c r="K24" s="141">
        <f>'Count 1 '!BN24</f>
        <v>0</v>
      </c>
      <c r="L24" s="356">
        <v>54.435798788990788</v>
      </c>
      <c r="M24" s="356">
        <v>7.9231667431192632</v>
      </c>
      <c r="N24" s="356">
        <v>12.359633027522941</v>
      </c>
      <c r="O24" s="356">
        <v>4.5174311926605482</v>
      </c>
      <c r="P24" s="356">
        <v>32.335462499999998</v>
      </c>
      <c r="Q24" s="356">
        <v>16.174666666666649</v>
      </c>
      <c r="R24" s="356">
        <v>5.4638187499999997</v>
      </c>
      <c r="S24" s="356">
        <v>2.1340333333333348</v>
      </c>
      <c r="T24" s="357">
        <v>83.412612499999994</v>
      </c>
      <c r="W24" s="358"/>
    </row>
    <row r="25" spans="1:23" ht="17">
      <c r="A25" s="113" t="s">
        <v>88</v>
      </c>
      <c r="B25" s="348" t="s">
        <v>220</v>
      </c>
      <c r="C25" s="113">
        <v>27</v>
      </c>
      <c r="D25" s="114">
        <v>43729</v>
      </c>
      <c r="E25" s="115">
        <v>0.53125</v>
      </c>
      <c r="F25" s="115" t="s">
        <v>16</v>
      </c>
      <c r="G25" s="142">
        <v>0.27200000000000002</v>
      </c>
      <c r="H25" s="142">
        <f>'Count 1 '!AY25</f>
        <v>1238.0696612910726</v>
      </c>
      <c r="I25" s="142">
        <f>'Count 1 '!AZ25</f>
        <v>89.022524349256983</v>
      </c>
      <c r="J25" s="142">
        <f>'Count 1 '!BM25</f>
        <v>24.642373271537299</v>
      </c>
      <c r="K25" s="142">
        <f>'Count 1 '!BN25</f>
        <v>28.175999936034778</v>
      </c>
      <c r="L25" s="356">
        <v>54.435798788990788</v>
      </c>
      <c r="M25" s="356">
        <v>7.9231667431192632</v>
      </c>
      <c r="N25" s="356">
        <v>12.359633027522941</v>
      </c>
      <c r="O25" s="356">
        <v>4.5174311926605482</v>
      </c>
      <c r="P25" s="356">
        <v>32.335462499999998</v>
      </c>
      <c r="Q25" s="356">
        <v>16.174666666666649</v>
      </c>
      <c r="R25" s="356">
        <v>5.4638187499999997</v>
      </c>
      <c r="S25" s="356">
        <v>2.1340333333333348</v>
      </c>
      <c r="T25" s="357">
        <v>83.412612499999994</v>
      </c>
      <c r="W25" s="358"/>
    </row>
    <row r="26" spans="1:23" ht="17">
      <c r="A26" s="113" t="s">
        <v>89</v>
      </c>
      <c r="B26" s="348" t="s">
        <v>220</v>
      </c>
      <c r="C26" s="113">
        <v>56</v>
      </c>
      <c r="D26" s="114">
        <v>43729</v>
      </c>
      <c r="E26" s="115">
        <v>0.5625</v>
      </c>
      <c r="F26" s="115" t="s">
        <v>16</v>
      </c>
      <c r="G26" s="142">
        <v>0.14799999999999999</v>
      </c>
      <c r="H26" s="142">
        <f>'Count 1 '!AY26</f>
        <v>448.07964594157977</v>
      </c>
      <c r="I26" s="142">
        <f>'Count 1 '!AZ26</f>
        <v>80.49787148302778</v>
      </c>
      <c r="J26" s="142">
        <f>'Count 1 '!BM26</f>
        <v>3.9495081068431195</v>
      </c>
      <c r="K26" s="142">
        <f>'Count 1 '!BN26</f>
        <v>9.2174401311566641</v>
      </c>
      <c r="L26" s="356">
        <v>54.435798788990788</v>
      </c>
      <c r="M26" s="356">
        <v>7.9231667431192632</v>
      </c>
      <c r="N26" s="356">
        <v>12.359633027522941</v>
      </c>
      <c r="O26" s="356">
        <v>4.5174311926605482</v>
      </c>
      <c r="P26" s="356">
        <v>32.335462499999998</v>
      </c>
      <c r="Q26" s="356">
        <v>16.174666666666649</v>
      </c>
      <c r="R26" s="356">
        <v>5.4638187499999997</v>
      </c>
      <c r="S26" s="356">
        <v>2.1340333333333348</v>
      </c>
      <c r="T26" s="357">
        <v>83.412612499999994</v>
      </c>
      <c r="W26" s="358"/>
    </row>
    <row r="27" spans="1:23" ht="34">
      <c r="A27" s="127" t="s">
        <v>95</v>
      </c>
      <c r="B27" s="349" t="s">
        <v>220</v>
      </c>
      <c r="C27" s="127">
        <v>38</v>
      </c>
      <c r="D27" s="128">
        <v>43730</v>
      </c>
      <c r="E27" s="129">
        <v>0.60416666666666663</v>
      </c>
      <c r="F27" s="129" t="s">
        <v>39</v>
      </c>
      <c r="G27" s="144">
        <v>4.29</v>
      </c>
      <c r="H27" s="144">
        <f>'Count 1 '!AY27</f>
        <v>178.04775665878086</v>
      </c>
      <c r="I27" s="144">
        <f>'Count 1 '!AZ27</f>
        <v>13.414209144427016</v>
      </c>
      <c r="J27" s="144">
        <f>'Count 1 '!BM27</f>
        <v>5.689098624442507</v>
      </c>
      <c r="K27" s="144">
        <f>'Count 1 '!BN27</f>
        <v>3.086816082428447</v>
      </c>
      <c r="L27" s="356">
        <v>54.435798788990788</v>
      </c>
      <c r="M27" s="356">
        <v>7.9231667431192632</v>
      </c>
      <c r="N27" s="356">
        <v>12.359633027522941</v>
      </c>
      <c r="O27" s="356">
        <v>4.5174311926605482</v>
      </c>
      <c r="P27" s="356">
        <v>32.335462499999998</v>
      </c>
      <c r="Q27" s="356">
        <v>16.174666666666649</v>
      </c>
      <c r="R27" s="356">
        <v>5.4638187499999997</v>
      </c>
      <c r="S27" s="356">
        <v>2.1340333333333348</v>
      </c>
      <c r="T27" s="357">
        <v>83.412612499999994</v>
      </c>
      <c r="W27" s="358"/>
    </row>
    <row r="28" spans="1:23" ht="34">
      <c r="A28" s="101" t="s">
        <v>97</v>
      </c>
      <c r="B28" s="347" t="s">
        <v>220</v>
      </c>
      <c r="C28" s="101">
        <v>0</v>
      </c>
      <c r="D28" s="102">
        <v>43730</v>
      </c>
      <c r="E28" s="103">
        <v>0.60416666666666663</v>
      </c>
      <c r="F28" s="103" t="s">
        <v>96</v>
      </c>
      <c r="G28" s="141">
        <v>4.29</v>
      </c>
      <c r="H28" s="141">
        <f>'Count 1 '!AY28</f>
        <v>0</v>
      </c>
      <c r="I28" s="141">
        <f>'Count 1 '!AZ28</f>
        <v>0</v>
      </c>
      <c r="J28" s="141">
        <f>'Count 1 '!BM28</f>
        <v>0</v>
      </c>
      <c r="K28" s="141">
        <f>'Count 1 '!BN28</f>
        <v>0</v>
      </c>
      <c r="L28" s="356">
        <v>54.435798788990788</v>
      </c>
      <c r="M28" s="356">
        <v>7.9231667431192632</v>
      </c>
      <c r="N28" s="356">
        <v>12.359633027522941</v>
      </c>
      <c r="O28" s="356">
        <v>4.5174311926605482</v>
      </c>
      <c r="P28" s="356">
        <v>32.335462499999998</v>
      </c>
      <c r="Q28" s="356">
        <v>16.174666666666649</v>
      </c>
      <c r="R28" s="356">
        <v>5.4638187499999997</v>
      </c>
      <c r="S28" s="356">
        <v>2.1340333333333348</v>
      </c>
      <c r="T28" s="357">
        <v>83.412612499999994</v>
      </c>
      <c r="W28" s="358"/>
    </row>
    <row r="29" spans="1:23" ht="17">
      <c r="A29" s="107" t="s">
        <v>102</v>
      </c>
      <c r="B29" s="346" t="s">
        <v>221</v>
      </c>
      <c r="C29" s="107">
        <v>46</v>
      </c>
      <c r="D29" s="108">
        <v>43731</v>
      </c>
      <c r="E29" s="109">
        <v>0.33333333333333331</v>
      </c>
      <c r="F29" s="109" t="s">
        <v>6</v>
      </c>
      <c r="G29" s="140">
        <v>192.9</v>
      </c>
      <c r="H29" s="140">
        <f>'Count 1 '!AY29</f>
        <v>38.938480186396198</v>
      </c>
      <c r="I29" s="140">
        <f>'Count 1 '!AZ29</f>
        <v>2.211231856458546</v>
      </c>
      <c r="J29" s="140">
        <f>'Count 1 '!BM29</f>
        <v>2.4861492515794308</v>
      </c>
      <c r="K29" s="140">
        <f>'Count 1 '!BN29</f>
        <v>10.959220907738361</v>
      </c>
      <c r="L29" s="356">
        <v>53.986531869047624</v>
      </c>
      <c r="M29" s="356">
        <v>6.6483225238095276</v>
      </c>
      <c r="N29" s="356">
        <v>23.223809523809528</v>
      </c>
      <c r="O29" s="356">
        <v>4.9559523809523807</v>
      </c>
      <c r="P29" s="315">
        <v>33.269634848484849</v>
      </c>
      <c r="Q29" s="356">
        <v>17.551848484848449</v>
      </c>
      <c r="R29" s="356">
        <v>5.2704801515151551</v>
      </c>
      <c r="S29" s="356">
        <v>2.9165712121212102</v>
      </c>
      <c r="T29" s="357">
        <v>83.892806060606091</v>
      </c>
      <c r="W29" s="358"/>
    </row>
    <row r="30" spans="1:23" ht="17">
      <c r="A30" s="101" t="s">
        <v>103</v>
      </c>
      <c r="B30" s="347" t="s">
        <v>221</v>
      </c>
      <c r="C30" s="101">
        <v>0</v>
      </c>
      <c r="D30" s="102">
        <v>43731</v>
      </c>
      <c r="E30" s="103">
        <v>0.33333333333333331</v>
      </c>
      <c r="F30" s="103" t="s">
        <v>23</v>
      </c>
      <c r="G30" s="141">
        <v>192.9</v>
      </c>
      <c r="H30" s="141">
        <f>'Count 1 '!AY30</f>
        <v>0</v>
      </c>
      <c r="I30" s="141">
        <f>'Count 1 '!AZ30</f>
        <v>0</v>
      </c>
      <c r="J30" s="141">
        <f>'Count 1 '!BM30</f>
        <v>0</v>
      </c>
      <c r="K30" s="141">
        <f>'Count 1 '!BN30</f>
        <v>0</v>
      </c>
      <c r="L30" s="356">
        <v>53.986531869047624</v>
      </c>
      <c r="M30" s="356">
        <v>6.6483225238095276</v>
      </c>
      <c r="N30" s="356">
        <v>23.223809523809528</v>
      </c>
      <c r="O30" s="356">
        <v>4.9559523809523807</v>
      </c>
      <c r="P30" s="356">
        <v>33.269634848484849</v>
      </c>
      <c r="Q30" s="356">
        <v>17.551848484848449</v>
      </c>
      <c r="R30" s="356">
        <v>5.2704801515151551</v>
      </c>
      <c r="S30" s="356">
        <v>2.9165712121212102</v>
      </c>
      <c r="T30" s="357">
        <v>83.892806060606091</v>
      </c>
      <c r="W30" s="358"/>
    </row>
    <row r="31" spans="1:23" ht="17">
      <c r="A31" s="113" t="s">
        <v>105</v>
      </c>
      <c r="B31" s="348" t="s">
        <v>221</v>
      </c>
      <c r="C31" s="113">
        <v>14</v>
      </c>
      <c r="D31" s="114">
        <v>43731</v>
      </c>
      <c r="E31" s="115">
        <v>0.58333333333333337</v>
      </c>
      <c r="F31" s="115" t="s">
        <v>16</v>
      </c>
      <c r="G31" s="142">
        <v>0.17299999999999999</v>
      </c>
      <c r="H31" s="142">
        <f>'Count 1 '!AY31</f>
        <v>1317.7629897620791</v>
      </c>
      <c r="I31" s="142">
        <f>'Count 1 '!AZ31</f>
        <v>103.14953483711879</v>
      </c>
      <c r="J31" s="142">
        <f>'Count 1 '!BM31</f>
        <v>58.893285123351895</v>
      </c>
      <c r="K31" s="142">
        <f>'Count 1 '!BN31</f>
        <v>62.483486927005146</v>
      </c>
      <c r="L31" s="356">
        <v>53.986531869047624</v>
      </c>
      <c r="M31" s="356">
        <v>6.6483225238095276</v>
      </c>
      <c r="N31" s="356">
        <v>23.223809523809528</v>
      </c>
      <c r="O31" s="356">
        <v>4.9559523809523807</v>
      </c>
      <c r="P31" s="356">
        <v>33.269634848484849</v>
      </c>
      <c r="Q31" s="356">
        <v>17.551848484848449</v>
      </c>
      <c r="R31" s="356">
        <v>5.2704801515151551</v>
      </c>
      <c r="S31" s="356">
        <v>2.9165712121212102</v>
      </c>
      <c r="T31" s="357">
        <v>83.892806060606091</v>
      </c>
      <c r="W31" s="358"/>
    </row>
    <row r="32" spans="1:23" ht="17">
      <c r="A32" s="113" t="s">
        <v>106</v>
      </c>
      <c r="B32" s="348" t="s">
        <v>221</v>
      </c>
      <c r="C32" s="113">
        <v>26</v>
      </c>
      <c r="D32" s="114">
        <v>43731</v>
      </c>
      <c r="E32" s="115">
        <v>0.61458333333333337</v>
      </c>
      <c r="F32" s="115" t="s">
        <v>16</v>
      </c>
      <c r="G32" s="142">
        <v>0.183</v>
      </c>
      <c r="H32" s="142">
        <f>'Count 1 '!AY32</f>
        <v>1025.0629235251768</v>
      </c>
      <c r="I32" s="142">
        <f>'Count 1 '!AZ32</f>
        <v>85.199179592875225</v>
      </c>
      <c r="J32" s="142">
        <f>'Count 1 '!BM32</f>
        <v>29.683165187870888</v>
      </c>
      <c r="K32" s="142">
        <f>'Count 1 '!BN32</f>
        <v>17.898361743705706</v>
      </c>
      <c r="L32" s="356">
        <v>53.986531869047624</v>
      </c>
      <c r="M32" s="356">
        <v>6.6483225238095276</v>
      </c>
      <c r="N32" s="356">
        <v>23.223809523809528</v>
      </c>
      <c r="O32" s="356">
        <v>4.9559523809523807</v>
      </c>
      <c r="P32" s="356">
        <v>33.269634848484849</v>
      </c>
      <c r="Q32" s="356">
        <v>17.551848484848449</v>
      </c>
      <c r="R32" s="356">
        <v>5.2704801515151551</v>
      </c>
      <c r="S32" s="356">
        <v>2.9165712121212102</v>
      </c>
      <c r="T32" s="357">
        <v>83.892806060606091</v>
      </c>
      <c r="W32" s="358"/>
    </row>
    <row r="33" spans="1:23" ht="17">
      <c r="A33" s="107" t="s">
        <v>116</v>
      </c>
      <c r="B33" s="346" t="s">
        <v>222</v>
      </c>
      <c r="C33" s="107">
        <v>57</v>
      </c>
      <c r="D33" s="108">
        <v>43733</v>
      </c>
      <c r="E33" s="109">
        <v>0.33333333333333331</v>
      </c>
      <c r="F33" s="109" t="s">
        <v>6</v>
      </c>
      <c r="G33" s="140">
        <v>186.8</v>
      </c>
      <c r="H33" s="140">
        <f>'Count 1 '!AY33</f>
        <v>32.14002599246038</v>
      </c>
      <c r="I33" s="140">
        <f>'Count 1 '!AZ33</f>
        <v>1.8381210196704838</v>
      </c>
      <c r="J33" s="140">
        <f>'Count 1 '!BM33</f>
        <v>3.0171594307328311</v>
      </c>
      <c r="K33" s="140">
        <f>'Count 1 '!BN33</f>
        <v>7.5240975874261755</v>
      </c>
      <c r="L33" s="356">
        <v>53.78812868656717</v>
      </c>
      <c r="M33" s="356">
        <v>6.8834707761194025</v>
      </c>
      <c r="N33" s="356">
        <v>14.006716417910461</v>
      </c>
      <c r="O33" s="356">
        <v>7.0813432835820906</v>
      </c>
      <c r="P33" s="315">
        <v>32.754100000000001</v>
      </c>
      <c r="Q33" s="356">
        <v>17.01765</v>
      </c>
      <c r="R33" s="356">
        <v>5.2162937500000002</v>
      </c>
      <c r="S33" s="356">
        <v>2.1787125000000001</v>
      </c>
      <c r="T33" s="357">
        <v>87.948724999999996</v>
      </c>
      <c r="W33" s="358"/>
    </row>
    <row r="34" spans="1:23" ht="17">
      <c r="A34" s="101" t="s">
        <v>117</v>
      </c>
      <c r="B34" s="347" t="s">
        <v>222</v>
      </c>
      <c r="C34" s="101">
        <v>0</v>
      </c>
      <c r="D34" s="102">
        <v>43733</v>
      </c>
      <c r="E34" s="103">
        <v>0.33333333333333331</v>
      </c>
      <c r="F34" s="103" t="s">
        <v>23</v>
      </c>
      <c r="G34" s="141">
        <v>186.8</v>
      </c>
      <c r="H34" s="141">
        <f>'Count 1 '!AY34</f>
        <v>0</v>
      </c>
      <c r="I34" s="141">
        <f>'Count 1 '!AZ34</f>
        <v>0</v>
      </c>
      <c r="J34" s="141">
        <f>'Count 1 '!BM34</f>
        <v>0</v>
      </c>
      <c r="K34" s="141">
        <f>'Count 1 '!BN34</f>
        <v>0</v>
      </c>
      <c r="L34" s="356">
        <v>53.78812868656717</v>
      </c>
      <c r="M34" s="356">
        <v>6.8834707761194025</v>
      </c>
      <c r="N34" s="356">
        <v>14.006716417910461</v>
      </c>
      <c r="O34" s="356">
        <v>7.0813432835820906</v>
      </c>
      <c r="P34" s="356">
        <v>32.754100000000001</v>
      </c>
      <c r="Q34" s="356">
        <v>17.01765</v>
      </c>
      <c r="R34" s="356">
        <v>5.2162937500000002</v>
      </c>
      <c r="S34" s="356">
        <v>2.1787125000000001</v>
      </c>
      <c r="T34" s="357">
        <v>87.948724999999996</v>
      </c>
      <c r="W34" s="358"/>
    </row>
    <row r="35" spans="1:23" ht="34">
      <c r="A35" s="113" t="s">
        <v>118</v>
      </c>
      <c r="B35" s="348" t="s">
        <v>222</v>
      </c>
      <c r="C35" s="113" t="s">
        <v>121</v>
      </c>
      <c r="D35" s="114">
        <v>43733</v>
      </c>
      <c r="E35" s="115">
        <v>0.63541666666666663</v>
      </c>
      <c r="F35" s="115" t="s">
        <v>16</v>
      </c>
      <c r="G35" s="142">
        <v>0.20599999999999999</v>
      </c>
      <c r="H35" s="142">
        <f>'Count 1 '!AY35</f>
        <v>2446.3733427948182</v>
      </c>
      <c r="I35" s="142">
        <f>'Count 1 '!AZ35</f>
        <v>157.06756679534817</v>
      </c>
      <c r="J35" s="142">
        <f>'Count 1 '!BM35</f>
        <v>95.055322140483426</v>
      </c>
      <c r="K35" s="142">
        <f>'Count 1 '!BN35</f>
        <v>42.931854631712596</v>
      </c>
      <c r="L35" s="356">
        <v>53.78812868656717</v>
      </c>
      <c r="M35" s="356">
        <v>6.8834707761194025</v>
      </c>
      <c r="N35" s="356">
        <v>14.006716417910461</v>
      </c>
      <c r="O35" s="356">
        <v>7.0813432835820906</v>
      </c>
      <c r="P35" s="356">
        <v>32.754100000000001</v>
      </c>
      <c r="Q35" s="356">
        <v>17.01765</v>
      </c>
      <c r="R35" s="356">
        <v>5.2162937500000002</v>
      </c>
      <c r="S35" s="356">
        <v>2.1787125000000001</v>
      </c>
      <c r="T35" s="357">
        <v>87.948724999999996</v>
      </c>
      <c r="W35" s="358"/>
    </row>
    <row r="36" spans="1:23" ht="17">
      <c r="A36" s="113" t="s">
        <v>119</v>
      </c>
      <c r="B36" s="348" t="s">
        <v>222</v>
      </c>
      <c r="C36" s="113">
        <v>33</v>
      </c>
      <c r="D36" s="114">
        <v>43733</v>
      </c>
      <c r="E36" s="115">
        <v>0.6875</v>
      </c>
      <c r="F36" s="115" t="s">
        <v>16</v>
      </c>
      <c r="G36" s="142">
        <v>0.33600000000000002</v>
      </c>
      <c r="H36" s="142">
        <f>'Count 1 '!AY36</f>
        <v>1332.8479127188168</v>
      </c>
      <c r="I36" s="142">
        <f>'Count 1 '!AZ36</f>
        <v>88.186912157870992</v>
      </c>
      <c r="J36" s="142">
        <f>'Count 1 '!BM36</f>
        <v>32.75539404986241</v>
      </c>
      <c r="K36" s="142">
        <f>'Count 1 '!BN36</f>
        <v>36.187266037753709</v>
      </c>
      <c r="L36" s="356">
        <v>53.78812868656717</v>
      </c>
      <c r="M36" s="356">
        <v>6.8834707761194025</v>
      </c>
      <c r="N36" s="356">
        <v>14.006716417910461</v>
      </c>
      <c r="O36" s="356">
        <v>7.0813432835820906</v>
      </c>
      <c r="P36" s="356">
        <v>32.754100000000001</v>
      </c>
      <c r="Q36" s="356">
        <v>17.01765</v>
      </c>
      <c r="R36" s="356">
        <v>5.2162937500000002</v>
      </c>
      <c r="S36" s="356">
        <v>2.1787125000000001</v>
      </c>
      <c r="T36" s="357">
        <v>87.948724999999996</v>
      </c>
      <c r="W36" s="358"/>
    </row>
    <row r="37" spans="1:23" ht="34">
      <c r="A37" s="127" t="s">
        <v>126</v>
      </c>
      <c r="B37" s="349" t="s">
        <v>222</v>
      </c>
      <c r="C37" s="127">
        <v>18</v>
      </c>
      <c r="D37" s="128">
        <v>43734</v>
      </c>
      <c r="E37" s="129">
        <v>0.60416666666666663</v>
      </c>
      <c r="F37" s="129" t="s">
        <v>39</v>
      </c>
      <c r="G37" s="144">
        <v>4.5999999999999996</v>
      </c>
      <c r="H37" s="144">
        <f>'Count 1 '!AY37</f>
        <v>40.911792559328447</v>
      </c>
      <c r="I37" s="144" t="e">
        <f>'Count 1 '!AZ37</f>
        <v>#DIV/0!</v>
      </c>
      <c r="J37" s="144">
        <f>'Count 1 '!BM37</f>
        <v>1.826935255169625</v>
      </c>
      <c r="K37" s="144" t="e">
        <f>'Count 1 '!BN37</f>
        <v>#DIV/0!</v>
      </c>
      <c r="L37" s="356">
        <v>53.78812868656717</v>
      </c>
      <c r="M37" s="356">
        <v>6.8834707761194025</v>
      </c>
      <c r="N37" s="356">
        <v>14.006716417910461</v>
      </c>
      <c r="O37" s="356">
        <v>7.0813432835820906</v>
      </c>
      <c r="P37" s="356">
        <v>32.754100000000001</v>
      </c>
      <c r="Q37" s="356">
        <v>17.01765</v>
      </c>
      <c r="R37" s="356">
        <v>5.2162937500000002</v>
      </c>
      <c r="S37" s="356">
        <v>2.1787125000000001</v>
      </c>
      <c r="T37" s="357">
        <v>87.948724999999996</v>
      </c>
      <c r="W37" s="358"/>
    </row>
    <row r="38" spans="1:23">
      <c r="B38" s="27"/>
      <c r="C38" s="27"/>
      <c r="D38" s="35"/>
      <c r="E38" s="36"/>
      <c r="F38" s="36"/>
      <c r="G38" s="145"/>
    </row>
  </sheetData>
  <autoFilter ref="A2:T37" xr:uid="{00000000-0009-0000-0000-000000000000}"/>
  <mergeCells count="4">
    <mergeCell ref="H1:I1"/>
    <mergeCell ref="J1:K1"/>
    <mergeCell ref="A1:G1"/>
    <mergeCell ref="L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38"/>
  <sheetViews>
    <sheetView zoomScale="80" workbookViewId="0">
      <pane xSplit="7" ySplit="2" topLeftCell="Y13" activePane="bottomRight" state="frozen"/>
      <selection pane="topRight" activeCell="H1" sqref="H1"/>
      <selection pane="bottomLeft" activeCell="A3" sqref="A3"/>
      <selection pane="bottomRight" activeCell="AV20" sqref="AV20"/>
    </sheetView>
  </sheetViews>
  <sheetFormatPr baseColWidth="10" defaultColWidth="10.83203125" defaultRowHeight="16"/>
  <cols>
    <col min="1" max="1" width="14.1640625" style="27" customWidth="1"/>
    <col min="2" max="2" width="4.83203125" style="28" customWidth="1"/>
    <col min="3" max="3" width="7.1640625" style="17" customWidth="1"/>
    <col min="4" max="4" width="4.33203125" style="18" customWidth="1"/>
    <col min="5" max="5" width="14.6640625" style="31" customWidth="1"/>
    <col min="6" max="6" width="4.83203125" style="29" customWidth="1"/>
    <col min="7" max="7" width="5.83203125" style="146" customWidth="1"/>
    <col min="8" max="8" width="10.5" style="17" bestFit="1" customWidth="1"/>
    <col min="9" max="9" width="11.33203125" style="18" bestFit="1" customWidth="1"/>
    <col min="10" max="10" width="11.33203125" style="218" customWidth="1"/>
    <col min="11" max="11" width="11.33203125" style="28" customWidth="1"/>
    <col min="12" max="12" width="11.83203125" style="28" bestFit="1" customWidth="1"/>
    <col min="13" max="13" width="6.6640625" style="207" bestFit="1" customWidth="1"/>
    <col min="14" max="14" width="6.5" style="208" customWidth="1"/>
    <col min="15" max="16" width="6.5" style="243" customWidth="1"/>
    <col min="17" max="17" width="8.6640625" style="26" customWidth="1"/>
    <col min="18" max="18" width="8.1640625" style="225" customWidth="1"/>
    <col min="19" max="20" width="6.6640625" style="17" customWidth="1"/>
    <col min="21" max="21" width="7.1640625" style="17" bestFit="1" customWidth="1"/>
    <col min="22" max="22" width="6.6640625" style="146" customWidth="1"/>
    <col min="23" max="24" width="6.83203125" style="17" customWidth="1"/>
    <col min="25" max="25" width="7.1640625" style="17" bestFit="1" customWidth="1"/>
    <col min="26" max="26" width="6.83203125" style="146" customWidth="1"/>
    <col min="27" max="29" width="6.33203125" style="17" customWidth="1"/>
    <col min="30" max="30" width="5.33203125" style="17" customWidth="1"/>
    <col min="31" max="32" width="6.5" style="17" customWidth="1"/>
    <col min="33" max="33" width="12.5" style="17" bestFit="1" customWidth="1"/>
    <col min="34" max="34" width="5.1640625" style="17" customWidth="1"/>
    <col min="35" max="35" width="7.33203125" style="253" customWidth="1"/>
    <col min="36" max="36" width="8.6640625" style="17" customWidth="1"/>
    <col min="37" max="37" width="6.6640625" style="253" customWidth="1"/>
    <col min="38" max="38" width="8.1640625" style="17" customWidth="1"/>
    <col min="39" max="39" width="6.83203125" style="17" customWidth="1"/>
    <col min="40" max="40" width="5.1640625" style="253" customWidth="1"/>
    <col min="41" max="41" width="8.33203125" style="30" customWidth="1"/>
    <col min="42" max="42" width="5.83203125" style="30" customWidth="1"/>
    <col min="43" max="43" width="7.33203125" style="30" customWidth="1"/>
    <col min="44" max="44" width="8.5" style="30" customWidth="1"/>
    <col min="45" max="45" width="7.33203125" style="17" customWidth="1"/>
    <col min="46" max="46" width="7.33203125" style="30" customWidth="1"/>
    <col min="47" max="47" width="10.83203125" style="267"/>
    <col min="48" max="48" width="10.83203125" style="268"/>
    <col min="49" max="49" width="10.33203125" style="30" customWidth="1"/>
    <col min="50" max="50" width="9" style="30" customWidth="1"/>
    <col min="51" max="51" width="10.83203125" style="287"/>
    <col min="52" max="52" width="10.83203125" style="288"/>
    <col min="53" max="53" width="6.33203125" style="344" customWidth="1"/>
    <col min="54" max="55" width="5.83203125" style="30" customWidth="1"/>
    <col min="56" max="56" width="5.83203125" style="342" customWidth="1"/>
    <col min="57" max="58" width="5.83203125" style="17" customWidth="1"/>
    <col min="59" max="59" width="7" style="17" customWidth="1"/>
    <col min="60" max="60" width="5.6640625" style="17" customWidth="1"/>
    <col min="61" max="61" width="5.83203125" style="17" customWidth="1"/>
    <col min="62" max="62" width="10.83203125" style="17"/>
    <col min="63" max="63" width="10.83203125" style="267"/>
    <col min="64" max="64" width="10.83203125" style="268"/>
    <col min="65" max="65" width="10.83203125" style="287"/>
    <col min="66" max="66" width="10.83203125" style="288"/>
    <col min="67" max="67" width="6.33203125" style="344" customWidth="1"/>
    <col min="68" max="16384" width="10.83203125" style="17"/>
  </cols>
  <sheetData>
    <row r="1" spans="1:67" s="135" customFormat="1" ht="21" thickBot="1">
      <c r="A1" s="133"/>
      <c r="B1" s="134"/>
      <c r="C1" s="371" t="s">
        <v>17</v>
      </c>
      <c r="D1" s="371"/>
      <c r="E1" s="133"/>
      <c r="F1" s="134"/>
      <c r="G1" s="156"/>
      <c r="H1" s="372" t="s">
        <v>60</v>
      </c>
      <c r="I1" s="373"/>
      <c r="J1" s="373"/>
      <c r="K1" s="373"/>
      <c r="L1" s="373"/>
      <c r="M1" s="373"/>
      <c r="N1" s="373"/>
      <c r="O1" s="374" t="s">
        <v>190</v>
      </c>
      <c r="P1" s="375"/>
      <c r="Q1" s="374" t="s">
        <v>166</v>
      </c>
      <c r="R1" s="375"/>
      <c r="S1" s="376" t="s">
        <v>154</v>
      </c>
      <c r="T1" s="377"/>
      <c r="U1" s="377"/>
      <c r="V1" s="375"/>
      <c r="W1" s="376" t="s">
        <v>162</v>
      </c>
      <c r="X1" s="377"/>
      <c r="Y1" s="377"/>
      <c r="Z1" s="375"/>
      <c r="AA1" s="209"/>
      <c r="AB1" s="255"/>
      <c r="AC1" s="255"/>
      <c r="AD1" s="255"/>
      <c r="AE1" s="255"/>
      <c r="AF1" s="255"/>
      <c r="AG1" s="255"/>
      <c r="AH1" s="255"/>
      <c r="AI1" s="256"/>
      <c r="AJ1" s="255"/>
      <c r="AK1" s="256"/>
      <c r="AL1" s="255"/>
      <c r="AM1" s="255"/>
      <c r="AN1" s="256"/>
      <c r="AO1" s="316"/>
      <c r="AP1" s="316"/>
      <c r="AQ1" s="316"/>
      <c r="AR1" s="316"/>
      <c r="AS1" s="255"/>
      <c r="AT1" s="316"/>
      <c r="AU1" s="261"/>
      <c r="AV1" s="262"/>
      <c r="AW1" s="316"/>
      <c r="AX1" s="316"/>
      <c r="AY1" s="368" t="s">
        <v>199</v>
      </c>
      <c r="AZ1" s="369"/>
      <c r="BA1" s="370"/>
      <c r="BB1" s="335"/>
      <c r="BC1" s="335"/>
      <c r="BD1" s="336"/>
      <c r="BK1" s="261"/>
      <c r="BL1" s="262"/>
      <c r="BM1" s="368" t="s">
        <v>209</v>
      </c>
      <c r="BN1" s="369"/>
      <c r="BO1" s="370"/>
    </row>
    <row r="2" spans="1:67" s="136" customFormat="1" ht="53" customHeight="1" thickTop="1" thickBot="1">
      <c r="A2" s="136" t="s">
        <v>0</v>
      </c>
      <c r="B2" s="136" t="s">
        <v>34</v>
      </c>
      <c r="C2" s="136" t="s">
        <v>1</v>
      </c>
      <c r="D2" s="136" t="s">
        <v>2</v>
      </c>
      <c r="E2" s="136" t="s">
        <v>4</v>
      </c>
      <c r="F2" s="136" t="s">
        <v>8</v>
      </c>
      <c r="G2" s="139" t="s">
        <v>3</v>
      </c>
      <c r="H2" s="136" t="s">
        <v>1</v>
      </c>
      <c r="I2" s="136" t="s">
        <v>2</v>
      </c>
      <c r="J2" s="211" t="s">
        <v>152</v>
      </c>
      <c r="K2" s="136" t="s">
        <v>151</v>
      </c>
      <c r="L2" s="200" t="s">
        <v>158</v>
      </c>
      <c r="M2" s="200" t="s">
        <v>159</v>
      </c>
      <c r="N2" s="210" t="s">
        <v>157</v>
      </c>
      <c r="O2" s="137">
        <v>223</v>
      </c>
      <c r="P2" s="139">
        <v>224</v>
      </c>
      <c r="Q2" s="138" t="s">
        <v>153</v>
      </c>
      <c r="R2" s="139" t="s">
        <v>156</v>
      </c>
      <c r="S2" s="138" t="s">
        <v>154</v>
      </c>
      <c r="T2" s="136" t="s">
        <v>160</v>
      </c>
      <c r="U2" s="136" t="s">
        <v>161</v>
      </c>
      <c r="V2" s="226" t="s">
        <v>155</v>
      </c>
      <c r="W2" s="138" t="s">
        <v>162</v>
      </c>
      <c r="X2" s="136" t="s">
        <v>163</v>
      </c>
      <c r="Y2" s="136" t="s">
        <v>164</v>
      </c>
      <c r="Z2" s="254" t="s">
        <v>165</v>
      </c>
      <c r="AA2" s="257" t="s">
        <v>167</v>
      </c>
      <c r="AB2" s="258" t="s">
        <v>168</v>
      </c>
      <c r="AC2" s="258" t="s">
        <v>170</v>
      </c>
      <c r="AD2" s="258" t="s">
        <v>169</v>
      </c>
      <c r="AE2" s="258" t="s">
        <v>171</v>
      </c>
      <c r="AF2" s="258" t="s">
        <v>172</v>
      </c>
      <c r="AG2" s="258" t="s">
        <v>174</v>
      </c>
      <c r="AH2" s="258" t="s">
        <v>173</v>
      </c>
      <c r="AI2" s="259" t="s">
        <v>175</v>
      </c>
      <c r="AJ2" s="258" t="s">
        <v>176</v>
      </c>
      <c r="AK2" s="259" t="s">
        <v>177</v>
      </c>
      <c r="AL2" s="258" t="s">
        <v>178</v>
      </c>
      <c r="AM2" s="258" t="s">
        <v>181</v>
      </c>
      <c r="AN2" s="259" t="s">
        <v>179</v>
      </c>
      <c r="AO2" s="317" t="s">
        <v>180</v>
      </c>
      <c r="AP2" s="317" t="s">
        <v>182</v>
      </c>
      <c r="AQ2" s="317" t="s">
        <v>183</v>
      </c>
      <c r="AR2" s="317" t="s">
        <v>185</v>
      </c>
      <c r="AS2" s="260" t="s">
        <v>183</v>
      </c>
      <c r="AT2" s="317" t="s">
        <v>187</v>
      </c>
      <c r="AU2" s="263" t="s">
        <v>198</v>
      </c>
      <c r="AV2" s="264" t="s">
        <v>189</v>
      </c>
      <c r="AW2" s="317" t="s">
        <v>193</v>
      </c>
      <c r="AX2" s="317" t="s">
        <v>194</v>
      </c>
      <c r="AY2" s="289" t="s">
        <v>195</v>
      </c>
      <c r="AZ2" s="290" t="s">
        <v>196</v>
      </c>
      <c r="BA2" s="343" t="s">
        <v>197</v>
      </c>
      <c r="BB2" s="138" t="s">
        <v>186</v>
      </c>
      <c r="BC2" s="138" t="s">
        <v>200</v>
      </c>
      <c r="BD2" s="337" t="s">
        <v>201</v>
      </c>
      <c r="BE2" s="136" t="s">
        <v>202</v>
      </c>
      <c r="BF2" s="136" t="s">
        <v>203</v>
      </c>
      <c r="BG2" s="136" t="s">
        <v>204</v>
      </c>
      <c r="BH2" s="136" t="s">
        <v>205</v>
      </c>
      <c r="BI2" s="136" t="s">
        <v>186</v>
      </c>
      <c r="BJ2" s="136" t="s">
        <v>206</v>
      </c>
      <c r="BK2" s="263" t="s">
        <v>207</v>
      </c>
      <c r="BL2" s="264" t="s">
        <v>208</v>
      </c>
      <c r="BM2" s="289" t="s">
        <v>210</v>
      </c>
      <c r="BN2" s="290" t="s">
        <v>211</v>
      </c>
      <c r="BO2" s="343" t="s">
        <v>197</v>
      </c>
    </row>
    <row r="3" spans="1:67" s="112" customFormat="1" ht="34">
      <c r="A3" s="107" t="str">
        <f>Samples!A3</f>
        <v>HE541-2</v>
      </c>
      <c r="B3" s="107">
        <f>Samples!B3</f>
        <v>14</v>
      </c>
      <c r="C3" s="108">
        <f>Samples!C3</f>
        <v>43722</v>
      </c>
      <c r="D3" s="109">
        <f>Samples!D3</f>
        <v>0.53125</v>
      </c>
      <c r="E3" s="109" t="str">
        <f>Samples!G3</f>
        <v>Surface water</v>
      </c>
      <c r="F3" s="109" t="str">
        <f>Samples!M3</f>
        <v>Grey</v>
      </c>
      <c r="G3" s="140">
        <f>Samples!I3</f>
        <v>103.1</v>
      </c>
      <c r="H3" s="108">
        <f>Samples!J3</f>
        <v>43722</v>
      </c>
      <c r="I3" s="109">
        <f>Samples!K3</f>
        <v>0.72430555555555554</v>
      </c>
      <c r="J3" s="212">
        <f>Samples!L3</f>
        <v>178</v>
      </c>
      <c r="K3" s="199">
        <f>H3+I3+(Samples!L3/(60*24))</f>
        <v>43722.847916666673</v>
      </c>
      <c r="L3" s="199">
        <f>Samples!P3</f>
        <v>20.094000000000001</v>
      </c>
      <c r="M3" s="201">
        <f>Samples!N3</f>
        <v>0.70199999999999996</v>
      </c>
      <c r="N3" s="201">
        <f>Samples!O3</f>
        <v>8.9580000000000002</v>
      </c>
      <c r="O3" s="237">
        <f>EXP(-(LN(2)/11.434*(K3-C3-D3)))</f>
        <v>0.9809862511702615</v>
      </c>
      <c r="P3" s="237">
        <f>EXP(-(LN(2)/3.66*(K3-C3-D3)))</f>
        <v>0.94179113824672789</v>
      </c>
      <c r="Q3" s="111">
        <f>SQRT(R3)/J3</f>
        <v>0.33598755996232688</v>
      </c>
      <c r="R3" s="219">
        <f>L3*J3</f>
        <v>3576.7320000000004</v>
      </c>
      <c r="S3" s="111">
        <f>SQRT(V3)/J3</f>
        <v>0.22433422096646158</v>
      </c>
      <c r="T3" s="112">
        <f>2/SQRT(V3)</f>
        <v>5.0085782756521896E-2</v>
      </c>
      <c r="U3" s="236">
        <f>SQRT((N3*J3)-(AA3*J3))/((N3*J3)-(AA3*J3))</f>
        <v>2.6937027417981509E-2</v>
      </c>
      <c r="V3" s="219">
        <f>J3*N3</f>
        <v>1594.5240000000001</v>
      </c>
      <c r="W3" s="111">
        <f>SQRT(Z3)/J3</f>
        <v>6.2799842553298665E-2</v>
      </c>
      <c r="X3" s="112">
        <f>2/SQRT(Z3)</f>
        <v>0.17891693035127823</v>
      </c>
      <c r="Y3" s="236">
        <f>SQRT((M3*(L3*J3))-(AE3*(L3*J3)))/((M3*(L3*J3))-(AE3*(L3*J3)))</f>
        <v>2.007007049321893E-2</v>
      </c>
      <c r="Z3" s="219">
        <f>J3*M3</f>
        <v>124.95599999999999</v>
      </c>
      <c r="AA3" s="112">
        <f>((L3-N3-M3)^2*0.01)/((1-((L3-N3-M3)*0.01)))</f>
        <v>1.2155098586517208</v>
      </c>
      <c r="AB3" s="112">
        <f>AD3*(((2*0.01*AC3)-(0.01*AC3)^2)/(1-0.01*AC3)^2)</f>
        <v>0.10080628231904148</v>
      </c>
      <c r="AC3" s="231">
        <f>L3-N3-M3</f>
        <v>10.434000000000001</v>
      </c>
      <c r="AD3" s="112">
        <f>SQRT((Q3^2)+(S3^2)+(W3^2))</f>
        <v>0.40884875366177464</v>
      </c>
      <c r="AE3" s="112">
        <f>((L3-N3-AA3-M3)^2*0.000093)/((1-(L3-N3-AA3-M3)*0.000093))</f>
        <v>7.9099735003946448E-3</v>
      </c>
      <c r="AF3" s="112">
        <f>AH3*(((2*0.000093*AC3-(0.01*AC3))^2)/(1-(0.000093*AC3)^2))</f>
        <v>1.0810764032150135</v>
      </c>
      <c r="AG3" s="231">
        <f>L3-AI3-M3</f>
        <v>11.649509858651722</v>
      </c>
      <c r="AH3" s="112">
        <f>SQRT((G3^2)+(AJ3^2)+(Q3^2))</f>
        <v>103.1008408083547</v>
      </c>
      <c r="AI3" s="247">
        <f>N3-AA3</f>
        <v>7.742490141348279</v>
      </c>
      <c r="AJ3" s="112">
        <f>SQRT((S3^2)+(AB3^2))</f>
        <v>0.24594257307675607</v>
      </c>
      <c r="AK3" s="247">
        <f>M3-AE3</f>
        <v>0.69409002649960527</v>
      </c>
      <c r="AL3" s="112">
        <f>SQRT((W3^2)+(AF3^2))</f>
        <v>1.0828988917775424</v>
      </c>
      <c r="AM3" s="112">
        <f>((((IF(F3="Grey",STDs!$Y$9,STDs!$Y$8))*2)*(M3-AE3))^2*0.01)/((1+(((IF(F3="Grey",STDs!$Y$9,STDs!$Y$8))*2)*(M3-AE3))*0.01))</f>
        <v>4.4574303852850072E-4</v>
      </c>
      <c r="AN3" s="247">
        <f>AI3-AM3-IF(F3="Grey",Blanks!$M$6,Blanks!$M$5)</f>
        <v>7.7219015411668934</v>
      </c>
      <c r="AO3" s="231">
        <f>AJ3</f>
        <v>0.24594257307675607</v>
      </c>
      <c r="AP3" s="231">
        <f>AN3/IF(F3="Grey",STDs!$AA$9,STDs!$AA$8)</f>
        <v>60.782360091049945</v>
      </c>
      <c r="AQ3" s="231">
        <f>SQRT(((AO3/IF(F3="Grey",STDs!$AA$9,STDs!$AA$8))^2)+(((AN3*(IF(F3="Grey",STDs!$AB$9,STDs!$AB$8)))/(IF(F3="Grey",STDs!$AA$9,STDs!$AA$8))))^2)</f>
        <v>1.9866620077028956</v>
      </c>
      <c r="AR3" s="231">
        <f>(AP3/G3)*100</f>
        <v>58.954762454946611</v>
      </c>
      <c r="AS3" s="112">
        <f>(SQRT(((AQ3/G3)^2)+(((AP3*(G3*0.03))/(G3^2))^2)))*100</f>
        <v>2.6155585043576171</v>
      </c>
      <c r="AT3" s="326">
        <f>'Count 2'!AU3</f>
        <v>0.11916838408767839</v>
      </c>
      <c r="AU3" s="265">
        <f>(AR3-AT3)/P3</f>
        <v>62.47201919991452</v>
      </c>
      <c r="AV3" s="266">
        <f>(AS3/AR3)*AU3</f>
        <v>2.7716034175796889</v>
      </c>
      <c r="AW3" s="231">
        <f>AV3/AU3</f>
        <v>4.4365516803777032E-2</v>
      </c>
      <c r="AX3" s="231">
        <f>SQRT((N3*J3)-(AA3*J3))/((N3*J3)-(AA3*J3))</f>
        <v>2.6937027417981509E-2</v>
      </c>
      <c r="AY3" s="291">
        <f>AU3</f>
        <v>62.47201919991452</v>
      </c>
      <c r="AZ3" s="292">
        <f>AV3</f>
        <v>2.7716034175796889</v>
      </c>
      <c r="BA3" s="344">
        <f>AZ3/AY3</f>
        <v>4.4365516803777032E-2</v>
      </c>
      <c r="BB3" s="231">
        <f>SQRT(N3*J3)/(N3*J3)</f>
        <v>2.5042891378260948E-2</v>
      </c>
      <c r="BC3" s="231">
        <f>AI3*0.0255</f>
        <v>0.19743349860438111</v>
      </c>
      <c r="BD3" s="247">
        <f>AK3-BC3</f>
        <v>0.49665652789522419</v>
      </c>
      <c r="BE3" s="231">
        <f>SQRT((AL3^2)+((0.0255*AJ3)^2))</f>
        <v>1.0829170522122091</v>
      </c>
      <c r="BF3" s="231">
        <f>BD3/(IF(F3="Grey",STDs!$Y$9,STDs!$Y$8))</f>
        <v>3.2621295800381223</v>
      </c>
      <c r="BG3" s="231">
        <f>SQRT(((BE3/IF(F3="Grey",STDs!$Y$9,STDs!$Y$8))^2)+(((BD3*(IF(F3="Grey",STDs!$Z$9,STDs!$Y$8)))/(IF(F3="Grey",STDs!$Y$9,STDs!$Y$8)^2))^2))</f>
        <v>7.1977925096945166</v>
      </c>
      <c r="BH3" s="231">
        <f>BF3*100/G3</f>
        <v>3.1640442095423107</v>
      </c>
      <c r="BI3" s="231">
        <f>(SQRT(((BG3/G3)^2)+(((BF3*(G3*0.03))/(G3^2))^2)))*100</f>
        <v>6.9820153016634965</v>
      </c>
      <c r="BJ3" s="326">
        <v>0.05</v>
      </c>
      <c r="BK3" s="265">
        <f>(BH3-BJ3)/O3</f>
        <v>3.174401482005921</v>
      </c>
      <c r="BL3" s="266">
        <f>(BI3/BH3)*BK3</f>
        <v>7.0048704294794515</v>
      </c>
      <c r="BM3" s="291">
        <f>BK3</f>
        <v>3.174401482005921</v>
      </c>
      <c r="BN3" s="292">
        <f>BL3</f>
        <v>7.0048704294794515</v>
      </c>
      <c r="BO3" s="344">
        <f>BN3/BM3</f>
        <v>2.206674382300577</v>
      </c>
    </row>
    <row r="4" spans="1:67" s="112" customFormat="1" ht="34">
      <c r="A4" s="107" t="str">
        <f>Samples!A4</f>
        <v>HE541_18-1</v>
      </c>
      <c r="B4" s="107">
        <f>Samples!B4</f>
        <v>23</v>
      </c>
      <c r="C4" s="108">
        <f>Samples!C4</f>
        <v>43723</v>
      </c>
      <c r="D4" s="109">
        <f>Samples!D4</f>
        <v>0.34722222222222227</v>
      </c>
      <c r="E4" s="109" t="str">
        <f>Samples!G4</f>
        <v>Surface water</v>
      </c>
      <c r="F4" s="109" t="str">
        <f>Samples!M4</f>
        <v>Orange</v>
      </c>
      <c r="G4" s="140">
        <f>Samples!I4</f>
        <v>188.8</v>
      </c>
      <c r="H4" s="108">
        <f>Samples!J4</f>
        <v>43723</v>
      </c>
      <c r="I4" s="109">
        <f>Samples!K4</f>
        <v>0.57013888888888886</v>
      </c>
      <c r="J4" s="212">
        <f>Samples!L4</f>
        <v>96</v>
      </c>
      <c r="K4" s="110">
        <f>H4+I4+(Samples!L4/(60*24))</f>
        <v>43723.636805555558</v>
      </c>
      <c r="L4" s="110">
        <f>Samples!P4</f>
        <v>20.916</v>
      </c>
      <c r="M4" s="201">
        <f>Samples!N4</f>
        <v>0.98899999999999999</v>
      </c>
      <c r="N4" s="201">
        <f>Samples!O4</f>
        <v>8.6989999999999998</v>
      </c>
      <c r="O4" s="237">
        <f t="shared" ref="O4:O37" si="0">EXP(-(LN(2)/11.434*(K4-C4-D4)))</f>
        <v>0.98259819118909153</v>
      </c>
      <c r="P4" s="237">
        <f t="shared" ref="P4:P37" si="1">EXP(-(LN(2)/3.66*(K4-C4-D4)))</f>
        <v>0.94663414806981683</v>
      </c>
      <c r="Q4" s="111">
        <f t="shared" ref="Q4:Q37" si="2">SQRT(R4)/J4</f>
        <v>0.46677082171018358</v>
      </c>
      <c r="R4" s="220">
        <f t="shared" ref="R4:R37" si="3">L4*J4</f>
        <v>2007.9360000000001</v>
      </c>
      <c r="S4" s="112">
        <f t="shared" ref="S4:S37" si="4">SQRT(V4)/J4</f>
        <v>0.30102256283098339</v>
      </c>
      <c r="T4" s="112">
        <f t="shared" ref="T4:T37" si="5">2/SQRT(V4)</f>
        <v>6.9208544161623947E-2</v>
      </c>
      <c r="U4" s="112">
        <f t="shared" ref="U4:U37" si="6">SQRT((N4*J4)-(AA4*J4))/((N4*J4)-(AA4*J4))</f>
        <v>3.7829662822339814E-2</v>
      </c>
      <c r="V4" s="219">
        <f t="shared" ref="V4:V37" si="7">J4*N4</f>
        <v>835.10400000000004</v>
      </c>
      <c r="W4" s="112">
        <f t="shared" ref="W4:W37" si="8">SQRT(Z4)/J4</f>
        <v>0.10149917897861703</v>
      </c>
      <c r="X4" s="112">
        <f t="shared" ref="X4:X37" si="9">2/SQRT(Z4)</f>
        <v>0.20525617589204659</v>
      </c>
      <c r="Y4" s="112">
        <f t="shared" ref="Y4:Y37" si="10">SQRT((M4*(L4*J4))-(AE4*(L4*J4)))/((M4*(L4*J4))-(AE4*(L4*J4)))</f>
        <v>2.254249015181781E-2</v>
      </c>
      <c r="Z4" s="219">
        <f t="shared" ref="Z4:Z37" si="11">J4*M4</f>
        <v>94.944000000000003</v>
      </c>
      <c r="AA4" s="112">
        <f t="shared" ref="AA4:AA37" si="12">((L4-N4-M4)^2*0.01)/((1-((L4-N4-M4)*0.01)))</f>
        <v>1.4201322939665659</v>
      </c>
      <c r="AB4" s="112">
        <f t="shared" ref="AB4:AB37" si="13">AD4*(((2*0.01*AC4)-(0.01*AC4)^2)/(1-0.01*AC4)^2)</f>
        <v>0.15185932048192649</v>
      </c>
      <c r="AC4" s="112">
        <f t="shared" ref="AC4:AC37" si="14">L4-N4-M4</f>
        <v>11.228</v>
      </c>
      <c r="AD4" s="112">
        <f t="shared" ref="AD4:AD37" si="15">SQRT((Q4^2)+(S4^2)+(W4^2))</f>
        <v>0.5646163889462178</v>
      </c>
      <c r="AE4" s="112">
        <f t="shared" ref="AE4:AE37" si="16">((L4-N4-AA4-M4)^2*0.000093)/((1-(L4-N4-AA4-M4)*0.000093))</f>
        <v>8.9542344523953436E-3</v>
      </c>
      <c r="AF4" s="112">
        <f t="shared" ref="AF4:AF37" si="17">AH4*(((2*0.000093*AC4-(0.01*AC4))^2)/(1-(0.000093*AC4)^2))</f>
        <v>2.2924580566914283</v>
      </c>
      <c r="AG4" s="112">
        <f t="shared" ref="AG4:AG37" si="18">L4-AI4-M4</f>
        <v>12.648132293966565</v>
      </c>
      <c r="AH4" s="112">
        <f t="shared" ref="AH4:AH37" si="19">SQRT((G4^2)+(AJ4^2)+(Q4^2))</f>
        <v>188.80087804572457</v>
      </c>
      <c r="AI4" s="248">
        <f t="shared" ref="AI4:AI37" si="20">N4-AA4</f>
        <v>7.2788677060334344</v>
      </c>
      <c r="AJ4" s="112">
        <f t="shared" ref="AJ4:AJ37" si="21">SQRT((S4^2)+(AB4^2))</f>
        <v>0.33715847394150694</v>
      </c>
      <c r="AK4" s="248">
        <f t="shared" ref="AK4:AK37" si="22">M4-AE4</f>
        <v>0.9800457655476047</v>
      </c>
      <c r="AL4" s="112">
        <f t="shared" ref="AL4:AL37" si="23">SQRT((W4^2)+(AF4^2))</f>
        <v>2.2947039079198808</v>
      </c>
      <c r="AM4" s="112">
        <f>((((IF(F4="Grey",STDs!$Y$9,STDs!$Y$8))*2)*(M4-AE4))^2*0.01)/((1+(((IF(F4="Grey",STDs!$Y$9,STDs!$Y$8))*2)*(M4-AE4))*0.01))</f>
        <v>7.1961430691202697E-4</v>
      </c>
      <c r="AN4" s="248">
        <f>AI4-AM4-IF(F4="Grey",Blanks!$M$6,Blanks!$M$5)</f>
        <v>7.2657195202979512</v>
      </c>
      <c r="AO4" s="231">
        <f t="shared" ref="AO4:AO37" si="24">AJ4</f>
        <v>0.33715847394150694</v>
      </c>
      <c r="AP4" s="231">
        <f>AN4/IF(F4="Grey",STDs!$AA$9,STDs!$AA$8)</f>
        <v>61.609664405244494</v>
      </c>
      <c r="AQ4" s="231">
        <f>SQRT(((AO4/IF(F4="Grey",STDs!$AA$9,STDs!$AA$8))^2)+(((AN4*(IF(F4="Grey",STDs!$AB$9,STDs!$AB$8)))/(IF(F4="Grey",STDs!$AA$9,STDs!$AA$8))))^2)</f>
        <v>2.8747919630702294</v>
      </c>
      <c r="AR4" s="231">
        <f t="shared" ref="AR4:AR37" si="25">(AP4/G4)*100</f>
        <v>32.632237502777798</v>
      </c>
      <c r="AS4" s="112">
        <f t="shared" ref="AS4:AS37" si="26">(SQRT(((AQ4/G4)^2)+(((AP4*(G4*0.03))/(G4^2))^2)))*100</f>
        <v>1.8102171275534813</v>
      </c>
      <c r="AT4" s="231">
        <f>'Count 2'!AU4</f>
        <v>-0.53196254875742133</v>
      </c>
      <c r="AU4" s="265">
        <f t="shared" ref="AU4:AU37" si="27">(AR4-AT4)/P4</f>
        <v>35.033809121672704</v>
      </c>
      <c r="AV4" s="266">
        <f t="shared" ref="AV4:AV37" si="28">(AS4/AR4)*AU4</f>
        <v>1.9434401735428908</v>
      </c>
      <c r="AW4" s="231">
        <f t="shared" ref="AW4:AW37" si="29">AV4/AU4</f>
        <v>5.547327630841703E-2</v>
      </c>
      <c r="AX4" s="231">
        <f t="shared" ref="AX4:AX37" si="30">SQRT((N4*J4)-(AA4*J4))/((N4*J4)-(AA4*J4))</f>
        <v>3.7829662822339814E-2</v>
      </c>
      <c r="AY4" s="295">
        <f t="shared" ref="AY4" si="31">AU4</f>
        <v>35.033809121672704</v>
      </c>
      <c r="AZ4" s="296">
        <f t="shared" ref="AZ4" si="32">AV4</f>
        <v>1.9434401735428908</v>
      </c>
      <c r="BA4" s="344">
        <f t="shared" ref="BA4" si="33">AZ4/AY4</f>
        <v>5.547327630841703E-2</v>
      </c>
      <c r="BB4" s="231">
        <f t="shared" ref="BB4:BB37" si="34">SQRT(N4*J4)/(N4*J4)</f>
        <v>3.4604272080811974E-2</v>
      </c>
      <c r="BC4" s="231">
        <f t="shared" ref="BC4:BC37" si="35">AI4*0.0255</f>
        <v>0.18561112650385256</v>
      </c>
      <c r="BD4" s="247">
        <f t="shared" ref="BD4:BD37" si="36">AK4-BC4</f>
        <v>0.79443463904375211</v>
      </c>
      <c r="BE4" s="112">
        <f t="shared" ref="BE4:BE37" si="37">SQRT((AL4^2)+((0.0255*AJ4)^2))</f>
        <v>2.2947200140181567</v>
      </c>
      <c r="BF4" s="112">
        <f>BD4/(IF(F4="Grey",STDs!$Y$9,STDs!$Y$8))</f>
        <v>5.7969842283930708</v>
      </c>
      <c r="BG4" s="112">
        <f>SQRT(((BE4/IF(F4="Grey",STDs!$Y$9,STDs!$Y$8))^2)+(((BD4*(IF(F4="Grey",STDs!$Z$9,STDs!$Y$8)))/(IF(F4="Grey",STDs!$Y$9,STDs!$Y$8)^2))^2))</f>
        <v>17.71962753064992</v>
      </c>
      <c r="BH4" s="112">
        <f t="shared" ref="BH4:BH37" si="38">BF4*100/G4</f>
        <v>3.0704365616488722</v>
      </c>
      <c r="BI4" s="112">
        <f t="shared" ref="BI4:BI37" si="39">(SQRT(((BG4/G4)^2)+(((BF4*(G4*0.03))/(G4^2))^2)))*100</f>
        <v>9.3858479495842175</v>
      </c>
      <c r="BJ4" s="112">
        <v>0.05</v>
      </c>
      <c r="BK4" s="265">
        <f t="shared" ref="BK4:BK37" si="40">(BH4-BJ4)/O4</f>
        <v>3.0739284773094178</v>
      </c>
      <c r="BL4" s="266">
        <f t="shared" ref="BL4:BL37" si="41">(BI4/BH4)*BK4</f>
        <v>9.3965221937135439</v>
      </c>
      <c r="BM4" s="291">
        <f t="shared" ref="BM4:BM37" si="42">BK4</f>
        <v>3.0739284773094178</v>
      </c>
      <c r="BN4" s="292">
        <f t="shared" ref="BN4:BN37" si="43">BL4</f>
        <v>9.3965221937135439</v>
      </c>
      <c r="BO4" s="344">
        <f t="shared" ref="BO4:BO37" si="44">BN4/BM4</f>
        <v>3.0568447714626843</v>
      </c>
    </row>
    <row r="5" spans="1:67" s="106" customFormat="1" ht="34">
      <c r="A5" s="101" t="str">
        <f>Samples!A5</f>
        <v>HE541_18-1B</v>
      </c>
      <c r="B5" s="101">
        <f>Samples!B5</f>
        <v>0</v>
      </c>
      <c r="C5" s="102">
        <f>Samples!C5</f>
        <v>43723</v>
      </c>
      <c r="D5" s="103">
        <f>Samples!D5</f>
        <v>0.34722222222222227</v>
      </c>
      <c r="E5" s="103" t="str">
        <f>Samples!G5</f>
        <v>Surface water (Efficiency)</v>
      </c>
      <c r="F5" s="103" t="str">
        <f>Samples!M5</f>
        <v>Grey</v>
      </c>
      <c r="G5" s="141">
        <f>Samples!I5</f>
        <v>188.8</v>
      </c>
      <c r="H5" s="102">
        <f>Samples!J5</f>
        <v>43723</v>
      </c>
      <c r="I5" s="103">
        <f>Samples!K5</f>
        <v>0.57013888888888886</v>
      </c>
      <c r="J5" s="213">
        <f>Samples!L5</f>
        <v>96</v>
      </c>
      <c r="K5" s="104">
        <f>H5+I5+(Samples!L5/(60*24))</f>
        <v>43723.636805555558</v>
      </c>
      <c r="L5" s="104">
        <f>Samples!P5</f>
        <v>1.0720000000000001</v>
      </c>
      <c r="M5" s="202">
        <f>Samples!N5</f>
        <v>0.01</v>
      </c>
      <c r="N5" s="202">
        <f>Samples!O5</f>
        <v>3.1E-2</v>
      </c>
      <c r="O5" s="238">
        <f t="shared" si="0"/>
        <v>0.98259819118909153</v>
      </c>
      <c r="P5" s="238">
        <f t="shared" si="1"/>
        <v>0.94663414806981683</v>
      </c>
      <c r="Q5" s="105">
        <f t="shared" si="2"/>
        <v>0.10567244989431572</v>
      </c>
      <c r="R5" s="221">
        <f t="shared" si="3"/>
        <v>102.91200000000001</v>
      </c>
      <c r="S5" s="106">
        <f t="shared" si="4"/>
        <v>1.7969882210706521E-2</v>
      </c>
      <c r="T5" s="106">
        <f t="shared" si="5"/>
        <v>1.1593472394004207</v>
      </c>
      <c r="U5" s="106">
        <f t="shared" si="6"/>
        <v>0.7170481812718914</v>
      </c>
      <c r="V5" s="227">
        <f t="shared" si="7"/>
        <v>2.976</v>
      </c>
      <c r="W5" s="106">
        <f t="shared" si="8"/>
        <v>1.0206207261596574E-2</v>
      </c>
      <c r="X5" s="106">
        <f t="shared" si="9"/>
        <v>2.0412414523193152</v>
      </c>
      <c r="Y5" s="106">
        <f t="shared" si="10"/>
        <v>0.99055720009879777</v>
      </c>
      <c r="Z5" s="227">
        <f t="shared" si="11"/>
        <v>0.96</v>
      </c>
      <c r="AA5" s="106">
        <f t="shared" si="12"/>
        <v>1.0740342935666728E-2</v>
      </c>
      <c r="AB5" s="106">
        <f t="shared" si="13"/>
        <v>2.2550578315675466E-3</v>
      </c>
      <c r="AC5" s="106">
        <f t="shared" si="14"/>
        <v>1.0310000000000001</v>
      </c>
      <c r="AD5" s="106">
        <f t="shared" si="15"/>
        <v>0.10767427733679015</v>
      </c>
      <c r="AE5" s="106">
        <f t="shared" si="16"/>
        <v>9.6815654679389558E-5</v>
      </c>
      <c r="AF5" s="106">
        <f t="shared" si="17"/>
        <v>1.9329094166080505E-2</v>
      </c>
      <c r="AG5" s="106">
        <f t="shared" si="18"/>
        <v>1.0417403429356669</v>
      </c>
      <c r="AH5" s="106">
        <f t="shared" si="19"/>
        <v>188.80003044138689</v>
      </c>
      <c r="AI5" s="249">
        <f t="shared" si="20"/>
        <v>2.0259657064333272E-2</v>
      </c>
      <c r="AJ5" s="106">
        <f t="shared" si="21"/>
        <v>1.8110824180317713E-2</v>
      </c>
      <c r="AK5" s="249">
        <f t="shared" si="22"/>
        <v>9.9031843453206113E-3</v>
      </c>
      <c r="AL5" s="106">
        <f t="shared" si="23"/>
        <v>2.1858191781295042E-2</v>
      </c>
      <c r="AM5" s="106">
        <f>((((IF(F5="Grey",STDs!$Y$9,STDs!$Y$8))*2)*(M5-AE5))^2*0.01)/((1+(((IF(F5="Grey",STDs!$Y$9,STDs!$Y$8))*2)*(M5-AE5))*0.01))</f>
        <v>9.0929855656664103E-8</v>
      </c>
      <c r="AN5" s="249">
        <f>AI5-AM5-IF(F5="Grey",Blanks!$M$6,Blanks!$M$5)</f>
        <v>1.1670899162046985E-4</v>
      </c>
      <c r="AO5" s="318">
        <f t="shared" si="24"/>
        <v>1.8110824180317713E-2</v>
      </c>
      <c r="AP5" s="318">
        <f>AN5/IF(F5="Grey",STDs!$AA$9,STDs!$AA$8)</f>
        <v>9.1866594215428757E-4</v>
      </c>
      <c r="AQ5" s="318">
        <f>SQRT(((AO5/IF(F5="Grey",STDs!$AA$9,STDs!$AA$8))^2)+(((AN5*(IF(F5="Grey",STDs!$AB$9,STDs!$AB$8)))/(IF(F5="Grey",STDs!$AA$9,STDs!$AA$8))))^2)</f>
        <v>0.14255797386648206</v>
      </c>
      <c r="AR5" s="318">
        <f t="shared" si="25"/>
        <v>4.8658153715799125E-4</v>
      </c>
      <c r="AS5" s="106">
        <f t="shared" si="26"/>
        <v>7.5507402823355052E-2</v>
      </c>
      <c r="AT5" s="318" t="e">
        <f>'Count 2'!AU5</f>
        <v>#VALUE!</v>
      </c>
      <c r="AU5" s="327" t="e">
        <f t="shared" si="27"/>
        <v>#VALUE!</v>
      </c>
      <c r="AV5" s="328" t="e">
        <f t="shared" si="28"/>
        <v>#VALUE!</v>
      </c>
      <c r="AW5" s="318" t="e">
        <f t="shared" si="29"/>
        <v>#VALUE!</v>
      </c>
      <c r="AX5" s="318">
        <f t="shared" si="30"/>
        <v>0.7170481812718914</v>
      </c>
      <c r="AY5" s="293"/>
      <c r="AZ5" s="294"/>
      <c r="BA5" s="344"/>
      <c r="BB5" s="318">
        <f t="shared" si="34"/>
        <v>0.57967361970021036</v>
      </c>
      <c r="BC5" s="318">
        <f t="shared" si="35"/>
        <v>5.1662125514049845E-4</v>
      </c>
      <c r="BD5" s="338">
        <f t="shared" si="36"/>
        <v>9.3865630901801122E-3</v>
      </c>
      <c r="BE5" s="106">
        <f t="shared" si="37"/>
        <v>2.186307003184779E-2</v>
      </c>
      <c r="BF5" s="106">
        <f>BD5/(IF(F5="Grey",STDs!$Y$9,STDs!$Y$8))</f>
        <v>6.1652637973239922E-2</v>
      </c>
      <c r="BG5" s="106">
        <f>SQRT(((BE5/IF(F5="Grey",STDs!$Y$9,STDs!$Y$8))^2)+(((BD5*(IF(F5="Grey",STDs!$Z$9,STDs!$Y$8)))/(IF(F5="Grey",STDs!$Y$9,STDs!$Y$8)^2))^2))</f>
        <v>0.14510549880638249</v>
      </c>
      <c r="BH5" s="106">
        <f t="shared" si="38"/>
        <v>3.265499892650419E-2</v>
      </c>
      <c r="BI5" s="106">
        <f t="shared" si="39"/>
        <v>7.6862969335933853E-2</v>
      </c>
      <c r="BJ5" s="106">
        <v>0.05</v>
      </c>
      <c r="BK5" s="327">
        <f t="shared" si="40"/>
        <v>-1.7652180951509541E-2</v>
      </c>
      <c r="BL5" s="328">
        <f t="shared" si="41"/>
        <v>-4.1549505061750217E-2</v>
      </c>
      <c r="BM5" s="293"/>
      <c r="BN5" s="294"/>
      <c r="BO5" s="344"/>
    </row>
    <row r="6" spans="1:67" s="112" customFormat="1" ht="34">
      <c r="A6" s="107" t="str">
        <f>Samples!A6</f>
        <v>HE541_19-16-MUC</v>
      </c>
      <c r="B6" s="107">
        <f>Samples!B6</f>
        <v>26</v>
      </c>
      <c r="C6" s="108">
        <f>Samples!C6</f>
        <v>43723</v>
      </c>
      <c r="D6" s="109">
        <f>Samples!D6</f>
        <v>0.57291666666666663</v>
      </c>
      <c r="E6" s="109" t="str">
        <f>Samples!G6</f>
        <v>Surface water</v>
      </c>
      <c r="F6" s="109" t="str">
        <f>Samples!M6</f>
        <v>Orange</v>
      </c>
      <c r="G6" s="140">
        <f>Samples!I6</f>
        <v>178.4</v>
      </c>
      <c r="H6" s="108">
        <f>Samples!J6</f>
        <v>43723</v>
      </c>
      <c r="I6" s="109">
        <f>Samples!K6</f>
        <v>0.81388888888888899</v>
      </c>
      <c r="J6" s="212">
        <f>Samples!L6</f>
        <v>94</v>
      </c>
      <c r="K6" s="110">
        <f>H6+I6+(Samples!L6/(60*24))</f>
        <v>43723.879166666666</v>
      </c>
      <c r="L6" s="110">
        <f>Samples!P6</f>
        <v>22.527000000000001</v>
      </c>
      <c r="M6" s="201">
        <f>Samples!N6</f>
        <v>0.80600000000000005</v>
      </c>
      <c r="N6" s="201">
        <f>Samples!O6</f>
        <v>9.5830000000000002</v>
      </c>
      <c r="O6" s="237">
        <f t="shared" si="0"/>
        <v>0.98160591492085381</v>
      </c>
      <c r="P6" s="237">
        <f t="shared" si="1"/>
        <v>0.94365089520065626</v>
      </c>
      <c r="Q6" s="111">
        <f t="shared" si="2"/>
        <v>0.48953951441146487</v>
      </c>
      <c r="R6" s="220">
        <f t="shared" si="3"/>
        <v>2117.538</v>
      </c>
      <c r="S6" s="112">
        <f t="shared" si="4"/>
        <v>0.31929110308719583</v>
      </c>
      <c r="T6" s="112">
        <f t="shared" si="5"/>
        <v>6.6636982800207828E-2</v>
      </c>
      <c r="U6" s="112">
        <f t="shared" si="6"/>
        <v>3.6682036501392394E-2</v>
      </c>
      <c r="V6" s="219">
        <f t="shared" si="7"/>
        <v>900.80200000000002</v>
      </c>
      <c r="W6" s="112">
        <f t="shared" si="8"/>
        <v>9.2598423772256439E-2</v>
      </c>
      <c r="X6" s="112">
        <f t="shared" si="9"/>
        <v>0.2297727637028695</v>
      </c>
      <c r="Y6" s="112">
        <f t="shared" si="10"/>
        <v>2.4360096131883911E-2</v>
      </c>
      <c r="Z6" s="219">
        <f t="shared" si="11"/>
        <v>75.76400000000001</v>
      </c>
      <c r="AA6" s="112">
        <f t="shared" si="12"/>
        <v>1.6768460085133512</v>
      </c>
      <c r="AB6" s="112">
        <f t="shared" si="13"/>
        <v>0.17479278616944269</v>
      </c>
      <c r="AC6" s="112">
        <f t="shared" si="14"/>
        <v>12.138000000000002</v>
      </c>
      <c r="AD6" s="112">
        <f t="shared" si="15"/>
        <v>0.59175181686747491</v>
      </c>
      <c r="AE6" s="112">
        <f t="shared" si="16"/>
        <v>1.0187435310173425E-2</v>
      </c>
      <c r="AF6" s="112">
        <f t="shared" si="17"/>
        <v>2.5315372149792683</v>
      </c>
      <c r="AG6" s="112">
        <f t="shared" si="18"/>
        <v>13.814846008513353</v>
      </c>
      <c r="AH6" s="112">
        <f t="shared" si="19"/>
        <v>178.40104301338258</v>
      </c>
      <c r="AI6" s="248">
        <f t="shared" si="20"/>
        <v>7.906153991486649</v>
      </c>
      <c r="AJ6" s="112">
        <f t="shared" si="21"/>
        <v>0.36400456948713544</v>
      </c>
      <c r="AK6" s="248">
        <f t="shared" si="22"/>
        <v>0.79581256468982664</v>
      </c>
      <c r="AL6" s="112">
        <f t="shared" si="23"/>
        <v>2.53323017882507</v>
      </c>
      <c r="AM6" s="112">
        <f>((((IF(F6="Grey",STDs!$Y$9,STDs!$Y$8))*2)*(M6-AE6))^2*0.01)/((1+(((IF(F6="Grey",STDs!$Y$9,STDs!$Y$8))*2)*(M6-AE6))*0.01))</f>
        <v>4.7473081931289219E-4</v>
      </c>
      <c r="AN6" s="248">
        <f>AI6-AM6-IF(F6="Grey",Blanks!$M$6,Blanks!$M$5)</f>
        <v>7.8932506892387648</v>
      </c>
      <c r="AO6" s="231">
        <f t="shared" si="24"/>
        <v>0.36400456948713544</v>
      </c>
      <c r="AP6" s="231">
        <f>AN6/IF(F6="Grey",STDs!$AA$9,STDs!$AA$8)</f>
        <v>66.930814583732101</v>
      </c>
      <c r="AQ6" s="231">
        <f>SQRT(((AO6/IF(F6="Grey",STDs!$AA$9,STDs!$AA$8))^2)+(((AN6*(IF(F6="Grey",STDs!$AB$9,STDs!$AB$8)))/(IF(F6="Grey",STDs!$AA$9,STDs!$AA$8))))^2)</f>
        <v>3.1039099644988313</v>
      </c>
      <c r="AR6" s="231">
        <f t="shared" si="25"/>
        <v>37.51727274872875</v>
      </c>
      <c r="AS6" s="112">
        <f t="shared" si="26"/>
        <v>2.0721736079013562</v>
      </c>
      <c r="AT6" s="231">
        <f>'Count 2'!AU6</f>
        <v>1.6098389159419018</v>
      </c>
      <c r="AU6" s="265">
        <f t="shared" si="27"/>
        <v>38.051607872582537</v>
      </c>
      <c r="AV6" s="266">
        <f t="shared" si="28"/>
        <v>2.1016862846047033</v>
      </c>
      <c r="AW6" s="231">
        <f t="shared" si="29"/>
        <v>5.5232522411202467E-2</v>
      </c>
      <c r="AX6" s="231">
        <f t="shared" si="30"/>
        <v>3.6682036501392394E-2</v>
      </c>
      <c r="AY6" s="295">
        <f t="shared" ref="AY6" si="45">AU6</f>
        <v>38.051607872582537</v>
      </c>
      <c r="AZ6" s="296">
        <f t="shared" ref="AZ6" si="46">AV6</f>
        <v>2.1016862846047033</v>
      </c>
      <c r="BA6" s="344">
        <f t="shared" ref="BA6" si="47">AZ6/AY6</f>
        <v>5.5232522411202467E-2</v>
      </c>
      <c r="BB6" s="231">
        <f t="shared" si="34"/>
        <v>3.3318491400103914E-2</v>
      </c>
      <c r="BC6" s="231">
        <f t="shared" si="35"/>
        <v>0.20160692678290953</v>
      </c>
      <c r="BD6" s="247">
        <f t="shared" si="36"/>
        <v>0.59420563790691716</v>
      </c>
      <c r="BE6" s="112">
        <f t="shared" si="37"/>
        <v>2.5332471842671063</v>
      </c>
      <c r="BF6" s="112">
        <f>BD6/(IF(F6="Grey",STDs!$Y$9,STDs!$Y$8))</f>
        <v>4.3359145511515607</v>
      </c>
      <c r="BG6" s="112">
        <f>SQRT(((BE6/IF(F6="Grey",STDs!$Y$9,STDs!$Y$8))^2)+(((BD6*(IF(F6="Grey",STDs!$Z$9,STDs!$Y$8)))/(IF(F6="Grey",STDs!$Y$9,STDs!$Y$8)^2))^2))</f>
        <v>18.986801263857785</v>
      </c>
      <c r="BH6" s="112">
        <f t="shared" si="38"/>
        <v>2.4304453762060318</v>
      </c>
      <c r="BI6" s="112">
        <f t="shared" si="39"/>
        <v>10.643075580149709</v>
      </c>
      <c r="BJ6" s="112">
        <v>0.05</v>
      </c>
      <c r="BK6" s="265">
        <f t="shared" si="40"/>
        <v>2.4250519888095474</v>
      </c>
      <c r="BL6" s="266">
        <f t="shared" si="41"/>
        <v>10.619457592164554</v>
      </c>
      <c r="BM6" s="291">
        <f t="shared" si="42"/>
        <v>2.4250519888095474</v>
      </c>
      <c r="BN6" s="292">
        <f t="shared" si="43"/>
        <v>10.619457592164554</v>
      </c>
      <c r="BO6" s="344">
        <f t="shared" si="44"/>
        <v>4.3790638885963107</v>
      </c>
    </row>
    <row r="7" spans="1:67" s="118" customFormat="1" ht="34">
      <c r="A7" s="113" t="str">
        <f>Samples!A7</f>
        <v>HE541_19-16-MUC-PW</v>
      </c>
      <c r="B7" s="113">
        <f>Samples!B7</f>
        <v>24</v>
      </c>
      <c r="C7" s="114">
        <f>Samples!C7</f>
        <v>43723</v>
      </c>
      <c r="D7" s="115">
        <f>Samples!D7</f>
        <v>0.65972222222222221</v>
      </c>
      <c r="E7" s="115" t="str">
        <f>Samples!G7</f>
        <v>Porewater</v>
      </c>
      <c r="F7" s="115" t="str">
        <f>Samples!M7</f>
        <v>Grey</v>
      </c>
      <c r="G7" s="142">
        <f>Samples!I7</f>
        <v>0.36</v>
      </c>
      <c r="H7" s="114">
        <f>Samples!J7</f>
        <v>43723</v>
      </c>
      <c r="I7" s="115">
        <f>Samples!K7</f>
        <v>0.81388888888888899</v>
      </c>
      <c r="J7" s="214">
        <f>Samples!L7</f>
        <v>688</v>
      </c>
      <c r="K7" s="116">
        <f>H7+I7+(Samples!L7/(60*24))</f>
        <v>43724.291666666664</v>
      </c>
      <c r="L7" s="116">
        <f>Samples!P7</f>
        <v>1.7509999999999999</v>
      </c>
      <c r="M7" s="203">
        <f>Samples!N7</f>
        <v>0.02</v>
      </c>
      <c r="N7" s="203">
        <f>Samples!O7</f>
        <v>0.45700000000000002</v>
      </c>
      <c r="O7" s="239">
        <f t="shared" si="0"/>
        <v>0.96241505369155</v>
      </c>
      <c r="P7" s="239">
        <f t="shared" si="1"/>
        <v>0.88720388217432511</v>
      </c>
      <c r="Q7" s="117">
        <f t="shared" si="2"/>
        <v>5.0448569251613902E-2</v>
      </c>
      <c r="R7" s="222">
        <f t="shared" si="3"/>
        <v>1204.6879999999999</v>
      </c>
      <c r="S7" s="118">
        <f t="shared" si="4"/>
        <v>2.5772935146127839E-2</v>
      </c>
      <c r="T7" s="118">
        <f t="shared" si="5"/>
        <v>0.11279183871390738</v>
      </c>
      <c r="U7" s="118">
        <f t="shared" si="6"/>
        <v>5.7438534646173225E-2</v>
      </c>
      <c r="V7" s="228">
        <f t="shared" si="7"/>
        <v>314.416</v>
      </c>
      <c r="W7" s="118">
        <f t="shared" si="8"/>
        <v>5.3916386601719204E-3</v>
      </c>
      <c r="X7" s="118">
        <f t="shared" si="9"/>
        <v>0.53916386601719213</v>
      </c>
      <c r="Y7" s="118">
        <f t="shared" si="10"/>
        <v>0.20447991226897144</v>
      </c>
      <c r="Z7" s="228">
        <f t="shared" si="11"/>
        <v>13.76</v>
      </c>
      <c r="AA7" s="118">
        <f t="shared" si="12"/>
        <v>1.6440208253145065E-2</v>
      </c>
      <c r="AB7" s="118">
        <f t="shared" si="13"/>
        <v>1.4781700901366351E-3</v>
      </c>
      <c r="AC7" s="118">
        <f t="shared" si="14"/>
        <v>1.2739999999999998</v>
      </c>
      <c r="AD7" s="118">
        <f t="shared" si="15"/>
        <v>5.690669638121032E-2</v>
      </c>
      <c r="AE7" s="118">
        <f t="shared" si="16"/>
        <v>1.4709266951100643E-4</v>
      </c>
      <c r="AF7" s="118">
        <f t="shared" si="17"/>
        <v>5.6970337136003161E-5</v>
      </c>
      <c r="AG7" s="118">
        <f t="shared" si="18"/>
        <v>1.290440208253145</v>
      </c>
      <c r="AH7" s="118">
        <f t="shared" si="19"/>
        <v>0.36443310402925355</v>
      </c>
      <c r="AI7" s="250">
        <f t="shared" si="20"/>
        <v>0.44055979174685495</v>
      </c>
      <c r="AJ7" s="118">
        <f t="shared" si="21"/>
        <v>2.5815289517297422E-2</v>
      </c>
      <c r="AK7" s="250">
        <f t="shared" si="22"/>
        <v>1.9852907330488993E-2</v>
      </c>
      <c r="AL7" s="118">
        <f t="shared" si="23"/>
        <v>5.3919396381240997E-3</v>
      </c>
      <c r="AM7" s="118">
        <f>((((IF(F7="Grey",STDs!$Y$9,STDs!$Y$8))*2)*(M7-AE7))^2*0.01)/((1+(((IF(F7="Grey",STDs!$Y$9,STDs!$Y$8))*2)*(M7-AE7))*0.01))</f>
        <v>3.6541960895838899E-7</v>
      </c>
      <c r="AN7" s="250">
        <f>AI7-AM7-IF(F7="Grey",Blanks!$M$6,Blanks!$M$5)</f>
        <v>0.42041656918438886</v>
      </c>
      <c r="AO7" s="119">
        <f t="shared" si="24"/>
        <v>2.5815289517297422E-2</v>
      </c>
      <c r="AP7" s="119">
        <f>AN7/IF(F7="Grey",STDs!$AA$9,STDs!$AA$8)</f>
        <v>3.3092770168302041</v>
      </c>
      <c r="AQ7" s="119">
        <f>SQRT(((AO7/IF(F7="Grey",STDs!$AA$9,STDs!$AA$8))^2)+(((AN7*(IF(F7="Grey",STDs!$AB$9,STDs!$AB$8)))/(IF(F7="Grey",STDs!$AA$9,STDs!$AA$8))))^2)</f>
        <v>0.20464973184578028</v>
      </c>
      <c r="AR7" s="119">
        <f t="shared" si="25"/>
        <v>919.24361578616777</v>
      </c>
      <c r="AS7" s="118">
        <f t="shared" si="26"/>
        <v>63.183116006139194</v>
      </c>
      <c r="AT7" s="119">
        <f>'Count 2'!AU7</f>
        <v>-108.60845299691</v>
      </c>
      <c r="AU7" s="329">
        <f>(AR7-AT7)/P7</f>
        <v>1158.5297240404961</v>
      </c>
      <c r="AV7" s="330">
        <f t="shared" si="28"/>
        <v>79.630161900018663</v>
      </c>
      <c r="AW7" s="119">
        <f t="shared" si="29"/>
        <v>6.8733809972781681E-2</v>
      </c>
      <c r="AX7" s="119">
        <f t="shared" si="30"/>
        <v>5.7438534646173225E-2</v>
      </c>
      <c r="AY7" s="295">
        <f t="shared" ref="AY7:AY37" si="48">AU7</f>
        <v>1158.5297240404961</v>
      </c>
      <c r="AZ7" s="296">
        <f t="shared" ref="AZ7:AZ37" si="49">AV7</f>
        <v>79.630161900018663</v>
      </c>
      <c r="BA7" s="344">
        <f t="shared" ref="BA7:BA37" si="50">AZ7/AY7</f>
        <v>6.8733809972781681E-2</v>
      </c>
      <c r="BB7" s="119">
        <f t="shared" si="34"/>
        <v>5.6395919356953698E-2</v>
      </c>
      <c r="BC7" s="119">
        <f t="shared" si="35"/>
        <v>1.12342746895448E-2</v>
      </c>
      <c r="BD7" s="339">
        <f t="shared" si="36"/>
        <v>8.6186326409441929E-3</v>
      </c>
      <c r="BE7" s="118">
        <f t="shared" si="37"/>
        <v>5.4319755734748374E-3</v>
      </c>
      <c r="BF7" s="118">
        <f>BD7/(IF(F7="Grey",STDs!$Y$9,STDs!$Y$8))</f>
        <v>5.6608732390279505E-2</v>
      </c>
      <c r="BG7" s="118">
        <f>SQRT(((BE7/IF(F7="Grey",STDs!$Y$9,STDs!$Y$8))^2)+(((BD7*(IF(F7="Grey",STDs!$Z$9,STDs!$Y$8)))/(IF(F7="Grey",STDs!$Y$9,STDs!$Y$8)^2))^2))</f>
        <v>4.0487391717503519E-2</v>
      </c>
      <c r="BH7" s="118">
        <f t="shared" si="38"/>
        <v>15.724647886188754</v>
      </c>
      <c r="BI7" s="118">
        <f t="shared" si="39"/>
        <v>11.256387013448734</v>
      </c>
      <c r="BJ7" s="118">
        <v>0.05</v>
      </c>
      <c r="BK7" s="329">
        <f t="shared" si="40"/>
        <v>16.286785858206674</v>
      </c>
      <c r="BL7" s="330">
        <f t="shared" si="41"/>
        <v>11.658789828048265</v>
      </c>
      <c r="BM7" s="295">
        <f t="shared" si="42"/>
        <v>16.286785858206674</v>
      </c>
      <c r="BN7" s="296">
        <f t="shared" si="43"/>
        <v>11.658789828048265</v>
      </c>
      <c r="BO7" s="344">
        <f t="shared" si="44"/>
        <v>0.71584350218330961</v>
      </c>
    </row>
    <row r="8" spans="1:67" s="112" customFormat="1" ht="34">
      <c r="A8" s="107" t="str">
        <f>Samples!A8</f>
        <v>HE541_26-4-MUC</v>
      </c>
      <c r="B8" s="107">
        <f>Samples!B8</f>
        <v>52</v>
      </c>
      <c r="C8" s="108">
        <f>Samples!C8</f>
        <v>43724</v>
      </c>
      <c r="D8" s="109">
        <f>Samples!D8</f>
        <v>0.53819444444444442</v>
      </c>
      <c r="E8" s="109" t="str">
        <f>Samples!G8</f>
        <v>Surface water</v>
      </c>
      <c r="F8" s="109" t="str">
        <f>Samples!M8</f>
        <v>Orange</v>
      </c>
      <c r="G8" s="140">
        <f>Samples!I8</f>
        <v>194.9</v>
      </c>
      <c r="H8" s="108">
        <f>Samples!J8</f>
        <v>43724</v>
      </c>
      <c r="I8" s="109">
        <f>Samples!K8</f>
        <v>0.71250000000000002</v>
      </c>
      <c r="J8" s="212">
        <f>Samples!L8</f>
        <v>104</v>
      </c>
      <c r="K8" s="110">
        <f>H8+I8+(Samples!L8/(60*24))</f>
        <v>43724.784722222226</v>
      </c>
      <c r="L8" s="110">
        <f>Samples!P8</f>
        <v>19.927</v>
      </c>
      <c r="M8" s="201">
        <f>Samples!N8</f>
        <v>0.84199999999999997</v>
      </c>
      <c r="N8" s="201">
        <f>Samples!O8</f>
        <v>8.4420000000000002</v>
      </c>
      <c r="O8" s="237">
        <f t="shared" si="0"/>
        <v>0.9851662166737849</v>
      </c>
      <c r="P8" s="237">
        <f t="shared" si="1"/>
        <v>0.95438460974794659</v>
      </c>
      <c r="Q8" s="111">
        <f t="shared" si="2"/>
        <v>0.43772796258723201</v>
      </c>
      <c r="R8" s="220">
        <f t="shared" si="3"/>
        <v>2072.4079999999999</v>
      </c>
      <c r="S8" s="112">
        <f t="shared" si="4"/>
        <v>0.28490889232011862</v>
      </c>
      <c r="T8" s="112">
        <f t="shared" si="5"/>
        <v>6.7497960748665847E-2</v>
      </c>
      <c r="U8" s="112">
        <f t="shared" si="6"/>
        <v>3.66093540981587E-2</v>
      </c>
      <c r="V8" s="219">
        <f t="shared" si="7"/>
        <v>877.96800000000007</v>
      </c>
      <c r="W8" s="112">
        <f t="shared" si="8"/>
        <v>8.9978629941524696E-2</v>
      </c>
      <c r="X8" s="112">
        <f t="shared" si="9"/>
        <v>0.21372596185635323</v>
      </c>
      <c r="Y8" s="112">
        <f t="shared" si="10"/>
        <v>2.4056177808904324E-2</v>
      </c>
      <c r="Z8" s="219">
        <f t="shared" si="11"/>
        <v>87.567999999999998</v>
      </c>
      <c r="AA8" s="112">
        <f t="shared" si="12"/>
        <v>1.2676505366115691</v>
      </c>
      <c r="AB8" s="112">
        <f t="shared" si="13"/>
        <v>0.13376571333916876</v>
      </c>
      <c r="AC8" s="112">
        <f t="shared" si="14"/>
        <v>10.642999999999999</v>
      </c>
      <c r="AD8" s="112">
        <f t="shared" si="15"/>
        <v>0.52997641456955424</v>
      </c>
      <c r="AE8" s="112">
        <f t="shared" si="16"/>
        <v>8.1815710863339039E-3</v>
      </c>
      <c r="AF8" s="112">
        <f t="shared" si="17"/>
        <v>2.1263470931792106</v>
      </c>
      <c r="AG8" s="112">
        <f t="shared" si="18"/>
        <v>11.910650536611568</v>
      </c>
      <c r="AH8" s="112">
        <f t="shared" si="19"/>
        <v>194.90074569408969</v>
      </c>
      <c r="AI8" s="248">
        <f t="shared" si="20"/>
        <v>7.174349463388431</v>
      </c>
      <c r="AJ8" s="112">
        <f t="shared" si="21"/>
        <v>0.31474806272352751</v>
      </c>
      <c r="AK8" s="248">
        <f t="shared" si="22"/>
        <v>0.83381842891366609</v>
      </c>
      <c r="AL8" s="112">
        <f t="shared" si="23"/>
        <v>2.128250012220799</v>
      </c>
      <c r="AM8" s="112">
        <f>((((IF(F8="Grey",STDs!$Y$9,STDs!$Y$8))*2)*(M8-AE8))^2*0.01)/((1+(((IF(F8="Grey",STDs!$Y$9,STDs!$Y$8))*2)*(M8-AE8))*0.01))</f>
        <v>5.2110313216610703E-4</v>
      </c>
      <c r="AN8" s="248">
        <f>AI8-AM8-IF(F8="Grey",Blanks!$M$6,Blanks!$M$5)</f>
        <v>7.1613997888276941</v>
      </c>
      <c r="AO8" s="231">
        <f t="shared" si="24"/>
        <v>0.31474806272352751</v>
      </c>
      <c r="AP8" s="231">
        <f>AN8/IF(F8="Grey",STDs!$AA$9,STDs!$AA$8)</f>
        <v>60.725085303508926</v>
      </c>
      <c r="AQ8" s="231">
        <f>SQRT(((AO8/IF(F8="Grey",STDs!$AA$9,STDs!$AA$8))^2)+(((AN8*(IF(F8="Grey",STDs!$AB$9,STDs!$AB$8)))/(IF(F8="Grey",STDs!$AA$9,STDs!$AA$8))))^2)</f>
        <v>2.6854024435809252</v>
      </c>
      <c r="AR8" s="231">
        <f>(AP8/G8)*100</f>
        <v>31.157047359419664</v>
      </c>
      <c r="AS8" s="112">
        <f t="shared" si="26"/>
        <v>1.6649677461008365</v>
      </c>
      <c r="AT8" s="231">
        <f>'Count 2'!AU8</f>
        <v>1.3572879403809812</v>
      </c>
      <c r="AU8" s="265">
        <f t="shared" si="27"/>
        <v>31.224056962641939</v>
      </c>
      <c r="AV8" s="266">
        <f t="shared" si="28"/>
        <v>1.668548599792044</v>
      </c>
      <c r="AW8" s="231">
        <f t="shared" si="29"/>
        <v>5.3437918134353293E-2</v>
      </c>
      <c r="AX8" s="231">
        <f t="shared" si="30"/>
        <v>3.66093540981587E-2</v>
      </c>
      <c r="AY8" s="295">
        <f t="shared" ref="AY8" si="51">AU8</f>
        <v>31.224056962641939</v>
      </c>
      <c r="AZ8" s="296">
        <f t="shared" ref="AZ8" si="52">AV8</f>
        <v>1.668548599792044</v>
      </c>
      <c r="BA8" s="344">
        <f t="shared" ref="BA8" si="53">AZ8/AY8</f>
        <v>5.3437918134353293E-2</v>
      </c>
      <c r="BB8" s="231">
        <f t="shared" si="34"/>
        <v>3.3748980374332931E-2</v>
      </c>
      <c r="BC8" s="231">
        <f t="shared" si="35"/>
        <v>0.18294591131640497</v>
      </c>
      <c r="BD8" s="247">
        <f t="shared" si="36"/>
        <v>0.65087251759726117</v>
      </c>
      <c r="BE8" s="112">
        <f t="shared" si="37"/>
        <v>2.1282651461712563</v>
      </c>
      <c r="BF8" s="112">
        <f>BD8/(IF(F8="Grey",STDs!$Y$9,STDs!$Y$8))</f>
        <v>4.7494123918708153</v>
      </c>
      <c r="BG8" s="112">
        <f>SQRT(((BE8/IF(F8="Grey",STDs!$Y$9,STDs!$Y$8))^2)+(((BD8*(IF(F8="Grey",STDs!$Z$9,STDs!$Y$8)))/(IF(F8="Grey",STDs!$Y$9,STDs!$Y$8)^2))^2))</f>
        <v>16.239945976211494</v>
      </c>
      <c r="BH8" s="112">
        <f t="shared" si="38"/>
        <v>2.4368457628890789</v>
      </c>
      <c r="BI8" s="112">
        <f t="shared" si="39"/>
        <v>8.3327711667610842</v>
      </c>
      <c r="BJ8" s="112">
        <v>0.05</v>
      </c>
      <c r="BK8" s="265">
        <f t="shared" si="40"/>
        <v>2.4227848280747817</v>
      </c>
      <c r="BL8" s="266">
        <f t="shared" si="41"/>
        <v>8.2846899324119008</v>
      </c>
      <c r="BM8" s="291">
        <f t="shared" si="42"/>
        <v>2.4227848280747817</v>
      </c>
      <c r="BN8" s="292">
        <f t="shared" si="43"/>
        <v>8.2846899324119008</v>
      </c>
      <c r="BO8" s="344">
        <f t="shared" si="44"/>
        <v>3.419490594629143</v>
      </c>
    </row>
    <row r="9" spans="1:67" s="126" customFormat="1" ht="48" customHeight="1">
      <c r="A9" s="121" t="str">
        <f>Samples!A9</f>
        <v>HE541-26-4-MUC-OverlyingWater</v>
      </c>
      <c r="B9" s="121">
        <f>Samples!B9</f>
        <v>22</v>
      </c>
      <c r="C9" s="122">
        <f>Samples!C9</f>
        <v>43724</v>
      </c>
      <c r="D9" s="123">
        <f>Samples!D9</f>
        <v>0.625</v>
      </c>
      <c r="E9" s="123" t="str">
        <f>Samples!G9</f>
        <v>Overlying water from sed core (Pre-porewater profile)</v>
      </c>
      <c r="F9" s="123" t="str">
        <f>Samples!M9</f>
        <v>Orange</v>
      </c>
      <c r="G9" s="143">
        <f>Samples!I9</f>
        <v>6.8490000000000002</v>
      </c>
      <c r="H9" s="122">
        <f>Samples!J9</f>
        <v>43724</v>
      </c>
      <c r="I9" s="123">
        <f>Samples!K9</f>
        <v>0.86597222222222225</v>
      </c>
      <c r="J9" s="215">
        <f>Samples!L9</f>
        <v>874</v>
      </c>
      <c r="K9" s="124">
        <f>H9+I9+(Samples!L9/(60*24))</f>
        <v>43725.472916666666</v>
      </c>
      <c r="L9" s="124">
        <f>Samples!P9</f>
        <v>2.2970000000000002</v>
      </c>
      <c r="M9" s="204">
        <f>Samples!N9</f>
        <v>3.4000000000000002E-2</v>
      </c>
      <c r="N9" s="204">
        <f>Samples!O9</f>
        <v>0.45800000000000002</v>
      </c>
      <c r="O9" s="240">
        <f t="shared" si="0"/>
        <v>0.94989668719224296</v>
      </c>
      <c r="P9" s="240">
        <f t="shared" si="1"/>
        <v>0.8516477699046674</v>
      </c>
      <c r="Q9" s="125">
        <f t="shared" si="2"/>
        <v>5.1265450871802981E-2</v>
      </c>
      <c r="R9" s="223">
        <f t="shared" si="3"/>
        <v>2007.5780000000002</v>
      </c>
      <c r="S9" s="126">
        <f t="shared" si="4"/>
        <v>2.2891646073496624E-2</v>
      </c>
      <c r="T9" s="126">
        <f t="shared" si="5"/>
        <v>9.9963519971600981E-2</v>
      </c>
      <c r="U9" s="126">
        <f t="shared" si="6"/>
        <v>5.189689364770448E-2</v>
      </c>
      <c r="V9" s="229">
        <f t="shared" si="7"/>
        <v>400.29200000000003</v>
      </c>
      <c r="W9" s="126">
        <f t="shared" si="8"/>
        <v>6.2371148643153599E-3</v>
      </c>
      <c r="X9" s="126">
        <f t="shared" si="9"/>
        <v>0.36688910966560945</v>
      </c>
      <c r="Y9" s="126">
        <f t="shared" si="10"/>
        <v>0.12156186163101011</v>
      </c>
      <c r="Z9" s="229">
        <f t="shared" si="11"/>
        <v>29.716000000000001</v>
      </c>
      <c r="AA9" s="126">
        <f t="shared" si="12"/>
        <v>3.3179133357095582E-2</v>
      </c>
      <c r="AB9" s="126">
        <f t="shared" si="13"/>
        <v>2.0958475638889027E-3</v>
      </c>
      <c r="AC9" s="126">
        <f t="shared" si="14"/>
        <v>1.8050000000000002</v>
      </c>
      <c r="AD9" s="126">
        <f t="shared" si="15"/>
        <v>5.6489605370139931E-2</v>
      </c>
      <c r="AE9" s="126">
        <f t="shared" si="16"/>
        <v>2.9200759088109774E-4</v>
      </c>
      <c r="AF9" s="126">
        <f t="shared" si="17"/>
        <v>2.1492568021591707E-3</v>
      </c>
      <c r="AG9" s="126">
        <f t="shared" si="18"/>
        <v>1.8381791333570956</v>
      </c>
      <c r="AH9" s="126">
        <f t="shared" si="19"/>
        <v>6.8492304360774767</v>
      </c>
      <c r="AI9" s="251">
        <f t="shared" si="20"/>
        <v>0.42482086664290442</v>
      </c>
      <c r="AJ9" s="126">
        <f t="shared" si="21"/>
        <v>2.2987388650416392E-2</v>
      </c>
      <c r="AK9" s="251">
        <f t="shared" si="22"/>
        <v>3.3707992409118905E-2</v>
      </c>
      <c r="AL9" s="126">
        <f t="shared" si="23"/>
        <v>6.5970377164520652E-3</v>
      </c>
      <c r="AM9" s="126">
        <f>((((IF(F9="Grey",STDs!$Y$9,STDs!$Y$8))*2)*(M9-AE9))^2*0.01)/((1+(((IF(F9="Grey",STDs!$Y$9,STDs!$Y$8))*2)*(M9-AE9))*0.01))</f>
        <v>8.5348865118300102E-7</v>
      </c>
      <c r="AN9" s="251">
        <f>AI9-AM9-IF(F9="Grey",Blanks!$M$6,Blanks!$M$5)</f>
        <v>0.41239144172568176</v>
      </c>
      <c r="AO9" s="319">
        <f t="shared" si="24"/>
        <v>2.2987388650416392E-2</v>
      </c>
      <c r="AP9" s="319">
        <f>AN9/IF(F9="Grey",STDs!$AA$9,STDs!$AA$8)</f>
        <v>3.4968729879174165</v>
      </c>
      <c r="AQ9" s="319">
        <f>SQRT(((AO9/IF(F9="Grey",STDs!$AA$9,STDs!$AA$8))^2)+(((AN9*(IF(F9="Grey",STDs!$AB$9,STDs!$AB$8)))/(IF(F9="Grey",STDs!$AA$9,STDs!$AA$8))))^2)</f>
        <v>0.19567142962710479</v>
      </c>
      <c r="AR9" s="319">
        <f t="shared" si="25"/>
        <v>51.05669423152893</v>
      </c>
      <c r="AS9" s="126">
        <f t="shared" si="26"/>
        <v>3.2416324543977257</v>
      </c>
      <c r="AT9" s="319">
        <f>'Count 2'!AU9</f>
        <v>7.7943630075178758</v>
      </c>
      <c r="AU9" s="331">
        <f t="shared" si="27"/>
        <v>50.798384910763986</v>
      </c>
      <c r="AV9" s="332">
        <f t="shared" si="28"/>
        <v>3.2252321783894917</v>
      </c>
      <c r="AW9" s="319">
        <f t="shared" si="29"/>
        <v>6.3490840979593371E-2</v>
      </c>
      <c r="AX9" s="319">
        <f t="shared" si="30"/>
        <v>5.189689364770448E-2</v>
      </c>
      <c r="AY9" s="297">
        <f t="shared" si="48"/>
        <v>50.798384910763986</v>
      </c>
      <c r="AZ9" s="298">
        <f t="shared" si="49"/>
        <v>3.2252321783894917</v>
      </c>
      <c r="BA9" s="344">
        <f t="shared" si="50"/>
        <v>6.3490840979593371E-2</v>
      </c>
      <c r="BB9" s="319">
        <f t="shared" si="34"/>
        <v>4.998175998580049E-2</v>
      </c>
      <c r="BC9" s="319">
        <f t="shared" si="35"/>
        <v>1.0832932099394062E-2</v>
      </c>
      <c r="BD9" s="340">
        <f t="shared" si="36"/>
        <v>2.2875060309724842E-2</v>
      </c>
      <c r="BE9" s="126">
        <f t="shared" si="37"/>
        <v>6.6230288963077732E-3</v>
      </c>
      <c r="BF9" s="126">
        <f>BD9/(IF(F9="Grey",STDs!$Y$9,STDs!$Y$8))</f>
        <v>0.16691916152930003</v>
      </c>
      <c r="BG9" s="126">
        <f>SQRT(((BE9/IF(F9="Grey",STDs!$Y$9,STDs!$Y$8))^2)+(((BD9*(IF(F9="Grey",STDs!$Z$9,STDs!$Y$8)))/(IF(F9="Grey",STDs!$Y$9,STDs!$Y$8)^2))^2))</f>
        <v>0.17377462746170469</v>
      </c>
      <c r="BH9" s="126">
        <f t="shared" si="38"/>
        <v>2.4371318663936341</v>
      </c>
      <c r="BI9" s="126">
        <f t="shared" si="39"/>
        <v>2.5382794985453381</v>
      </c>
      <c r="BJ9" s="126">
        <v>0.05</v>
      </c>
      <c r="BK9" s="331">
        <f t="shared" si="40"/>
        <v>2.5130436799918212</v>
      </c>
      <c r="BL9" s="332">
        <f t="shared" si="41"/>
        <v>2.6173418598441551</v>
      </c>
      <c r="BM9" s="297">
        <f t="shared" si="42"/>
        <v>2.5130436799918212</v>
      </c>
      <c r="BN9" s="298">
        <f t="shared" si="43"/>
        <v>2.6173418598441551</v>
      </c>
      <c r="BO9" s="344">
        <f t="shared" si="44"/>
        <v>1.041502732595827</v>
      </c>
    </row>
    <row r="10" spans="1:67" s="132" customFormat="1" ht="51">
      <c r="A10" s="127" t="str">
        <f>Samples!A10</f>
        <v>HE541-19-PostFlux-OverlyingWater</v>
      </c>
      <c r="B10" s="127">
        <f>Samples!B10</f>
        <v>39</v>
      </c>
      <c r="C10" s="128">
        <f>Samples!C10</f>
        <v>43724</v>
      </c>
      <c r="D10" s="129">
        <f>Samples!D10</f>
        <v>0.55208333333333337</v>
      </c>
      <c r="E10" s="129" t="str">
        <f>Samples!G10</f>
        <v>Overlying water from sed core (post O2 flux)</v>
      </c>
      <c r="F10" s="129" t="str">
        <f>Samples!M10</f>
        <v>Grey</v>
      </c>
      <c r="G10" s="144">
        <f>Samples!I10</f>
        <v>4.4109999999999996</v>
      </c>
      <c r="H10" s="128">
        <f>Samples!J10</f>
        <v>43724</v>
      </c>
      <c r="I10" s="129">
        <f>Samples!K10</f>
        <v>0.86597222222222225</v>
      </c>
      <c r="J10" s="216">
        <f>Samples!L10</f>
        <v>626</v>
      </c>
      <c r="K10" s="130">
        <f>H10+I10+(Samples!L10/(60*24))</f>
        <v>43725.300694444442</v>
      </c>
      <c r="L10" s="130">
        <f>Samples!P10</f>
        <v>3.21</v>
      </c>
      <c r="M10" s="205">
        <f>Samples!N10</f>
        <v>7.0000000000000007E-2</v>
      </c>
      <c r="N10" s="205">
        <f>Samples!O10</f>
        <v>1.0309999999999999</v>
      </c>
      <c r="O10" s="241">
        <f t="shared" si="0"/>
        <v>0.95563236948041885</v>
      </c>
      <c r="P10" s="241">
        <f t="shared" si="1"/>
        <v>0.86781621320678859</v>
      </c>
      <c r="Q10" s="131">
        <f t="shared" si="2"/>
        <v>7.1608627463152441E-2</v>
      </c>
      <c r="R10" s="224">
        <f t="shared" si="3"/>
        <v>2009.46</v>
      </c>
      <c r="S10" s="132">
        <f t="shared" si="4"/>
        <v>4.0582814789391235E-2</v>
      </c>
      <c r="T10" s="132">
        <f t="shared" si="5"/>
        <v>7.8725149930923832E-2</v>
      </c>
      <c r="U10" s="132">
        <f t="shared" si="6"/>
        <v>4.0259711196923106E-2</v>
      </c>
      <c r="V10" s="230">
        <f t="shared" si="7"/>
        <v>645.40599999999995</v>
      </c>
      <c r="W10" s="132">
        <f t="shared" si="8"/>
        <v>1.0574548986220681E-2</v>
      </c>
      <c r="X10" s="132">
        <f t="shared" si="9"/>
        <v>0.3021299710348766</v>
      </c>
      <c r="Y10" s="132">
        <f t="shared" si="10"/>
        <v>8.4555823033713229E-2</v>
      </c>
      <c r="Z10" s="230">
        <f t="shared" si="11"/>
        <v>43.820000000000007</v>
      </c>
      <c r="AA10" s="132">
        <f t="shared" si="12"/>
        <v>4.5437077974481842E-2</v>
      </c>
      <c r="AB10" s="132">
        <f t="shared" si="13"/>
        <v>3.61425622420233E-3</v>
      </c>
      <c r="AC10" s="132">
        <f t="shared" si="14"/>
        <v>2.1090000000000004</v>
      </c>
      <c r="AD10" s="132">
        <f t="shared" si="15"/>
        <v>8.2985429261097171E-2</v>
      </c>
      <c r="AE10" s="132">
        <f t="shared" si="16"/>
        <v>3.960971653261616E-4</v>
      </c>
      <c r="AF10" s="132">
        <f t="shared" si="17"/>
        <v>1.8899838056977416E-3</v>
      </c>
      <c r="AG10" s="132">
        <f t="shared" si="18"/>
        <v>2.1544370779744821</v>
      </c>
      <c r="AH10" s="132">
        <f t="shared" si="19"/>
        <v>4.4117693529049582</v>
      </c>
      <c r="AI10" s="252">
        <f t="shared" si="20"/>
        <v>0.9855629220255181</v>
      </c>
      <c r="AJ10" s="132">
        <f t="shared" si="21"/>
        <v>4.0743437560964553E-2</v>
      </c>
      <c r="AK10" s="252">
        <f t="shared" si="22"/>
        <v>6.9603902834673839E-2</v>
      </c>
      <c r="AL10" s="132">
        <f t="shared" si="23"/>
        <v>1.0742119206552334E-2</v>
      </c>
      <c r="AM10" s="132">
        <f>((((IF(F10="Grey",STDs!$Y$9,STDs!$Y$8))*2)*(M10-AE10))^2*0.01)/((1+(((IF(F10="Grey",STDs!$Y$9,STDs!$Y$8))*2)*(M10-AE10))*0.01))</f>
        <v>4.4910203109043128E-6</v>
      </c>
      <c r="AN10" s="252">
        <f>AI10-AM10-IF(F10="Grey",Blanks!$M$6,Blanks!$M$5)</f>
        <v>0.96541557386235011</v>
      </c>
      <c r="AO10" s="320">
        <f t="shared" si="24"/>
        <v>4.0743437560964553E-2</v>
      </c>
      <c r="AP10" s="320">
        <f>AN10/IF(F10="Grey",STDs!$AA$9,STDs!$AA$8)</f>
        <v>7.59919518983423</v>
      </c>
      <c r="AQ10" s="320">
        <f>SQRT(((AO10/IF(F10="Grey",STDs!$AA$9,STDs!$AA$8))^2)+(((AN10*(IF(F10="Grey",STDs!$AB$9,STDs!$AB$8)))/(IF(F10="Grey",STDs!$AA$9,STDs!$AA$8))))^2)</f>
        <v>0.32552330989089806</v>
      </c>
      <c r="AR10" s="320">
        <f t="shared" si="25"/>
        <v>172.27828587246046</v>
      </c>
      <c r="AS10" s="132">
        <f t="shared" si="26"/>
        <v>9.0096274117498076</v>
      </c>
      <c r="AT10" s="320">
        <f>'Count 2'!AU10</f>
        <v>-7.2035669183595488</v>
      </c>
      <c r="AU10" s="333">
        <f t="shared" si="27"/>
        <v>206.82011935175953</v>
      </c>
      <c r="AV10" s="334">
        <f t="shared" si="28"/>
        <v>10.816059651257818</v>
      </c>
      <c r="AW10" s="320">
        <f t="shared" si="29"/>
        <v>5.2296941347673584E-2</v>
      </c>
      <c r="AX10" s="320">
        <f t="shared" si="30"/>
        <v>4.0259711196923106E-2</v>
      </c>
      <c r="AY10" s="299">
        <f t="shared" si="48"/>
        <v>206.82011935175953</v>
      </c>
      <c r="AZ10" s="300">
        <f t="shared" si="49"/>
        <v>10.816059651257818</v>
      </c>
      <c r="BA10" s="344">
        <f t="shared" si="50"/>
        <v>5.2296941347673584E-2</v>
      </c>
      <c r="BB10" s="320">
        <f t="shared" si="34"/>
        <v>3.9362574965461916E-2</v>
      </c>
      <c r="BC10" s="320">
        <f t="shared" si="35"/>
        <v>2.513185451165071E-2</v>
      </c>
      <c r="BD10" s="341">
        <f t="shared" si="36"/>
        <v>4.4472048323023129E-2</v>
      </c>
      <c r="BE10" s="132">
        <f t="shared" si="37"/>
        <v>1.0792245274385277E-2</v>
      </c>
      <c r="BF10" s="132">
        <f>BD10/(IF(F10="Grey",STDs!$Y$9,STDs!$Y$8))</f>
        <v>0.29210042790381602</v>
      </c>
      <c r="BG10" s="132">
        <f>SQRT(((BE10/IF(F10="Grey",STDs!$Y$9,STDs!$Y$8))^2)+(((BD10*(IF(F10="Grey",STDs!$Z$9,STDs!$Y$8)))/(IF(F10="Grey",STDs!$Y$9,STDs!$Y$8)^2))^2))</f>
        <v>0.12156287386124938</v>
      </c>
      <c r="BH10" s="132">
        <f t="shared" si="38"/>
        <v>6.6220908615691689</v>
      </c>
      <c r="BI10" s="132">
        <f t="shared" si="39"/>
        <v>2.7630539789850923</v>
      </c>
      <c r="BJ10" s="132">
        <v>0.05</v>
      </c>
      <c r="BK10" s="333">
        <f t="shared" si="40"/>
        <v>6.8772166697769368</v>
      </c>
      <c r="BL10" s="334">
        <f t="shared" si="41"/>
        <v>2.8695047049334859</v>
      </c>
      <c r="BM10" s="299">
        <f t="shared" si="42"/>
        <v>6.8772166697769368</v>
      </c>
      <c r="BN10" s="300">
        <f t="shared" si="43"/>
        <v>2.8695047049334859</v>
      </c>
      <c r="BO10" s="344">
        <f t="shared" si="44"/>
        <v>0.41724797148590614</v>
      </c>
    </row>
    <row r="11" spans="1:67" s="118" customFormat="1" ht="51">
      <c r="A11" s="113" t="str">
        <f>Samples!A11</f>
        <v>HE541-26-4-MUC-Porewater1</v>
      </c>
      <c r="B11" s="113">
        <f>Samples!B11</f>
        <v>59</v>
      </c>
      <c r="C11" s="114">
        <f>Samples!C11</f>
        <v>43725</v>
      </c>
      <c r="D11" s="115">
        <f>Samples!D11</f>
        <v>0.54166666666666663</v>
      </c>
      <c r="E11" s="115" t="str">
        <f>Samples!G11</f>
        <v>Porewater</v>
      </c>
      <c r="F11" s="115" t="str">
        <f>Samples!M11</f>
        <v>Grey</v>
      </c>
      <c r="G11" s="142">
        <f>Samples!I11</f>
        <v>0.16600000000000001</v>
      </c>
      <c r="H11" s="114">
        <f>Samples!J11</f>
        <v>43725</v>
      </c>
      <c r="I11" s="115">
        <f>Samples!K11</f>
        <v>0.69374999999999998</v>
      </c>
      <c r="J11" s="214">
        <f>Samples!L11</f>
        <v>865</v>
      </c>
      <c r="K11" s="116">
        <f>H11+I11+(Samples!L11/(60*24))</f>
        <v>43726.294444444444</v>
      </c>
      <c r="L11" s="116">
        <f>Samples!P11</f>
        <v>2.6859999999999999</v>
      </c>
      <c r="M11" s="203">
        <f>Samples!N11</f>
        <v>4.7E-2</v>
      </c>
      <c r="N11" s="203">
        <f>Samples!O11</f>
        <v>0.83399999999999996</v>
      </c>
      <c r="O11" s="239">
        <f t="shared" si="0"/>
        <v>0.95539101685053585</v>
      </c>
      <c r="P11" s="239">
        <f t="shared" si="1"/>
        <v>0.86713168782880623</v>
      </c>
      <c r="Q11" s="117">
        <f t="shared" si="2"/>
        <v>5.5724342186684699E-2</v>
      </c>
      <c r="R11" s="222">
        <f t="shared" si="3"/>
        <v>2323.39</v>
      </c>
      <c r="S11" s="119">
        <f t="shared" si="4"/>
        <v>3.1050955697224242E-2</v>
      </c>
      <c r="T11" s="118">
        <f t="shared" si="5"/>
        <v>7.4462723494542554E-2</v>
      </c>
      <c r="U11" s="118">
        <f t="shared" si="6"/>
        <v>3.799480814213161E-2</v>
      </c>
      <c r="V11" s="228">
        <f t="shared" si="7"/>
        <v>721.41</v>
      </c>
      <c r="W11" s="118">
        <f t="shared" si="8"/>
        <v>7.3712454928327367E-3</v>
      </c>
      <c r="X11" s="118">
        <f t="shared" si="9"/>
        <v>0.31367002097160585</v>
      </c>
      <c r="Y11" s="118">
        <f t="shared" si="10"/>
        <v>9.5993834851515594E-2</v>
      </c>
      <c r="Z11" s="228">
        <f t="shared" si="11"/>
        <v>40.655000000000001</v>
      </c>
      <c r="AA11" s="118">
        <f t="shared" si="12"/>
        <v>3.3179133357095575E-2</v>
      </c>
      <c r="AB11" s="118">
        <f t="shared" si="13"/>
        <v>2.3825095618091614E-3</v>
      </c>
      <c r="AC11" s="118">
        <f t="shared" si="14"/>
        <v>1.8049999999999999</v>
      </c>
      <c r="AD11" s="118">
        <f t="shared" si="15"/>
        <v>6.4216037108850918E-2</v>
      </c>
      <c r="AE11" s="118">
        <f t="shared" si="16"/>
        <v>2.9200759088109768E-4</v>
      </c>
      <c r="AF11" s="118">
        <f t="shared" si="17"/>
        <v>5.5808875405729424E-5</v>
      </c>
      <c r="AG11" s="118">
        <f t="shared" si="18"/>
        <v>1.8381791333570956</v>
      </c>
      <c r="AH11" s="118">
        <f t="shared" si="19"/>
        <v>0.17785117518212193</v>
      </c>
      <c r="AI11" s="250">
        <f t="shared" si="20"/>
        <v>0.80082086664290442</v>
      </c>
      <c r="AJ11" s="118">
        <f t="shared" si="21"/>
        <v>3.1142225378464762E-2</v>
      </c>
      <c r="AK11" s="250">
        <f t="shared" si="22"/>
        <v>4.6707992409118902E-2</v>
      </c>
      <c r="AL11" s="118">
        <f t="shared" si="23"/>
        <v>7.3714567587540658E-3</v>
      </c>
      <c r="AM11" s="118">
        <f>((((IF(F11="Grey",STDs!$Y$9,STDs!$Y$8))*2)*(M11-AE11))^2*0.01)/((1+(((IF(F11="Grey",STDs!$Y$9,STDs!$Y$8))*2)*(M11-AE11))*0.01))</f>
        <v>2.0225092175283914E-6</v>
      </c>
      <c r="AN11" s="250">
        <f>AI11-AM11-IF(F11="Grey",Blanks!$M$6,Blanks!$M$5)</f>
        <v>0.78067598699082974</v>
      </c>
      <c r="AO11" s="119">
        <f t="shared" si="24"/>
        <v>3.1142225378464762E-2</v>
      </c>
      <c r="AP11" s="119">
        <f>AN11/IF(F11="Grey",STDs!$AA$9,STDs!$AA$8)</f>
        <v>6.145031596523288</v>
      </c>
      <c r="AQ11" s="119">
        <f>SQRT(((AO11/IF(F11="Grey",STDs!$AA$9,STDs!$AA$8))^2)+(((AN11*(IF(F11="Grey",STDs!$AB$9,STDs!$AB$8)))/(IF(F11="Grey",STDs!$AA$9,STDs!$AA$8))))^2)</f>
        <v>0.24924879621794274</v>
      </c>
      <c r="AR11" s="119">
        <f t="shared" si="25"/>
        <v>3701.8262629658361</v>
      </c>
      <c r="AS11" s="118">
        <f t="shared" si="26"/>
        <v>186.75693172723092</v>
      </c>
      <c r="AT11" s="119">
        <f>'Count 2'!AU11</f>
        <v>-139.36423404707088</v>
      </c>
      <c r="AU11" s="329">
        <f t="shared" si="27"/>
        <v>4429.7660331509596</v>
      </c>
      <c r="AV11" s="330">
        <f t="shared" si="28"/>
        <v>223.48145316738095</v>
      </c>
      <c r="AW11" s="119">
        <f t="shared" si="29"/>
        <v>5.0449945097532659E-2</v>
      </c>
      <c r="AX11" s="119">
        <f t="shared" si="30"/>
        <v>3.799480814213161E-2</v>
      </c>
      <c r="AY11" s="295">
        <f t="shared" si="48"/>
        <v>4429.7660331509596</v>
      </c>
      <c r="AZ11" s="296">
        <f t="shared" si="49"/>
        <v>223.48145316738095</v>
      </c>
      <c r="BA11" s="344">
        <f t="shared" si="50"/>
        <v>5.0449945097532659E-2</v>
      </c>
      <c r="BB11" s="119">
        <f t="shared" si="34"/>
        <v>3.7231361747271277E-2</v>
      </c>
      <c r="BC11" s="119">
        <f t="shared" si="35"/>
        <v>2.0420932099394062E-2</v>
      </c>
      <c r="BD11" s="339">
        <f t="shared" si="36"/>
        <v>2.6287060309724841E-2</v>
      </c>
      <c r="BE11" s="118">
        <f t="shared" si="37"/>
        <v>7.4141089846805862E-3</v>
      </c>
      <c r="BF11" s="118">
        <f>BD11/(IF(F11="Grey",STDs!$Y$9,STDs!$Y$8))</f>
        <v>0.17265814942976021</v>
      </c>
      <c r="BG11" s="118">
        <f>SQRT(((BE11/IF(F11="Grey",STDs!$Y$9,STDs!$Y$8))^2)+(((BD11*(IF(F11="Grey",STDs!$Z$9,STDs!$Y$8)))/(IF(F11="Grey",STDs!$Y$9,STDs!$Y$8)^2))^2))</f>
        <v>7.6019338112896365E-2</v>
      </c>
      <c r="BH11" s="118">
        <f t="shared" si="38"/>
        <v>104.01093339142182</v>
      </c>
      <c r="BI11" s="118">
        <f t="shared" si="39"/>
        <v>45.90096409525669</v>
      </c>
      <c r="BJ11" s="118">
        <v>0.05</v>
      </c>
      <c r="BK11" s="329">
        <f t="shared" si="40"/>
        <v>108.8150626893384</v>
      </c>
      <c r="BL11" s="330">
        <f t="shared" si="41"/>
        <v>48.021069734370464</v>
      </c>
      <c r="BM11" s="295">
        <f t="shared" si="42"/>
        <v>108.8150626893384</v>
      </c>
      <c r="BN11" s="296">
        <f t="shared" si="43"/>
        <v>48.021069734370464</v>
      </c>
      <c r="BO11" s="344">
        <f t="shared" si="44"/>
        <v>0.44130902972016134</v>
      </c>
    </row>
    <row r="12" spans="1:67" s="118" customFormat="1" ht="51">
      <c r="A12" s="113" t="str">
        <f>Samples!A12</f>
        <v>HE541-26-4-MUC-Porewater2</v>
      </c>
      <c r="B12" s="113">
        <f>Samples!B12</f>
        <v>58</v>
      </c>
      <c r="C12" s="114">
        <f>Samples!C12</f>
        <v>43725</v>
      </c>
      <c r="D12" s="115">
        <f>Samples!D12</f>
        <v>0.70833333333333337</v>
      </c>
      <c r="E12" s="115" t="str">
        <f>Samples!G12</f>
        <v>Porewater</v>
      </c>
      <c r="F12" s="115" t="str">
        <f>Samples!M12</f>
        <v>Orange</v>
      </c>
      <c r="G12" s="142">
        <f>Samples!I12</f>
        <v>0.14099999999999999</v>
      </c>
      <c r="H12" s="114">
        <f>Samples!J12</f>
        <v>43725</v>
      </c>
      <c r="I12" s="115">
        <f>Samples!K12</f>
        <v>0.93541666666666667</v>
      </c>
      <c r="J12" s="214">
        <f>Samples!L12</f>
        <v>528</v>
      </c>
      <c r="K12" s="116">
        <f>H12+I12+(Samples!L12/(60*24))</f>
        <v>43726.302083333336</v>
      </c>
      <c r="L12" s="116">
        <f>Samples!P12</f>
        <v>2.2080000000000002</v>
      </c>
      <c r="M12" s="203">
        <f>Samples!N12</f>
        <v>2.5999999999999999E-2</v>
      </c>
      <c r="N12" s="203">
        <f>Samples!O12</f>
        <v>0.63400000000000001</v>
      </c>
      <c r="O12" s="239">
        <f t="shared" si="0"/>
        <v>0.96464601870360089</v>
      </c>
      <c r="P12" s="239">
        <f t="shared" si="1"/>
        <v>0.89364468009938836</v>
      </c>
      <c r="Q12" s="117">
        <f t="shared" si="2"/>
        <v>6.4666979068286334E-2</v>
      </c>
      <c r="R12" s="222">
        <f t="shared" si="3"/>
        <v>1165.8240000000001</v>
      </c>
      <c r="S12" s="119">
        <f t="shared" si="4"/>
        <v>3.4651949090312016E-2</v>
      </c>
      <c r="T12" s="118">
        <f t="shared" si="5"/>
        <v>0.10931214224073191</v>
      </c>
      <c r="U12" s="118">
        <f t="shared" si="6"/>
        <v>5.5736426897627957E-2</v>
      </c>
      <c r="V12" s="228">
        <f t="shared" si="7"/>
        <v>334.75200000000001</v>
      </c>
      <c r="W12" s="118">
        <f t="shared" si="8"/>
        <v>7.0172946526723705E-3</v>
      </c>
      <c r="X12" s="118">
        <f t="shared" si="9"/>
        <v>0.53979189635941305</v>
      </c>
      <c r="Y12" s="118">
        <f t="shared" si="10"/>
        <v>0.18239284636509409</v>
      </c>
      <c r="Z12" s="228">
        <f t="shared" si="11"/>
        <v>13.728</v>
      </c>
      <c r="AA12" s="118">
        <f t="shared" si="12"/>
        <v>2.4339820420103207E-2</v>
      </c>
      <c r="AB12" s="118">
        <f t="shared" si="13"/>
        <v>2.3358769578604058E-3</v>
      </c>
      <c r="AC12" s="118">
        <f t="shared" si="14"/>
        <v>1.5480000000000003</v>
      </c>
      <c r="AD12" s="118">
        <f t="shared" si="15"/>
        <v>7.3700869613717468E-2</v>
      </c>
      <c r="AE12" s="118">
        <f t="shared" si="16"/>
        <v>2.1593384979605952E-4</v>
      </c>
      <c r="AF12" s="118">
        <f t="shared" si="17"/>
        <v>3.6688362829042484E-5</v>
      </c>
      <c r="AG12" s="118">
        <f t="shared" si="18"/>
        <v>1.5723398204201033</v>
      </c>
      <c r="AH12" s="118">
        <f t="shared" si="19"/>
        <v>0.15896236057236321</v>
      </c>
      <c r="AI12" s="250">
        <f t="shared" si="20"/>
        <v>0.60966017957989682</v>
      </c>
      <c r="AJ12" s="118">
        <f t="shared" si="21"/>
        <v>3.4730590218420405E-2</v>
      </c>
      <c r="AK12" s="250">
        <f t="shared" si="22"/>
        <v>2.5784066150203941E-2</v>
      </c>
      <c r="AL12" s="118">
        <f t="shared" si="23"/>
        <v>7.0173905604855227E-3</v>
      </c>
      <c r="AM12" s="118">
        <f>((((IF(F12="Grey",STDs!$Y$9,STDs!$Y$8))*2)*(M12-AE12))^2*0.01)/((1+(((IF(F12="Grey",STDs!$Y$9,STDs!$Y$8))*2)*(M12-AE12))*0.01))</f>
        <v>4.9939503536901385E-7</v>
      </c>
      <c r="AN12" s="250">
        <f>AI12-AM12-IF(F12="Grey",Blanks!$M$6,Blanks!$M$5)</f>
        <v>0.59723110875629004</v>
      </c>
      <c r="AO12" s="119">
        <f t="shared" si="24"/>
        <v>3.4730590218420405E-2</v>
      </c>
      <c r="AP12" s="119">
        <f>AN12/IF(F12="Grey",STDs!$AA$9,STDs!$AA$8)</f>
        <v>5.0642208359480163</v>
      </c>
      <c r="AQ12" s="119">
        <f>SQRT(((AO12/IF(F12="Grey",STDs!$AA$9,STDs!$AA$8))^2)+(((AN12*(IF(F12="Grey",STDs!$AB$9,STDs!$AB$8)))/(IF(F12="Grey",STDs!$AA$9,STDs!$AA$8))))^2)</f>
        <v>0.29553914467796127</v>
      </c>
      <c r="AR12" s="119">
        <f t="shared" si="25"/>
        <v>3591.6459829418554</v>
      </c>
      <c r="AS12" s="118">
        <f t="shared" si="26"/>
        <v>235.67567484457959</v>
      </c>
      <c r="AT12" s="119">
        <f>'Count 2'!AU12</f>
        <v>145.13221497368949</v>
      </c>
      <c r="AU12" s="329">
        <f t="shared" si="27"/>
        <v>3856.6936554524732</v>
      </c>
      <c r="AV12" s="330">
        <f t="shared" si="28"/>
        <v>253.06750282027576</v>
      </c>
      <c r="AW12" s="119">
        <f t="shared" si="29"/>
        <v>6.5617735145361317E-2</v>
      </c>
      <c r="AX12" s="119">
        <f t="shared" si="30"/>
        <v>5.5736426897627957E-2</v>
      </c>
      <c r="AY12" s="295">
        <f t="shared" si="48"/>
        <v>3856.6936554524732</v>
      </c>
      <c r="AZ12" s="296">
        <f t="shared" si="49"/>
        <v>253.06750282027576</v>
      </c>
      <c r="BA12" s="344">
        <f t="shared" si="50"/>
        <v>6.5617735145361317E-2</v>
      </c>
      <c r="BB12" s="119">
        <f t="shared" si="34"/>
        <v>5.4656071120365961E-2</v>
      </c>
      <c r="BC12" s="119">
        <f t="shared" si="35"/>
        <v>1.5546334579287368E-2</v>
      </c>
      <c r="BD12" s="339">
        <f t="shared" si="36"/>
        <v>1.0237731570916573E-2</v>
      </c>
      <c r="BE12" s="118">
        <f t="shared" si="37"/>
        <v>7.0730552708757654E-3</v>
      </c>
      <c r="BF12" s="118">
        <f>BD12/(IF(F12="Grey",STDs!$Y$9,STDs!$Y$8))</f>
        <v>7.4704658551345851E-2</v>
      </c>
      <c r="BG12" s="118">
        <f>SQRT(((BE12/IF(F12="Grey",STDs!$Y$9,STDs!$Y$8))^2)+(((BD12*(IF(F12="Grey",STDs!$Z$9,STDs!$Y$8)))/(IF(F12="Grey",STDs!$Y$9,STDs!$Y$8)^2))^2))</f>
        <v>9.0799715612631671E-2</v>
      </c>
      <c r="BH12" s="118">
        <f t="shared" si="38"/>
        <v>52.982027341380039</v>
      </c>
      <c r="BI12" s="118">
        <f t="shared" si="39"/>
        <v>64.416574162096779</v>
      </c>
      <c r="BJ12" s="118">
        <v>0.05</v>
      </c>
      <c r="BK12" s="329">
        <f t="shared" si="40"/>
        <v>54.871969940347668</v>
      </c>
      <c r="BL12" s="330">
        <f t="shared" si="41"/>
        <v>66.714402948527905</v>
      </c>
      <c r="BM12" s="295">
        <f t="shared" si="42"/>
        <v>54.871969940347668</v>
      </c>
      <c r="BN12" s="296">
        <f t="shared" si="43"/>
        <v>66.714402948527905</v>
      </c>
      <c r="BO12" s="344">
        <f t="shared" si="44"/>
        <v>1.2158193522312826</v>
      </c>
    </row>
    <row r="13" spans="1:67" s="118" customFormat="1" ht="51">
      <c r="A13" s="113" t="str">
        <f>Samples!A13</f>
        <v>HE541-26-4-MUC-Porewater3</v>
      </c>
      <c r="B13" s="113">
        <f>Samples!B13</f>
        <v>64</v>
      </c>
      <c r="C13" s="114">
        <f>Samples!C13</f>
        <v>43725</v>
      </c>
      <c r="D13" s="115">
        <f>Samples!D13</f>
        <v>0.75</v>
      </c>
      <c r="E13" s="115" t="str">
        <f>Samples!G13</f>
        <v>Porewater</v>
      </c>
      <c r="F13" s="115" t="str">
        <f>Samples!M13</f>
        <v>Grey</v>
      </c>
      <c r="G13" s="142">
        <f>Samples!I13</f>
        <v>0.13600000000000001</v>
      </c>
      <c r="H13" s="114">
        <f>Samples!J13</f>
        <v>43726</v>
      </c>
      <c r="I13" s="115">
        <f>Samples!K13</f>
        <v>0.31944444444444448</v>
      </c>
      <c r="J13" s="214">
        <f>Samples!L13</f>
        <v>345</v>
      </c>
      <c r="K13" s="116">
        <f>H13+I13+(Samples!L13/(60*24))</f>
        <v>43726.559027777781</v>
      </c>
      <c r="L13" s="116">
        <f>Samples!P13</f>
        <v>1.94</v>
      </c>
      <c r="M13" s="203">
        <f>Samples!N13</f>
        <v>2.5999999999999999E-2</v>
      </c>
      <c r="N13" s="203">
        <f>Samples!O13</f>
        <v>0.53300000000000003</v>
      </c>
      <c r="O13" s="239">
        <f t="shared" si="0"/>
        <v>0.95213871609835699</v>
      </c>
      <c r="P13" s="239">
        <f t="shared" si="1"/>
        <v>0.85794326927111486</v>
      </c>
      <c r="Q13" s="117">
        <f t="shared" si="2"/>
        <v>7.4987921732750415E-2</v>
      </c>
      <c r="R13" s="222">
        <f t="shared" si="3"/>
        <v>669.3</v>
      </c>
      <c r="S13" s="119">
        <f t="shared" si="4"/>
        <v>3.930556622454235E-2</v>
      </c>
      <c r="T13" s="118">
        <f t="shared" si="5"/>
        <v>0.14748805337539342</v>
      </c>
      <c r="U13" s="118">
        <f t="shared" si="6"/>
        <v>7.5119384272338968E-2</v>
      </c>
      <c r="V13" s="228">
        <f t="shared" si="7"/>
        <v>183.88500000000002</v>
      </c>
      <c r="W13" s="118">
        <f t="shared" si="8"/>
        <v>8.6811473228243109E-3</v>
      </c>
      <c r="X13" s="118">
        <f t="shared" si="9"/>
        <v>0.66778056329417779</v>
      </c>
      <c r="Y13" s="118">
        <f t="shared" si="10"/>
        <v>0.24051824444989472</v>
      </c>
      <c r="Z13" s="228">
        <f t="shared" si="11"/>
        <v>8.9699999999999989</v>
      </c>
      <c r="AA13" s="118">
        <f t="shared" si="12"/>
        <v>1.933867713118162E-2</v>
      </c>
      <c r="AB13" s="118">
        <f t="shared" si="13"/>
        <v>2.4003073842312921E-3</v>
      </c>
      <c r="AC13" s="118">
        <f t="shared" si="14"/>
        <v>1.381</v>
      </c>
      <c r="AD13" s="118">
        <f t="shared" si="15"/>
        <v>8.5108626242406032E-2</v>
      </c>
      <c r="AE13" s="118">
        <f t="shared" si="16"/>
        <v>1.7245514368372281E-4</v>
      </c>
      <c r="AF13" s="118">
        <f t="shared" si="17"/>
        <v>2.9430075009065563E-5</v>
      </c>
      <c r="AG13" s="118">
        <f t="shared" si="18"/>
        <v>1.4003386771311817</v>
      </c>
      <c r="AH13" s="118">
        <f t="shared" si="19"/>
        <v>0.16021821812006207</v>
      </c>
      <c r="AI13" s="250">
        <f t="shared" si="20"/>
        <v>0.51366132286881838</v>
      </c>
      <c r="AJ13" s="118">
        <f t="shared" si="21"/>
        <v>3.937878885606666E-2</v>
      </c>
      <c r="AK13" s="250">
        <f t="shared" si="22"/>
        <v>2.5827544856316276E-2</v>
      </c>
      <c r="AL13" s="118">
        <f t="shared" si="23"/>
        <v>8.6811972083287413E-3</v>
      </c>
      <c r="AM13" s="118">
        <f>((((IF(F13="Grey",STDs!$Y$9,STDs!$Y$8))*2)*(M13-AE13))^2*0.01)/((1+(((IF(F13="Grey",STDs!$Y$9,STDs!$Y$8))*2)*(M13-AE13))*0.01))</f>
        <v>6.1844625827131435E-7</v>
      </c>
      <c r="AN13" s="250">
        <f>AI13-AM13-IF(F13="Grey",Blanks!$M$6,Blanks!$M$5)</f>
        <v>0.49351784727970294</v>
      </c>
      <c r="AO13" s="119">
        <f t="shared" si="24"/>
        <v>3.937878885606666E-2</v>
      </c>
      <c r="AP13" s="119">
        <f>AN13/IF(F13="Grey",STDs!$AA$9,STDs!$AA$8)</f>
        <v>3.8846881619500264</v>
      </c>
      <c r="AQ13" s="119">
        <f>SQRT(((AO13/IF(F13="Grey",STDs!$AA$9,STDs!$AA$8))^2)+(((AN13*(IF(F13="Grey",STDs!$AB$9,STDs!$AB$8)))/(IF(F13="Grey",STDs!$AA$9,STDs!$AA$8))))^2)</f>
        <v>0.31127586901894194</v>
      </c>
      <c r="AR13" s="119">
        <f t="shared" si="25"/>
        <v>2856.3883543750194</v>
      </c>
      <c r="AS13" s="118">
        <f t="shared" si="26"/>
        <v>244.39476269164498</v>
      </c>
      <c r="AT13" s="119">
        <f>'Count 2'!AU13</f>
        <v>-1342.8154740203304</v>
      </c>
      <c r="AU13" s="329">
        <f t="shared" si="27"/>
        <v>4894.5005792316297</v>
      </c>
      <c r="AV13" s="330">
        <f t="shared" si="28"/>
        <v>418.7771966382914</v>
      </c>
      <c r="AW13" s="119">
        <f t="shared" si="29"/>
        <v>8.5560761483050793E-2</v>
      </c>
      <c r="AX13" s="119">
        <f t="shared" si="30"/>
        <v>7.5119384272338968E-2</v>
      </c>
      <c r="AY13" s="295">
        <f t="shared" si="48"/>
        <v>4894.5005792316297</v>
      </c>
      <c r="AZ13" s="296">
        <f t="shared" si="49"/>
        <v>418.7771966382914</v>
      </c>
      <c r="BA13" s="344">
        <f t="shared" si="50"/>
        <v>8.5560761483050793E-2</v>
      </c>
      <c r="BB13" s="119">
        <f t="shared" si="34"/>
        <v>7.3744026687696709E-2</v>
      </c>
      <c r="BC13" s="119">
        <f t="shared" si="35"/>
        <v>1.3098363733154868E-2</v>
      </c>
      <c r="BD13" s="339">
        <f t="shared" si="36"/>
        <v>1.2729181123161407E-2</v>
      </c>
      <c r="BE13" s="118">
        <f t="shared" si="37"/>
        <v>8.7390800717122748E-3</v>
      </c>
      <c r="BF13" s="118">
        <f>BD13/(IF(F13="Grey",STDs!$Y$9,STDs!$Y$8))</f>
        <v>8.360755560286881E-2</v>
      </c>
      <c r="BG13" s="118">
        <f>SQRT(((BE13/IF(F13="Grey",STDs!$Y$9,STDs!$Y$8))^2)+(((BD13*(IF(F13="Grey",STDs!$Z$9,STDs!$Y$8)))/(IF(F13="Grey",STDs!$Y$9,STDs!$Y$8)^2))^2))</f>
        <v>6.3982491952308526E-2</v>
      </c>
      <c r="BH13" s="118">
        <f t="shared" si="38"/>
        <v>61.476143825638829</v>
      </c>
      <c r="BI13" s="118">
        <f t="shared" si="39"/>
        <v>47.082085688047613</v>
      </c>
      <c r="BJ13" s="118">
        <v>0.05</v>
      </c>
      <c r="BK13" s="329">
        <f t="shared" si="40"/>
        <v>64.513859994422745</v>
      </c>
      <c r="BL13" s="330">
        <f t="shared" si="41"/>
        <v>49.408549321815812</v>
      </c>
      <c r="BM13" s="295">
        <f t="shared" si="42"/>
        <v>64.513859994422745</v>
      </c>
      <c r="BN13" s="296">
        <f t="shared" si="43"/>
        <v>49.408549321815812</v>
      </c>
      <c r="BO13" s="344">
        <f t="shared" si="44"/>
        <v>0.76585944983120224</v>
      </c>
    </row>
    <row r="14" spans="1:67" s="126" customFormat="1" ht="49" customHeight="1">
      <c r="A14" s="121" t="str">
        <f>Samples!A14</f>
        <v>HE541-26-4-MUC-OverlyingWater-</v>
      </c>
      <c r="B14" s="121">
        <f>Samples!B14</f>
        <v>10</v>
      </c>
      <c r="C14" s="122">
        <f>Samples!C14</f>
        <v>43725</v>
      </c>
      <c r="D14" s="123">
        <f>Samples!D14</f>
        <v>0.51041666666666663</v>
      </c>
      <c r="E14" s="123" t="str">
        <f>Samples!G14</f>
        <v>Overlying water from sed core (Pre-porewater profile)</v>
      </c>
      <c r="F14" s="123" t="str">
        <f>Samples!M14</f>
        <v>Orange</v>
      </c>
      <c r="G14" s="143">
        <f>Samples!I14</f>
        <v>7.55</v>
      </c>
      <c r="H14" s="122">
        <f>Samples!J14</f>
        <v>43725</v>
      </c>
      <c r="I14" s="123">
        <f>Samples!K14</f>
        <v>0.69374999999999998</v>
      </c>
      <c r="J14" s="215">
        <f>Samples!L14</f>
        <v>325</v>
      </c>
      <c r="K14" s="124">
        <f>H14+I14+(Samples!L14/(60*24))</f>
        <v>43725.919444444444</v>
      </c>
      <c r="L14" s="124">
        <f>Samples!P14</f>
        <v>3.6429999999999998</v>
      </c>
      <c r="M14" s="204">
        <f>Samples!N14</f>
        <v>0.113</v>
      </c>
      <c r="N14" s="204">
        <f>Samples!O14</f>
        <v>1.1559999999999999</v>
      </c>
      <c r="O14" s="240">
        <f t="shared" si="0"/>
        <v>0.97550898197701852</v>
      </c>
      <c r="P14" s="240">
        <f t="shared" si="1"/>
        <v>0.92546079274825188</v>
      </c>
      <c r="Q14" s="125">
        <f t="shared" si="2"/>
        <v>0.10587365474579014</v>
      </c>
      <c r="R14" s="223">
        <f t="shared" si="3"/>
        <v>1183.9749999999999</v>
      </c>
      <c r="S14" s="126">
        <f t="shared" si="4"/>
        <v>5.9639945312877987E-2</v>
      </c>
      <c r="T14" s="126">
        <f t="shared" si="5"/>
        <v>0.10318329638906226</v>
      </c>
      <c r="U14" s="126">
        <f t="shared" si="6"/>
        <v>5.2930209305183308E-2</v>
      </c>
      <c r="V14" s="229">
        <f t="shared" si="7"/>
        <v>375.7</v>
      </c>
      <c r="W14" s="126">
        <f t="shared" si="8"/>
        <v>1.8646509262923924E-2</v>
      </c>
      <c r="X14" s="126">
        <f t="shared" si="9"/>
        <v>0.33002671261812255</v>
      </c>
      <c r="Y14" s="126">
        <f t="shared" si="10"/>
        <v>8.6646427994770195E-2</v>
      </c>
      <c r="Z14" s="229">
        <f t="shared" si="11"/>
        <v>36.725000000000001</v>
      </c>
      <c r="AA14" s="126">
        <f t="shared" si="12"/>
        <v>5.772925245323992E-2</v>
      </c>
      <c r="AB14" s="126">
        <f t="shared" si="13"/>
        <v>6.0517545136842205E-3</v>
      </c>
      <c r="AC14" s="126">
        <f t="shared" si="14"/>
        <v>2.3740000000000001</v>
      </c>
      <c r="AD14" s="126">
        <f t="shared" si="15"/>
        <v>0.12293838356610255</v>
      </c>
      <c r="AE14" s="126">
        <f t="shared" si="16"/>
        <v>4.9906275105648294E-4</v>
      </c>
      <c r="AF14" s="126">
        <f t="shared" si="17"/>
        <v>4.0988015541232083E-3</v>
      </c>
      <c r="AG14" s="126">
        <f t="shared" si="18"/>
        <v>2.4317292524532399</v>
      </c>
      <c r="AH14" s="126">
        <f t="shared" si="19"/>
        <v>7.5509802527604881</v>
      </c>
      <c r="AI14" s="251">
        <f t="shared" si="20"/>
        <v>1.0982707475467599</v>
      </c>
      <c r="AJ14" s="126">
        <f t="shared" si="21"/>
        <v>5.9946199292507059E-2</v>
      </c>
      <c r="AK14" s="251">
        <f t="shared" si="22"/>
        <v>0.11250093724894351</v>
      </c>
      <c r="AL14" s="126">
        <f t="shared" si="23"/>
        <v>1.9091686197724667E-2</v>
      </c>
      <c r="AM14" s="126">
        <f>((((IF(F14="Grey",STDs!$Y$9,STDs!$Y$8))*2)*(M14-AE14))^2*0.01)/((1+(((IF(F14="Grey",STDs!$Y$9,STDs!$Y$8))*2)*(M14-AE14))*0.01))</f>
        <v>9.5049642009113018E-6</v>
      </c>
      <c r="AN14" s="251">
        <f>AI14-AM14-IF(F14="Grey",Blanks!$M$6,Blanks!$M$5)</f>
        <v>1.0858326711539876</v>
      </c>
      <c r="AO14" s="319">
        <f t="shared" si="24"/>
        <v>5.9946199292507059E-2</v>
      </c>
      <c r="AP14" s="319">
        <f>AN14/IF(F14="Grey",STDs!$AA$9,STDs!$AA$8)</f>
        <v>9.2073174973459544</v>
      </c>
      <c r="AQ14" s="319">
        <f>SQRT(((AO14/IF(F14="Grey",STDs!$AA$9,STDs!$AA$8))^2)+(((AN14*(IF(F14="Grey",STDs!$AB$9,STDs!$AB$8)))/(IF(F14="Grey",STDs!$AA$9,STDs!$AA$8))))^2)</f>
        <v>0.51030723634382202</v>
      </c>
      <c r="AR14" s="319">
        <f t="shared" si="25"/>
        <v>121.95122513040999</v>
      </c>
      <c r="AS14" s="126">
        <f t="shared" si="26"/>
        <v>7.6856660162561861</v>
      </c>
      <c r="AT14" s="319">
        <f>'Count 2'!AU14</f>
        <v>5.3999530079807965</v>
      </c>
      <c r="AU14" s="331">
        <f t="shared" si="27"/>
        <v>125.93863839041532</v>
      </c>
      <c r="AV14" s="332">
        <f t="shared" si="28"/>
        <v>7.9369626026776885</v>
      </c>
      <c r="AW14" s="319">
        <f t="shared" si="29"/>
        <v>6.3022458429896275E-2</v>
      </c>
      <c r="AX14" s="319">
        <f t="shared" si="30"/>
        <v>5.2930209305183308E-2</v>
      </c>
      <c r="AY14" s="297">
        <f t="shared" si="48"/>
        <v>125.93863839041532</v>
      </c>
      <c r="AZ14" s="298">
        <f t="shared" si="49"/>
        <v>7.9369626026776885</v>
      </c>
      <c r="BA14" s="344">
        <f t="shared" si="50"/>
        <v>6.3022458429896275E-2</v>
      </c>
      <c r="BB14" s="319">
        <f t="shared" si="34"/>
        <v>5.1591648194531131E-2</v>
      </c>
      <c r="BC14" s="319">
        <f t="shared" si="35"/>
        <v>2.8005904062442376E-2</v>
      </c>
      <c r="BD14" s="340">
        <f t="shared" si="36"/>
        <v>8.4495033186501145E-2</v>
      </c>
      <c r="BE14" s="126">
        <f t="shared" si="37"/>
        <v>1.9152785324472885E-2</v>
      </c>
      <c r="BF14" s="126">
        <f>BD14/(IF(F14="Grey",STDs!$Y$9,STDs!$Y$8))</f>
        <v>0.61655968998189725</v>
      </c>
      <c r="BG14" s="126">
        <f>SQRT(((BE14/IF(F14="Grey",STDs!$Y$9,STDs!$Y$8))^2)+(((BD14*(IF(F14="Grey",STDs!$Z$9,STDs!$Y$8)))/(IF(F14="Grey",STDs!$Y$9,STDs!$Y$8)^2))^2))</f>
        <v>0.63220097980234014</v>
      </c>
      <c r="BH14" s="126">
        <f t="shared" si="38"/>
        <v>8.1663535096940034</v>
      </c>
      <c r="BI14" s="126">
        <f t="shared" si="39"/>
        <v>8.3771060839986458</v>
      </c>
      <c r="BJ14" s="126">
        <v>0.05</v>
      </c>
      <c r="BK14" s="331">
        <f t="shared" si="40"/>
        <v>8.3201217617135299</v>
      </c>
      <c r="BL14" s="332">
        <f t="shared" si="41"/>
        <v>8.5348426989993929</v>
      </c>
      <c r="BM14" s="297">
        <f t="shared" si="42"/>
        <v>8.3201217617135299</v>
      </c>
      <c r="BN14" s="298">
        <f t="shared" si="43"/>
        <v>8.5348426989993929</v>
      </c>
      <c r="BO14" s="344">
        <f t="shared" si="44"/>
        <v>1.0258074272751558</v>
      </c>
    </row>
    <row r="15" spans="1:67" s="132" customFormat="1" ht="51">
      <c r="A15" s="127" t="str">
        <f>Samples!A15</f>
        <v>HE541-26-PostFlux</v>
      </c>
      <c r="B15" s="127">
        <f>Samples!B15</f>
        <v>45</v>
      </c>
      <c r="C15" s="128">
        <f>Samples!C15</f>
        <v>43725</v>
      </c>
      <c r="D15" s="129">
        <f>Samples!D15</f>
        <v>0.70833333333333337</v>
      </c>
      <c r="E15" s="129" t="str">
        <f>Samples!G15</f>
        <v>Overlying water from sed core (post O2 flux)</v>
      </c>
      <c r="F15" s="129" t="str">
        <f>Samples!M15</f>
        <v>Orange</v>
      </c>
      <c r="G15" s="144">
        <f>Samples!I15</f>
        <v>4.6429999999999998</v>
      </c>
      <c r="H15" s="128">
        <f>Samples!J15</f>
        <v>43726</v>
      </c>
      <c r="I15" s="129">
        <f>Samples!K15</f>
        <v>0.31944444444444448</v>
      </c>
      <c r="J15" s="216">
        <f>Samples!L15</f>
        <v>345</v>
      </c>
      <c r="K15" s="130">
        <f>H15+I15+(Samples!L15/(60*24))</f>
        <v>43726.559027777781</v>
      </c>
      <c r="L15" s="130">
        <f>Samples!P15</f>
        <v>5.125</v>
      </c>
      <c r="M15" s="205">
        <f>Samples!N15</f>
        <v>7.1999999999999995E-2</v>
      </c>
      <c r="N15" s="205">
        <f>Samples!O15</f>
        <v>1.758</v>
      </c>
      <c r="O15" s="241">
        <f t="shared" si="0"/>
        <v>0.94973674443427569</v>
      </c>
      <c r="P15" s="241">
        <f t="shared" si="1"/>
        <v>0.85119986310051354</v>
      </c>
      <c r="Q15" s="131">
        <f t="shared" si="2"/>
        <v>0.12188138686349166</v>
      </c>
      <c r="R15" s="224">
        <f t="shared" si="3"/>
        <v>1768.125</v>
      </c>
      <c r="S15" s="132">
        <f t="shared" si="4"/>
        <v>7.1383836923445368E-2</v>
      </c>
      <c r="T15" s="132">
        <f t="shared" si="5"/>
        <v>8.1210280914044808E-2</v>
      </c>
      <c r="U15" s="132">
        <f t="shared" si="6"/>
        <v>4.1967306588509071E-2</v>
      </c>
      <c r="V15" s="230">
        <f t="shared" si="7"/>
        <v>606.51</v>
      </c>
      <c r="W15" s="132">
        <f t="shared" si="8"/>
        <v>1.4446302370292305E-2</v>
      </c>
      <c r="X15" s="132">
        <f t="shared" si="9"/>
        <v>0.40128617695256397</v>
      </c>
      <c r="Y15" s="132">
        <f t="shared" si="10"/>
        <v>8.9215043328602264E-2</v>
      </c>
      <c r="Z15" s="230">
        <f t="shared" si="11"/>
        <v>24.84</v>
      </c>
      <c r="AA15" s="132">
        <f t="shared" si="12"/>
        <v>0.11226953104803269</v>
      </c>
      <c r="AB15" s="132">
        <f t="shared" si="13"/>
        <v>9.8403824850400654E-3</v>
      </c>
      <c r="AC15" s="132">
        <f t="shared" si="14"/>
        <v>3.2949999999999999</v>
      </c>
      <c r="AD15" s="132">
        <f t="shared" si="15"/>
        <v>0.14198387334431709</v>
      </c>
      <c r="AE15" s="132">
        <f t="shared" si="16"/>
        <v>9.4234784037765913E-4</v>
      </c>
      <c r="AF15" s="132">
        <f t="shared" si="17"/>
        <v>4.8573960345175892E-3</v>
      </c>
      <c r="AG15" s="132">
        <f t="shared" si="18"/>
        <v>3.4072695310480325</v>
      </c>
      <c r="AH15" s="132">
        <f t="shared" si="19"/>
        <v>4.645158399642054</v>
      </c>
      <c r="AI15" s="252">
        <f t="shared" si="20"/>
        <v>1.6457304689519674</v>
      </c>
      <c r="AJ15" s="132">
        <f t="shared" si="21"/>
        <v>7.2058901610869183E-2</v>
      </c>
      <c r="AK15" s="252">
        <f t="shared" si="22"/>
        <v>7.1057652159622342E-2</v>
      </c>
      <c r="AL15" s="132">
        <f t="shared" si="23"/>
        <v>1.5241061262591274E-2</v>
      </c>
      <c r="AM15" s="132">
        <f>((((IF(F15="Grey",STDs!$Y$9,STDs!$Y$8))*2)*(M15-AE15))^2*0.01)/((1+(((IF(F15="Grey",STDs!$Y$9,STDs!$Y$8))*2)*(M15-AE15))*0.01))</f>
        <v>3.792357150518682E-6</v>
      </c>
      <c r="AN15" s="252">
        <f>AI15-AM15-IF(F15="Grey",Blanks!$M$6,Blanks!$M$5)</f>
        <v>1.6332981051662454</v>
      </c>
      <c r="AO15" s="320">
        <f t="shared" si="24"/>
        <v>7.2058901610869183E-2</v>
      </c>
      <c r="AP15" s="320">
        <f>AN15/IF(F15="Grey",STDs!$AA$9,STDs!$AA$8)</f>
        <v>13.84955032352909</v>
      </c>
      <c r="AQ15" s="320">
        <f>SQRT(((AO15/IF(F15="Grey",STDs!$AA$9,STDs!$AA$8))^2)+(((AN15*(IF(F15="Grey",STDs!$AB$9,STDs!$AB$8)))/(IF(F15="Grey",STDs!$AA$9,STDs!$AA$8))))^2)</f>
        <v>0.61477150923599921</v>
      </c>
      <c r="AR15" s="320">
        <f t="shared" si="25"/>
        <v>298.28882885050814</v>
      </c>
      <c r="AS15" s="132">
        <f t="shared" si="26"/>
        <v>15.981178057782556</v>
      </c>
      <c r="AT15" s="320">
        <f>'Count 2'!AU15</f>
        <v>1.9540968935243328</v>
      </c>
      <c r="AU15" s="333">
        <f t="shared" si="27"/>
        <v>348.13766402355645</v>
      </c>
      <c r="AV15" s="334">
        <f t="shared" si="28"/>
        <v>18.651888569951243</v>
      </c>
      <c r="AW15" s="320">
        <f t="shared" si="29"/>
        <v>5.3576186943936004E-2</v>
      </c>
      <c r="AX15" s="320">
        <f t="shared" si="30"/>
        <v>4.1967306588509071E-2</v>
      </c>
      <c r="AY15" s="299">
        <f t="shared" si="48"/>
        <v>348.13766402355645</v>
      </c>
      <c r="AZ15" s="300">
        <f t="shared" si="49"/>
        <v>18.651888569951243</v>
      </c>
      <c r="BA15" s="344">
        <f t="shared" si="50"/>
        <v>5.3576186943936004E-2</v>
      </c>
      <c r="BB15" s="320">
        <f t="shared" si="34"/>
        <v>4.0605140457022397E-2</v>
      </c>
      <c r="BC15" s="320">
        <f t="shared" si="35"/>
        <v>4.1966126958275167E-2</v>
      </c>
      <c r="BD15" s="341">
        <f t="shared" si="36"/>
        <v>2.9091525201347175E-2</v>
      </c>
      <c r="BE15" s="132">
        <f t="shared" si="37"/>
        <v>1.5351428662416827E-2</v>
      </c>
      <c r="BF15" s="132">
        <f>BD15/(IF(F15="Grey",STDs!$Y$9,STDs!$Y$8))</f>
        <v>0.21228066411492588</v>
      </c>
      <c r="BG15" s="132">
        <f>SQRT(((BE15/IF(F15="Grey",STDs!$Y$9,STDs!$Y$8))^2)+(((BD15*(IF(F15="Grey",STDs!$Z$9,STDs!$Y$8)))/(IF(F15="Grey",STDs!$Y$9,STDs!$Y$8)^2))^2))</f>
        <v>0.24002374389736175</v>
      </c>
      <c r="BH15" s="132">
        <f t="shared" si="38"/>
        <v>4.5720582406833055</v>
      </c>
      <c r="BI15" s="132">
        <f t="shared" si="39"/>
        <v>5.1714024111820862</v>
      </c>
      <c r="BJ15" s="132">
        <v>0.05</v>
      </c>
      <c r="BK15" s="333">
        <f t="shared" si="40"/>
        <v>4.7613807375399952</v>
      </c>
      <c r="BL15" s="334">
        <f t="shared" si="41"/>
        <v>5.3855429065991727</v>
      </c>
      <c r="BM15" s="299">
        <f t="shared" si="42"/>
        <v>4.7613807375399952</v>
      </c>
      <c r="BN15" s="300">
        <f t="shared" si="43"/>
        <v>5.3855429065991727</v>
      </c>
      <c r="BO15" s="344">
        <f t="shared" si="44"/>
        <v>1.1310884811496205</v>
      </c>
    </row>
    <row r="16" spans="1:67" s="112" customFormat="1" ht="34">
      <c r="A16" s="107" t="str">
        <f>Samples!A16</f>
        <v>HE541_27-SW</v>
      </c>
      <c r="B16" s="107">
        <f>Samples!B16</f>
        <v>13</v>
      </c>
      <c r="C16" s="108">
        <f>Samples!C16</f>
        <v>43727</v>
      </c>
      <c r="D16" s="109">
        <f>Samples!D16</f>
        <v>0.35416666666666669</v>
      </c>
      <c r="E16" s="109" t="str">
        <f>Samples!G16</f>
        <v>Surface water</v>
      </c>
      <c r="F16" s="109" t="str">
        <f>Samples!M16</f>
        <v>Orange</v>
      </c>
      <c r="G16" s="140">
        <f>Samples!I16</f>
        <v>179.8</v>
      </c>
      <c r="H16" s="108">
        <f>Samples!J16</f>
        <v>43727</v>
      </c>
      <c r="I16" s="109">
        <f>Samples!K16</f>
        <v>0.62361111111111112</v>
      </c>
      <c r="J16" s="212">
        <f>Samples!L16</f>
        <v>188</v>
      </c>
      <c r="K16" s="110">
        <f>H16+I16+(Samples!L16/(60*24))</f>
        <v>43727.754166666673</v>
      </c>
      <c r="L16" s="110">
        <f>Samples!P16</f>
        <v>15.377000000000001</v>
      </c>
      <c r="M16" s="201">
        <f>Samples!N16</f>
        <v>0.44</v>
      </c>
      <c r="N16" s="201">
        <f>Samples!O16</f>
        <v>6.2270000000000003</v>
      </c>
      <c r="O16" s="237">
        <f t="shared" si="0"/>
        <v>0.97604300287277923</v>
      </c>
      <c r="P16" s="237">
        <f t="shared" si="1"/>
        <v>0.92704442586159619</v>
      </c>
      <c r="Q16" s="111">
        <f t="shared" si="2"/>
        <v>0.2859939740475127</v>
      </c>
      <c r="R16" s="220">
        <f t="shared" si="3"/>
        <v>2890.8760000000002</v>
      </c>
      <c r="S16" s="112">
        <f t="shared" si="4"/>
        <v>0.18199544067237486</v>
      </c>
      <c r="T16" s="112">
        <f t="shared" si="5"/>
        <v>5.8453650448811581E-2</v>
      </c>
      <c r="U16" s="112">
        <f t="shared" si="6"/>
        <v>3.1396846881722285E-2</v>
      </c>
      <c r="V16" s="219">
        <f t="shared" si="7"/>
        <v>1170.6760000000002</v>
      </c>
      <c r="W16" s="112">
        <f t="shared" si="8"/>
        <v>4.8377944684689665E-2</v>
      </c>
      <c r="X16" s="112">
        <f t="shared" si="9"/>
        <v>0.21989974856677125</v>
      </c>
      <c r="Y16" s="112">
        <f t="shared" si="10"/>
        <v>2.8224685608187635E-2</v>
      </c>
      <c r="Z16" s="219">
        <f t="shared" si="11"/>
        <v>82.72</v>
      </c>
      <c r="AA16" s="112">
        <f t="shared" si="12"/>
        <v>0.83102311315587707</v>
      </c>
      <c r="AB16" s="112">
        <f t="shared" si="13"/>
        <v>6.8458958002272891E-2</v>
      </c>
      <c r="AC16" s="112">
        <f t="shared" si="14"/>
        <v>8.7100000000000009</v>
      </c>
      <c r="AD16" s="112">
        <f t="shared" si="15"/>
        <v>0.34242564032054634</v>
      </c>
      <c r="AE16" s="112">
        <f t="shared" si="16"/>
        <v>5.77751318389248E-3</v>
      </c>
      <c r="AF16" s="112">
        <f t="shared" si="17"/>
        <v>1.3137695538491458</v>
      </c>
      <c r="AG16" s="112">
        <f t="shared" si="18"/>
        <v>9.5410231131558785</v>
      </c>
      <c r="AH16" s="112">
        <f t="shared" si="19"/>
        <v>179.80033259569504</v>
      </c>
      <c r="AI16" s="248">
        <f t="shared" si="20"/>
        <v>5.3959768868441236</v>
      </c>
      <c r="AJ16" s="112">
        <f t="shared" si="21"/>
        <v>0.19444528627942842</v>
      </c>
      <c r="AK16" s="248">
        <f t="shared" si="22"/>
        <v>0.43422248681610753</v>
      </c>
      <c r="AL16" s="112">
        <f t="shared" si="23"/>
        <v>1.3146599811939581</v>
      </c>
      <c r="AM16" s="112">
        <f>((((IF(F16="Grey",STDs!$Y$9,STDs!$Y$8))*2)*(M16-AE16))^2*0.01)/((1+(((IF(F16="Grey",STDs!$Y$9,STDs!$Y$8))*2)*(M16-AE16))*0.01))</f>
        <v>1.4147514706708617E-4</v>
      </c>
      <c r="AN16" s="248">
        <f>AI16-AM16-IF(F16="Grey",Blanks!$M$6,Blanks!$M$5)</f>
        <v>5.3834068402684858</v>
      </c>
      <c r="AO16" s="231">
        <f t="shared" si="24"/>
        <v>0.19444528627942842</v>
      </c>
      <c r="AP16" s="231">
        <f>AN16/IF(F16="Grey",STDs!$AA$9,STDs!$AA$8)</f>
        <v>45.648595140407792</v>
      </c>
      <c r="AQ16" s="231">
        <f>SQRT(((AO16/IF(F16="Grey",STDs!$AA$9,STDs!$AA$8))^2)+(((AN16*(IF(F16="Grey",STDs!$AB$9,STDs!$AB$8)))/(IF(F16="Grey",STDs!$AA$9,STDs!$AA$8))))^2)</f>
        <v>1.6638659570730139</v>
      </c>
      <c r="AR16" s="231">
        <f t="shared" si="25"/>
        <v>25.388540122584978</v>
      </c>
      <c r="AS16" s="112">
        <f t="shared" si="26"/>
        <v>1.1985332679759424</v>
      </c>
      <c r="AT16" s="231">
        <f>'Count 2'!AU16</f>
        <v>1.0887618096258571</v>
      </c>
      <c r="AU16" s="265">
        <f>(AR16-AT16)/P16</f>
        <v>26.212096891014557</v>
      </c>
      <c r="AV16" s="266">
        <f t="shared" si="28"/>
        <v>1.2374114460934604</v>
      </c>
      <c r="AW16" s="231">
        <f>AV16/AU16</f>
        <v>4.7207648103789898E-2</v>
      </c>
      <c r="AX16" s="231">
        <f t="shared" si="30"/>
        <v>3.1396846881722285E-2</v>
      </c>
      <c r="AY16" s="291">
        <f t="shared" si="48"/>
        <v>26.212096891014557</v>
      </c>
      <c r="AZ16" s="292">
        <f t="shared" si="49"/>
        <v>1.2374114460934604</v>
      </c>
      <c r="BA16" s="344">
        <f t="shared" si="50"/>
        <v>4.7207648103789898E-2</v>
      </c>
      <c r="BB16" s="231">
        <f t="shared" si="34"/>
        <v>2.9226825224405787E-2</v>
      </c>
      <c r="BC16" s="231">
        <f t="shared" si="35"/>
        <v>0.13759741061452513</v>
      </c>
      <c r="BD16" s="247">
        <f t="shared" si="36"/>
        <v>0.2966250762015824</v>
      </c>
      <c r="BE16" s="112">
        <f t="shared" si="37"/>
        <v>1.3146693315945353</v>
      </c>
      <c r="BF16" s="112">
        <f>BD16/(IF(F16="Grey",STDs!$Y$9,STDs!$Y$8))</f>
        <v>2.1644711899222284</v>
      </c>
      <c r="BG16" s="112">
        <f>SQRT(((BE16/IF(F16="Grey",STDs!$Y$9,STDs!$Y$8))^2)+(((BD16*(IF(F16="Grey",STDs!$Z$9,STDs!$Y$8)))/(IF(F16="Grey",STDs!$Y$9,STDs!$Y$8)^2))^2))</f>
        <v>9.8342840008730636</v>
      </c>
      <c r="BH16" s="112">
        <f t="shared" si="38"/>
        <v>1.2038215739278244</v>
      </c>
      <c r="BI16" s="112">
        <f t="shared" si="39"/>
        <v>5.4696876380234158</v>
      </c>
      <c r="BJ16" s="112">
        <v>0.05</v>
      </c>
      <c r="BK16" s="265">
        <f t="shared" si="40"/>
        <v>1.1821421500198157</v>
      </c>
      <c r="BL16" s="266">
        <f t="shared" si="41"/>
        <v>5.371184936695176</v>
      </c>
      <c r="BM16" s="291">
        <f t="shared" si="42"/>
        <v>1.1821421500198157</v>
      </c>
      <c r="BN16" s="292">
        <f t="shared" si="43"/>
        <v>5.371184936695176</v>
      </c>
      <c r="BO16" s="344">
        <f t="shared" si="44"/>
        <v>4.5436032685283587</v>
      </c>
    </row>
    <row r="17" spans="1:67" s="106" customFormat="1" ht="34">
      <c r="A17" s="101" t="str">
        <f>Samples!A17</f>
        <v>HE541_27-SWB</v>
      </c>
      <c r="B17" s="101">
        <f>Samples!B17</f>
        <v>0</v>
      </c>
      <c r="C17" s="102">
        <f>Samples!C17</f>
        <v>43727</v>
      </c>
      <c r="D17" s="103">
        <f>Samples!D17</f>
        <v>0.35416666666666669</v>
      </c>
      <c r="E17" s="103" t="str">
        <f>Samples!G17</f>
        <v>Surface water (Efficiency)</v>
      </c>
      <c r="F17" s="103" t="str">
        <f>Samples!M17</f>
        <v>Grey</v>
      </c>
      <c r="G17" s="141">
        <f>Samples!I17</f>
        <v>179.8</v>
      </c>
      <c r="H17" s="102">
        <f>Samples!J17</f>
        <v>43727</v>
      </c>
      <c r="I17" s="103">
        <f>Samples!K17</f>
        <v>0.62361111111111112</v>
      </c>
      <c r="J17" s="213">
        <f>Samples!L17</f>
        <v>188</v>
      </c>
      <c r="K17" s="104">
        <f>H17+I17+(Samples!L17/(60*24))</f>
        <v>43727.754166666673</v>
      </c>
      <c r="L17" s="104">
        <f>Samples!P17</f>
        <v>2.4420000000000002</v>
      </c>
      <c r="M17" s="202">
        <f>Samples!N17</f>
        <v>7.3999999999999996E-2</v>
      </c>
      <c r="N17" s="202">
        <f>Samples!O17</f>
        <v>0.65100000000000002</v>
      </c>
      <c r="O17" s="238">
        <f t="shared" si="0"/>
        <v>0.97604300287277923</v>
      </c>
      <c r="P17" s="238">
        <f t="shared" si="1"/>
        <v>0.92704442586159619</v>
      </c>
      <c r="Q17" s="105">
        <f t="shared" si="2"/>
        <v>0.11397088093950866</v>
      </c>
      <c r="R17" s="221">
        <f t="shared" si="3"/>
        <v>459.096</v>
      </c>
      <c r="S17" s="106">
        <f t="shared" si="4"/>
        <v>5.8845271326138079E-2</v>
      </c>
      <c r="T17" s="106">
        <f t="shared" si="5"/>
        <v>0.18078424370549334</v>
      </c>
      <c r="U17" s="106">
        <f t="shared" si="6"/>
        <v>9.2549451366587737E-2</v>
      </c>
      <c r="V17" s="227">
        <f t="shared" si="7"/>
        <v>122.38800000000001</v>
      </c>
      <c r="W17" s="106">
        <f t="shared" si="8"/>
        <v>1.983978380115559E-2</v>
      </c>
      <c r="X17" s="106">
        <f t="shared" si="9"/>
        <v>0.53621037300420515</v>
      </c>
      <c r="Y17" s="106">
        <f t="shared" si="10"/>
        <v>0.17187415364008005</v>
      </c>
      <c r="Z17" s="227">
        <f t="shared" si="11"/>
        <v>13.911999999999999</v>
      </c>
      <c r="AA17" s="106">
        <f t="shared" si="12"/>
        <v>2.9995919945463616E-2</v>
      </c>
      <c r="AB17" s="106">
        <f t="shared" si="13"/>
        <v>4.574504660708776E-3</v>
      </c>
      <c r="AC17" s="106">
        <f t="shared" si="14"/>
        <v>1.7170000000000001</v>
      </c>
      <c r="AD17" s="106">
        <f t="shared" si="15"/>
        <v>0.12979115794556678</v>
      </c>
      <c r="AE17" s="106">
        <f t="shared" si="16"/>
        <v>2.6471792921029837E-4</v>
      </c>
      <c r="AF17" s="106">
        <f t="shared" si="17"/>
        <v>5.105314569011829E-2</v>
      </c>
      <c r="AG17" s="106">
        <f t="shared" si="18"/>
        <v>1.7469959199454637</v>
      </c>
      <c r="AH17" s="106">
        <f t="shared" si="19"/>
        <v>179.80004580937614</v>
      </c>
      <c r="AI17" s="249">
        <f t="shared" si="20"/>
        <v>0.62100408005453644</v>
      </c>
      <c r="AJ17" s="106">
        <f t="shared" si="21"/>
        <v>5.9022809576786961E-2</v>
      </c>
      <c r="AK17" s="249">
        <f t="shared" si="22"/>
        <v>7.3735282070789693E-2</v>
      </c>
      <c r="AL17" s="106">
        <f t="shared" si="23"/>
        <v>5.4772627343711015E-2</v>
      </c>
      <c r="AM17" s="106">
        <f>((((IF(F17="Grey",STDs!$Y$9,STDs!$Y$8))*2)*(M17-AE17))^2*0.01)/((1+(((IF(F17="Grey",STDs!$Y$9,STDs!$Y$8))*2)*(M17-AE17))*0.01))</f>
        <v>5.0399132911821932E-6</v>
      </c>
      <c r="AN17" s="249">
        <f>AI17-AM17-IF(F17="Grey",Blanks!$M$6,Blanks!$M$5)</f>
        <v>0.60085618299838817</v>
      </c>
      <c r="AO17" s="318">
        <f t="shared" si="24"/>
        <v>5.9022809576786961E-2</v>
      </c>
      <c r="AP17" s="318">
        <f>AN17/IF(F17="Grey",STDs!$AA$9,STDs!$AA$8)</f>
        <v>4.729593699588003</v>
      </c>
      <c r="AQ17" s="318">
        <f>SQRT(((AO17/IF(F17="Grey",STDs!$AA$9,STDs!$AA$8))^2)+(((AN17*(IF(F17="Grey",STDs!$AB$9,STDs!$AB$8)))/(IF(F17="Grey",STDs!$AA$9,STDs!$AA$8))))^2)</f>
        <v>0.46588875840050858</v>
      </c>
      <c r="AR17" s="318">
        <f t="shared" si="25"/>
        <v>2.6304748051101239</v>
      </c>
      <c r="AS17" s="106">
        <f t="shared" si="26"/>
        <v>0.27086534996565081</v>
      </c>
      <c r="AT17" s="318" t="e">
        <f>'Count 2'!AU17</f>
        <v>#VALUE!</v>
      </c>
      <c r="AU17" s="327" t="e">
        <f t="shared" si="27"/>
        <v>#VALUE!</v>
      </c>
      <c r="AV17" s="328" t="e">
        <f t="shared" si="28"/>
        <v>#VALUE!</v>
      </c>
      <c r="AW17" s="318" t="e">
        <f t="shared" si="29"/>
        <v>#VALUE!</v>
      </c>
      <c r="AX17" s="318">
        <f t="shared" si="30"/>
        <v>9.2549451366587737E-2</v>
      </c>
      <c r="AY17" s="293"/>
      <c r="AZ17" s="294"/>
      <c r="BA17" s="344"/>
      <c r="BB17" s="318">
        <f t="shared" si="34"/>
        <v>9.0392121852746657E-2</v>
      </c>
      <c r="BC17" s="318">
        <f t="shared" si="35"/>
        <v>1.5835604041390679E-2</v>
      </c>
      <c r="BD17" s="338">
        <f t="shared" si="36"/>
        <v>5.7899678029399014E-2</v>
      </c>
      <c r="BE17" s="106">
        <f t="shared" si="37"/>
        <v>5.4793302299539964E-2</v>
      </c>
      <c r="BF17" s="106">
        <f>BD17/(IF(F17="Grey",STDs!$Y$9,STDs!$Y$8))</f>
        <v>0.38029551967196068</v>
      </c>
      <c r="BG17" s="106">
        <f>SQRT(((BE17/IF(F17="Grey",STDs!$Y$9,STDs!$Y$8))^2)+(((BD17*(IF(F17="Grey",STDs!$Z$9,STDs!$Y$8)))/(IF(F17="Grey",STDs!$Y$9,STDs!$Y$8)^2))^2))</f>
        <v>0.3821697965229614</v>
      </c>
      <c r="BH17" s="106">
        <f t="shared" si="38"/>
        <v>0.21151030015125732</v>
      </c>
      <c r="BI17" s="106">
        <f t="shared" si="39"/>
        <v>0.21264741506916723</v>
      </c>
      <c r="BJ17" s="106">
        <v>0.05</v>
      </c>
      <c r="BK17" s="327">
        <f t="shared" si="40"/>
        <v>0.16547457404631294</v>
      </c>
      <c r="BL17" s="328">
        <f t="shared" si="41"/>
        <v>0.16636419316438089</v>
      </c>
      <c r="BM17" s="293"/>
      <c r="BN17" s="294"/>
      <c r="BO17" s="344"/>
    </row>
    <row r="18" spans="1:67" s="118" customFormat="1" ht="34">
      <c r="A18" s="113" t="str">
        <f>Samples!A18</f>
        <v>HE541-33-PW1</v>
      </c>
      <c r="B18" s="113">
        <f>Samples!B18</f>
        <v>4</v>
      </c>
      <c r="C18" s="114">
        <f>Samples!C18</f>
        <v>43727</v>
      </c>
      <c r="D18" s="115">
        <f>Samples!D18</f>
        <v>0.65625</v>
      </c>
      <c r="E18" s="115" t="str">
        <f>Samples!G18</f>
        <v>Porewater</v>
      </c>
      <c r="F18" s="115" t="str">
        <f>Samples!M18</f>
        <v>Orange</v>
      </c>
      <c r="G18" s="142">
        <f>Samples!I18</f>
        <v>0.20100000000000001</v>
      </c>
      <c r="H18" s="114">
        <f>Samples!J18</f>
        <v>43727</v>
      </c>
      <c r="I18" s="115">
        <f>Samples!K18</f>
        <v>0.78263888888888899</v>
      </c>
      <c r="J18" s="214">
        <f>Samples!L18</f>
        <v>737</v>
      </c>
      <c r="K18" s="116">
        <f>H18+I18+(Samples!L18/(60*24))</f>
        <v>43728.294444444444</v>
      </c>
      <c r="L18" s="116">
        <f>Samples!P18</f>
        <v>3.0579999999999998</v>
      </c>
      <c r="M18" s="203">
        <f>Samples!N18</f>
        <v>3.4000000000000002E-2</v>
      </c>
      <c r="N18" s="203">
        <f>Samples!O18</f>
        <v>0.65600000000000003</v>
      </c>
      <c r="O18" s="239">
        <f t="shared" si="0"/>
        <v>0.96205047823622969</v>
      </c>
      <c r="P18" s="239">
        <f t="shared" si="1"/>
        <v>0.8861543619183031</v>
      </c>
      <c r="Q18" s="117">
        <f t="shared" si="2"/>
        <v>6.4414701205107547E-2</v>
      </c>
      <c r="R18" s="222">
        <f t="shared" si="3"/>
        <v>2253.7460000000001</v>
      </c>
      <c r="S18" s="118">
        <f t="shared" si="4"/>
        <v>2.9834459600388583E-2</v>
      </c>
      <c r="T18" s="118">
        <f t="shared" si="5"/>
        <v>9.0958718293867619E-2</v>
      </c>
      <c r="U18" s="118">
        <f t="shared" si="6"/>
        <v>4.7611332573493176E-2</v>
      </c>
      <c r="V18" s="228">
        <f t="shared" si="7"/>
        <v>483.47200000000004</v>
      </c>
      <c r="W18" s="118">
        <f t="shared" si="8"/>
        <v>6.7921256986385225E-3</v>
      </c>
      <c r="X18" s="118">
        <f t="shared" si="9"/>
        <v>0.39953680580226603</v>
      </c>
      <c r="Y18" s="118">
        <f t="shared" si="10"/>
        <v>0.11508086573921304</v>
      </c>
      <c r="Z18" s="228">
        <f t="shared" si="11"/>
        <v>25.058000000000003</v>
      </c>
      <c r="AA18" s="118">
        <f t="shared" si="12"/>
        <v>5.7434283841363482E-2</v>
      </c>
      <c r="AB18" s="118">
        <f t="shared" si="13"/>
        <v>3.5012299832667799E-3</v>
      </c>
      <c r="AC18" s="118">
        <f t="shared" si="14"/>
        <v>2.3679999999999999</v>
      </c>
      <c r="AD18" s="118">
        <f t="shared" si="15"/>
        <v>7.1312563286538844E-2</v>
      </c>
      <c r="AE18" s="118">
        <f t="shared" si="16"/>
        <v>4.9660710760017512E-4</v>
      </c>
      <c r="AF18" s="118">
        <f t="shared" si="17"/>
        <v>1.1514230651246949E-4</v>
      </c>
      <c r="AG18" s="118">
        <f t="shared" si="18"/>
        <v>2.4254342838413634</v>
      </c>
      <c r="AH18" s="118">
        <f t="shared" si="19"/>
        <v>0.2131961709843454</v>
      </c>
      <c r="AI18" s="250">
        <f t="shared" si="20"/>
        <v>0.59856571615863652</v>
      </c>
      <c r="AJ18" s="118">
        <f t="shared" si="21"/>
        <v>3.0039200905532505E-2</v>
      </c>
      <c r="AK18" s="250">
        <f t="shared" si="22"/>
        <v>3.3503392892399828E-2</v>
      </c>
      <c r="AL18" s="118">
        <f t="shared" si="23"/>
        <v>6.7931015932970445E-3</v>
      </c>
      <c r="AM18" s="118">
        <f>((((IF(F18="Grey",STDs!$Y$9,STDs!$Y$8))*2)*(M18-AE18))^2*0.01)/((1+(((IF(F18="Grey",STDs!$Y$9,STDs!$Y$8))*2)*(M18-AE18))*0.01))</f>
        <v>8.4315962096431724E-7</v>
      </c>
      <c r="AN18" s="250">
        <f>AI18-AM18-IF(F18="Grey",Blanks!$M$6,Blanks!$M$5)</f>
        <v>0.58613630157044405</v>
      </c>
      <c r="AO18" s="119">
        <f t="shared" si="24"/>
        <v>3.0039200905532505E-2</v>
      </c>
      <c r="AP18" s="119">
        <f>AN18/IF(F18="Grey",STDs!$AA$9,STDs!$AA$8)</f>
        <v>4.9701424249315611</v>
      </c>
      <c r="AQ18" s="119">
        <f>SQRT(((AO18/IF(F18="Grey",STDs!$AA$9,STDs!$AA$8))^2)+(((AN18*(IF(F18="Grey",STDs!$AB$9,STDs!$AB$8)))/(IF(F18="Grey",STDs!$AA$9,STDs!$AA$8))))^2)</f>
        <v>0.25587621556418999</v>
      </c>
      <c r="AR18" s="119">
        <f t="shared" si="25"/>
        <v>2472.7076740953039</v>
      </c>
      <c r="AS18" s="118">
        <f t="shared" si="26"/>
        <v>147.33822390925422</v>
      </c>
      <c r="AT18" s="119">
        <f>'Count 2'!AU18</f>
        <v>-145.79541832296937</v>
      </c>
      <c r="AU18" s="329">
        <f t="shared" si="27"/>
        <v>2954.9062837651304</v>
      </c>
      <c r="AV18" s="330">
        <f t="shared" si="28"/>
        <v>176.07040582649515</v>
      </c>
      <c r="AW18" s="119">
        <f t="shared" si="29"/>
        <v>5.9585783411765909E-2</v>
      </c>
      <c r="AX18" s="119">
        <f t="shared" si="30"/>
        <v>4.7611332573493176E-2</v>
      </c>
      <c r="AY18" s="295">
        <f t="shared" si="48"/>
        <v>2954.9062837651304</v>
      </c>
      <c r="AZ18" s="296">
        <f t="shared" si="49"/>
        <v>176.07040582649515</v>
      </c>
      <c r="BA18" s="344">
        <f t="shared" si="50"/>
        <v>5.9585783411765909E-2</v>
      </c>
      <c r="BB18" s="119">
        <f t="shared" si="34"/>
        <v>4.5479359146933816E-2</v>
      </c>
      <c r="BC18" s="119">
        <f t="shared" si="35"/>
        <v>1.526342576204523E-2</v>
      </c>
      <c r="BD18" s="339">
        <f t="shared" si="36"/>
        <v>1.8239967130354598E-2</v>
      </c>
      <c r="BE18" s="118">
        <f t="shared" si="37"/>
        <v>6.8361527688774269E-3</v>
      </c>
      <c r="BF18" s="118">
        <f>BD18/(IF(F18="Grey",STDs!$Y$9,STDs!$Y$8))</f>
        <v>0.13309691771288734</v>
      </c>
      <c r="BG18" s="118">
        <f>SQRT(((BE18/IF(F18="Grey",STDs!$Y$9,STDs!$Y$8))^2)+(((BD18*(IF(F18="Grey",STDs!$Z$9,STDs!$Y$8)))/(IF(F18="Grey",STDs!$Y$9,STDs!$Y$8)^2))^2))</f>
        <v>0.14213774725942283</v>
      </c>
      <c r="BH18" s="118">
        <f t="shared" si="38"/>
        <v>66.217371996461353</v>
      </c>
      <c r="BI18" s="118">
        <f t="shared" si="39"/>
        <v>70.743194135419913</v>
      </c>
      <c r="BJ18" s="118">
        <v>0.05</v>
      </c>
      <c r="BK18" s="329">
        <f t="shared" si="40"/>
        <v>68.777443069067402</v>
      </c>
      <c r="BL18" s="330">
        <f t="shared" si="41"/>
        <v>73.478240837356694</v>
      </c>
      <c r="BM18" s="295">
        <f t="shared" si="42"/>
        <v>68.777443069067402</v>
      </c>
      <c r="BN18" s="296">
        <f t="shared" si="43"/>
        <v>73.478240837356694</v>
      </c>
      <c r="BO18" s="344">
        <f t="shared" si="44"/>
        <v>1.0683479576809605</v>
      </c>
    </row>
    <row r="19" spans="1:67" s="118" customFormat="1" ht="34">
      <c r="A19" s="113" t="str">
        <f>Samples!A19</f>
        <v>HE541-33-PW2</v>
      </c>
      <c r="B19" s="113">
        <f>Samples!B19</f>
        <v>36</v>
      </c>
      <c r="C19" s="114">
        <f>Samples!C19</f>
        <v>43727</v>
      </c>
      <c r="D19" s="115">
        <f>Samples!D19</f>
        <v>0.66666666666666663</v>
      </c>
      <c r="E19" s="115" t="str">
        <f>Samples!G19</f>
        <v>Porewater</v>
      </c>
      <c r="F19" s="115" t="str">
        <f>Samples!M19</f>
        <v>Grey</v>
      </c>
      <c r="G19" s="142">
        <f>Samples!I19</f>
        <v>0.151</v>
      </c>
      <c r="H19" s="114">
        <f>Samples!J19</f>
        <v>43727</v>
      </c>
      <c r="I19" s="115">
        <f>Samples!K19</f>
        <v>0.78263888888888899</v>
      </c>
      <c r="J19" s="214">
        <f>Samples!L19</f>
        <v>737</v>
      </c>
      <c r="K19" s="116">
        <f>H19+I19+(Samples!L19/(60*24))</f>
        <v>43728.294444444444</v>
      </c>
      <c r="L19" s="116">
        <f>Samples!P19</f>
        <v>1.603</v>
      </c>
      <c r="M19" s="203">
        <f>Samples!N19</f>
        <v>1.6E-2</v>
      </c>
      <c r="N19" s="203">
        <f>Samples!O19</f>
        <v>0.42499999999999999</v>
      </c>
      <c r="O19" s="239">
        <f t="shared" si="0"/>
        <v>0.96265818074630594</v>
      </c>
      <c r="P19" s="239">
        <f t="shared" si="1"/>
        <v>0.88790425281104102</v>
      </c>
      <c r="Q19" s="117">
        <f t="shared" si="2"/>
        <v>4.6637258938563041E-2</v>
      </c>
      <c r="R19" s="222">
        <f t="shared" si="3"/>
        <v>1181.4110000000001</v>
      </c>
      <c r="S19" s="120">
        <f t="shared" si="4"/>
        <v>2.4013790700893579E-2</v>
      </c>
      <c r="T19" s="120">
        <f t="shared" si="5"/>
        <v>0.11300607388655802</v>
      </c>
      <c r="U19" s="118">
        <f t="shared" si="6"/>
        <v>5.7433648865553556E-2</v>
      </c>
      <c r="V19" s="228">
        <f t="shared" si="7"/>
        <v>313.22499999999997</v>
      </c>
      <c r="W19" s="118">
        <f t="shared" si="8"/>
        <v>4.6593597897063238E-3</v>
      </c>
      <c r="X19" s="118">
        <f t="shared" si="9"/>
        <v>0.58241997371329046</v>
      </c>
      <c r="Y19" s="118">
        <f t="shared" si="10"/>
        <v>0.2308928544889754</v>
      </c>
      <c r="Z19" s="228">
        <f t="shared" si="11"/>
        <v>11.792</v>
      </c>
      <c r="AA19" s="118">
        <f t="shared" si="12"/>
        <v>1.3661182945830548E-2</v>
      </c>
      <c r="AB19" s="118">
        <f t="shared" si="13"/>
        <v>1.2455590408637631E-3</v>
      </c>
      <c r="AC19" s="118">
        <f t="shared" si="14"/>
        <v>1.1619999999999999</v>
      </c>
      <c r="AD19" s="118">
        <f t="shared" si="15"/>
        <v>5.2663134152638819E-2</v>
      </c>
      <c r="AE19" s="118">
        <f t="shared" si="16"/>
        <v>1.2265052812976496E-4</v>
      </c>
      <c r="AF19" s="118">
        <f t="shared" si="17"/>
        <v>2.0789110932914256E-5</v>
      </c>
      <c r="AG19" s="118">
        <f t="shared" si="18"/>
        <v>1.1756611829458306</v>
      </c>
      <c r="AH19" s="118">
        <f t="shared" si="19"/>
        <v>0.15985695944328848</v>
      </c>
      <c r="AI19" s="250">
        <f t="shared" si="20"/>
        <v>0.41133881705416941</v>
      </c>
      <c r="AJ19" s="118">
        <f t="shared" si="21"/>
        <v>2.4046071636560522E-2</v>
      </c>
      <c r="AK19" s="250">
        <f t="shared" si="22"/>
        <v>1.5877349471870236E-2</v>
      </c>
      <c r="AL19" s="118">
        <f t="shared" si="23"/>
        <v>4.6594061678571809E-3</v>
      </c>
      <c r="AM19" s="118">
        <f>((((IF(F19="Grey",STDs!$Y$9,STDs!$Y$8))*2)*(M19-AE19))^2*0.01)/((1+(((IF(F19="Grey",STDs!$Y$9,STDs!$Y$8))*2)*(M19-AE19))*0.01))</f>
        <v>2.3372484630509209E-7</v>
      </c>
      <c r="AN19" s="250">
        <f>AI19-AM19-IF(F19="Grey",Blanks!$M$6,Blanks!$M$5)</f>
        <v>0.39119572618646598</v>
      </c>
      <c r="AO19" s="119">
        <f t="shared" si="24"/>
        <v>2.4046071636560522E-2</v>
      </c>
      <c r="AP19" s="119">
        <f>AN19/IF(F19="Grey",STDs!$AA$9,STDs!$AA$8)</f>
        <v>3.0792673758376323</v>
      </c>
      <c r="AQ19" s="119">
        <f>SQRT(((AO19/IF(F19="Grey",STDs!$AA$9,STDs!$AA$8))^2)+(((AN19*(IF(F19="Grey",STDs!$AB$9,STDs!$AB$8)))/(IF(F19="Grey",STDs!$AA$9,STDs!$AA$8))))^2)</f>
        <v>0.19062152659668186</v>
      </c>
      <c r="AR19" s="119">
        <f t="shared" si="25"/>
        <v>2039.2499177732666</v>
      </c>
      <c r="AS19" s="118">
        <f t="shared" si="26"/>
        <v>140.28213630785964</v>
      </c>
      <c r="AT19" s="119">
        <f>'Count 2'!AU19</f>
        <v>-111.79389403757304</v>
      </c>
      <c r="AU19" s="329">
        <f t="shared" si="27"/>
        <v>2422.6078487638611</v>
      </c>
      <c r="AV19" s="330">
        <f t="shared" si="28"/>
        <v>166.65372963794258</v>
      </c>
      <c r="AW19" s="119">
        <f t="shared" si="29"/>
        <v>6.8791046690853355E-2</v>
      </c>
      <c r="AX19" s="119">
        <f t="shared" si="30"/>
        <v>5.7433648865553556E-2</v>
      </c>
      <c r="AY19" s="295">
        <f t="shared" si="48"/>
        <v>2422.6078487638611</v>
      </c>
      <c r="AZ19" s="296">
        <f t="shared" si="49"/>
        <v>166.65372963794258</v>
      </c>
      <c r="BA19" s="344">
        <f t="shared" si="50"/>
        <v>6.8791046690853355E-2</v>
      </c>
      <c r="BB19" s="119">
        <f t="shared" si="34"/>
        <v>5.650303694327901E-2</v>
      </c>
      <c r="BC19" s="119">
        <f t="shared" si="35"/>
        <v>1.048913983488132E-2</v>
      </c>
      <c r="BD19" s="339">
        <f t="shared" si="36"/>
        <v>5.3882096369889162E-3</v>
      </c>
      <c r="BE19" s="118">
        <f t="shared" si="37"/>
        <v>4.6995796838870301E-3</v>
      </c>
      <c r="BF19" s="118">
        <f>BD19/(IF(F19="Grey",STDs!$Y$9,STDs!$Y$8))</f>
        <v>3.5390731930490422E-2</v>
      </c>
      <c r="BG19" s="118">
        <f>SQRT(((BE19/IF(F19="Grey",STDs!$Y$9,STDs!$Y$8))^2)+(((BD19*(IF(F19="Grey",STDs!$Z$9,STDs!$Y$8)))/(IF(F19="Grey",STDs!$Y$9,STDs!$Y$8)^2))^2))</f>
        <v>3.3105608014600094E-2</v>
      </c>
      <c r="BH19" s="118">
        <f t="shared" si="38"/>
        <v>23.437570814894322</v>
      </c>
      <c r="BI19" s="118">
        <f t="shared" si="39"/>
        <v>21.935515730695602</v>
      </c>
      <c r="BJ19" s="118">
        <v>0.05</v>
      </c>
      <c r="BK19" s="329">
        <f t="shared" si="40"/>
        <v>24.294782179862619</v>
      </c>
      <c r="BL19" s="330">
        <f t="shared" si="41"/>
        <v>22.737790570921099</v>
      </c>
      <c r="BM19" s="295">
        <f t="shared" si="42"/>
        <v>24.294782179862619</v>
      </c>
      <c r="BN19" s="296">
        <f t="shared" si="43"/>
        <v>22.737790570921099</v>
      </c>
      <c r="BO19" s="344">
        <f t="shared" si="44"/>
        <v>0.93591251004373799</v>
      </c>
    </row>
    <row r="20" spans="1:67" s="118" customFormat="1" ht="34">
      <c r="A20" s="113" t="str">
        <f>Samples!A20</f>
        <v>HE541-33-PW3</v>
      </c>
      <c r="B20" s="113">
        <f>Samples!B20</f>
        <v>42</v>
      </c>
      <c r="C20" s="114">
        <f>Samples!C20</f>
        <v>43727</v>
      </c>
      <c r="D20" s="115">
        <f>Samples!D20</f>
        <v>0.79166666666666663</v>
      </c>
      <c r="E20" s="115" t="str">
        <f>Samples!G20</f>
        <v>Porewater</v>
      </c>
      <c r="F20" s="115" t="str">
        <f>Samples!M20</f>
        <v>Orange</v>
      </c>
      <c r="G20" s="142">
        <f>Samples!I20</f>
        <v>0.112</v>
      </c>
      <c r="H20" s="114">
        <f>Samples!J20</f>
        <v>43728</v>
      </c>
      <c r="I20" s="115">
        <f>Samples!K20</f>
        <v>0.31527777777777777</v>
      </c>
      <c r="J20" s="214">
        <f>Samples!L20</f>
        <v>558</v>
      </c>
      <c r="K20" s="116">
        <f>H20+I20+(Samples!L20/(60*24))</f>
        <v>43728.702777777777</v>
      </c>
      <c r="L20" s="116">
        <f>Samples!P20</f>
        <v>1.661</v>
      </c>
      <c r="M20" s="203">
        <f>Samples!N20</f>
        <v>1.7999999999999999E-2</v>
      </c>
      <c r="N20" s="203">
        <f>Samples!O20</f>
        <v>0.27900000000000003</v>
      </c>
      <c r="O20" s="239">
        <f t="shared" si="0"/>
        <v>0.94626464460310999</v>
      </c>
      <c r="P20" s="239">
        <f t="shared" si="1"/>
        <v>0.84151595953059921</v>
      </c>
      <c r="Q20" s="117">
        <f t="shared" si="2"/>
        <v>5.4559165215026642E-2</v>
      </c>
      <c r="R20" s="222">
        <f t="shared" si="3"/>
        <v>926.83799999999997</v>
      </c>
      <c r="S20" s="118">
        <f t="shared" si="4"/>
        <v>2.2360679774997901E-2</v>
      </c>
      <c r="T20" s="118">
        <f t="shared" si="5"/>
        <v>0.16029161129030747</v>
      </c>
      <c r="U20" s="118">
        <f t="shared" si="6"/>
        <v>8.3000594524401422E-2</v>
      </c>
      <c r="V20" s="228">
        <f t="shared" si="7"/>
        <v>155.68200000000002</v>
      </c>
      <c r="W20" s="118">
        <f t="shared" si="8"/>
        <v>5.6796183424706482E-3</v>
      </c>
      <c r="X20" s="118">
        <f t="shared" si="9"/>
        <v>0.63106870471896093</v>
      </c>
      <c r="Y20" s="118">
        <f t="shared" si="10"/>
        <v>0.24598104773702176</v>
      </c>
      <c r="Z20" s="228">
        <f t="shared" si="11"/>
        <v>10.043999999999999</v>
      </c>
      <c r="AA20" s="118">
        <f t="shared" si="12"/>
        <v>1.8862240966786979E-2</v>
      </c>
      <c r="AB20" s="118">
        <f t="shared" si="13"/>
        <v>1.64964567143388E-3</v>
      </c>
      <c r="AC20" s="118">
        <f t="shared" si="14"/>
        <v>1.3640000000000001</v>
      </c>
      <c r="AD20" s="118">
        <f t="shared" si="15"/>
        <v>5.9236480090200348E-2</v>
      </c>
      <c r="AE20" s="118">
        <f t="shared" si="16"/>
        <v>1.6829484325884479E-4</v>
      </c>
      <c r="AF20" s="118">
        <f t="shared" si="17"/>
        <v>2.2682896709871399E-5</v>
      </c>
      <c r="AG20" s="118">
        <f t="shared" si="18"/>
        <v>1.382862240966787</v>
      </c>
      <c r="AH20" s="118">
        <f t="shared" si="19"/>
        <v>0.12658366340014754</v>
      </c>
      <c r="AI20" s="250">
        <f t="shared" si="20"/>
        <v>0.26013775903321307</v>
      </c>
      <c r="AJ20" s="118">
        <f t="shared" si="21"/>
        <v>2.242144800946809E-2</v>
      </c>
      <c r="AK20" s="250">
        <f t="shared" si="22"/>
        <v>1.7831705156741155E-2</v>
      </c>
      <c r="AL20" s="118">
        <f t="shared" si="23"/>
        <v>5.6796636370415625E-3</v>
      </c>
      <c r="AM20" s="118">
        <f>((((IF(F20="Grey",STDs!$Y$9,STDs!$Y$8))*2)*(M20-AE20))^2*0.01)/((1+(((IF(F20="Grey",STDs!$Y$9,STDs!$Y$8))*2)*(M20-AE20))*0.01))</f>
        <v>2.3885625663755083E-7</v>
      </c>
      <c r="AN20" s="250">
        <f>AI20-AM20-IF(F20="Grey",Blanks!$M$6,Blanks!$M$5)</f>
        <v>0.24770894874838498</v>
      </c>
      <c r="AO20" s="119">
        <f t="shared" si="24"/>
        <v>2.242144800946809E-2</v>
      </c>
      <c r="AP20" s="119">
        <f>AN20/IF(F20="Grey",STDs!$AA$9,STDs!$AA$8)</f>
        <v>2.1004478854336615</v>
      </c>
      <c r="AQ20" s="119">
        <f>SQRT(((AO20/IF(F20="Grey",STDs!$AA$9,STDs!$AA$8))^2)+(((AN20*(IF(F20="Grey",STDs!$AB$9,STDs!$AB$8)))/(IF(F20="Grey",STDs!$AA$9,STDs!$AA$8))))^2)</f>
        <v>0.19040037064096818</v>
      </c>
      <c r="AR20" s="119">
        <f t="shared" si="25"/>
        <v>1875.3998977086262</v>
      </c>
      <c r="AS20" s="118">
        <f t="shared" si="26"/>
        <v>179.06849196553446</v>
      </c>
      <c r="AT20" s="119">
        <f>'Count 2'!AU20</f>
        <v>59.168781278475805</v>
      </c>
      <c r="AU20" s="329">
        <f t="shared" si="27"/>
        <v>2158.2848142811827</v>
      </c>
      <c r="AV20" s="330">
        <f t="shared" si="28"/>
        <v>206.07914471876069</v>
      </c>
      <c r="AW20" s="119">
        <f t="shared" si="29"/>
        <v>9.5482831253388314E-2</v>
      </c>
      <c r="AX20" s="119">
        <f t="shared" si="30"/>
        <v>8.3000594524401422E-2</v>
      </c>
      <c r="AY20" s="295">
        <f t="shared" si="48"/>
        <v>2158.2848142811827</v>
      </c>
      <c r="AZ20" s="296">
        <f t="shared" si="49"/>
        <v>206.07914471876069</v>
      </c>
      <c r="BA20" s="344">
        <f t="shared" si="50"/>
        <v>9.5482831253388314E-2</v>
      </c>
      <c r="BB20" s="119">
        <f t="shared" si="34"/>
        <v>8.014580564515375E-2</v>
      </c>
      <c r="BC20" s="119">
        <f t="shared" si="35"/>
        <v>6.6335128553469324E-3</v>
      </c>
      <c r="BD20" s="339">
        <f t="shared" si="36"/>
        <v>1.1198192301394221E-2</v>
      </c>
      <c r="BE20" s="118">
        <f t="shared" si="37"/>
        <v>5.7083687315477201E-3</v>
      </c>
      <c r="BF20" s="118">
        <f>BD20/(IF(F20="Grey",STDs!$Y$9,STDs!$Y$8))</f>
        <v>8.1713134054467992E-2</v>
      </c>
      <c r="BG20" s="118">
        <f>SQRT(((BE20/IF(F20="Grey",STDs!$Y$9,STDs!$Y$8))^2)+(((BD20*(IF(F20="Grey",STDs!$Z$9,STDs!$Y$8)))/(IF(F20="Grey",STDs!$Y$9,STDs!$Y$8)^2))^2))</f>
        <v>9.1717424850322443E-2</v>
      </c>
      <c r="BH20" s="118">
        <f t="shared" si="38"/>
        <v>72.958155405774988</v>
      </c>
      <c r="BI20" s="118">
        <f t="shared" si="39"/>
        <v>81.919802714051158</v>
      </c>
      <c r="BJ20" s="118">
        <v>0.05</v>
      </c>
      <c r="BK20" s="329">
        <f t="shared" si="40"/>
        <v>77.048377345171474</v>
      </c>
      <c r="BL20" s="330">
        <f t="shared" si="41"/>
        <v>86.512437663063608</v>
      </c>
      <c r="BM20" s="295">
        <f t="shared" si="42"/>
        <v>77.048377345171474</v>
      </c>
      <c r="BN20" s="296">
        <f t="shared" si="43"/>
        <v>86.512437663063608</v>
      </c>
      <c r="BO20" s="344">
        <f t="shared" si="44"/>
        <v>1.1228327012714854</v>
      </c>
    </row>
    <row r="21" spans="1:67" s="126" customFormat="1" ht="68">
      <c r="A21" s="121" t="str">
        <f>Samples!A21</f>
        <v>HE541-33-OverlyingWater</v>
      </c>
      <c r="B21" s="121">
        <f>Samples!B21</f>
        <v>12</v>
      </c>
      <c r="C21" s="122">
        <f>Samples!C21</f>
        <v>43727</v>
      </c>
      <c r="D21" s="123">
        <f>Samples!D21</f>
        <v>0.75</v>
      </c>
      <c r="E21" s="123" t="str">
        <f>Samples!G21</f>
        <v>Overlying water from sed core (Pre-porewater profile)</v>
      </c>
      <c r="F21" s="123" t="str">
        <f>Samples!M21</f>
        <v>Grey</v>
      </c>
      <c r="G21" s="143">
        <f>Samples!I21</f>
        <v>8.3350000000000009</v>
      </c>
      <c r="H21" s="122">
        <f>Samples!J21</f>
        <v>43728</v>
      </c>
      <c r="I21" s="123">
        <f>Samples!K21</f>
        <v>0.72777777777777775</v>
      </c>
      <c r="J21" s="215">
        <f>Samples!L21</f>
        <v>789</v>
      </c>
      <c r="K21" s="124">
        <f>H21+I21+(Samples!L21/(60*24))</f>
        <v>43729.275694444448</v>
      </c>
      <c r="L21" s="124">
        <f>Samples!P21</f>
        <v>1.7310000000000001</v>
      </c>
      <c r="M21" s="204">
        <f>Samples!N21</f>
        <v>2.1999999999999999E-2</v>
      </c>
      <c r="N21" s="204">
        <f>Samples!O21</f>
        <v>0.42099999999999999</v>
      </c>
      <c r="O21" s="240">
        <f t="shared" si="0"/>
        <v>0.91165831613511128</v>
      </c>
      <c r="P21" s="240">
        <f t="shared" si="1"/>
        <v>0.74905501849287248</v>
      </c>
      <c r="Q21" s="125">
        <f t="shared" si="2"/>
        <v>4.6839260773520817E-2</v>
      </c>
      <c r="R21" s="223">
        <f t="shared" si="3"/>
        <v>1365.759</v>
      </c>
      <c r="S21" s="126">
        <f t="shared" si="4"/>
        <v>2.3099498236063949E-2</v>
      </c>
      <c r="T21" s="126">
        <f t="shared" si="5"/>
        <v>0.10973633366301162</v>
      </c>
      <c r="U21" s="126">
        <f t="shared" si="6"/>
        <v>5.5997226010189534E-2</v>
      </c>
      <c r="V21" s="229">
        <f t="shared" si="7"/>
        <v>332.16899999999998</v>
      </c>
      <c r="W21" s="126">
        <f t="shared" si="8"/>
        <v>5.2804731515925241E-3</v>
      </c>
      <c r="X21" s="126">
        <f t="shared" si="9"/>
        <v>0.48004301378113851</v>
      </c>
      <c r="Y21" s="126">
        <f t="shared" si="10"/>
        <v>0.18305863597817981</v>
      </c>
      <c r="Z21" s="229">
        <f t="shared" si="11"/>
        <v>17.358000000000001</v>
      </c>
      <c r="AA21" s="126">
        <f t="shared" si="12"/>
        <v>1.680589999189562E-2</v>
      </c>
      <c r="AB21" s="126">
        <f t="shared" si="13"/>
        <v>1.3787684065713506E-3</v>
      </c>
      <c r="AC21" s="126">
        <f t="shared" si="14"/>
        <v>1.288</v>
      </c>
      <c r="AD21" s="126">
        <f t="shared" si="15"/>
        <v>5.2491776168010332E-2</v>
      </c>
      <c r="AE21" s="126">
        <f t="shared" si="16"/>
        <v>1.502996714954479E-4</v>
      </c>
      <c r="AF21" s="126">
        <f t="shared" si="17"/>
        <v>1.3317968237140895E-3</v>
      </c>
      <c r="AG21" s="126">
        <f t="shared" si="18"/>
        <v>1.3048058999918957</v>
      </c>
      <c r="AH21" s="126">
        <f t="shared" si="19"/>
        <v>8.335163729895827</v>
      </c>
      <c r="AI21" s="251">
        <f t="shared" si="20"/>
        <v>0.40419410000810435</v>
      </c>
      <c r="AJ21" s="126">
        <f t="shared" si="21"/>
        <v>2.3140609781872233E-2</v>
      </c>
      <c r="AK21" s="251">
        <f t="shared" si="22"/>
        <v>2.184970032850455E-2</v>
      </c>
      <c r="AL21" s="126">
        <f t="shared" si="23"/>
        <v>5.4458313859634348E-3</v>
      </c>
      <c r="AM21" s="126">
        <f>((((IF(F21="Grey",STDs!$Y$9,STDs!$Y$8))*2)*(M21-AE21))^2*0.01)/((1+(((IF(F21="Grey",STDs!$Y$9,STDs!$Y$8))*2)*(M21-AE21))*0.01))</f>
        <v>4.4262093087374023E-7</v>
      </c>
      <c r="AN21" s="251">
        <f>AI21-AM21-IF(F21="Grey",Blanks!$M$6,Blanks!$M$5)</f>
        <v>0.38405080024431637</v>
      </c>
      <c r="AO21" s="319">
        <f t="shared" si="24"/>
        <v>2.3140609781872233E-2</v>
      </c>
      <c r="AP21" s="319">
        <f>AN21/IF(F21="Grey",STDs!$AA$9,STDs!$AA$8)</f>
        <v>3.0230266352474597</v>
      </c>
      <c r="AQ21" s="319">
        <f>SQRT(((AO21/IF(F21="Grey",STDs!$AA$9,STDs!$AA$8))^2)+(((AN21*(IF(F21="Grey",STDs!$AB$9,STDs!$AB$8)))/(IF(F21="Grey",STDs!$AA$9,STDs!$AA$8))))^2)</f>
        <v>0.18349609964655719</v>
      </c>
      <c r="AR21" s="319">
        <f t="shared" si="25"/>
        <v>36.26906580980755</v>
      </c>
      <c r="AS21" s="126">
        <f t="shared" si="26"/>
        <v>2.4557197804477875</v>
      </c>
      <c r="AT21" s="319">
        <f>'Count 2'!AU21</f>
        <v>-2.4848000704473536</v>
      </c>
      <c r="AU21" s="331">
        <f t="shared" si="27"/>
        <v>51.737008528731543</v>
      </c>
      <c r="AV21" s="332">
        <f t="shared" si="28"/>
        <v>3.5030291624121679</v>
      </c>
      <c r="AW21" s="319">
        <f t="shared" si="29"/>
        <v>6.770838249116784E-2</v>
      </c>
      <c r="AX21" s="319">
        <f t="shared" si="30"/>
        <v>5.5997226010189534E-2</v>
      </c>
      <c r="AY21" s="297">
        <f t="shared" si="48"/>
        <v>51.737008528731543</v>
      </c>
      <c r="AZ21" s="298">
        <f t="shared" si="49"/>
        <v>3.5030291624121679</v>
      </c>
      <c r="BA21" s="344">
        <f t="shared" si="50"/>
        <v>6.770838249116784E-2</v>
      </c>
      <c r="BB21" s="319">
        <f t="shared" si="34"/>
        <v>5.4868166831505819E-2</v>
      </c>
      <c r="BC21" s="319">
        <f t="shared" si="35"/>
        <v>1.0306949550206661E-2</v>
      </c>
      <c r="BD21" s="340">
        <f t="shared" si="36"/>
        <v>1.1542750778297889E-2</v>
      </c>
      <c r="BE21" s="126">
        <f t="shared" si="37"/>
        <v>5.4777075898590705E-3</v>
      </c>
      <c r="BF21" s="126">
        <f>BD21/(IF(F21="Grey",STDs!$Y$9,STDs!$Y$8))</f>
        <v>7.5814867285580442E-2</v>
      </c>
      <c r="BG21" s="126">
        <f>SQRT(((BE21/IF(F21="Grey",STDs!$Y$9,STDs!$Y$8))^2)+(((BD21*(IF(F21="Grey",STDs!$Z$9,STDs!$Y$8)))/(IF(F21="Grey",STDs!$Y$9,STDs!$Y$8)^2))^2))</f>
        <v>4.4175440044571614E-2</v>
      </c>
      <c r="BH21" s="126">
        <f t="shared" si="38"/>
        <v>0.90959648812933935</v>
      </c>
      <c r="BI21" s="126">
        <f t="shared" si="39"/>
        <v>0.53070129707214775</v>
      </c>
      <c r="BJ21" s="126">
        <v>0.05</v>
      </c>
      <c r="BK21" s="331">
        <f t="shared" si="40"/>
        <v>0.94289326704495702</v>
      </c>
      <c r="BL21" s="332">
        <f t="shared" si="41"/>
        <v>0.55012820118782213</v>
      </c>
      <c r="BM21" s="297">
        <f t="shared" si="42"/>
        <v>0.94289326704495702</v>
      </c>
      <c r="BN21" s="298">
        <f t="shared" si="43"/>
        <v>0.55012820118782213</v>
      </c>
      <c r="BO21" s="344">
        <f t="shared" si="44"/>
        <v>0.58344695037640149</v>
      </c>
    </row>
    <row r="22" spans="1:67" s="132" customFormat="1" ht="51">
      <c r="A22" s="127" t="str">
        <f>Samples!A22</f>
        <v>HE541-33-PostFlux</v>
      </c>
      <c r="B22" s="127">
        <f>Samples!B22</f>
        <v>51</v>
      </c>
      <c r="C22" s="128">
        <f>Samples!C22</f>
        <v>43728</v>
      </c>
      <c r="D22" s="129">
        <f>Samples!D22</f>
        <v>0.79166666666666663</v>
      </c>
      <c r="E22" s="129" t="str">
        <f>Samples!G22</f>
        <v>Overlying water from sed core (post O2 flux)</v>
      </c>
      <c r="F22" s="129" t="str">
        <f>Samples!M22</f>
        <v>Orange</v>
      </c>
      <c r="G22" s="144">
        <f>Samples!I22</f>
        <v>3.15</v>
      </c>
      <c r="H22" s="128">
        <f>Samples!J22</f>
        <v>43728</v>
      </c>
      <c r="I22" s="129">
        <f>Samples!K22</f>
        <v>0.87847222222222221</v>
      </c>
      <c r="J22" s="216">
        <f>Samples!L22</f>
        <v>571</v>
      </c>
      <c r="K22" s="130">
        <f>H22+I22+(Samples!L22/(60*24))</f>
        <v>43729.274999999994</v>
      </c>
      <c r="L22" s="130">
        <f>Samples!P22</f>
        <v>1.9259999999999999</v>
      </c>
      <c r="M22" s="205">
        <f>Samples!N22</f>
        <v>2.4E-2</v>
      </c>
      <c r="N22" s="205">
        <f>Samples!O22</f>
        <v>0.436</v>
      </c>
      <c r="O22" s="241">
        <f t="shared" si="0"/>
        <v>0.97112466389935914</v>
      </c>
      <c r="P22" s="241">
        <f t="shared" si="1"/>
        <v>0.91252861979880295</v>
      </c>
      <c r="Q22" s="131">
        <f t="shared" si="2"/>
        <v>5.8077790697729254E-2</v>
      </c>
      <c r="R22" s="224">
        <f t="shared" si="3"/>
        <v>1099.7459999999999</v>
      </c>
      <c r="S22" s="132">
        <f t="shared" si="4"/>
        <v>2.7632818884609514E-2</v>
      </c>
      <c r="T22" s="132">
        <f t="shared" si="5"/>
        <v>0.12675604992940145</v>
      </c>
      <c r="U22" s="132">
        <f t="shared" si="6"/>
        <v>6.5025369700820845E-2</v>
      </c>
      <c r="V22" s="230">
        <f t="shared" si="7"/>
        <v>248.95599999999999</v>
      </c>
      <c r="W22" s="132">
        <f t="shared" si="8"/>
        <v>6.4831723440559605E-3</v>
      </c>
      <c r="X22" s="132">
        <f t="shared" si="9"/>
        <v>0.54026436200466332</v>
      </c>
      <c r="Y22" s="132">
        <f t="shared" si="10"/>
        <v>0.19543868805396833</v>
      </c>
      <c r="Z22" s="230">
        <f t="shared" si="11"/>
        <v>13.704000000000001</v>
      </c>
      <c r="AA22" s="132">
        <f t="shared" si="12"/>
        <v>2.1811313861205269E-2</v>
      </c>
      <c r="AB22" s="132">
        <f t="shared" si="13"/>
        <v>1.9378216415028874E-3</v>
      </c>
      <c r="AC22" s="132">
        <f t="shared" si="14"/>
        <v>1.466</v>
      </c>
      <c r="AD22" s="132">
        <f t="shared" si="15"/>
        <v>6.4642354346679004E-2</v>
      </c>
      <c r="AE22" s="132">
        <f t="shared" si="16"/>
        <v>1.939943846870159E-4</v>
      </c>
      <c r="AF22" s="132">
        <f t="shared" si="17"/>
        <v>6.5217057445525603E-4</v>
      </c>
      <c r="AG22" s="132">
        <f t="shared" si="18"/>
        <v>1.4878113138612052</v>
      </c>
      <c r="AH22" s="132">
        <f t="shared" si="19"/>
        <v>3.1506571310767142</v>
      </c>
      <c r="AI22" s="252">
        <f t="shared" si="20"/>
        <v>0.41418868613879473</v>
      </c>
      <c r="AJ22" s="132">
        <f t="shared" si="21"/>
        <v>2.770068288371081E-2</v>
      </c>
      <c r="AK22" s="252">
        <f t="shared" si="22"/>
        <v>2.3806005615312986E-2</v>
      </c>
      <c r="AL22" s="132">
        <f t="shared" si="23"/>
        <v>6.5158921185757331E-3</v>
      </c>
      <c r="AM22" s="132">
        <f>((((IF(F22="Grey",STDs!$Y$9,STDs!$Y$8))*2)*(M22-AE22))^2*0.01)/((1+(((IF(F22="Grey",STDs!$Y$9,STDs!$Y$8))*2)*(M22-AE22))*0.01))</f>
        <v>4.2571291427457372E-7</v>
      </c>
      <c r="AN22" s="252">
        <f>AI22-AM22-IF(F22="Grey",Blanks!$M$6,Blanks!$M$5)</f>
        <v>0.40175968899730902</v>
      </c>
      <c r="AO22" s="320">
        <f t="shared" si="24"/>
        <v>2.770068288371081E-2</v>
      </c>
      <c r="AP22" s="320">
        <f>AN22/IF(F22="Grey",STDs!$AA$9,STDs!$AA$8)</f>
        <v>3.4067210469011568</v>
      </c>
      <c r="AQ22" s="320">
        <f>SQRT(((AO22/IF(F22="Grey",STDs!$AA$9,STDs!$AA$8))^2)+(((AN22*(IF(F22="Grey",STDs!$AB$9,STDs!$AB$8)))/(IF(F22="Grey",STDs!$AA$9,STDs!$AA$8))))^2)</f>
        <v>0.23547893248642596</v>
      </c>
      <c r="AR22" s="320">
        <f t="shared" si="25"/>
        <v>108.14987450479863</v>
      </c>
      <c r="AS22" s="132">
        <f t="shared" si="26"/>
        <v>8.1492441368646809</v>
      </c>
      <c r="AT22" s="320">
        <f>'Count 2'!AU22</f>
        <v>3.2646936666066826</v>
      </c>
      <c r="AU22" s="333">
        <f t="shared" si="27"/>
        <v>114.93905896487645</v>
      </c>
      <c r="AV22" s="334">
        <f t="shared" si="28"/>
        <v>8.6608186708964059</v>
      </c>
      <c r="AW22" s="320">
        <f t="shared" si="29"/>
        <v>7.5351397069842146E-2</v>
      </c>
      <c r="AX22" s="320">
        <f t="shared" si="30"/>
        <v>6.5025369700820845E-2</v>
      </c>
      <c r="AY22" s="299">
        <f t="shared" si="48"/>
        <v>114.93905896487645</v>
      </c>
      <c r="AZ22" s="300">
        <f t="shared" si="49"/>
        <v>8.6608186708964059</v>
      </c>
      <c r="BA22" s="344">
        <f t="shared" si="50"/>
        <v>7.5351397069842146E-2</v>
      </c>
      <c r="BB22" s="320">
        <f t="shared" si="34"/>
        <v>6.3378024964700727E-2</v>
      </c>
      <c r="BC22" s="320">
        <f t="shared" si="35"/>
        <v>1.0561811496539265E-2</v>
      </c>
      <c r="BD22" s="341">
        <f t="shared" si="36"/>
        <v>1.3244194118773721E-2</v>
      </c>
      <c r="BE22" s="132">
        <f t="shared" si="37"/>
        <v>6.5540678226442663E-3</v>
      </c>
      <c r="BF22" s="132">
        <f>BD22/(IF(F22="Grey",STDs!$Y$9,STDs!$Y$8))</f>
        <v>9.6642795581927288E-2</v>
      </c>
      <c r="BG22" s="132">
        <f>SQRT(((BE22/IF(F22="Grey",STDs!$Y$9,STDs!$Y$8))^2)+(((BD22*(IF(F22="Grey",STDs!$Z$9,STDs!$Y$8)))/(IF(F22="Grey",STDs!$Y$9,STDs!$Y$8)^2))^2))</f>
        <v>0.10782884355243215</v>
      </c>
      <c r="BH22" s="132">
        <f t="shared" si="38"/>
        <v>3.0680252565691202</v>
      </c>
      <c r="BI22" s="132">
        <f t="shared" si="39"/>
        <v>3.4243750552210024</v>
      </c>
      <c r="BJ22" s="132">
        <v>0.05</v>
      </c>
      <c r="BK22" s="333">
        <f t="shared" si="40"/>
        <v>3.1077629564579654</v>
      </c>
      <c r="BL22" s="334">
        <f t="shared" si="41"/>
        <v>3.4687282716620529</v>
      </c>
      <c r="BM22" s="299">
        <f t="shared" si="42"/>
        <v>3.1077629564579654</v>
      </c>
      <c r="BN22" s="300">
        <f t="shared" si="43"/>
        <v>3.4687282716620529</v>
      </c>
      <c r="BO22" s="344">
        <f t="shared" si="44"/>
        <v>1.1161495648997288</v>
      </c>
    </row>
    <row r="23" spans="1:67" s="112" customFormat="1" ht="34">
      <c r="A23" s="107" t="str">
        <f>Samples!A23</f>
        <v>HE541-47-SW</v>
      </c>
      <c r="B23" s="107">
        <f>Samples!B23</f>
        <v>1</v>
      </c>
      <c r="C23" s="108">
        <f>Samples!C23</f>
        <v>43729</v>
      </c>
      <c r="D23" s="109">
        <f>Samples!D23</f>
        <v>0.70833333333333337</v>
      </c>
      <c r="E23" s="109" t="str">
        <f>Samples!G23</f>
        <v>Surface water</v>
      </c>
      <c r="F23" s="109" t="str">
        <f>Samples!M23</f>
        <v>Grey</v>
      </c>
      <c r="G23" s="140">
        <f>Samples!I23</f>
        <v>174</v>
      </c>
      <c r="H23" s="108">
        <f>Samples!J23</f>
        <v>43730</v>
      </c>
      <c r="I23" s="109">
        <f>Samples!K23</f>
        <v>0.375</v>
      </c>
      <c r="J23" s="212">
        <f>Samples!L23</f>
        <v>52</v>
      </c>
      <c r="K23" s="110">
        <f>H23+I23+(Samples!L23/(60*24))</f>
        <v>43730.411111111112</v>
      </c>
      <c r="L23" s="110">
        <f>Samples!P23</f>
        <v>18.186</v>
      </c>
      <c r="M23" s="201">
        <f>Samples!N23</f>
        <v>0.72299999999999998</v>
      </c>
      <c r="N23" s="201">
        <f>Samples!O23</f>
        <v>8.2750000000000004</v>
      </c>
      <c r="O23" s="237">
        <f t="shared" si="0"/>
        <v>0.95829127588078911</v>
      </c>
      <c r="P23" s="237">
        <f t="shared" si="1"/>
        <v>0.87538175102706661</v>
      </c>
      <c r="Q23" s="111">
        <f t="shared" si="2"/>
        <v>0.59138039300501777</v>
      </c>
      <c r="R23" s="220">
        <f t="shared" si="3"/>
        <v>945.67200000000003</v>
      </c>
      <c r="S23" s="112">
        <f t="shared" si="4"/>
        <v>0.39891680258496931</v>
      </c>
      <c r="T23" s="112">
        <f t="shared" si="5"/>
        <v>9.6414937180657231E-2</v>
      </c>
      <c r="U23" s="112">
        <f t="shared" si="6"/>
        <v>5.1167095917586405E-2</v>
      </c>
      <c r="V23" s="219">
        <f t="shared" si="7"/>
        <v>430.3</v>
      </c>
      <c r="W23" s="112">
        <f t="shared" si="8"/>
        <v>0.11791457142289986</v>
      </c>
      <c r="X23" s="112">
        <f t="shared" si="9"/>
        <v>0.3261813870619637</v>
      </c>
      <c r="Y23" s="112">
        <f t="shared" si="10"/>
        <v>3.8412754224888483E-2</v>
      </c>
      <c r="Z23" s="219">
        <f t="shared" si="11"/>
        <v>37.595999999999997</v>
      </c>
      <c r="AA23" s="112">
        <f t="shared" si="12"/>
        <v>0.92960560278377291</v>
      </c>
      <c r="AB23" s="112">
        <f t="shared" si="13"/>
        <v>0.1537075492571103</v>
      </c>
      <c r="AC23" s="112">
        <f t="shared" si="14"/>
        <v>9.1879999999999988</v>
      </c>
      <c r="AD23" s="112">
        <f t="shared" si="15"/>
        <v>0.72302782157343759</v>
      </c>
      <c r="AE23" s="112">
        <f t="shared" si="16"/>
        <v>6.3475753884926819E-3</v>
      </c>
      <c r="AF23" s="112">
        <f t="shared" si="17"/>
        <v>1.4147752863596585</v>
      </c>
      <c r="AG23" s="112">
        <f t="shared" si="18"/>
        <v>10.117605602783771</v>
      </c>
      <c r="AH23" s="112">
        <f t="shared" si="19"/>
        <v>174.00153014095972</v>
      </c>
      <c r="AI23" s="248">
        <f t="shared" si="20"/>
        <v>7.3453943972162277</v>
      </c>
      <c r="AJ23" s="112">
        <f t="shared" si="21"/>
        <v>0.42750511819537595</v>
      </c>
      <c r="AK23" s="248">
        <f t="shared" si="22"/>
        <v>0.71665242461150724</v>
      </c>
      <c r="AL23" s="112">
        <f t="shared" si="23"/>
        <v>1.4196805827537053</v>
      </c>
      <c r="AM23" s="112">
        <f>((((IF(F23="Grey",STDs!$Y$9,STDs!$Y$8))*2)*(M23-AE23))^2*0.01)/((1+(((IF(F23="Grey",STDs!$Y$9,STDs!$Y$8))*2)*(M23-AE23))*0.01))</f>
        <v>4.7516050726891359E-4</v>
      </c>
      <c r="AN23" s="248">
        <f>AI23-AM23-IF(F23="Grey",Blanks!$M$6,Blanks!$M$5)</f>
        <v>7.3247763795661021</v>
      </c>
      <c r="AO23" s="231">
        <f t="shared" si="24"/>
        <v>0.42750511819537595</v>
      </c>
      <c r="AP23" s="231">
        <f>AN23/IF(F23="Grey",STDs!$AA$9,STDs!$AA$8)</f>
        <v>57.656419615773167</v>
      </c>
      <c r="AQ23" s="231">
        <f>SQRT(((AO23/IF(F23="Grey",STDs!$AA$9,STDs!$AA$8))^2)+(((AN23*(IF(F23="Grey",STDs!$AB$9,STDs!$AB$8)))/(IF(F23="Grey",STDs!$AA$9,STDs!$AA$8))))^2)</f>
        <v>3.3915811396858393</v>
      </c>
      <c r="AR23" s="231">
        <f t="shared" si="25"/>
        <v>33.135873342398369</v>
      </c>
      <c r="AS23" s="112">
        <f t="shared" si="26"/>
        <v>2.1880374660256918</v>
      </c>
      <c r="AT23" s="231">
        <f>'Count 2'!AU23</f>
        <v>-0.54519800370121929</v>
      </c>
      <c r="AU23" s="265">
        <f t="shared" si="27"/>
        <v>38.475866450931044</v>
      </c>
      <c r="AV23" s="266">
        <f t="shared" si="28"/>
        <v>2.5406494183063733</v>
      </c>
      <c r="AW23" s="231">
        <f t="shared" si="29"/>
        <v>6.6032286018730957E-2</v>
      </c>
      <c r="AX23" s="231">
        <f t="shared" si="30"/>
        <v>5.1167095917586405E-2</v>
      </c>
      <c r="AY23" s="291">
        <f t="shared" si="48"/>
        <v>38.475866450931044</v>
      </c>
      <c r="AZ23" s="292">
        <f t="shared" si="49"/>
        <v>2.5406494183063733</v>
      </c>
      <c r="BA23" s="344">
        <f t="shared" si="50"/>
        <v>6.6032286018730957E-2</v>
      </c>
      <c r="BB23" s="231">
        <f t="shared" si="34"/>
        <v>4.8207468590328616E-2</v>
      </c>
      <c r="BC23" s="231">
        <f t="shared" si="35"/>
        <v>0.18730755712901379</v>
      </c>
      <c r="BD23" s="247">
        <f t="shared" si="36"/>
        <v>0.52934486748249343</v>
      </c>
      <c r="BE23" s="112">
        <f t="shared" si="37"/>
        <v>1.4197224366561976</v>
      </c>
      <c r="BF23" s="112">
        <f>BD23/(IF(F23="Grey",STDs!$Y$9,STDs!$Y$8))</f>
        <v>3.4768324853676136</v>
      </c>
      <c r="BG23" s="112">
        <f>SQRT(((BE23/IF(F23="Grey",STDs!$Y$9,STDs!$Y$8))^2)+(((BD23*(IF(F23="Grey",STDs!$Z$9,STDs!$Y$8)))/(IF(F23="Grey",STDs!$Y$9,STDs!$Y$8)^2))^2))</f>
        <v>9.3987897769720981</v>
      </c>
      <c r="BH23" s="112">
        <f t="shared" si="38"/>
        <v>1.998179589291732</v>
      </c>
      <c r="BI23" s="112">
        <f t="shared" si="39"/>
        <v>5.401935937902957</v>
      </c>
      <c r="BJ23" s="112">
        <v>0.05</v>
      </c>
      <c r="BK23" s="265">
        <f t="shared" si="40"/>
        <v>2.0329722687928178</v>
      </c>
      <c r="BL23" s="266">
        <f t="shared" si="41"/>
        <v>5.4959954642738946</v>
      </c>
      <c r="BM23" s="291">
        <f t="shared" si="42"/>
        <v>2.0329722687928178</v>
      </c>
      <c r="BN23" s="292">
        <f t="shared" si="43"/>
        <v>5.4959954642738946</v>
      </c>
      <c r="BO23" s="344">
        <f t="shared" si="44"/>
        <v>2.7034286441779285</v>
      </c>
    </row>
    <row r="24" spans="1:67" s="106" customFormat="1" ht="34">
      <c r="A24" s="101" t="str">
        <f>Samples!A24</f>
        <v>HE541-47-SWB</v>
      </c>
      <c r="B24" s="101">
        <f>Samples!B24</f>
        <v>0</v>
      </c>
      <c r="C24" s="102">
        <f>Samples!C24</f>
        <v>43729</v>
      </c>
      <c r="D24" s="103">
        <f>Samples!D24</f>
        <v>0.70833333333333337</v>
      </c>
      <c r="E24" s="103" t="str">
        <f>Samples!G24</f>
        <v>Surface water (Efficiency)</v>
      </c>
      <c r="F24" s="103" t="str">
        <f>Samples!M24</f>
        <v>Orange</v>
      </c>
      <c r="G24" s="141">
        <f>Samples!I24</f>
        <v>174</v>
      </c>
      <c r="H24" s="102">
        <f>Samples!J24</f>
        <v>43730</v>
      </c>
      <c r="I24" s="103">
        <f>Samples!K24</f>
        <v>0.375</v>
      </c>
      <c r="J24" s="213">
        <f>Samples!L24</f>
        <v>52</v>
      </c>
      <c r="K24" s="104">
        <f>H24+I24+(Samples!L24/(60*24))</f>
        <v>43730.411111111112</v>
      </c>
      <c r="L24" s="104">
        <f>Samples!P24</f>
        <v>0.83799999999999997</v>
      </c>
      <c r="M24" s="202">
        <f>Samples!N24</f>
        <v>0</v>
      </c>
      <c r="N24" s="202">
        <f>Samples!O24</f>
        <v>7.5999999999999998E-2</v>
      </c>
      <c r="O24" s="238">
        <f t="shared" si="0"/>
        <v>0.95829127588078911</v>
      </c>
      <c r="P24" s="238">
        <f t="shared" si="1"/>
        <v>0.87538175102706661</v>
      </c>
      <c r="Q24" s="105">
        <f t="shared" si="2"/>
        <v>0.12694638480628195</v>
      </c>
      <c r="R24" s="221">
        <f>L24*J24</f>
        <v>43.576000000000001</v>
      </c>
      <c r="S24" s="106">
        <f t="shared" si="4"/>
        <v>3.8230072737812856E-2</v>
      </c>
      <c r="T24" s="106">
        <f t="shared" si="5"/>
        <v>1.0060545457319172</v>
      </c>
      <c r="U24" s="106">
        <f t="shared" si="6"/>
        <v>0.5235855626297079</v>
      </c>
      <c r="V24" s="227">
        <f t="shared" si="7"/>
        <v>3.952</v>
      </c>
      <c r="W24" s="106">
        <f t="shared" si="8"/>
        <v>0</v>
      </c>
      <c r="X24" s="106" t="e">
        <f t="shared" si="9"/>
        <v>#DIV/0!</v>
      </c>
      <c r="Y24" s="106" t="e">
        <f t="shared" si="10"/>
        <v>#NUM!</v>
      </c>
      <c r="Z24" s="227">
        <f t="shared" si="11"/>
        <v>0</v>
      </c>
      <c r="AA24" s="106">
        <f t="shared" si="12"/>
        <v>5.8510248090449229E-3</v>
      </c>
      <c r="AB24" s="106">
        <f t="shared" si="13"/>
        <v>2.043819623706874E-3</v>
      </c>
      <c r="AC24" s="106">
        <f t="shared" si="14"/>
        <v>0.76200000000000001</v>
      </c>
      <c r="AD24" s="106">
        <f t="shared" si="15"/>
        <v>0.13257798865921552</v>
      </c>
      <c r="AE24" s="106">
        <f t="shared" si="16"/>
        <v>5.3177537902550148E-5</v>
      </c>
      <c r="AF24" s="106">
        <f t="shared" si="17"/>
        <v>9.7308645308851627E-3</v>
      </c>
      <c r="AG24" s="106">
        <f t="shared" si="18"/>
        <v>0.76785102480904488</v>
      </c>
      <c r="AH24" s="106">
        <f t="shared" si="19"/>
        <v>174.00005052039577</v>
      </c>
      <c r="AI24" s="249">
        <f t="shared" si="20"/>
        <v>7.0148975190955073E-2</v>
      </c>
      <c r="AJ24" s="106">
        <f t="shared" si="21"/>
        <v>3.8284666123563245E-2</v>
      </c>
      <c r="AK24" s="249">
        <f t="shared" si="22"/>
        <v>-5.3177537902550148E-5</v>
      </c>
      <c r="AL24" s="106">
        <f t="shared" si="23"/>
        <v>9.7308645308851627E-3</v>
      </c>
      <c r="AM24" s="106">
        <f>((((IF(F24="Grey",STDs!$Y$9,STDs!$Y$8))*2)*(M24-AE24))^2*0.01)/((1+(((IF(F24="Grey",STDs!$Y$9,STDs!$Y$8))*2)*(M24-AE24))*0.01))</f>
        <v>2.1243624328532199E-12</v>
      </c>
      <c r="AN24" s="249">
        <f>AI24-AM24-IF(F24="Grey",Blanks!$M$6,Blanks!$M$5)</f>
        <v>5.772040376025929E-2</v>
      </c>
      <c r="AO24" s="318">
        <f t="shared" si="24"/>
        <v>3.8284666123563245E-2</v>
      </c>
      <c r="AP24" s="318">
        <f>AN24/IF(F24="Grey",STDs!$AA$9,STDs!$AA$8)</f>
        <v>0.48944012978620433</v>
      </c>
      <c r="AQ24" s="318">
        <f>SQRT(((AO24/IF(F24="Grey",STDs!$AA$9,STDs!$AA$8))^2)+(((AN24*(IF(F24="Grey",STDs!$AB$9,STDs!$AB$8)))/(IF(F24="Grey",STDs!$AA$9,STDs!$AA$8))))^2)</f>
        <v>0.32464364132571549</v>
      </c>
      <c r="AR24" s="318">
        <f t="shared" si="25"/>
        <v>0.28128743091161168</v>
      </c>
      <c r="AS24" s="106">
        <f t="shared" si="26"/>
        <v>0.18676754176008875</v>
      </c>
      <c r="AT24" s="318" t="e">
        <f>'Count 2'!AU24</f>
        <v>#VALUE!</v>
      </c>
      <c r="AU24" s="327" t="e">
        <f t="shared" si="27"/>
        <v>#VALUE!</v>
      </c>
      <c r="AV24" s="328" t="e">
        <f t="shared" si="28"/>
        <v>#VALUE!</v>
      </c>
      <c r="AW24" s="318" t="e">
        <f t="shared" si="29"/>
        <v>#VALUE!</v>
      </c>
      <c r="AX24" s="318">
        <f t="shared" si="30"/>
        <v>0.5235855626297079</v>
      </c>
      <c r="AY24" s="293"/>
      <c r="AZ24" s="294"/>
      <c r="BA24" s="344"/>
      <c r="BB24" s="318">
        <f t="shared" si="34"/>
        <v>0.50302727286595861</v>
      </c>
      <c r="BC24" s="318">
        <f t="shared" si="35"/>
        <v>1.7887988673693542E-3</v>
      </c>
      <c r="BD24" s="338">
        <f t="shared" si="36"/>
        <v>-1.8419764052719043E-3</v>
      </c>
      <c r="BE24" s="106">
        <f t="shared" si="37"/>
        <v>9.7797140104646848E-3</v>
      </c>
      <c r="BF24" s="106">
        <f>BD24/(IF(F24="Grey",STDs!$Y$9,STDs!$Y$8))</f>
        <v>-1.3440889464847876E-2</v>
      </c>
      <c r="BG24" s="106">
        <f>SQRT(((BE24/IF(F24="Grey",STDs!$Y$9,STDs!$Y$8))^2)+(((BD24*(IF(F24="Grey",STDs!$Z$9,STDs!$Y$8)))/(IF(F24="Grey",STDs!$Y$9,STDs!$Y$8)^2))^2))</f>
        <v>7.2617249909841142E-2</v>
      </c>
      <c r="BH24" s="106">
        <f t="shared" si="38"/>
        <v>-7.7246491177286646E-3</v>
      </c>
      <c r="BI24" s="106">
        <f t="shared" si="39"/>
        <v>4.1734695065037637E-2</v>
      </c>
      <c r="BJ24" s="106">
        <v>0.05</v>
      </c>
      <c r="BK24" s="327">
        <f t="shared" si="40"/>
        <v>-6.0237060036545283E-2</v>
      </c>
      <c r="BL24" s="328">
        <f t="shared" si="41"/>
        <v>0.32544848237440521</v>
      </c>
      <c r="BM24" s="293"/>
      <c r="BN24" s="294"/>
      <c r="BO24" s="344"/>
    </row>
    <row r="25" spans="1:67" s="118" customFormat="1" ht="34">
      <c r="A25" s="113" t="str">
        <f>Samples!A25</f>
        <v>HE541-47-PW1</v>
      </c>
      <c r="B25" s="113">
        <f>Samples!B25</f>
        <v>27</v>
      </c>
      <c r="C25" s="114">
        <f>Samples!C25</f>
        <v>43729</v>
      </c>
      <c r="D25" s="115">
        <f>Samples!D25</f>
        <v>0.53125</v>
      </c>
      <c r="E25" s="115" t="str">
        <f>Samples!G25</f>
        <v>Porewater</v>
      </c>
      <c r="F25" s="115" t="str">
        <f>Samples!M25</f>
        <v>Orange</v>
      </c>
      <c r="G25" s="142">
        <f>Samples!I25</f>
        <v>0.27200000000000002</v>
      </c>
      <c r="H25" s="114">
        <f>Samples!J25</f>
        <v>43729</v>
      </c>
      <c r="I25" s="115">
        <f>Samples!K25</f>
        <v>0.7597222222222223</v>
      </c>
      <c r="J25" s="214">
        <f>Samples!L25</f>
        <v>771</v>
      </c>
      <c r="K25" s="116">
        <f>H25+I25+(Samples!L25/(60*24))</f>
        <v>43730.295138888891</v>
      </c>
      <c r="L25" s="116">
        <f>Samples!P25</f>
        <v>1.9379999999999999</v>
      </c>
      <c r="M25" s="203">
        <f>Samples!N25</f>
        <v>1.7999999999999999E-2</v>
      </c>
      <c r="N25" s="203">
        <f>Samples!O25</f>
        <v>0.377</v>
      </c>
      <c r="O25" s="239">
        <f t="shared" si="0"/>
        <v>0.95474770780068385</v>
      </c>
      <c r="P25" s="239">
        <f t="shared" si="1"/>
        <v>0.86530892540668736</v>
      </c>
      <c r="Q25" s="117">
        <f t="shared" si="2"/>
        <v>5.0136001805516972E-2</v>
      </c>
      <c r="R25" s="222">
        <f t="shared" si="3"/>
        <v>1494.1979999999999</v>
      </c>
      <c r="S25" s="118">
        <f t="shared" si="4"/>
        <v>2.2112787175741479E-2</v>
      </c>
      <c r="T25" s="118">
        <f t="shared" si="5"/>
        <v>0.11730921578642695</v>
      </c>
      <c r="U25" s="118">
        <f t="shared" si="6"/>
        <v>6.063134542634719E-2</v>
      </c>
      <c r="V25" s="228">
        <f t="shared" si="7"/>
        <v>290.66699999999997</v>
      </c>
      <c r="W25" s="118">
        <f t="shared" si="8"/>
        <v>4.8318012688794978E-3</v>
      </c>
      <c r="X25" s="118">
        <f t="shared" si="9"/>
        <v>0.53686680765327754</v>
      </c>
      <c r="Y25" s="118">
        <f t="shared" si="10"/>
        <v>0.19398299543835187</v>
      </c>
      <c r="Z25" s="228">
        <f t="shared" si="11"/>
        <v>13.877999999999998</v>
      </c>
      <c r="AA25" s="118">
        <f t="shared" si="12"/>
        <v>2.4181612277440916E-2</v>
      </c>
      <c r="AB25" s="118">
        <f t="shared" si="13"/>
        <v>1.7376781138951382E-3</v>
      </c>
      <c r="AC25" s="118">
        <f t="shared" si="14"/>
        <v>1.5429999999999999</v>
      </c>
      <c r="AD25" s="118">
        <f t="shared" si="15"/>
        <v>5.5008547855986738E-2</v>
      </c>
      <c r="AE25" s="118">
        <f t="shared" si="16"/>
        <v>2.145635715523225E-4</v>
      </c>
      <c r="AF25" s="118">
        <f t="shared" si="17"/>
        <v>6.3626793632034606E-5</v>
      </c>
      <c r="AG25" s="118">
        <f t="shared" si="18"/>
        <v>1.5671816122774409</v>
      </c>
      <c r="AH25" s="118">
        <f t="shared" si="19"/>
        <v>0.277470022811384</v>
      </c>
      <c r="AI25" s="250">
        <f t="shared" si="20"/>
        <v>0.35281838772255908</v>
      </c>
      <c r="AJ25" s="118">
        <f t="shared" si="21"/>
        <v>2.2180957641795968E-2</v>
      </c>
      <c r="AK25" s="250">
        <f t="shared" si="22"/>
        <v>1.7785436428447675E-2</v>
      </c>
      <c r="AL25" s="118">
        <f t="shared" si="23"/>
        <v>4.8322201802911899E-3</v>
      </c>
      <c r="AM25" s="118">
        <f>((((IF(F25="Grey",STDs!$Y$9,STDs!$Y$8))*2)*(M25-AE25))^2*0.01)/((1+(((IF(F25="Grey",STDs!$Y$9,STDs!$Y$8))*2)*(M25-AE25))*0.01))</f>
        <v>2.3761835274923538E-7</v>
      </c>
      <c r="AN25" s="250">
        <f>AI25-AM25-IF(F25="Grey",Blanks!$M$6,Blanks!$M$5)</f>
        <v>0.34038957867563485</v>
      </c>
      <c r="AO25" s="119">
        <f t="shared" si="24"/>
        <v>2.2180957641795968E-2</v>
      </c>
      <c r="AP25" s="119">
        <f>AN25/IF(F25="Grey",STDs!$AA$9,STDs!$AA$8)</f>
        <v>2.8863332324708901</v>
      </c>
      <c r="AQ25" s="119">
        <f>SQRT(((AO25/IF(F25="Grey",STDs!$AA$9,STDs!$AA$8))^2)+(((AN25*(IF(F25="Grey",STDs!$AB$9,STDs!$AB$8)))/(IF(F25="Grey",STDs!$AA$9,STDs!$AA$8))))^2)</f>
        <v>0.18861315194279682</v>
      </c>
      <c r="AR25" s="119">
        <f t="shared" si="25"/>
        <v>1061.1519237025329</v>
      </c>
      <c r="AS25" s="118">
        <f t="shared" si="26"/>
        <v>76.301379413141419</v>
      </c>
      <c r="AT25" s="119">
        <f>'Count 2'!AU25</f>
        <v>-10.160804487866393</v>
      </c>
      <c r="AU25" s="329">
        <f t="shared" si="27"/>
        <v>1238.0696612910726</v>
      </c>
      <c r="AV25" s="330">
        <f t="shared" si="28"/>
        <v>89.022524349256983</v>
      </c>
      <c r="AW25" s="119">
        <f t="shared" si="29"/>
        <v>7.190429354065854E-2</v>
      </c>
      <c r="AX25" s="119">
        <f t="shared" si="30"/>
        <v>6.063134542634719E-2</v>
      </c>
      <c r="AY25" s="295">
        <f t="shared" si="48"/>
        <v>1238.0696612910726</v>
      </c>
      <c r="AZ25" s="296">
        <f t="shared" si="49"/>
        <v>89.022524349256983</v>
      </c>
      <c r="BA25" s="344">
        <f t="shared" si="50"/>
        <v>7.190429354065854E-2</v>
      </c>
      <c r="BB25" s="119">
        <f t="shared" si="34"/>
        <v>5.8654607893213473E-2</v>
      </c>
      <c r="BC25" s="119">
        <f t="shared" si="35"/>
        <v>8.9968688869252553E-3</v>
      </c>
      <c r="BD25" s="339">
        <f t="shared" si="36"/>
        <v>8.7885675415224195E-3</v>
      </c>
      <c r="BE25" s="118">
        <f t="shared" si="37"/>
        <v>4.8652103287292262E-3</v>
      </c>
      <c r="BF25" s="118">
        <f>BD25/(IF(F25="Grey",STDs!$Y$9,STDs!$Y$8))</f>
        <v>6.4130118356491891E-2</v>
      </c>
      <c r="BG25" s="118">
        <f>SQRT(((BE25/IF(F25="Grey",STDs!$Y$9,STDs!$Y$8))^2)+(((BD25*(IF(F25="Grey",STDs!$Z$9,STDs!$Y$8)))/(IF(F25="Grey",STDs!$Y$9,STDs!$Y$8)^2))^2))</f>
        <v>7.3300900316780132E-2</v>
      </c>
      <c r="BH25" s="118">
        <f t="shared" si="38"/>
        <v>23.577249395769076</v>
      </c>
      <c r="BI25" s="118">
        <f t="shared" si="39"/>
        <v>26.958141171993649</v>
      </c>
      <c r="BJ25" s="118">
        <v>0.05</v>
      </c>
      <c r="BK25" s="329">
        <f t="shared" si="40"/>
        <v>24.642373271537299</v>
      </c>
      <c r="BL25" s="330">
        <f t="shared" si="41"/>
        <v>28.175999936034778</v>
      </c>
      <c r="BM25" s="295">
        <f t="shared" si="42"/>
        <v>24.642373271537299</v>
      </c>
      <c r="BN25" s="296">
        <f t="shared" si="43"/>
        <v>28.175999936034778</v>
      </c>
      <c r="BO25" s="344">
        <f t="shared" si="44"/>
        <v>1.1433963614445743</v>
      </c>
    </row>
    <row r="26" spans="1:67" s="118" customFormat="1" ht="34">
      <c r="A26" s="113" t="str">
        <f>Samples!A26</f>
        <v>HE541-47-PW2</v>
      </c>
      <c r="B26" s="113">
        <f>Samples!B26</f>
        <v>56</v>
      </c>
      <c r="C26" s="114">
        <f>Samples!C26</f>
        <v>43729</v>
      </c>
      <c r="D26" s="115">
        <f>Samples!D26</f>
        <v>0.5625</v>
      </c>
      <c r="E26" s="115" t="str">
        <f>Samples!G26</f>
        <v>Porewater</v>
      </c>
      <c r="F26" s="115" t="str">
        <f>Samples!M26</f>
        <v>Grey</v>
      </c>
      <c r="G26" s="142">
        <f>Samples!I26</f>
        <v>0.14799999999999999</v>
      </c>
      <c r="H26" s="114">
        <f>Samples!J26</f>
        <v>43729</v>
      </c>
      <c r="I26" s="115">
        <f>Samples!K26</f>
        <v>0.7597222222222223</v>
      </c>
      <c r="J26" s="214">
        <f>Samples!L26</f>
        <v>771</v>
      </c>
      <c r="K26" s="116">
        <f>H26+I26+(Samples!L26/(60*24))</f>
        <v>43730.295138888891</v>
      </c>
      <c r="L26" s="116">
        <f>Samples!P26</f>
        <v>0.98399999999999999</v>
      </c>
      <c r="M26" s="203">
        <f>Samples!N26</f>
        <v>3.0000000000000001E-3</v>
      </c>
      <c r="N26" s="203">
        <f>Samples!O26</f>
        <v>8.8999999999999996E-2</v>
      </c>
      <c r="O26" s="239">
        <f t="shared" si="0"/>
        <v>0.95655811952392256</v>
      </c>
      <c r="P26" s="239">
        <f t="shared" si="1"/>
        <v>0.87044523684791597</v>
      </c>
      <c r="Q26" s="117">
        <f t="shared" si="2"/>
        <v>3.5724845576148946E-2</v>
      </c>
      <c r="R26" s="222">
        <f t="shared" si="3"/>
        <v>758.66399999999999</v>
      </c>
      <c r="S26" s="118">
        <f t="shared" si="4"/>
        <v>1.0744044892334936E-2</v>
      </c>
      <c r="T26" s="118">
        <f t="shared" si="5"/>
        <v>0.24143921106370644</v>
      </c>
      <c r="U26" s="118">
        <f t="shared" si="6"/>
        <v>0.12656279395260045</v>
      </c>
      <c r="V26" s="228">
        <f t="shared" si="7"/>
        <v>68.619</v>
      </c>
      <c r="W26" s="118">
        <f t="shared" si="8"/>
        <v>1.9725746078811789E-3</v>
      </c>
      <c r="X26" s="118">
        <f t="shared" si="9"/>
        <v>1.3150497385874529</v>
      </c>
      <c r="Y26" s="118">
        <f t="shared" si="10"/>
        <v>0.67102688353994966</v>
      </c>
      <c r="Z26" s="228">
        <f t="shared" si="11"/>
        <v>2.3130000000000002</v>
      </c>
      <c r="AA26" s="118">
        <f t="shared" si="12"/>
        <v>8.0282520079105642E-3</v>
      </c>
      <c r="AB26" s="118">
        <f t="shared" si="13"/>
        <v>6.7548403143187334E-4</v>
      </c>
      <c r="AC26" s="118">
        <f t="shared" si="14"/>
        <v>0.89200000000000002</v>
      </c>
      <c r="AD26" s="118">
        <f t="shared" si="15"/>
        <v>3.7357598191958954E-2</v>
      </c>
      <c r="AE26" s="118">
        <f t="shared" si="16"/>
        <v>7.2676737475069436E-5</v>
      </c>
      <c r="AF26" s="118">
        <f t="shared" si="17"/>
        <v>1.1696716023193605E-5</v>
      </c>
      <c r="AG26" s="118">
        <f t="shared" si="18"/>
        <v>0.90002825200791059</v>
      </c>
      <c r="AH26" s="118">
        <f t="shared" si="19"/>
        <v>0.15263078120341556</v>
      </c>
      <c r="AI26" s="250">
        <f t="shared" si="20"/>
        <v>8.0971747992089435E-2</v>
      </c>
      <c r="AJ26" s="118">
        <f t="shared" si="21"/>
        <v>1.0765257977644004E-2</v>
      </c>
      <c r="AK26" s="250">
        <f t="shared" si="22"/>
        <v>2.9273232625249305E-3</v>
      </c>
      <c r="AL26" s="118">
        <f t="shared" si="23"/>
        <v>1.9726092864080598E-3</v>
      </c>
      <c r="AM26" s="118">
        <f>((((IF(F26="Grey",STDs!$Y$9,STDs!$Y$8))*2)*(M26-AE26))^2*0.01)/((1+(((IF(F26="Grey",STDs!$Y$9,STDs!$Y$8))*2)*(M26-AE26))*0.01))</f>
        <v>7.9452463526141812E-9</v>
      </c>
      <c r="AN26" s="250">
        <f>AI26-AM26-IF(F26="Grey",Blanks!$M$6,Blanks!$M$5)</f>
        <v>6.0828882903985942E-2</v>
      </c>
      <c r="AO26" s="119">
        <f t="shared" si="24"/>
        <v>1.0765257977644004E-2</v>
      </c>
      <c r="AP26" s="119">
        <f>AN26/IF(F26="Grey",STDs!$AA$9,STDs!$AA$8)</f>
        <v>0.47880992070350398</v>
      </c>
      <c r="AQ26" s="119">
        <f>SQRT(((AO26/IF(F26="Grey",STDs!$AA$9,STDs!$AA$8))^2)+(((AN26*(IF(F26="Grey",STDs!$AB$9,STDs!$AB$8)))/(IF(F26="Grey",STDs!$AA$9,STDs!$AA$8))))^2)</f>
        <v>8.4810758879239112E-2</v>
      </c>
      <c r="AR26" s="119">
        <f t="shared" si="25"/>
        <v>323.52021669155675</v>
      </c>
      <c r="AS26" s="118">
        <f t="shared" si="26"/>
        <v>58.120669084785106</v>
      </c>
      <c r="AT26" s="119">
        <f>'Count 2'!AU26</f>
        <v>-66.508576846791968</v>
      </c>
      <c r="AU26" s="329">
        <f t="shared" si="27"/>
        <v>448.07964594157977</v>
      </c>
      <c r="AV26" s="330">
        <f t="shared" si="28"/>
        <v>80.49787148302778</v>
      </c>
      <c r="AW26" s="119">
        <f t="shared" si="29"/>
        <v>0.17965081032384814</v>
      </c>
      <c r="AX26" s="119">
        <f t="shared" si="30"/>
        <v>0.12656279395260045</v>
      </c>
      <c r="AY26" s="295">
        <f t="shared" si="48"/>
        <v>448.07964594157977</v>
      </c>
      <c r="AZ26" s="296">
        <f t="shared" si="49"/>
        <v>80.49787148302778</v>
      </c>
      <c r="BA26" s="344">
        <f t="shared" si="50"/>
        <v>0.17965081032384814</v>
      </c>
      <c r="BB26" s="119">
        <f t="shared" si="34"/>
        <v>0.12071960553185321</v>
      </c>
      <c r="BC26" s="119">
        <f t="shared" si="35"/>
        <v>2.0647795737982803E-3</v>
      </c>
      <c r="BD26" s="339">
        <f t="shared" si="36"/>
        <v>8.6254368872665027E-4</v>
      </c>
      <c r="BE26" s="118">
        <f t="shared" si="37"/>
        <v>1.9916187828195294E-3</v>
      </c>
      <c r="BF26" s="118">
        <f>BD26/(IF(F26="Grey",STDs!$Y$9,STDs!$Y$8))</f>
        <v>5.6653423906349856E-3</v>
      </c>
      <c r="BG26" s="118">
        <f>SQRT(((BE26/IF(F26="Grey",STDs!$Y$9,STDs!$Y$8))^2)+(((BD26*(IF(F26="Grey",STDs!$Z$9,STDs!$Y$8)))/(IF(F26="Grey",STDs!$Y$9,STDs!$Y$8)^2))^2))</f>
        <v>1.3220795698444981E-2</v>
      </c>
      <c r="BH26" s="118">
        <f t="shared" si="38"/>
        <v>3.8279340477263415</v>
      </c>
      <c r="BI26" s="118">
        <f t="shared" si="39"/>
        <v>8.9337081875586772</v>
      </c>
      <c r="BJ26" s="118">
        <v>0.05</v>
      </c>
      <c r="BK26" s="329">
        <f t="shared" si="40"/>
        <v>3.9495081068431195</v>
      </c>
      <c r="BL26" s="330">
        <f t="shared" si="41"/>
        <v>9.2174401311566641</v>
      </c>
      <c r="BM26" s="295">
        <f t="shared" si="42"/>
        <v>3.9495081068431195</v>
      </c>
      <c r="BN26" s="296">
        <f t="shared" si="43"/>
        <v>9.2174401311566641</v>
      </c>
      <c r="BO26" s="344">
        <f t="shared" si="44"/>
        <v>2.3338197775024327</v>
      </c>
    </row>
    <row r="27" spans="1:67" s="132" customFormat="1" ht="51">
      <c r="A27" s="127" t="str">
        <f>Samples!A27</f>
        <v>HE541-47-PostFlux</v>
      </c>
      <c r="B27" s="127">
        <f>Samples!B27</f>
        <v>38</v>
      </c>
      <c r="C27" s="128">
        <f>Samples!C27</f>
        <v>43730</v>
      </c>
      <c r="D27" s="129">
        <f>Samples!D27</f>
        <v>0.60416666666666663</v>
      </c>
      <c r="E27" s="129" t="str">
        <f>Samples!G27</f>
        <v>Overlying water from sed core (post O2 flux)</v>
      </c>
      <c r="F27" s="129" t="str">
        <f>Samples!M27</f>
        <v>Grey</v>
      </c>
      <c r="G27" s="144">
        <f>Samples!I27</f>
        <v>4.29</v>
      </c>
      <c r="H27" s="128">
        <f>Samples!J27</f>
        <v>43730</v>
      </c>
      <c r="I27" s="129">
        <f>Samples!K27</f>
        <v>0.69305555555555554</v>
      </c>
      <c r="J27" s="216">
        <f>Samples!L27</f>
        <v>261</v>
      </c>
      <c r="K27" s="130">
        <f>H27+I27+(Samples!L27/(60*24))</f>
        <v>43730.874305555561</v>
      </c>
      <c r="L27" s="130">
        <f>Samples!P27</f>
        <v>3.6280000000000001</v>
      </c>
      <c r="M27" s="205">
        <f>Samples!N27</f>
        <v>6.0999999999999999E-2</v>
      </c>
      <c r="N27" s="205">
        <f>Samples!O27</f>
        <v>0.99099999999999999</v>
      </c>
      <c r="O27" s="241">
        <f t="shared" si="0"/>
        <v>0.98375711466628024</v>
      </c>
      <c r="P27" s="241">
        <f t="shared" si="1"/>
        <v>0.95012653188172613</v>
      </c>
      <c r="Q27" s="131">
        <f t="shared" si="2"/>
        <v>0.11789988609732603</v>
      </c>
      <c r="R27" s="224">
        <f t="shared" si="3"/>
        <v>946.90800000000002</v>
      </c>
      <c r="S27" s="132">
        <f t="shared" si="4"/>
        <v>6.1619273493772893E-2</v>
      </c>
      <c r="T27" s="132">
        <f t="shared" si="5"/>
        <v>0.12435776688955176</v>
      </c>
      <c r="U27" s="132">
        <f t="shared" si="6"/>
        <v>6.4432550873757738E-2</v>
      </c>
      <c r="V27" s="230">
        <f t="shared" si="7"/>
        <v>258.65100000000001</v>
      </c>
      <c r="W27" s="132">
        <f t="shared" si="8"/>
        <v>1.5287788430501825E-2</v>
      </c>
      <c r="X27" s="132">
        <f t="shared" si="9"/>
        <v>0.50123896493448605</v>
      </c>
      <c r="Y27" s="132">
        <f t="shared" si="10"/>
        <v>0.13221293093555214</v>
      </c>
      <c r="Z27" s="230">
        <f t="shared" si="11"/>
        <v>15.920999999999999</v>
      </c>
      <c r="AA27" s="132">
        <f t="shared" si="12"/>
        <v>6.8112333716538034E-2</v>
      </c>
      <c r="AB27" s="132">
        <f t="shared" si="13"/>
        <v>7.1749117717610838E-3</v>
      </c>
      <c r="AC27" s="132">
        <f t="shared" si="14"/>
        <v>2.5760000000000001</v>
      </c>
      <c r="AD27" s="132">
        <f t="shared" si="15"/>
        <v>0.13390681268239721</v>
      </c>
      <c r="AE27" s="132">
        <f t="shared" si="16"/>
        <v>5.8506000646679952E-4</v>
      </c>
      <c r="AF27" s="132">
        <f t="shared" si="17"/>
        <v>2.7431556852499112E-3</v>
      </c>
      <c r="AG27" s="132">
        <f t="shared" si="18"/>
        <v>2.6441123337165382</v>
      </c>
      <c r="AH27" s="132">
        <f t="shared" si="19"/>
        <v>4.2920681258999833</v>
      </c>
      <c r="AI27" s="252">
        <f t="shared" si="20"/>
        <v>0.92288766628346197</v>
      </c>
      <c r="AJ27" s="132">
        <f t="shared" si="21"/>
        <v>6.2035588373392077E-2</v>
      </c>
      <c r="AK27" s="252">
        <f t="shared" si="22"/>
        <v>6.0414939993533201E-2</v>
      </c>
      <c r="AL27" s="132">
        <f t="shared" si="23"/>
        <v>1.5531947019266593E-2</v>
      </c>
      <c r="AM27" s="132">
        <f>((((IF(F27="Grey",STDs!$Y$9,STDs!$Y$8))*2)*(M27-AE27))^2*0.01)/((1+(((IF(F27="Grey",STDs!$Y$9,STDs!$Y$8))*2)*(M27-AE27))*0.01))</f>
        <v>3.3835973893940074E-6</v>
      </c>
      <c r="AN27" s="252">
        <f>AI27-AM27-IF(F27="Grey",Blanks!$M$6,Blanks!$M$5)</f>
        <v>0.90274142554321546</v>
      </c>
      <c r="AO27" s="320">
        <f t="shared" si="24"/>
        <v>6.2035588373392077E-2</v>
      </c>
      <c r="AP27" s="320">
        <f>AN27/IF(F27="Grey",STDs!$AA$9,STDs!$AA$8)</f>
        <v>7.1058604029006682</v>
      </c>
      <c r="AQ27" s="320">
        <f>SQRT(((AO27/IF(F27="Grey",STDs!$AA$9,STDs!$AA$8))^2)+(((AN27*(IF(F27="Grey",STDs!$AB$9,STDs!$AB$8)))/(IF(F27="Grey",STDs!$AA$9,STDs!$AA$8))))^2)</f>
        <v>0.49108604566236852</v>
      </c>
      <c r="AR27" s="320">
        <f t="shared" si="25"/>
        <v>165.63777162938621</v>
      </c>
      <c r="AS27" s="132">
        <f t="shared" si="26"/>
        <v>12.479234518588067</v>
      </c>
      <c r="AT27" s="320">
        <f>'Count 2'!AU27</f>
        <v>-3.5301259141427583</v>
      </c>
      <c r="AU27" s="333">
        <f t="shared" si="27"/>
        <v>178.04775665878086</v>
      </c>
      <c r="AV27" s="334">
        <f t="shared" si="28"/>
        <v>13.414209144427016</v>
      </c>
      <c r="AW27" s="320">
        <f t="shared" si="29"/>
        <v>7.5340511984852698E-2</v>
      </c>
      <c r="AX27" s="320">
        <f t="shared" si="30"/>
        <v>6.4432550873757738E-2</v>
      </c>
      <c r="AY27" s="299">
        <f t="shared" si="48"/>
        <v>178.04775665878086</v>
      </c>
      <c r="AZ27" s="300">
        <f t="shared" si="49"/>
        <v>13.414209144427016</v>
      </c>
      <c r="BA27" s="344">
        <f t="shared" si="50"/>
        <v>7.5340511984852698E-2</v>
      </c>
      <c r="BB27" s="320">
        <f t="shared" si="34"/>
        <v>6.2178883444775873E-2</v>
      </c>
      <c r="BC27" s="320">
        <f t="shared" si="35"/>
        <v>2.3533635490228279E-2</v>
      </c>
      <c r="BD27" s="341">
        <f t="shared" si="36"/>
        <v>3.6881304503304922E-2</v>
      </c>
      <c r="BE27" s="132">
        <f t="shared" si="37"/>
        <v>1.561229674195959E-2</v>
      </c>
      <c r="BF27" s="132">
        <f>BD27/(IF(F27="Grey",STDs!$Y$9,STDs!$Y$8))</f>
        <v>0.24224305453205563</v>
      </c>
      <c r="BG27" s="132">
        <f>SQRT(((BE27/IF(F27="Grey",STDs!$Y$9,STDs!$Y$8))^2)+(((BD27*(IF(F27="Grey",STDs!$Z$9,STDs!$Y$8)))/(IF(F27="Grey",STDs!$Y$9,STDs!$Y$8)^2))^2))</f>
        <v>0.13123623746618443</v>
      </c>
      <c r="BH27" s="132">
        <f t="shared" si="38"/>
        <v>5.6466912478334645</v>
      </c>
      <c r="BI27" s="132">
        <f t="shared" si="39"/>
        <v>3.063806502041146</v>
      </c>
      <c r="BJ27" s="132">
        <v>0.05</v>
      </c>
      <c r="BK27" s="333">
        <f t="shared" si="40"/>
        <v>5.689098624442507</v>
      </c>
      <c r="BL27" s="334">
        <f t="shared" si="41"/>
        <v>3.086816082428447</v>
      </c>
      <c r="BM27" s="299">
        <f t="shared" si="42"/>
        <v>5.689098624442507</v>
      </c>
      <c r="BN27" s="300">
        <f t="shared" si="43"/>
        <v>3.086816082428447</v>
      </c>
      <c r="BO27" s="344">
        <f t="shared" si="44"/>
        <v>0.54258438571733036</v>
      </c>
    </row>
    <row r="28" spans="1:67" s="106" customFormat="1" ht="51">
      <c r="A28" s="101" t="str">
        <f>Samples!A28</f>
        <v>HE541-47-PostFlux-Eff</v>
      </c>
      <c r="B28" s="101">
        <f>Samples!B28</f>
        <v>0</v>
      </c>
      <c r="C28" s="102">
        <f>Samples!C28</f>
        <v>43730</v>
      </c>
      <c r="D28" s="103">
        <f>Samples!D28</f>
        <v>0.60416666666666663</v>
      </c>
      <c r="E28" s="103" t="str">
        <f>Samples!G28</f>
        <v>Efficiency check for HE541-47-PostFlux</v>
      </c>
      <c r="F28" s="103" t="str">
        <f>Samples!M28</f>
        <v>Orange</v>
      </c>
      <c r="G28" s="141">
        <f>Samples!I28</f>
        <v>4.29</v>
      </c>
      <c r="H28" s="102">
        <f>Samples!J28</f>
        <v>43730</v>
      </c>
      <c r="I28" s="103">
        <f>Samples!K28</f>
        <v>0.69305555555555554</v>
      </c>
      <c r="J28" s="213">
        <f>Samples!L28</f>
        <v>261</v>
      </c>
      <c r="K28" s="104">
        <f>H28+I28+(Samples!L28/(60*24))</f>
        <v>43730.874305555561</v>
      </c>
      <c r="L28" s="104">
        <f>Samples!P28</f>
        <v>0.93400000000000005</v>
      </c>
      <c r="M28" s="202">
        <f>Samples!N28</f>
        <v>4.0000000000000001E-3</v>
      </c>
      <c r="N28" s="202">
        <f>Samples!O28</f>
        <v>0.111</v>
      </c>
      <c r="O28" s="238">
        <f t="shared" si="0"/>
        <v>0.98375711466628024</v>
      </c>
      <c r="P28" s="238">
        <f t="shared" si="1"/>
        <v>0.95012653188172613</v>
      </c>
      <c r="Q28" s="105">
        <f t="shared" si="2"/>
        <v>5.9820933303507406E-2</v>
      </c>
      <c r="R28" s="221">
        <f t="shared" si="3"/>
        <v>243.774</v>
      </c>
      <c r="S28" s="106">
        <f t="shared" si="4"/>
        <v>2.0622496364936981E-2</v>
      </c>
      <c r="T28" s="106">
        <f t="shared" si="5"/>
        <v>0.37157651107994566</v>
      </c>
      <c r="U28" s="106">
        <f t="shared" si="6"/>
        <v>0.19172060568417559</v>
      </c>
      <c r="V28" s="227">
        <f t="shared" si="7"/>
        <v>28.971</v>
      </c>
      <c r="W28" s="106">
        <f t="shared" si="8"/>
        <v>3.9148014634313565E-3</v>
      </c>
      <c r="X28" s="106">
        <f t="shared" si="9"/>
        <v>1.9574007317156781</v>
      </c>
      <c r="Y28" s="106">
        <f t="shared" si="10"/>
        <v>1.0205472881682998</v>
      </c>
      <c r="Z28" s="227">
        <f t="shared" si="11"/>
        <v>1.044</v>
      </c>
      <c r="AA28" s="106">
        <f t="shared" si="12"/>
        <v>6.7629989614946427E-3</v>
      </c>
      <c r="AB28" s="106">
        <f t="shared" si="13"/>
        <v>1.0513379347404101E-3</v>
      </c>
      <c r="AC28" s="106">
        <f t="shared" si="14"/>
        <v>0.81900000000000006</v>
      </c>
      <c r="AD28" s="106">
        <f t="shared" si="15"/>
        <v>6.3396822381903375E-2</v>
      </c>
      <c r="AE28" s="106">
        <f t="shared" si="16"/>
        <v>6.1359426935523847E-5</v>
      </c>
      <c r="AF28" s="106">
        <f t="shared" si="17"/>
        <v>2.7718163617030213E-4</v>
      </c>
      <c r="AG28" s="106">
        <f t="shared" si="18"/>
        <v>0.82576299896149474</v>
      </c>
      <c r="AH28" s="106">
        <f t="shared" si="19"/>
        <v>4.2904667504514098</v>
      </c>
      <c r="AI28" s="249">
        <f t="shared" si="20"/>
        <v>0.10423700103850536</v>
      </c>
      <c r="AJ28" s="106">
        <f t="shared" si="21"/>
        <v>2.0649277657459674E-2</v>
      </c>
      <c r="AK28" s="249">
        <f t="shared" si="22"/>
        <v>3.9386405730644763E-3</v>
      </c>
      <c r="AL28" s="106">
        <f t="shared" si="23"/>
        <v>3.9246019107056366E-3</v>
      </c>
      <c r="AM28" s="106">
        <f>((((IF(F28="Grey",STDs!$Y$9,STDs!$Y$8))*2)*(M28-AE28))^2*0.01)/((1+(((IF(F28="Grey",STDs!$Y$9,STDs!$Y$8))*2)*(M28-AE28))*0.01))</f>
        <v>1.1653600083230392E-8</v>
      </c>
      <c r="AN28" s="249">
        <f>AI28-AM28-IF(F28="Grey",Blanks!$M$6,Blanks!$M$5)</f>
        <v>9.1808417956333849E-2</v>
      </c>
      <c r="AO28" s="318">
        <f t="shared" si="24"/>
        <v>2.0649277657459674E-2</v>
      </c>
      <c r="AP28" s="318">
        <f>AN28/IF(F28="Grey",STDs!$AA$9,STDs!$AA$8)</f>
        <v>0.77848942614209249</v>
      </c>
      <c r="AQ28" s="318">
        <f>SQRT(((AO28/IF(F28="Grey",STDs!$AA$9,STDs!$AA$8))^2)+(((AN28*(IF(F28="Grey",STDs!$AB$9,STDs!$AB$8)))/(IF(F28="Grey",STDs!$AA$9,STDs!$AA$8))))^2)</f>
        <v>0.17513698600651353</v>
      </c>
      <c r="AR28" s="318">
        <f t="shared" si="25"/>
        <v>18.146606669978844</v>
      </c>
      <c r="AS28" s="106">
        <f t="shared" si="26"/>
        <v>4.1185852856850849</v>
      </c>
      <c r="AT28" s="318" t="e">
        <f>'Count 2'!AU28</f>
        <v>#VALUE!</v>
      </c>
      <c r="AU28" s="327" t="e">
        <f t="shared" si="27"/>
        <v>#VALUE!</v>
      </c>
      <c r="AV28" s="328" t="e">
        <f t="shared" si="28"/>
        <v>#VALUE!</v>
      </c>
      <c r="AW28" s="318" t="e">
        <f t="shared" si="29"/>
        <v>#VALUE!</v>
      </c>
      <c r="AX28" s="318">
        <f t="shared" si="30"/>
        <v>0.19172060568417559</v>
      </c>
      <c r="AY28" s="293"/>
      <c r="AZ28" s="294"/>
      <c r="BA28" s="344"/>
      <c r="BB28" s="318">
        <f t="shared" si="34"/>
        <v>0.1857882555399728</v>
      </c>
      <c r="BC28" s="318">
        <f t="shared" si="35"/>
        <v>2.6580435264818864E-3</v>
      </c>
      <c r="BD28" s="338">
        <f t="shared" si="36"/>
        <v>1.2805970465825899E-3</v>
      </c>
      <c r="BE28" s="106">
        <f t="shared" si="37"/>
        <v>3.9597679211962585E-3</v>
      </c>
      <c r="BF28" s="106">
        <f>BD28/(IF(F28="Grey",STDs!$Y$9,STDs!$Y$8))</f>
        <v>9.3445080527980087E-3</v>
      </c>
      <c r="BG28" s="106">
        <f>SQRT(((BE28/IF(F28="Grey",STDs!$Y$9,STDs!$Y$8))^2)+(((BD28*(IF(F28="Grey",STDs!$Z$9,STDs!$Y$8)))/(IF(F28="Grey",STDs!$Y$9,STDs!$Y$8)^2))^2))</f>
        <v>3.0367847778227861E-2</v>
      </c>
      <c r="BH28" s="106">
        <f t="shared" si="38"/>
        <v>0.21782070053142211</v>
      </c>
      <c r="BI28" s="106">
        <f t="shared" si="39"/>
        <v>0.70790540052352913</v>
      </c>
      <c r="BJ28" s="106">
        <v>0.05</v>
      </c>
      <c r="BK28" s="327">
        <f t="shared" si="40"/>
        <v>0.17059160033455201</v>
      </c>
      <c r="BL28" s="328">
        <f t="shared" si="41"/>
        <v>0.55441339994845895</v>
      </c>
      <c r="BM28" s="293"/>
      <c r="BN28" s="294"/>
      <c r="BO28" s="344"/>
    </row>
    <row r="29" spans="1:67" s="112" customFormat="1" ht="34">
      <c r="A29" s="107" t="str">
        <f>Samples!A29</f>
        <v>HE541-66-SW</v>
      </c>
      <c r="B29" s="107">
        <f>Samples!B29</f>
        <v>46</v>
      </c>
      <c r="C29" s="108">
        <f>Samples!C29</f>
        <v>43731</v>
      </c>
      <c r="D29" s="109">
        <f>Samples!D29</f>
        <v>0.33333333333333331</v>
      </c>
      <c r="E29" s="109" t="str">
        <f>Samples!G29</f>
        <v>Surface water</v>
      </c>
      <c r="F29" s="109" t="str">
        <f>Samples!M29</f>
        <v>Orange</v>
      </c>
      <c r="G29" s="140">
        <f>Samples!I29</f>
        <v>192.9</v>
      </c>
      <c r="H29" s="108">
        <f>Samples!J29</f>
        <v>43731</v>
      </c>
      <c r="I29" s="109">
        <f>Samples!K29</f>
        <v>0.58888888888888891</v>
      </c>
      <c r="J29" s="212">
        <f>Samples!L29</f>
        <v>79</v>
      </c>
      <c r="K29" s="110">
        <f>H29+I29+(Samples!L29/(60*24))</f>
        <v>43731.643749999996</v>
      </c>
      <c r="L29" s="110">
        <f>Samples!P29</f>
        <v>23.591999999999999</v>
      </c>
      <c r="M29" s="201">
        <f>Samples!N29</f>
        <v>0.88900000000000001</v>
      </c>
      <c r="N29" s="201">
        <f>Samples!O29</f>
        <v>10.375</v>
      </c>
      <c r="O29" s="237">
        <f t="shared" si="0"/>
        <v>0.98135800246375704</v>
      </c>
      <c r="P29" s="237">
        <f t="shared" si="1"/>
        <v>0.94290655212992469</v>
      </c>
      <c r="Q29" s="111">
        <f t="shared" si="2"/>
        <v>0.54647315706483246</v>
      </c>
      <c r="R29" s="220">
        <f t="shared" si="3"/>
        <v>1863.7679999999998</v>
      </c>
      <c r="S29" s="112">
        <f t="shared" si="4"/>
        <v>0.3623935897943707</v>
      </c>
      <c r="T29" s="112">
        <f t="shared" si="5"/>
        <v>6.9859005261565438E-2</v>
      </c>
      <c r="U29" s="112">
        <f t="shared" si="6"/>
        <v>3.8272949865610417E-2</v>
      </c>
      <c r="V29" s="219">
        <f t="shared" si="7"/>
        <v>819.625</v>
      </c>
      <c r="W29" s="112">
        <f t="shared" si="8"/>
        <v>0.10608093399363537</v>
      </c>
      <c r="X29" s="112">
        <f t="shared" si="9"/>
        <v>0.23865226995193561</v>
      </c>
      <c r="Y29" s="112">
        <f t="shared" si="10"/>
        <v>2.4712721144001172E-2</v>
      </c>
      <c r="Z29" s="219">
        <f t="shared" si="11"/>
        <v>70.230999999999995</v>
      </c>
      <c r="AA29" s="112">
        <f t="shared" si="12"/>
        <v>1.7335019618578338</v>
      </c>
      <c r="AB29" s="112">
        <f t="shared" si="13"/>
        <v>0.19993807569942765</v>
      </c>
      <c r="AC29" s="112">
        <f t="shared" si="14"/>
        <v>12.327999999999999</v>
      </c>
      <c r="AD29" s="112">
        <f t="shared" si="15"/>
        <v>0.66424031033460895</v>
      </c>
      <c r="AE29" s="112">
        <f t="shared" si="16"/>
        <v>1.0448930356269329E-2</v>
      </c>
      <c r="AF29" s="112">
        <f t="shared" si="17"/>
        <v>2.8236632375049298</v>
      </c>
      <c r="AG29" s="112">
        <f t="shared" si="18"/>
        <v>14.061501961857832</v>
      </c>
      <c r="AH29" s="112">
        <f t="shared" si="19"/>
        <v>192.90121808132636</v>
      </c>
      <c r="AI29" s="248">
        <f t="shared" si="20"/>
        <v>8.6414980381421671</v>
      </c>
      <c r="AJ29" s="112">
        <f t="shared" si="21"/>
        <v>0.41388929442357009</v>
      </c>
      <c r="AK29" s="248">
        <f t="shared" si="22"/>
        <v>0.87855106964373064</v>
      </c>
      <c r="AL29" s="112">
        <f t="shared" si="23"/>
        <v>2.825655188340181</v>
      </c>
      <c r="AM29" s="112">
        <f>((((IF(F29="Grey",STDs!$Y$9,STDs!$Y$8))*2)*(M29-AE29))^2*0.01)/((1+(((IF(F29="Grey",STDs!$Y$9,STDs!$Y$8))*2)*(M29-AE29))*0.01))</f>
        <v>5.7844437972104693E-4</v>
      </c>
      <c r="AN29" s="248">
        <f>AI29-AM29-IF(F29="Grey",Blanks!$M$6,Blanks!$M$5)</f>
        <v>8.6284910223338738</v>
      </c>
      <c r="AO29" s="231">
        <f t="shared" si="24"/>
        <v>0.41388929442357009</v>
      </c>
      <c r="AP29" s="231">
        <f>AN29/IF(F29="Grey",STDs!$AA$9,STDs!$AA$8)</f>
        <v>73.165284556408977</v>
      </c>
      <c r="AQ29" s="231">
        <f>SQRT(((AO29/IF(F29="Grey",STDs!$AA$9,STDs!$AA$8))^2)+(((AN29*(IF(F29="Grey",STDs!$AB$9,STDs!$AB$8)))/(IF(F29="Grey",STDs!$AA$9,STDs!$AA$8))))^2)</f>
        <v>3.5277943887375103</v>
      </c>
      <c r="AR29" s="231">
        <f t="shared" si="25"/>
        <v>37.929126260450481</v>
      </c>
      <c r="AS29" s="112">
        <f t="shared" si="26"/>
        <v>2.1539128356644981</v>
      </c>
      <c r="AT29" s="231">
        <f>'Count 2'!AU29</f>
        <v>1.2137781627162554</v>
      </c>
      <c r="AU29" s="265">
        <f t="shared" si="27"/>
        <v>38.938480186396198</v>
      </c>
      <c r="AV29" s="266">
        <f t="shared" si="28"/>
        <v>2.211231856458546</v>
      </c>
      <c r="AW29" s="231">
        <f t="shared" si="29"/>
        <v>5.6787831622433907E-2</v>
      </c>
      <c r="AX29" s="231">
        <f t="shared" si="30"/>
        <v>3.8272949865610417E-2</v>
      </c>
      <c r="AY29" s="291">
        <f t="shared" si="48"/>
        <v>38.938480186396198</v>
      </c>
      <c r="AZ29" s="292">
        <f t="shared" si="49"/>
        <v>2.211231856458546</v>
      </c>
      <c r="BA29" s="344">
        <f t="shared" si="50"/>
        <v>5.6787831622433907E-2</v>
      </c>
      <c r="BB29" s="231">
        <f t="shared" si="34"/>
        <v>3.4929502630782719E-2</v>
      </c>
      <c r="BC29" s="231">
        <f t="shared" si="35"/>
        <v>0.22035819997262523</v>
      </c>
      <c r="BD29" s="247">
        <f t="shared" si="36"/>
        <v>0.65819286967110546</v>
      </c>
      <c r="BE29" s="112">
        <f t="shared" si="37"/>
        <v>2.8256748988597566</v>
      </c>
      <c r="BF29" s="112">
        <f>BD29/(IF(F29="Grey",STDs!$Y$9,STDs!$Y$8))</f>
        <v>4.8028289518151794</v>
      </c>
      <c r="BG29" s="112">
        <f>SQRT(((BE29/IF(F29="Grey",STDs!$Y$9,STDs!$Y$8))^2)+(((BD29*(IF(F29="Grey",STDs!$Z$9,STDs!$Y$8)))/(IF(F29="Grey",STDs!$Y$9,STDs!$Y$8)^2))^2))</f>
        <v>21.170910986863401</v>
      </c>
      <c r="BH29" s="112">
        <f t="shared" si="38"/>
        <v>2.4898024633567544</v>
      </c>
      <c r="BI29" s="112">
        <f t="shared" si="39"/>
        <v>10.975324669354848</v>
      </c>
      <c r="BJ29" s="112">
        <v>0.05</v>
      </c>
      <c r="BK29" s="265">
        <f t="shared" si="40"/>
        <v>2.4861492515794308</v>
      </c>
      <c r="BL29" s="266">
        <f t="shared" si="41"/>
        <v>10.959220907738361</v>
      </c>
      <c r="BM29" s="291">
        <f t="shared" si="42"/>
        <v>2.4861492515794308</v>
      </c>
      <c r="BN29" s="292">
        <f t="shared" si="43"/>
        <v>10.959220907738361</v>
      </c>
      <c r="BO29" s="344">
        <f t="shared" si="44"/>
        <v>4.4081106155537748</v>
      </c>
    </row>
    <row r="30" spans="1:67" s="106" customFormat="1" ht="34">
      <c r="A30" s="101" t="str">
        <f>Samples!A30</f>
        <v>HE541-66-SWB</v>
      </c>
      <c r="B30" s="101">
        <f>Samples!B30</f>
        <v>0</v>
      </c>
      <c r="C30" s="102">
        <f>Samples!C30</f>
        <v>43731</v>
      </c>
      <c r="D30" s="103">
        <f>Samples!D30</f>
        <v>0.33333333333333331</v>
      </c>
      <c r="E30" s="103" t="str">
        <f>Samples!G30</f>
        <v>Surface water (Efficiency)</v>
      </c>
      <c r="F30" s="103" t="str">
        <f>Samples!M30</f>
        <v>Grey</v>
      </c>
      <c r="G30" s="141">
        <f>Samples!I30</f>
        <v>192.9</v>
      </c>
      <c r="H30" s="102">
        <f>Samples!J30</f>
        <v>43731</v>
      </c>
      <c r="I30" s="103">
        <f>Samples!K30</f>
        <v>0.58888888888888891</v>
      </c>
      <c r="J30" s="213">
        <f>Samples!L30</f>
        <v>79</v>
      </c>
      <c r="K30" s="104">
        <f>H30+I30+(Samples!L30/(60*24))</f>
        <v>43731.643749999996</v>
      </c>
      <c r="L30" s="104">
        <f>Samples!P30</f>
        <v>1.7270000000000001</v>
      </c>
      <c r="M30" s="202">
        <f>Samples!N30</f>
        <v>6.3E-2</v>
      </c>
      <c r="N30" s="202">
        <f>Samples!O30</f>
        <v>0.41299999999999998</v>
      </c>
      <c r="O30" s="238">
        <f t="shared" si="0"/>
        <v>0.98135800246375704</v>
      </c>
      <c r="P30" s="238">
        <f t="shared" si="1"/>
        <v>0.94290655212992469</v>
      </c>
      <c r="Q30" s="105">
        <f t="shared" si="2"/>
        <v>0.14785384504188889</v>
      </c>
      <c r="R30" s="221">
        <f t="shared" si="3"/>
        <v>136.43300000000002</v>
      </c>
      <c r="S30" s="106">
        <f t="shared" si="4"/>
        <v>7.2303859518464311E-2</v>
      </c>
      <c r="T30" s="106">
        <f t="shared" si="5"/>
        <v>0.35013975553735749</v>
      </c>
      <c r="U30" s="106">
        <f t="shared" si="6"/>
        <v>0.17852877541873108</v>
      </c>
      <c r="V30" s="227">
        <f t="shared" si="7"/>
        <v>32.626999999999995</v>
      </c>
      <c r="W30" s="106">
        <f t="shared" si="8"/>
        <v>2.8239482191258033E-2</v>
      </c>
      <c r="X30" s="106">
        <f t="shared" si="9"/>
        <v>0.89649149813517581</v>
      </c>
      <c r="Y30" s="106">
        <f t="shared" si="10"/>
        <v>0.34147557949594037</v>
      </c>
      <c r="Z30" s="227">
        <f t="shared" si="11"/>
        <v>4.9770000000000003</v>
      </c>
      <c r="AA30" s="106">
        <f t="shared" si="12"/>
        <v>1.5848271881234242E-2</v>
      </c>
      <c r="AB30" s="106">
        <f t="shared" si="13"/>
        <v>4.2578519070024402E-3</v>
      </c>
      <c r="AC30" s="106">
        <f t="shared" si="14"/>
        <v>1.2510000000000001</v>
      </c>
      <c r="AD30" s="106">
        <f t="shared" si="15"/>
        <v>0.16699124512790212</v>
      </c>
      <c r="AE30" s="106">
        <f t="shared" si="16"/>
        <v>1.418970801985694E-4</v>
      </c>
      <c r="AF30" s="106">
        <f t="shared" si="17"/>
        <v>2.9076298477826262E-2</v>
      </c>
      <c r="AG30" s="106">
        <f t="shared" si="18"/>
        <v>1.2668482718812344</v>
      </c>
      <c r="AH30" s="106">
        <f t="shared" si="19"/>
        <v>192.90007026109893</v>
      </c>
      <c r="AI30" s="249">
        <f t="shared" si="20"/>
        <v>0.39715172811876576</v>
      </c>
      <c r="AJ30" s="106">
        <f t="shared" si="21"/>
        <v>7.2429119862992858E-2</v>
      </c>
      <c r="AK30" s="249">
        <f t="shared" si="22"/>
        <v>6.2858102919801428E-2</v>
      </c>
      <c r="AL30" s="106">
        <f t="shared" si="23"/>
        <v>4.0532696525176083E-2</v>
      </c>
      <c r="AM30" s="106">
        <f>((((IF(F30="Grey",STDs!$Y$9,STDs!$Y$8))*2)*(M30-AE30))^2*0.01)/((1+(((IF(F30="Grey",STDs!$Y$9,STDs!$Y$8))*2)*(M30-AE30))*0.01))</f>
        <v>3.6627670060182644E-6</v>
      </c>
      <c r="AN30" s="249">
        <f>AI30-AM30-IF(F30="Grey",Blanks!$M$6,Blanks!$M$5)</f>
        <v>0.3770052082089026</v>
      </c>
      <c r="AO30" s="318">
        <f t="shared" si="24"/>
        <v>7.2429119862992858E-2</v>
      </c>
      <c r="AP30" s="318">
        <f>AN30/IF(F30="Grey",STDs!$AA$9,STDs!$AA$8)</f>
        <v>2.9675677939415865</v>
      </c>
      <c r="AQ30" s="318">
        <f>SQRT(((AO30/IF(F30="Grey",STDs!$AA$9,STDs!$AA$8))^2)+(((AN30*(IF(F30="Grey",STDs!$AB$9,STDs!$AB$8)))/(IF(F30="Grey",STDs!$AA$9,STDs!$AA$8))))^2)</f>
        <v>0.57053625726813428</v>
      </c>
      <c r="AR30" s="318">
        <f t="shared" si="25"/>
        <v>1.5383969901200552</v>
      </c>
      <c r="AS30" s="106">
        <f t="shared" si="26"/>
        <v>0.29934702728583745</v>
      </c>
      <c r="AT30" s="318" t="e">
        <f>'Count 2'!AU30</f>
        <v>#VALUE!</v>
      </c>
      <c r="AU30" s="327" t="e">
        <f t="shared" si="27"/>
        <v>#VALUE!</v>
      </c>
      <c r="AV30" s="328" t="e">
        <f t="shared" si="28"/>
        <v>#VALUE!</v>
      </c>
      <c r="AW30" s="318" t="e">
        <f t="shared" si="29"/>
        <v>#VALUE!</v>
      </c>
      <c r="AX30" s="318">
        <f t="shared" si="30"/>
        <v>0.17852877541873108</v>
      </c>
      <c r="AY30" s="293"/>
      <c r="AZ30" s="294"/>
      <c r="BA30" s="344"/>
      <c r="BB30" s="318">
        <f t="shared" si="34"/>
        <v>0.17506987776867874</v>
      </c>
      <c r="BC30" s="318">
        <f t="shared" si="35"/>
        <v>1.0127369067028526E-2</v>
      </c>
      <c r="BD30" s="338">
        <f t="shared" si="36"/>
        <v>5.2730733852772903E-2</v>
      </c>
      <c r="BE30" s="106">
        <f t="shared" si="37"/>
        <v>4.057475427416727E-2</v>
      </c>
      <c r="BF30" s="106">
        <f>BD30/(IF(F30="Grey",STDs!$Y$9,STDs!$Y$8))</f>
        <v>0.34634496279999899</v>
      </c>
      <c r="BG30" s="106">
        <f>SQRT(((BE30/IF(F30="Grey",STDs!$Y$9,STDs!$Y$8))^2)+(((BD30*(IF(F30="Grey",STDs!$Z$9,STDs!$Y$8)))/(IF(F30="Grey",STDs!$Y$9,STDs!$Y$8)^2))^2))</f>
        <v>0.29109257932330429</v>
      </c>
      <c r="BH30" s="106">
        <f t="shared" si="38"/>
        <v>0.17954637781233748</v>
      </c>
      <c r="BI30" s="106">
        <f t="shared" si="39"/>
        <v>0.15099946006434409</v>
      </c>
      <c r="BJ30" s="106">
        <v>0.05</v>
      </c>
      <c r="BK30" s="327">
        <f t="shared" si="40"/>
        <v>0.13200725676776839</v>
      </c>
      <c r="BL30" s="328">
        <f t="shared" si="41"/>
        <v>0.11101880605657402</v>
      </c>
      <c r="BM30" s="293"/>
      <c r="BN30" s="294"/>
      <c r="BO30" s="344"/>
    </row>
    <row r="31" spans="1:67" s="118" customFormat="1" ht="34">
      <c r="A31" s="113" t="str">
        <f>Samples!A31</f>
        <v>HE541-70-PW1</v>
      </c>
      <c r="B31" s="113">
        <f>Samples!B31</f>
        <v>14</v>
      </c>
      <c r="C31" s="114">
        <f>Samples!C31</f>
        <v>43731</v>
      </c>
      <c r="D31" s="115">
        <f>Samples!D31</f>
        <v>0.58333333333333337</v>
      </c>
      <c r="E31" s="115" t="str">
        <f>Samples!G31</f>
        <v>Porewater</v>
      </c>
      <c r="F31" s="115" t="str">
        <f>Samples!M31</f>
        <v>Orange</v>
      </c>
      <c r="G31" s="142">
        <f>Samples!I31</f>
        <v>0.17299999999999999</v>
      </c>
      <c r="H31" s="114">
        <f>Samples!J31</f>
        <v>43731</v>
      </c>
      <c r="I31" s="115">
        <f>Samples!K31</f>
        <v>0.66875000000000007</v>
      </c>
      <c r="J31" s="214">
        <f>Samples!L31</f>
        <v>903</v>
      </c>
      <c r="K31" s="116">
        <f>H31+I31+(Samples!L31/(60*24))</f>
        <v>43732.29583333333</v>
      </c>
      <c r="L31" s="116">
        <f>Samples!P31</f>
        <v>1.6160000000000001</v>
      </c>
      <c r="M31" s="203">
        <f>Samples!N31</f>
        <v>0.02</v>
      </c>
      <c r="N31" s="203">
        <f>Samples!O31</f>
        <v>0.27100000000000002</v>
      </c>
      <c r="O31" s="239">
        <f t="shared" si="0"/>
        <v>0.95772664792670148</v>
      </c>
      <c r="P31" s="239">
        <f t="shared" si="1"/>
        <v>0.87377144785170491</v>
      </c>
      <c r="Q31" s="117">
        <f t="shared" si="2"/>
        <v>4.2303548961127764E-2</v>
      </c>
      <c r="R31" s="222">
        <f t="shared" si="3"/>
        <v>1459.248</v>
      </c>
      <c r="S31" s="118">
        <f t="shared" si="4"/>
        <v>1.7323704626066767E-2</v>
      </c>
      <c r="T31" s="118">
        <f t="shared" si="5"/>
        <v>0.12785021864255916</v>
      </c>
      <c r="U31" s="118">
        <f t="shared" si="6"/>
        <v>6.6132875751851339E-2</v>
      </c>
      <c r="V31" s="228">
        <f t="shared" si="7"/>
        <v>244.71300000000002</v>
      </c>
      <c r="W31" s="118">
        <f t="shared" si="8"/>
        <v>4.7062080533501168E-3</v>
      </c>
      <c r="X31" s="118">
        <f t="shared" si="9"/>
        <v>0.47062080533501166</v>
      </c>
      <c r="Y31" s="118">
        <f t="shared" si="10"/>
        <v>0.18584589772255833</v>
      </c>
      <c r="Z31" s="228">
        <f t="shared" si="11"/>
        <v>18.059999999999999</v>
      </c>
      <c r="AA31" s="118">
        <f t="shared" si="12"/>
        <v>1.7791993919432487E-2</v>
      </c>
      <c r="AB31" s="118">
        <f t="shared" si="13"/>
        <v>1.2424425068304345E-3</v>
      </c>
      <c r="AC31" s="118">
        <f t="shared" si="14"/>
        <v>1.3250000000000002</v>
      </c>
      <c r="AD31" s="118">
        <f t="shared" si="15"/>
        <v>4.5954862538355595E-2</v>
      </c>
      <c r="AE31" s="118">
        <f t="shared" si="16"/>
        <v>1.5893704974988775E-4</v>
      </c>
      <c r="AF31" s="118">
        <f t="shared" si="17"/>
        <v>3.0257719563433816E-5</v>
      </c>
      <c r="AG31" s="118">
        <f t="shared" si="18"/>
        <v>1.3427919939194326</v>
      </c>
      <c r="AH31" s="118">
        <f t="shared" si="19"/>
        <v>0.1789420147982595</v>
      </c>
      <c r="AI31" s="250">
        <f t="shared" si="20"/>
        <v>0.25320800608056754</v>
      </c>
      <c r="AJ31" s="118">
        <f t="shared" si="21"/>
        <v>1.736820098208177E-2</v>
      </c>
      <c r="AK31" s="250">
        <f t="shared" si="22"/>
        <v>1.9841062950250114E-2</v>
      </c>
      <c r="AL31" s="118">
        <f t="shared" si="23"/>
        <v>4.7063053206321702E-3</v>
      </c>
      <c r="AM31" s="118">
        <f>((((IF(F31="Grey",STDs!$Y$9,STDs!$Y$8))*2)*(M31-AE31))^2*0.01)/((1+(((IF(F31="Grey",STDs!$Y$9,STDs!$Y$8))*2)*(M31-AE31))*0.01))</f>
        <v>2.957184021607546E-7</v>
      </c>
      <c r="AN31" s="250">
        <f>AI31-AM31-IF(F31="Grey",Blanks!$M$6,Blanks!$M$5)</f>
        <v>0.24077913893359396</v>
      </c>
      <c r="AO31" s="119">
        <f t="shared" si="24"/>
        <v>1.736820098208177E-2</v>
      </c>
      <c r="AP31" s="119">
        <f>AN31/IF(F31="Grey",STDs!$AA$9,STDs!$AA$8)</f>
        <v>2.0416865671789846</v>
      </c>
      <c r="AQ31" s="119">
        <f>SQRT(((AO31/IF(F31="Grey",STDs!$AA$9,STDs!$AA$8))^2)+(((AN31*(IF(F31="Grey",STDs!$AB$9,STDs!$AB$8)))/(IF(F31="Grey",STDs!$AA$9,STDs!$AA$8))))^2)</f>
        <v>0.14761224557672742</v>
      </c>
      <c r="AR31" s="119">
        <f t="shared" si="25"/>
        <v>1180.1656457681993</v>
      </c>
      <c r="AS31" s="118">
        <f t="shared" si="26"/>
        <v>92.378931824239913</v>
      </c>
      <c r="AT31" s="119">
        <f>'Count 2'!AU31</f>
        <v>28.74197027839606</v>
      </c>
      <c r="AU31" s="329">
        <f t="shared" si="27"/>
        <v>1317.7629897620791</v>
      </c>
      <c r="AV31" s="330">
        <f t="shared" si="28"/>
        <v>103.14953483711879</v>
      </c>
      <c r="AW31" s="119">
        <f t="shared" si="29"/>
        <v>7.8276242115239814E-2</v>
      </c>
      <c r="AX31" s="119">
        <f t="shared" si="30"/>
        <v>6.6132875751851339E-2</v>
      </c>
      <c r="AY31" s="295">
        <f t="shared" si="48"/>
        <v>1317.7629897620791</v>
      </c>
      <c r="AZ31" s="296">
        <f t="shared" si="49"/>
        <v>103.14953483711879</v>
      </c>
      <c r="BA31" s="344">
        <f t="shared" si="50"/>
        <v>7.8276242115239814E-2</v>
      </c>
      <c r="BB31" s="119">
        <f t="shared" si="34"/>
        <v>6.392510932127958E-2</v>
      </c>
      <c r="BC31" s="119">
        <f t="shared" si="35"/>
        <v>6.4568041550544719E-3</v>
      </c>
      <c r="BD31" s="339">
        <f t="shared" si="36"/>
        <v>1.3384258795195642E-2</v>
      </c>
      <c r="BE31" s="118">
        <f t="shared" si="37"/>
        <v>4.7270985337828642E-3</v>
      </c>
      <c r="BF31" s="118">
        <f>BD31/(IF(F31="Grey",STDs!$Y$9,STDs!$Y$8))</f>
        <v>9.7664846585582152E-2</v>
      </c>
      <c r="BG31" s="118">
        <f>SQRT(((BE31/IF(F31="Grey",STDs!$Y$9,STDs!$Y$8))^2)+(((BD31*(IF(F31="Grey",STDs!$Z$9,STDs!$Y$8)))/(IF(F31="Grey",STDs!$Y$9,STDs!$Y$8)^2))^2))</f>
        <v>0.10357717476400322</v>
      </c>
      <c r="BH31" s="118">
        <f t="shared" si="38"/>
        <v>56.45366854657928</v>
      </c>
      <c r="BI31" s="118">
        <f t="shared" si="39"/>
        <v>59.895148542376056</v>
      </c>
      <c r="BJ31" s="118">
        <v>0.05</v>
      </c>
      <c r="BK31" s="329">
        <f t="shared" si="40"/>
        <v>58.893285123351895</v>
      </c>
      <c r="BL31" s="330">
        <f t="shared" si="41"/>
        <v>62.483486927005146</v>
      </c>
      <c r="BM31" s="295">
        <f t="shared" si="42"/>
        <v>58.893285123351895</v>
      </c>
      <c r="BN31" s="296">
        <f t="shared" si="43"/>
        <v>62.483486927005146</v>
      </c>
      <c r="BO31" s="344">
        <f t="shared" si="44"/>
        <v>1.0609611400711232</v>
      </c>
    </row>
    <row r="32" spans="1:67" s="118" customFormat="1" ht="34">
      <c r="A32" s="113" t="str">
        <f>Samples!A32</f>
        <v>HE541-70-PW2</v>
      </c>
      <c r="B32" s="113">
        <f>Samples!B32</f>
        <v>26</v>
      </c>
      <c r="C32" s="114">
        <f>Samples!C32</f>
        <v>43731</v>
      </c>
      <c r="D32" s="115">
        <f>Samples!D32</f>
        <v>0.61458333333333337</v>
      </c>
      <c r="E32" s="115" t="str">
        <f>Samples!G32</f>
        <v>Porewater</v>
      </c>
      <c r="F32" s="115" t="str">
        <f>Samples!M32</f>
        <v>Grey</v>
      </c>
      <c r="G32" s="142">
        <f>Samples!I32</f>
        <v>0.183</v>
      </c>
      <c r="H32" s="114">
        <f>Samples!J32</f>
        <v>43731</v>
      </c>
      <c r="I32" s="115">
        <f>Samples!K32</f>
        <v>0.66875000000000007</v>
      </c>
      <c r="J32" s="214">
        <f>Samples!L32</f>
        <v>902</v>
      </c>
      <c r="K32" s="116">
        <f>H32+I32+(Samples!L32/(60*24))</f>
        <v>43732.295138888883</v>
      </c>
      <c r="L32" s="116">
        <f>Samples!P32</f>
        <v>1.274</v>
      </c>
      <c r="M32" s="203">
        <f>Samples!N32</f>
        <v>1.4E-2</v>
      </c>
      <c r="N32" s="203">
        <f>Samples!O32</f>
        <v>0.24399999999999999</v>
      </c>
      <c r="O32" s="239">
        <f t="shared" si="0"/>
        <v>0.95958310436377869</v>
      </c>
      <c r="P32" s="239">
        <f t="shared" si="1"/>
        <v>0.87907359675620023</v>
      </c>
      <c r="Q32" s="117">
        <f t="shared" si="2"/>
        <v>3.758213473768144E-2</v>
      </c>
      <c r="R32" s="222">
        <f t="shared" si="3"/>
        <v>1149.1479999999999</v>
      </c>
      <c r="S32" s="118">
        <f t="shared" si="4"/>
        <v>1.644718753547399E-2</v>
      </c>
      <c r="T32" s="118">
        <f t="shared" si="5"/>
        <v>0.13481301258585238</v>
      </c>
      <c r="U32" s="118">
        <f t="shared" si="6"/>
        <v>6.8894859542411188E-2</v>
      </c>
      <c r="V32" s="228">
        <f t="shared" si="7"/>
        <v>220.08799999999999</v>
      </c>
      <c r="W32" s="118">
        <f t="shared" si="8"/>
        <v>3.9396781977151518E-3</v>
      </c>
      <c r="X32" s="118">
        <f t="shared" si="9"/>
        <v>0.5628111711021645</v>
      </c>
      <c r="Y32" s="118">
        <f t="shared" si="10"/>
        <v>0.25015642048181158</v>
      </c>
      <c r="Z32" s="228">
        <f t="shared" si="11"/>
        <v>12.628</v>
      </c>
      <c r="AA32" s="118">
        <f t="shared" si="12"/>
        <v>1.0428513699183708E-2</v>
      </c>
      <c r="AB32" s="118">
        <f t="shared" si="13"/>
        <v>8.5037009483167011E-4</v>
      </c>
      <c r="AC32" s="118">
        <f t="shared" si="14"/>
        <v>1.016</v>
      </c>
      <c r="AD32" s="118">
        <f t="shared" si="15"/>
        <v>4.1212229902904372E-2</v>
      </c>
      <c r="AE32" s="118">
        <f t="shared" si="16"/>
        <v>9.4047978500488402E-5</v>
      </c>
      <c r="AF32" s="118">
        <f t="shared" si="17"/>
        <v>1.8645845100848034E-5</v>
      </c>
      <c r="AG32" s="118">
        <f t="shared" si="18"/>
        <v>1.0264285136991838</v>
      </c>
      <c r="AH32" s="118">
        <f t="shared" si="19"/>
        <v>0.18754372812378045</v>
      </c>
      <c r="AI32" s="250">
        <f t="shared" si="20"/>
        <v>0.23357148630081628</v>
      </c>
      <c r="AJ32" s="118">
        <f t="shared" si="21"/>
        <v>1.6469156235983523E-2</v>
      </c>
      <c r="AK32" s="250">
        <f t="shared" si="22"/>
        <v>1.3905952021499511E-2</v>
      </c>
      <c r="AL32" s="118">
        <f t="shared" si="23"/>
        <v>3.939722321318043E-3</v>
      </c>
      <c r="AM32" s="118">
        <f>((((IF(F32="Grey",STDs!$Y$9,STDs!$Y$8))*2)*(M32-AE32))^2*0.01)/((1+(((IF(F32="Grey",STDs!$Y$9,STDs!$Y$8))*2)*(M32-AE32))*0.01))</f>
        <v>1.7928870693080716E-7</v>
      </c>
      <c r="AN32" s="250">
        <f>AI32-AM32-IF(F32="Grey",Blanks!$M$6,Blanks!$M$5)</f>
        <v>0.21342844986925219</v>
      </c>
      <c r="AO32" s="119">
        <f t="shared" si="24"/>
        <v>1.6469156235983523E-2</v>
      </c>
      <c r="AP32" s="119">
        <f>AN32/IF(F32="Grey",STDs!$AA$9,STDs!$AA$8)</f>
        <v>1.6799857942331551</v>
      </c>
      <c r="AQ32" s="119">
        <f>SQRT(((AO32/IF(F32="Grey",STDs!$AA$9,STDs!$AA$8))^2)+(((AN32*(IF(F32="Grey",STDs!$AB$9,STDs!$AB$8)))/(IF(F32="Grey",STDs!$AA$9,STDs!$AA$8))))^2)</f>
        <v>0.13022087256398798</v>
      </c>
      <c r="AR32" s="119">
        <f t="shared" si="25"/>
        <v>918.02502417112294</v>
      </c>
      <c r="AS32" s="118">
        <f t="shared" si="26"/>
        <v>76.302612366593976</v>
      </c>
      <c r="AT32" s="119">
        <f>'Count 2'!AU32</f>
        <v>16.919273086420095</v>
      </c>
      <c r="AU32" s="329">
        <f t="shared" si="27"/>
        <v>1025.0629235251768</v>
      </c>
      <c r="AV32" s="330">
        <f t="shared" si="28"/>
        <v>85.199179592875225</v>
      </c>
      <c r="AW32" s="119">
        <f t="shared" si="29"/>
        <v>8.3116048427423816E-2</v>
      </c>
      <c r="AX32" s="119">
        <f t="shared" si="30"/>
        <v>6.8894859542411188E-2</v>
      </c>
      <c r="AY32" s="295">
        <f t="shared" si="48"/>
        <v>1025.0629235251768</v>
      </c>
      <c r="AZ32" s="296">
        <f t="shared" si="49"/>
        <v>85.199179592875225</v>
      </c>
      <c r="BA32" s="344">
        <f t="shared" si="50"/>
        <v>8.3116048427423816E-2</v>
      </c>
      <c r="BB32" s="119">
        <f t="shared" si="34"/>
        <v>6.7406506292926188E-2</v>
      </c>
      <c r="BC32" s="119">
        <f t="shared" si="35"/>
        <v>5.9560729006708146E-3</v>
      </c>
      <c r="BD32" s="339">
        <f t="shared" si="36"/>
        <v>7.9498791208286977E-3</v>
      </c>
      <c r="BE32" s="118">
        <f t="shared" si="37"/>
        <v>3.9620425662781327E-3</v>
      </c>
      <c r="BF32" s="118">
        <f>BD32/(IF(F32="Grey",STDs!$Y$9,STDs!$Y$8))</f>
        <v>5.2216238750925584E-2</v>
      </c>
      <c r="BG32" s="118">
        <f>SQRT(((BE32/IF(F32="Grey",STDs!$Y$9,STDs!$Y$8))^2)+(((BD32*(IF(F32="Grey",STDs!$Z$9,STDs!$Y$8)))/(IF(F32="Grey",STDs!$Y$9,STDs!$Y$8)^2))^2))</f>
        <v>3.1446366836637041E-2</v>
      </c>
      <c r="BH32" s="118">
        <f t="shared" si="38"/>
        <v>28.533463798319993</v>
      </c>
      <c r="BI32" s="118">
        <f t="shared" si="39"/>
        <v>17.205114536503171</v>
      </c>
      <c r="BJ32" s="118">
        <v>0.05</v>
      </c>
      <c r="BK32" s="329">
        <f t="shared" si="40"/>
        <v>29.683165187870888</v>
      </c>
      <c r="BL32" s="330">
        <f t="shared" si="41"/>
        <v>17.898361743705706</v>
      </c>
      <c r="BM32" s="295">
        <f t="shared" si="42"/>
        <v>29.683165187870888</v>
      </c>
      <c r="BN32" s="296">
        <f t="shared" si="43"/>
        <v>17.898361743705706</v>
      </c>
      <c r="BO32" s="344">
        <f t="shared" si="44"/>
        <v>0.60298022904307125</v>
      </c>
    </row>
    <row r="33" spans="1:67" s="112" customFormat="1" ht="34">
      <c r="A33" s="107" t="str">
        <f>Samples!A33</f>
        <v>HE541-84-SW</v>
      </c>
      <c r="B33" s="107">
        <f>Samples!B33</f>
        <v>57</v>
      </c>
      <c r="C33" s="108">
        <f>Samples!C33</f>
        <v>43733</v>
      </c>
      <c r="D33" s="109">
        <f>Samples!D33</f>
        <v>0.33333333333333331</v>
      </c>
      <c r="E33" s="109" t="str">
        <f>Samples!G33</f>
        <v>Surface water</v>
      </c>
      <c r="F33" s="109" t="str">
        <f>Samples!M33</f>
        <v>Grey</v>
      </c>
      <c r="G33" s="140">
        <f>Samples!I33</f>
        <v>186.8</v>
      </c>
      <c r="H33" s="108">
        <f>Samples!J33</f>
        <v>43733</v>
      </c>
      <c r="I33" s="109">
        <f>Samples!K33</f>
        <v>0.59305555555555556</v>
      </c>
      <c r="J33" s="212">
        <f>Samples!L33</f>
        <v>80</v>
      </c>
      <c r="K33" s="110">
        <f>H33+I33+(Samples!L33/(60*24))</f>
        <v>43733.648611111108</v>
      </c>
      <c r="L33" s="110">
        <f>Samples!P33</f>
        <v>20.998000000000001</v>
      </c>
      <c r="M33" s="201">
        <f>Samples!N33</f>
        <v>1.0629999999999999</v>
      </c>
      <c r="N33" s="201">
        <f>Samples!O33</f>
        <v>9.1010000000000009</v>
      </c>
      <c r="O33" s="237">
        <f t="shared" si="0"/>
        <v>0.98106885039735547</v>
      </c>
      <c r="P33" s="237">
        <f t="shared" si="1"/>
        <v>0.94203889391550732</v>
      </c>
      <c r="Q33" s="111">
        <f t="shared" si="2"/>
        <v>0.51232314021523562</v>
      </c>
      <c r="R33" s="220">
        <f t="shared" si="3"/>
        <v>1679.8400000000001</v>
      </c>
      <c r="S33" s="112">
        <f t="shared" si="4"/>
        <v>0.33728696980464573</v>
      </c>
      <c r="T33" s="112">
        <f t="shared" si="5"/>
        <v>7.4120859203306397E-2</v>
      </c>
      <c r="U33" s="112">
        <f t="shared" si="6"/>
        <v>4.0071541794259827E-2</v>
      </c>
      <c r="V33" s="219">
        <f t="shared" si="7"/>
        <v>728.08</v>
      </c>
      <c r="W33" s="112">
        <f t="shared" si="8"/>
        <v>0.11527141883398503</v>
      </c>
      <c r="X33" s="112">
        <f t="shared" si="9"/>
        <v>0.21687943336591728</v>
      </c>
      <c r="Y33" s="112">
        <f t="shared" si="10"/>
        <v>2.3759031000755652E-2</v>
      </c>
      <c r="Z33" s="219">
        <f t="shared" si="11"/>
        <v>85.039999999999992</v>
      </c>
      <c r="AA33" s="112">
        <f t="shared" si="12"/>
        <v>1.3163712177287306</v>
      </c>
      <c r="AB33" s="112">
        <f t="shared" si="13"/>
        <v>0.16087961224061795</v>
      </c>
      <c r="AC33" s="112">
        <f t="shared" si="14"/>
        <v>10.834</v>
      </c>
      <c r="AD33" s="112">
        <f t="shared" si="15"/>
        <v>0.62411937960617758</v>
      </c>
      <c r="AE33" s="112">
        <f t="shared" si="16"/>
        <v>8.4318923610444945E-3</v>
      </c>
      <c r="AF33" s="112">
        <f t="shared" si="17"/>
        <v>2.111784436882076</v>
      </c>
      <c r="AG33" s="112">
        <f t="shared" si="18"/>
        <v>12.150371217728731</v>
      </c>
      <c r="AH33" s="112">
        <f t="shared" si="19"/>
        <v>186.80107633455876</v>
      </c>
      <c r="AI33" s="248">
        <f t="shared" si="20"/>
        <v>7.7846287822712705</v>
      </c>
      <c r="AJ33" s="112">
        <f t="shared" si="21"/>
        <v>0.37369071387270464</v>
      </c>
      <c r="AK33" s="248">
        <f t="shared" si="22"/>
        <v>1.0545681076389555</v>
      </c>
      <c r="AL33" s="112">
        <f t="shared" si="23"/>
        <v>2.114928133024228</v>
      </c>
      <c r="AM33" s="112">
        <f>((((IF(F33="Grey",STDs!$Y$9,STDs!$Y$8))*2)*(M33-AE33))^2*0.01)/((1+(((IF(F33="Grey",STDs!$Y$9,STDs!$Y$8))*2)*(M33-AE33))*0.01))</f>
        <v>1.0278430180390022E-3</v>
      </c>
      <c r="AN33" s="248">
        <f>AI33-AM33-IF(F33="Grey",Blanks!$M$6,Blanks!$M$5)</f>
        <v>7.7634580821103745</v>
      </c>
      <c r="AO33" s="231">
        <f t="shared" si="24"/>
        <v>0.37369071387270464</v>
      </c>
      <c r="AP33" s="231">
        <f>AN33/IF(F33="Grey",STDs!$AA$9,STDs!$AA$8)</f>
        <v>61.109469239269337</v>
      </c>
      <c r="AQ33" s="231">
        <f>SQRT(((AO33/IF(F33="Grey",STDs!$AA$9,STDs!$AA$8))^2)+(((AN33*(IF(F33="Grey",STDs!$AB$9,STDs!$AB$8)))/(IF(F33="Grey",STDs!$AA$9,STDs!$AA$8))))^2)</f>
        <v>2.9754810554462283</v>
      </c>
      <c r="AR33" s="231">
        <f t="shared" si="25"/>
        <v>32.713848629159173</v>
      </c>
      <c r="AS33" s="112">
        <f t="shared" si="26"/>
        <v>1.870938524246436</v>
      </c>
      <c r="AT33" s="231">
        <f>'Count 2'!AU33</f>
        <v>2.4366940928061402</v>
      </c>
      <c r="AU33" s="265">
        <f t="shared" si="27"/>
        <v>32.14002599246038</v>
      </c>
      <c r="AV33" s="266">
        <f t="shared" si="28"/>
        <v>1.8381210196704838</v>
      </c>
      <c r="AW33" s="231">
        <f t="shared" si="29"/>
        <v>5.7191024677505933E-2</v>
      </c>
      <c r="AX33" s="231">
        <f t="shared" si="30"/>
        <v>4.0071541794259827E-2</v>
      </c>
      <c r="AY33" s="291">
        <f t="shared" si="48"/>
        <v>32.14002599246038</v>
      </c>
      <c r="AZ33" s="292">
        <f t="shared" si="49"/>
        <v>1.8381210196704838</v>
      </c>
      <c r="BA33" s="344">
        <f t="shared" si="50"/>
        <v>5.7191024677505933E-2</v>
      </c>
      <c r="BB33" s="231">
        <f t="shared" si="34"/>
        <v>3.7060429601653191E-2</v>
      </c>
      <c r="BC33" s="231">
        <f t="shared" si="35"/>
        <v>0.19850803394791738</v>
      </c>
      <c r="BD33" s="247">
        <f t="shared" si="36"/>
        <v>0.85606007369103809</v>
      </c>
      <c r="BE33" s="112">
        <f t="shared" si="37"/>
        <v>2.1149496003110326</v>
      </c>
      <c r="BF33" s="112">
        <f>BD33/(IF(F33="Grey",STDs!$Y$9,STDs!$Y$8))</f>
        <v>5.622756838638149</v>
      </c>
      <c r="BG33" s="112">
        <f>SQRT(((BE33/IF(F33="Grey",STDs!$Y$9,STDs!$Y$8))^2)+(((BD33*(IF(F33="Grey",STDs!$Z$9,STDs!$Y$8)))/(IF(F33="Grey",STDs!$Y$9,STDs!$Y$8)^2))^2))</f>
        <v>14.020840044627462</v>
      </c>
      <c r="BH33" s="112">
        <f t="shared" si="38"/>
        <v>3.0100411341745978</v>
      </c>
      <c r="BI33" s="112">
        <f t="shared" si="39"/>
        <v>7.5063462026584915</v>
      </c>
      <c r="BJ33" s="112">
        <v>0.05</v>
      </c>
      <c r="BK33" s="265">
        <f t="shared" si="40"/>
        <v>3.0171594307328311</v>
      </c>
      <c r="BL33" s="266">
        <f t="shared" si="41"/>
        <v>7.5240975874261755</v>
      </c>
      <c r="BM33" s="291">
        <f t="shared" si="42"/>
        <v>3.0171594307328311</v>
      </c>
      <c r="BN33" s="292">
        <f t="shared" si="43"/>
        <v>7.5240975874261755</v>
      </c>
      <c r="BO33" s="344">
        <f t="shared" si="44"/>
        <v>2.4937686456955523</v>
      </c>
    </row>
    <row r="34" spans="1:67" s="106" customFormat="1" ht="34">
      <c r="A34" s="101" t="str">
        <f>Samples!A34</f>
        <v>HE541-84-SWB</v>
      </c>
      <c r="B34" s="101">
        <f>Samples!B34</f>
        <v>0</v>
      </c>
      <c r="C34" s="102">
        <f>Samples!C34</f>
        <v>43733</v>
      </c>
      <c r="D34" s="103">
        <f>Samples!D34</f>
        <v>0.33333333333333331</v>
      </c>
      <c r="E34" s="103" t="str">
        <f>Samples!G34</f>
        <v>Surface water (Efficiency)</v>
      </c>
      <c r="F34" s="103" t="str">
        <f>Samples!M34</f>
        <v>Orange</v>
      </c>
      <c r="G34" s="141">
        <f>Samples!I34</f>
        <v>186.8</v>
      </c>
      <c r="H34" s="102">
        <f>Samples!J34</f>
        <v>43733</v>
      </c>
      <c r="I34" s="103">
        <f>Samples!K34</f>
        <v>0.59305555555555556</v>
      </c>
      <c r="J34" s="213">
        <f>Samples!L34</f>
        <v>80</v>
      </c>
      <c r="K34" s="104">
        <f>H34+I34+(Samples!L34/(60*24))</f>
        <v>43733.648611111108</v>
      </c>
      <c r="L34" s="104">
        <f>Samples!P34</f>
        <v>1.0640000000000001</v>
      </c>
      <c r="M34" s="202">
        <f>Samples!N34</f>
        <v>1.2E-2</v>
      </c>
      <c r="N34" s="202">
        <f>Samples!O34</f>
        <v>0.161</v>
      </c>
      <c r="O34" s="238">
        <f t="shared" si="0"/>
        <v>0.98106885039735547</v>
      </c>
      <c r="P34" s="238">
        <f t="shared" si="1"/>
        <v>0.94203889391550732</v>
      </c>
      <c r="Q34" s="105">
        <f t="shared" si="2"/>
        <v>0.11532562594670796</v>
      </c>
      <c r="R34" s="221">
        <f t="shared" si="3"/>
        <v>85.12</v>
      </c>
      <c r="S34" s="106">
        <f t="shared" si="4"/>
        <v>4.4860896112315904E-2</v>
      </c>
      <c r="T34" s="106">
        <f t="shared" si="5"/>
        <v>0.55727821257535282</v>
      </c>
      <c r="U34" s="106">
        <f t="shared" si="6"/>
        <v>0.28584048539285878</v>
      </c>
      <c r="V34" s="227">
        <f t="shared" si="7"/>
        <v>12.88</v>
      </c>
      <c r="W34" s="106">
        <f t="shared" si="8"/>
        <v>1.2247448713915889E-2</v>
      </c>
      <c r="X34" s="106">
        <f t="shared" si="9"/>
        <v>2.0412414523193152</v>
      </c>
      <c r="Y34" s="106">
        <f t="shared" si="10"/>
        <v>0.99245256736711096</v>
      </c>
      <c r="Z34" s="227">
        <f t="shared" si="11"/>
        <v>0.96</v>
      </c>
      <c r="AA34" s="106">
        <f t="shared" si="12"/>
        <v>8.0101807101272352E-3</v>
      </c>
      <c r="AB34" s="106">
        <f t="shared" si="13"/>
        <v>2.245857843591301E-3</v>
      </c>
      <c r="AC34" s="106">
        <f t="shared" si="14"/>
        <v>0.89100000000000001</v>
      </c>
      <c r="AD34" s="106">
        <f t="shared" si="15"/>
        <v>0.12434830115445888</v>
      </c>
      <c r="AE34" s="106">
        <f t="shared" si="16"/>
        <v>7.2515359770340261E-5</v>
      </c>
      <c r="AF34" s="106">
        <f t="shared" si="17"/>
        <v>1.4283166063641578E-2</v>
      </c>
      <c r="AG34" s="106">
        <f t="shared" si="18"/>
        <v>0.89901018071012728</v>
      </c>
      <c r="AH34" s="106">
        <f t="shared" si="19"/>
        <v>186.80004099984529</v>
      </c>
      <c r="AI34" s="249">
        <f t="shared" si="20"/>
        <v>0.15298981928987276</v>
      </c>
      <c r="AJ34" s="106">
        <f t="shared" si="21"/>
        <v>4.4917077792902119E-2</v>
      </c>
      <c r="AK34" s="249">
        <f t="shared" si="22"/>
        <v>1.192748464022966E-2</v>
      </c>
      <c r="AL34" s="106">
        <f t="shared" si="23"/>
        <v>1.8815122449815796E-2</v>
      </c>
      <c r="AM34" s="106">
        <f>((((IF(F34="Grey",STDs!$Y$9,STDs!$Y$8))*2)*(M34-AE34))^2*0.01)/((1+(((IF(F34="Grey",STDs!$Y$9,STDs!$Y$8))*2)*(M34-AE34))*0.01))</f>
        <v>1.0686995641339275E-7</v>
      </c>
      <c r="AN34" s="249">
        <f>AI34-AM34-IF(F34="Grey",Blanks!$M$6,Blanks!$M$5)</f>
        <v>0.14056114099134492</v>
      </c>
      <c r="AO34" s="318">
        <f t="shared" si="24"/>
        <v>4.4917077792902119E-2</v>
      </c>
      <c r="AP34" s="318">
        <f>AN34/IF(F34="Grey",STDs!$AA$9,STDs!$AA$8)</f>
        <v>1.1918881124852301</v>
      </c>
      <c r="AQ34" s="318">
        <f>SQRT(((AO34/IF(F34="Grey",STDs!$AA$9,STDs!$AA$8))^2)+(((AN34*(IF(F34="Grey",STDs!$AB$9,STDs!$AB$8)))/(IF(F34="Grey",STDs!$AA$9,STDs!$AA$8))))^2)</f>
        <v>0.38091900218962255</v>
      </c>
      <c r="AR34" s="318">
        <f t="shared" si="25"/>
        <v>0.63805573473513377</v>
      </c>
      <c r="AS34" s="106">
        <f t="shared" si="26"/>
        <v>0.20481453375259137</v>
      </c>
      <c r="AT34" s="318" t="e">
        <f>'Count 2'!AU34</f>
        <v>#VALUE!</v>
      </c>
      <c r="AU34" s="327" t="e">
        <f t="shared" si="27"/>
        <v>#VALUE!</v>
      </c>
      <c r="AV34" s="328" t="e">
        <f t="shared" si="28"/>
        <v>#VALUE!</v>
      </c>
      <c r="AW34" s="318" t="e">
        <f t="shared" si="29"/>
        <v>#VALUE!</v>
      </c>
      <c r="AX34" s="318">
        <f t="shared" si="30"/>
        <v>0.28584048539285878</v>
      </c>
      <c r="AY34" s="293"/>
      <c r="AZ34" s="294"/>
      <c r="BA34" s="344"/>
      <c r="BB34" s="318">
        <f t="shared" si="34"/>
        <v>0.27863910628767641</v>
      </c>
      <c r="BC34" s="318">
        <f t="shared" si="35"/>
        <v>3.9012403918917554E-3</v>
      </c>
      <c r="BD34" s="338">
        <f t="shared" si="36"/>
        <v>8.0262442483379041E-3</v>
      </c>
      <c r="BE34" s="106">
        <f t="shared" si="37"/>
        <v>1.8849953334368671E-2</v>
      </c>
      <c r="BF34" s="106">
        <f>BD34/(IF(F34="Grey",STDs!$Y$9,STDs!$Y$8))</f>
        <v>5.8567450403283559E-2</v>
      </c>
      <c r="BG34" s="106">
        <f>SQRT(((BE34/IF(F34="Grey",STDs!$Y$9,STDs!$Y$8))^2)+(((BD34*(IF(F34="Grey",STDs!$Z$9,STDs!$Y$8)))/(IF(F34="Grey",STDs!$Y$9,STDs!$Y$8)^2))^2))</f>
        <v>0.14949780553599423</v>
      </c>
      <c r="BH34" s="106">
        <f t="shared" si="38"/>
        <v>3.135302484115822E-2</v>
      </c>
      <c r="BI34" s="106">
        <f t="shared" si="39"/>
        <v>8.0036472262287731E-2</v>
      </c>
      <c r="BJ34" s="106">
        <v>0.05</v>
      </c>
      <c r="BK34" s="327">
        <f t="shared" si="40"/>
        <v>-1.900679565077347E-2</v>
      </c>
      <c r="BL34" s="328">
        <f t="shared" si="41"/>
        <v>-4.8519620693857922E-2</v>
      </c>
      <c r="BM34" s="293"/>
      <c r="BN34" s="294"/>
      <c r="BO34" s="344"/>
    </row>
    <row r="35" spans="1:67" s="118" customFormat="1" ht="34">
      <c r="A35" s="113" t="str">
        <f>Samples!A35</f>
        <v>HE541-90-PW1</v>
      </c>
      <c r="B35" s="113" t="str">
        <f>Samples!B35</f>
        <v>40/18</v>
      </c>
      <c r="C35" s="114">
        <f>Samples!C35</f>
        <v>43733</v>
      </c>
      <c r="D35" s="115">
        <f>Samples!D35</f>
        <v>0.63541666666666663</v>
      </c>
      <c r="E35" s="115" t="str">
        <f>Samples!G35</f>
        <v>Porewater</v>
      </c>
      <c r="F35" s="115" t="str">
        <f>Samples!M35</f>
        <v>Grey</v>
      </c>
      <c r="G35" s="142">
        <f>Samples!I35</f>
        <v>0.20599999999999999</v>
      </c>
      <c r="H35" s="114">
        <f>Samples!J35</f>
        <v>43733</v>
      </c>
      <c r="I35" s="115">
        <f>Samples!K35</f>
        <v>0.87222222222222223</v>
      </c>
      <c r="J35" s="214">
        <f>Samples!L35</f>
        <v>609</v>
      </c>
      <c r="K35" s="116">
        <f>H35+I35+(Samples!L35/(60*24))</f>
        <v>43734.295138888891</v>
      </c>
      <c r="L35" s="116">
        <f>Samples!P35</f>
        <v>2.4590000000000001</v>
      </c>
      <c r="M35" s="203">
        <f>Samples!N35</f>
        <v>4.3999999999999997E-2</v>
      </c>
      <c r="N35" s="203">
        <f>Samples!O35</f>
        <v>0.623</v>
      </c>
      <c r="O35" s="239">
        <f t="shared" si="0"/>
        <v>0.96079577511596037</v>
      </c>
      <c r="P35" s="239">
        <f t="shared" si="1"/>
        <v>0.88254884163874481</v>
      </c>
      <c r="Q35" s="117">
        <f t="shared" si="2"/>
        <v>6.3543424765039852E-2</v>
      </c>
      <c r="R35" s="222">
        <f t="shared" si="3"/>
        <v>1497.5309999999999</v>
      </c>
      <c r="S35" s="118">
        <f t="shared" si="4"/>
        <v>3.1984191497474598E-2</v>
      </c>
      <c r="T35" s="118">
        <f t="shared" si="5"/>
        <v>0.10267798233539198</v>
      </c>
      <c r="U35" s="118">
        <f t="shared" si="6"/>
        <v>5.2741739172109357E-2</v>
      </c>
      <c r="V35" s="228">
        <f t="shared" si="7"/>
        <v>379.40699999999998</v>
      </c>
      <c r="W35" s="118">
        <f t="shared" si="8"/>
        <v>8.4999758523756283E-3</v>
      </c>
      <c r="X35" s="118">
        <f t="shared" si="9"/>
        <v>0.38636253874434678</v>
      </c>
      <c r="Y35" s="118">
        <f t="shared" si="10"/>
        <v>0.12359793934444334</v>
      </c>
      <c r="Z35" s="228">
        <f t="shared" si="11"/>
        <v>26.795999999999999</v>
      </c>
      <c r="AA35" s="118">
        <f t="shared" si="12"/>
        <v>3.2698598892147289E-2</v>
      </c>
      <c r="AB35" s="118">
        <f t="shared" si="13"/>
        <v>2.6384647216229772E-3</v>
      </c>
      <c r="AC35" s="118">
        <f t="shared" si="14"/>
        <v>1.792</v>
      </c>
      <c r="AD35" s="118">
        <f t="shared" si="15"/>
        <v>7.1644992330995291E-2</v>
      </c>
      <c r="AE35" s="118">
        <f t="shared" si="16"/>
        <v>2.8789525604546698E-4</v>
      </c>
      <c r="AF35" s="118">
        <f t="shared" si="17"/>
        <v>6.7411179442853679E-5</v>
      </c>
      <c r="AG35" s="118">
        <f t="shared" si="18"/>
        <v>1.8246985988921474</v>
      </c>
      <c r="AH35" s="118">
        <f t="shared" si="19"/>
        <v>0.2179534740092588</v>
      </c>
      <c r="AI35" s="250">
        <f t="shared" si="20"/>
        <v>0.59030140110785267</v>
      </c>
      <c r="AJ35" s="118">
        <f t="shared" si="21"/>
        <v>3.2092834119696802E-2</v>
      </c>
      <c r="AK35" s="250">
        <f t="shared" si="22"/>
        <v>4.3712104743954532E-2</v>
      </c>
      <c r="AL35" s="118">
        <f t="shared" si="23"/>
        <v>8.5002431587621469E-3</v>
      </c>
      <c r="AM35" s="118">
        <f>((((IF(F35="Grey",STDs!$Y$9,STDs!$Y$8))*2)*(M35-AE35))^2*0.01)/((1+(((IF(F35="Grey",STDs!$Y$9,STDs!$Y$8))*2)*(M35-AE35))*0.01))</f>
        <v>1.7713953716373992E-6</v>
      </c>
      <c r="AN35" s="250">
        <f>AI35-AM35-IF(F35="Grey",Blanks!$M$6,Blanks!$M$5)</f>
        <v>0.57015677256962394</v>
      </c>
      <c r="AO35" s="119">
        <f t="shared" si="24"/>
        <v>3.2092834119696802E-2</v>
      </c>
      <c r="AP35" s="119">
        <f>AN35/IF(F35="Grey",STDs!$AA$9,STDs!$AA$8)</f>
        <v>4.4879456276310918</v>
      </c>
      <c r="AQ35" s="119">
        <f>SQRT(((AO35/IF(F35="Grey",STDs!$AA$9,STDs!$AA$8))^2)+(((AN35*(IF(F35="Grey",STDs!$AB$9,STDs!$AB$8)))/(IF(F35="Grey",STDs!$AA$9,STDs!$AA$8))))^2)</f>
        <v>0.25475509283550307</v>
      </c>
      <c r="AR35" s="119">
        <f t="shared" si="25"/>
        <v>2178.6143823451903</v>
      </c>
      <c r="AS35" s="118">
        <f t="shared" si="26"/>
        <v>139.87630343837074</v>
      </c>
      <c r="AT35" s="119">
        <f>'Count 2'!AU35</f>
        <v>19.570422445719366</v>
      </c>
      <c r="AU35" s="329">
        <f t="shared" si="27"/>
        <v>2446.3733427948182</v>
      </c>
      <c r="AV35" s="330">
        <f t="shared" si="28"/>
        <v>157.06756679534817</v>
      </c>
      <c r="AW35" s="119">
        <f t="shared" si="29"/>
        <v>6.4204250450141415E-2</v>
      </c>
      <c r="AX35" s="119">
        <f t="shared" si="30"/>
        <v>5.2741739172109357E-2</v>
      </c>
      <c r="AY35" s="295">
        <f t="shared" si="48"/>
        <v>2446.3733427948182</v>
      </c>
      <c r="AZ35" s="296">
        <f t="shared" si="49"/>
        <v>157.06756679534817</v>
      </c>
      <c r="BA35" s="344">
        <f t="shared" si="50"/>
        <v>6.4204250450141415E-2</v>
      </c>
      <c r="BB35" s="119">
        <f t="shared" si="34"/>
        <v>5.133899116769599E-2</v>
      </c>
      <c r="BC35" s="119">
        <f t="shared" si="35"/>
        <v>1.5052685728250243E-2</v>
      </c>
      <c r="BD35" s="339">
        <f t="shared" si="36"/>
        <v>2.8659419015704291E-2</v>
      </c>
      <c r="BE35" s="118">
        <f t="shared" si="37"/>
        <v>8.5395467530060103E-3</v>
      </c>
      <c r="BF35" s="118">
        <f>BD35/(IF(F35="Grey",STDs!$Y$9,STDs!$Y$8))</f>
        <v>0.18824022894461792</v>
      </c>
      <c r="BG35" s="118">
        <f>SQRT(((BE35/IF(F35="Grey",STDs!$Y$9,STDs!$Y$8))^2)+(((BD35*(IF(F35="Grey",STDs!$Z$9,STDs!$Y$8)))/(IF(F35="Grey",STDs!$Y$9,STDs!$Y$8)^2))^2))</f>
        <v>8.4831174500350798E-2</v>
      </c>
      <c r="BH35" s="118">
        <f t="shared" si="38"/>
        <v>91.378751914863074</v>
      </c>
      <c r="BI35" s="118">
        <f t="shared" si="39"/>
        <v>41.271327110314694</v>
      </c>
      <c r="BJ35" s="118">
        <v>0.05</v>
      </c>
      <c r="BK35" s="329">
        <f t="shared" si="40"/>
        <v>95.055322140483426</v>
      </c>
      <c r="BL35" s="330">
        <f t="shared" si="41"/>
        <v>42.931854631712596</v>
      </c>
      <c r="BM35" s="295">
        <f t="shared" si="42"/>
        <v>95.055322140483426</v>
      </c>
      <c r="BN35" s="296">
        <f t="shared" si="43"/>
        <v>42.931854631712596</v>
      </c>
      <c r="BO35" s="344">
        <f t="shared" si="44"/>
        <v>0.45165124545328544</v>
      </c>
    </row>
    <row r="36" spans="1:67" s="118" customFormat="1" ht="34">
      <c r="A36" s="113" t="str">
        <f>Samples!A36</f>
        <v>HE541-90-PW2</v>
      </c>
      <c r="B36" s="113">
        <f>Samples!B36</f>
        <v>33</v>
      </c>
      <c r="C36" s="114">
        <f>Samples!C36</f>
        <v>43733</v>
      </c>
      <c r="D36" s="115">
        <f>Samples!D36</f>
        <v>0.6875</v>
      </c>
      <c r="E36" s="115" t="str">
        <f>Samples!G36</f>
        <v>Porewater</v>
      </c>
      <c r="F36" s="115" t="str">
        <f>Samples!M36</f>
        <v>Orange</v>
      </c>
      <c r="G36" s="142">
        <f>Samples!I36</f>
        <v>0.33600000000000002</v>
      </c>
      <c r="H36" s="114">
        <f>Samples!J36</f>
        <v>43733</v>
      </c>
      <c r="I36" s="115">
        <f>Samples!K36</f>
        <v>0.87222222222222223</v>
      </c>
      <c r="J36" s="214">
        <f>Samples!L36</f>
        <v>609</v>
      </c>
      <c r="K36" s="116">
        <f>H36+I36+(Samples!L36/(60*24))</f>
        <v>43734.295138888891</v>
      </c>
      <c r="L36" s="116">
        <f>Samples!P36</f>
        <v>1.9690000000000001</v>
      </c>
      <c r="M36" s="203">
        <f>Samples!N36</f>
        <v>2.8000000000000001E-2</v>
      </c>
      <c r="N36" s="203">
        <f>Samples!O36</f>
        <v>0.54</v>
      </c>
      <c r="O36" s="239">
        <f t="shared" si="0"/>
        <v>0.96383416096434305</v>
      </c>
      <c r="P36" s="239">
        <f t="shared" si="1"/>
        <v>0.89129717952247534</v>
      </c>
      <c r="Q36" s="117">
        <f t="shared" si="2"/>
        <v>5.6860963144505866E-2</v>
      </c>
      <c r="R36" s="222">
        <f t="shared" si="3"/>
        <v>1199.1210000000001</v>
      </c>
      <c r="S36" s="118">
        <f t="shared" si="4"/>
        <v>2.9777500019127906E-2</v>
      </c>
      <c r="T36" s="118">
        <f t="shared" si="5"/>
        <v>0.11028703710788114</v>
      </c>
      <c r="U36" s="118">
        <f t="shared" si="6"/>
        <v>5.6188936221877872E-2</v>
      </c>
      <c r="V36" s="228">
        <f t="shared" si="7"/>
        <v>328.86</v>
      </c>
      <c r="W36" s="118">
        <f t="shared" si="8"/>
        <v>6.7806350362081044E-3</v>
      </c>
      <c r="X36" s="118">
        <f t="shared" si="9"/>
        <v>0.48433107401486453</v>
      </c>
      <c r="Y36" s="118">
        <f t="shared" si="10"/>
        <v>0.17312896730381003</v>
      </c>
      <c r="Z36" s="228">
        <f t="shared" si="11"/>
        <v>17.052</v>
      </c>
      <c r="AA36" s="118">
        <f t="shared" si="12"/>
        <v>1.9906905749551212E-2</v>
      </c>
      <c r="AB36" s="118">
        <f t="shared" si="13"/>
        <v>1.8472333440074553E-3</v>
      </c>
      <c r="AC36" s="118">
        <f t="shared" si="14"/>
        <v>1.401</v>
      </c>
      <c r="AD36" s="118">
        <f t="shared" si="15"/>
        <v>6.4543362544914482E-2</v>
      </c>
      <c r="AE36" s="118">
        <f t="shared" si="16"/>
        <v>1.7741267373164665E-4</v>
      </c>
      <c r="AF36" s="118">
        <f t="shared" si="17"/>
        <v>6.4669141817044328E-5</v>
      </c>
      <c r="AG36" s="118">
        <f t="shared" si="18"/>
        <v>1.4209069057495514</v>
      </c>
      <c r="AH36" s="118">
        <f t="shared" si="19"/>
        <v>0.34208081049386158</v>
      </c>
      <c r="AI36" s="250">
        <f t="shared" si="20"/>
        <v>0.52009309425044881</v>
      </c>
      <c r="AJ36" s="118">
        <f t="shared" si="21"/>
        <v>2.9834741132048984E-2</v>
      </c>
      <c r="AK36" s="250">
        <f t="shared" si="22"/>
        <v>2.7822587326268355E-2</v>
      </c>
      <c r="AL36" s="118">
        <f t="shared" si="23"/>
        <v>6.7809434146109959E-3</v>
      </c>
      <c r="AM36" s="118">
        <f>((((IF(F36="Grey",STDs!$Y$9,STDs!$Y$8))*2)*(M36-AE36))^2*0.01)/((1+(((IF(F36="Grey",STDs!$Y$9,STDs!$Y$8))*2)*(M36-AE36))*0.01))</f>
        <v>5.8147896563380796E-7</v>
      </c>
      <c r="AN36" s="250">
        <f>AI36-AM36-IF(F36="Grey",Blanks!$M$6,Blanks!$M$5)</f>
        <v>0.50766394134291171</v>
      </c>
      <c r="AO36" s="119">
        <f t="shared" si="24"/>
        <v>2.9834741132048984E-2</v>
      </c>
      <c r="AP36" s="119">
        <f>AN36/IF(F36="Grey",STDs!$AA$9,STDs!$AA$8)</f>
        <v>4.3047360924686391</v>
      </c>
      <c r="AQ36" s="119">
        <f>SQRT(((AO36/IF(F36="Grey",STDs!$AA$9,STDs!$AA$8))^2)+(((AN36*(IF(F36="Grey",STDs!$AB$9,STDs!$AB$8)))/(IF(F36="Grey",STDs!$AA$9,STDs!$AA$8))))^2)</f>
        <v>0.25385941284302593</v>
      </c>
      <c r="AR36" s="119">
        <f t="shared" si="25"/>
        <v>1281.171456091857</v>
      </c>
      <c r="AS36" s="118">
        <f t="shared" si="26"/>
        <v>84.767777012964814</v>
      </c>
      <c r="AT36" s="119">
        <f>'Count 2'!AU36</f>
        <v>93.207870753157039</v>
      </c>
      <c r="AU36" s="329">
        <f t="shared" si="27"/>
        <v>1332.8479127188168</v>
      </c>
      <c r="AV36" s="330">
        <f t="shared" si="28"/>
        <v>88.186912157870992</v>
      </c>
      <c r="AW36" s="119">
        <f t="shared" si="29"/>
        <v>6.6164272244672279E-2</v>
      </c>
      <c r="AX36" s="119">
        <f t="shared" si="30"/>
        <v>5.6188936221877872E-2</v>
      </c>
      <c r="AY36" s="295">
        <f t="shared" si="48"/>
        <v>1332.8479127188168</v>
      </c>
      <c r="AZ36" s="296">
        <f t="shared" si="49"/>
        <v>88.186912157870992</v>
      </c>
      <c r="BA36" s="344">
        <f t="shared" si="50"/>
        <v>6.6164272244672279E-2</v>
      </c>
      <c r="BB36" s="119">
        <f t="shared" si="34"/>
        <v>5.514351855394057E-2</v>
      </c>
      <c r="BC36" s="119">
        <f t="shared" si="35"/>
        <v>1.3262373903386443E-2</v>
      </c>
      <c r="BD36" s="339">
        <f t="shared" si="36"/>
        <v>1.4560213422881912E-2</v>
      </c>
      <c r="BE36" s="118">
        <f t="shared" si="37"/>
        <v>6.8234880212448149E-3</v>
      </c>
      <c r="BF36" s="118">
        <f>BD36/(IF(F36="Grey",STDs!$Y$9,STDs!$Y$8))</f>
        <v>0.10624577961011474</v>
      </c>
      <c r="BG36" s="118">
        <f>SQRT(((BE36/IF(F36="Grey",STDs!$Y$9,STDs!$Y$8))^2)+(((BD36*(IF(F36="Grey",STDs!$Z$9,STDs!$Y$8)))/(IF(F36="Grey",STDs!$Y$9,STDs!$Y$8)^2))^2))</f>
        <v>0.11733415537342227</v>
      </c>
      <c r="BH36" s="118">
        <f t="shared" si="38"/>
        <v>31.620767741105574</v>
      </c>
      <c r="BI36" s="118">
        <f t="shared" si="39"/>
        <v>34.933761835486585</v>
      </c>
      <c r="BJ36" s="118">
        <v>0.05</v>
      </c>
      <c r="BK36" s="329">
        <f t="shared" si="40"/>
        <v>32.75539404986241</v>
      </c>
      <c r="BL36" s="330">
        <f t="shared" si="41"/>
        <v>36.187266037753709</v>
      </c>
      <c r="BM36" s="295">
        <f t="shared" si="42"/>
        <v>32.75539404986241</v>
      </c>
      <c r="BN36" s="296">
        <f t="shared" si="43"/>
        <v>36.187266037753709</v>
      </c>
      <c r="BO36" s="344">
        <f t="shared" si="44"/>
        <v>1.104772727895353</v>
      </c>
    </row>
    <row r="37" spans="1:67" s="132" customFormat="1" ht="51">
      <c r="A37" s="127" t="str">
        <f>Samples!A37</f>
        <v>HE541-90-PostFlux</v>
      </c>
      <c r="B37" s="127">
        <f>Samples!B37</f>
        <v>18</v>
      </c>
      <c r="C37" s="128">
        <f>Samples!C37</f>
        <v>43734</v>
      </c>
      <c r="D37" s="129">
        <f>Samples!D37</f>
        <v>0.60416666666666663</v>
      </c>
      <c r="E37" s="129" t="str">
        <f>Samples!G37</f>
        <v>Overlying water from sed core (post O2 flux)</v>
      </c>
      <c r="F37" s="129" t="str">
        <f>Samples!M37</f>
        <v>Orange</v>
      </c>
      <c r="G37" s="144">
        <f>Samples!I37</f>
        <v>4.5999999999999996</v>
      </c>
      <c r="H37" s="128">
        <f>Samples!J37</f>
        <v>43734</v>
      </c>
      <c r="I37" s="129">
        <f>Samples!K37</f>
        <v>0.90416666666666667</v>
      </c>
      <c r="J37" s="216">
        <f>Samples!L37</f>
        <v>0</v>
      </c>
      <c r="K37" s="130">
        <f>H37+I37+(Samples!L37/(60*24))</f>
        <v>43734.904166666667</v>
      </c>
      <c r="L37" s="130">
        <f>Samples!P37</f>
        <v>1.232</v>
      </c>
      <c r="M37" s="205">
        <f>Samples!N37</f>
        <v>1.7999999999999999E-2</v>
      </c>
      <c r="N37" s="205">
        <f>Samples!O37</f>
        <v>0.25600000000000001</v>
      </c>
      <c r="O37" s="241">
        <f t="shared" si="0"/>
        <v>0.98197790103934546</v>
      </c>
      <c r="P37" s="241">
        <f t="shared" si="1"/>
        <v>0.94476851169183929</v>
      </c>
      <c r="Q37" s="131" t="e">
        <f t="shared" si="2"/>
        <v>#DIV/0!</v>
      </c>
      <c r="R37" s="224">
        <f t="shared" si="3"/>
        <v>0</v>
      </c>
      <c r="S37" s="132" t="e">
        <f t="shared" si="4"/>
        <v>#DIV/0!</v>
      </c>
      <c r="T37" s="132" t="e">
        <f t="shared" si="5"/>
        <v>#DIV/0!</v>
      </c>
      <c r="U37" s="132" t="e">
        <f t="shared" si="6"/>
        <v>#DIV/0!</v>
      </c>
      <c r="V37" s="230">
        <f t="shared" si="7"/>
        <v>0</v>
      </c>
      <c r="W37" s="132" t="e">
        <f t="shared" si="8"/>
        <v>#DIV/0!</v>
      </c>
      <c r="X37" s="132" t="e">
        <f t="shared" si="9"/>
        <v>#DIV/0!</v>
      </c>
      <c r="Y37" s="132" t="e">
        <f t="shared" si="10"/>
        <v>#DIV/0!</v>
      </c>
      <c r="Z37" s="230">
        <f t="shared" si="11"/>
        <v>0</v>
      </c>
      <c r="AA37" s="132">
        <f t="shared" si="12"/>
        <v>9.2664122291553075E-3</v>
      </c>
      <c r="AB37" s="132" t="e">
        <f t="shared" si="13"/>
        <v>#DIV/0!</v>
      </c>
      <c r="AC37" s="132">
        <f t="shared" si="14"/>
        <v>0.95799999999999996</v>
      </c>
      <c r="AD37" s="132" t="e">
        <f t="shared" si="15"/>
        <v>#DIV/0!</v>
      </c>
      <c r="AE37" s="132">
        <f t="shared" si="16"/>
        <v>8.3716260584330206E-5</v>
      </c>
      <c r="AF37" s="132" t="e">
        <f t="shared" si="17"/>
        <v>#DIV/0!</v>
      </c>
      <c r="AG37" s="132">
        <f t="shared" si="18"/>
        <v>0.96726641222915521</v>
      </c>
      <c r="AH37" s="132" t="e">
        <f t="shared" si="19"/>
        <v>#DIV/0!</v>
      </c>
      <c r="AI37" s="252">
        <f t="shared" si="20"/>
        <v>0.2467335877708447</v>
      </c>
      <c r="AJ37" s="132" t="e">
        <f t="shared" si="21"/>
        <v>#DIV/0!</v>
      </c>
      <c r="AK37" s="252">
        <f t="shared" si="22"/>
        <v>1.7916283739415669E-2</v>
      </c>
      <c r="AL37" s="132" t="e">
        <f t="shared" si="23"/>
        <v>#DIV/0!</v>
      </c>
      <c r="AM37" s="132">
        <f>((((IF(F37="Grey",STDs!$Y$9,STDs!$Y$8))*2)*(M37-AE37))^2*0.01)/((1+(((IF(F37="Grey",STDs!$Y$9,STDs!$Y$8))*2)*(M37-AE37))*0.01))</f>
        <v>2.4112744002088621E-7</v>
      </c>
      <c r="AN37" s="252">
        <f>AI37-AM37-IF(F37="Grey",Blanks!$M$6,Blanks!$M$5)</f>
        <v>0.23430477521483326</v>
      </c>
      <c r="AO37" s="320" t="e">
        <f t="shared" si="24"/>
        <v>#DIV/0!</v>
      </c>
      <c r="AP37" s="320">
        <f>AN37/IF(F37="Grey",STDs!$AA$9,STDs!$AA$8)</f>
        <v>1.9867872038281158</v>
      </c>
      <c r="AQ37" s="320" t="e">
        <f>SQRT(((AO37/IF(F37="Grey",STDs!$AA$9,STDs!$AA$8))^2)+(((AN37*(IF(F37="Grey",STDs!$AB$9,STDs!$AB$8)))/(IF(F37="Grey",STDs!$AA$9,STDs!$AA$8))))^2)</f>
        <v>#DIV/0!</v>
      </c>
      <c r="AR37" s="320">
        <f t="shared" si="25"/>
        <v>43.191026170176436</v>
      </c>
      <c r="AS37" s="132" t="e">
        <f t="shared" si="26"/>
        <v>#DIV/0!</v>
      </c>
      <c r="AT37" s="320">
        <f>'Count 2'!AU37</f>
        <v>4.5388528032544366</v>
      </c>
      <c r="AU37" s="333">
        <f t="shared" si="27"/>
        <v>40.911792559328447</v>
      </c>
      <c r="AV37" s="334" t="e">
        <f t="shared" si="28"/>
        <v>#DIV/0!</v>
      </c>
      <c r="AW37" s="320" t="e">
        <f t="shared" si="29"/>
        <v>#DIV/0!</v>
      </c>
      <c r="AX37" s="320" t="e">
        <f t="shared" si="30"/>
        <v>#DIV/0!</v>
      </c>
      <c r="AY37" s="299">
        <f t="shared" si="48"/>
        <v>40.911792559328447</v>
      </c>
      <c r="AZ37" s="300" t="e">
        <f t="shared" si="49"/>
        <v>#DIV/0!</v>
      </c>
      <c r="BA37" s="344" t="e">
        <f t="shared" si="50"/>
        <v>#DIV/0!</v>
      </c>
      <c r="BB37" s="320" t="e">
        <f t="shared" si="34"/>
        <v>#DIV/0!</v>
      </c>
      <c r="BC37" s="320">
        <f t="shared" si="35"/>
        <v>6.2917064881565397E-3</v>
      </c>
      <c r="BD37" s="341">
        <f t="shared" si="36"/>
        <v>1.1624577251259129E-2</v>
      </c>
      <c r="BE37" s="132" t="e">
        <f t="shared" si="37"/>
        <v>#DIV/0!</v>
      </c>
      <c r="BF37" s="132">
        <f>BD37/(IF(F37="Grey",STDs!$Y$9,STDs!$Y$8))</f>
        <v>8.4824462171487466E-2</v>
      </c>
      <c r="BG37" s="132" t="e">
        <f>SQRT(((BE37/IF(F37="Grey",STDs!$Y$9,STDs!$Y$8))^2)+(((BD37*(IF(F37="Grey",STDs!$Z$9,STDs!$Y$8)))/(IF(F37="Grey",STDs!$Y$9,STDs!$Y$8)^2))^2))</f>
        <v>#DIV/0!</v>
      </c>
      <c r="BH37" s="132">
        <f t="shared" si="38"/>
        <v>1.8440100472062493</v>
      </c>
      <c r="BI37" s="132" t="e">
        <f t="shared" si="39"/>
        <v>#DIV/0!</v>
      </c>
      <c r="BJ37" s="132">
        <v>0.05</v>
      </c>
      <c r="BK37" s="333">
        <f t="shared" si="40"/>
        <v>1.826935255169625</v>
      </c>
      <c r="BL37" s="334" t="e">
        <f t="shared" si="41"/>
        <v>#DIV/0!</v>
      </c>
      <c r="BM37" s="299">
        <f t="shared" si="42"/>
        <v>1.826935255169625</v>
      </c>
      <c r="BN37" s="300" t="e">
        <f t="shared" si="43"/>
        <v>#DIV/0!</v>
      </c>
      <c r="BO37" s="344" t="e">
        <f t="shared" si="44"/>
        <v>#DIV/0!</v>
      </c>
    </row>
    <row r="38" spans="1:67">
      <c r="B38" s="27"/>
      <c r="C38" s="35"/>
      <c r="D38" s="36"/>
      <c r="E38" s="36"/>
      <c r="F38" s="36"/>
      <c r="G38" s="145"/>
      <c r="H38" s="35"/>
      <c r="I38" s="36"/>
      <c r="J38" s="217"/>
      <c r="K38" s="36"/>
      <c r="L38" s="36"/>
      <c r="M38" s="206"/>
      <c r="N38" s="206"/>
      <c r="O38" s="242"/>
      <c r="P38" s="242"/>
    </row>
  </sheetData>
  <mergeCells count="8">
    <mergeCell ref="AY1:BA1"/>
    <mergeCell ref="BM1:BO1"/>
    <mergeCell ref="C1:D1"/>
    <mergeCell ref="H1:N1"/>
    <mergeCell ref="Q1:R1"/>
    <mergeCell ref="S1:V1"/>
    <mergeCell ref="W1:Z1"/>
    <mergeCell ref="O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7"/>
  <sheetViews>
    <sheetView topLeftCell="W1" zoomScale="82" workbookViewId="0">
      <selection activeCell="AO2" sqref="AO2"/>
    </sheetView>
  </sheetViews>
  <sheetFormatPr baseColWidth="10" defaultColWidth="8.83203125" defaultRowHeight="16"/>
  <cols>
    <col min="1" max="1" width="17.6640625" bestFit="1" customWidth="1"/>
    <col min="3" max="3" width="10.83203125" bestFit="1" customWidth="1"/>
    <col min="5" max="5" width="13.33203125" customWidth="1"/>
    <col min="6" max="6" width="12.1640625" bestFit="1" customWidth="1"/>
    <col min="7" max="7" width="7.33203125" style="315" customWidth="1"/>
    <col min="8" max="8" width="10.83203125" bestFit="1" customWidth="1"/>
    <col min="9" max="9" width="10.5" bestFit="1" customWidth="1"/>
    <col min="10" max="10" width="8.1640625" bestFit="1" customWidth="1"/>
    <col min="11" max="11" width="10.5" style="1" bestFit="1" customWidth="1"/>
    <col min="12" max="15" width="8.83203125" style="315"/>
    <col min="43" max="46" width="8.83203125" style="315"/>
    <col min="47" max="47" width="12.33203125" style="307" bestFit="1" customWidth="1"/>
    <col min="48" max="48" width="7.83203125" customWidth="1"/>
    <col min="49" max="49" width="8.83203125" style="285"/>
    <col min="50" max="50" width="8.83203125" style="286"/>
  </cols>
  <sheetData>
    <row r="1" spans="1:50" ht="21" thickBot="1">
      <c r="A1" s="133"/>
      <c r="B1" s="194"/>
      <c r="C1" s="371" t="s">
        <v>17</v>
      </c>
      <c r="D1" s="371"/>
      <c r="E1" s="133"/>
      <c r="F1" s="194"/>
      <c r="G1" s="308"/>
      <c r="H1" s="372" t="s">
        <v>136</v>
      </c>
      <c r="I1" s="373"/>
      <c r="J1" s="373"/>
      <c r="K1" s="373"/>
      <c r="L1" s="373"/>
      <c r="M1" s="373"/>
      <c r="N1" s="373"/>
      <c r="O1" s="373"/>
      <c r="P1" s="374" t="s">
        <v>190</v>
      </c>
      <c r="Q1" s="375"/>
      <c r="R1" s="374" t="s">
        <v>166</v>
      </c>
      <c r="S1" s="375"/>
      <c r="T1" s="376" t="s">
        <v>154</v>
      </c>
      <c r="U1" s="377"/>
      <c r="V1" s="377"/>
      <c r="W1" s="375"/>
      <c r="X1" s="376" t="s">
        <v>162</v>
      </c>
      <c r="Y1" s="377"/>
      <c r="Z1" s="377"/>
      <c r="AA1" s="375"/>
      <c r="AB1" s="209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316"/>
      <c r="AR1" s="316"/>
      <c r="AS1" s="316"/>
      <c r="AT1" s="316"/>
      <c r="AU1" s="324"/>
      <c r="AV1" s="255"/>
      <c r="AW1" s="270"/>
      <c r="AX1" s="271"/>
    </row>
    <row r="2" spans="1:50" ht="66" thickTop="1" thickBot="1">
      <c r="A2" s="136" t="s">
        <v>0</v>
      </c>
      <c r="B2" s="136" t="s">
        <v>34</v>
      </c>
      <c r="C2" s="136" t="s">
        <v>1</v>
      </c>
      <c r="D2" s="136" t="s">
        <v>2</v>
      </c>
      <c r="E2" s="136" t="s">
        <v>4</v>
      </c>
      <c r="F2" s="136" t="s">
        <v>8</v>
      </c>
      <c r="G2" s="309" t="s">
        <v>3</v>
      </c>
      <c r="H2" s="136" t="s">
        <v>1</v>
      </c>
      <c r="I2" s="136" t="s">
        <v>2</v>
      </c>
      <c r="J2" s="211" t="s">
        <v>152</v>
      </c>
      <c r="K2" s="245" t="s">
        <v>151</v>
      </c>
      <c r="L2" s="138" t="s">
        <v>191</v>
      </c>
      <c r="M2" s="322" t="s">
        <v>158</v>
      </c>
      <c r="N2" s="322" t="s">
        <v>159</v>
      </c>
      <c r="O2" s="323" t="s">
        <v>157</v>
      </c>
      <c r="P2" s="137">
        <v>223</v>
      </c>
      <c r="Q2" s="139">
        <v>224</v>
      </c>
      <c r="R2" s="138" t="s">
        <v>153</v>
      </c>
      <c r="S2" s="139" t="s">
        <v>156</v>
      </c>
      <c r="T2" s="138" t="s">
        <v>154</v>
      </c>
      <c r="U2" s="136" t="s">
        <v>160</v>
      </c>
      <c r="V2" s="136" t="s">
        <v>161</v>
      </c>
      <c r="W2" s="226" t="s">
        <v>155</v>
      </c>
      <c r="X2" s="138" t="s">
        <v>162</v>
      </c>
      <c r="Y2" s="136" t="s">
        <v>163</v>
      </c>
      <c r="Z2" s="136" t="s">
        <v>164</v>
      </c>
      <c r="AA2" s="254" t="s">
        <v>165</v>
      </c>
      <c r="AB2" s="257" t="s">
        <v>167</v>
      </c>
      <c r="AC2" s="258" t="s">
        <v>168</v>
      </c>
      <c r="AD2" s="258" t="s">
        <v>170</v>
      </c>
      <c r="AE2" s="258" t="s">
        <v>169</v>
      </c>
      <c r="AF2" s="258" t="s">
        <v>171</v>
      </c>
      <c r="AG2" s="258" t="s">
        <v>172</v>
      </c>
      <c r="AH2" s="258" t="s">
        <v>174</v>
      </c>
      <c r="AI2" s="258" t="s">
        <v>173</v>
      </c>
      <c r="AJ2" s="258" t="s">
        <v>175</v>
      </c>
      <c r="AK2" s="258" t="s">
        <v>176</v>
      </c>
      <c r="AL2" s="258" t="s">
        <v>177</v>
      </c>
      <c r="AM2" s="258" t="s">
        <v>178</v>
      </c>
      <c r="AN2" s="258" t="s">
        <v>181</v>
      </c>
      <c r="AO2" s="258" t="s">
        <v>179</v>
      </c>
      <c r="AP2" s="258" t="s">
        <v>180</v>
      </c>
      <c r="AQ2" s="317" t="s">
        <v>182</v>
      </c>
      <c r="AR2" s="317" t="s">
        <v>183</v>
      </c>
      <c r="AS2" s="317" t="s">
        <v>185</v>
      </c>
      <c r="AT2" s="321" t="s">
        <v>183</v>
      </c>
      <c r="AU2" s="301" t="s">
        <v>187</v>
      </c>
      <c r="AV2" s="258" t="s">
        <v>192</v>
      </c>
      <c r="AW2" s="272" t="s">
        <v>188</v>
      </c>
      <c r="AX2" s="269" t="s">
        <v>189</v>
      </c>
    </row>
    <row r="3" spans="1:50" ht="17">
      <c r="A3" s="107" t="str">
        <f>Samples!A3</f>
        <v>HE541-2</v>
      </c>
      <c r="B3" s="107">
        <f>Samples!B3</f>
        <v>14</v>
      </c>
      <c r="C3" s="108">
        <f>Samples!C3</f>
        <v>43722</v>
      </c>
      <c r="D3" s="109">
        <f>Samples!D3</f>
        <v>0.53125</v>
      </c>
      <c r="E3" s="109" t="str">
        <f>Samples!G3</f>
        <v>Surface water</v>
      </c>
      <c r="F3" s="109" t="str">
        <f>Samples!W3</f>
        <v>Grey</v>
      </c>
      <c r="G3" s="310">
        <f>Samples!I3</f>
        <v>103.1</v>
      </c>
      <c r="H3" s="108">
        <f>Samples!T3</f>
        <v>43728</v>
      </c>
      <c r="I3" s="109">
        <f>Samples!U3</f>
        <v>0.3888888888888889</v>
      </c>
      <c r="J3" s="212">
        <f>Samples!V3</f>
        <v>154</v>
      </c>
      <c r="K3" s="246">
        <f>H3+I3+(J3/(60*24))</f>
        <v>43728.495833333334</v>
      </c>
      <c r="L3" s="199">
        <f>K3-'Count 1 '!K3</f>
        <v>5.647916666661331</v>
      </c>
      <c r="M3" s="199">
        <f>Samples!Z3</f>
        <v>8.1280000000000001</v>
      </c>
      <c r="N3" s="201">
        <f>Samples!X3</f>
        <v>0.50600000000000001</v>
      </c>
      <c r="O3" s="201">
        <f>Samples!Y3</f>
        <v>2.9129999999999998</v>
      </c>
      <c r="P3" s="237">
        <f>EXP(-(LN(2)/11.434*(K3-C3-D3)))</f>
        <v>0.69657313764880935</v>
      </c>
      <c r="Q3" s="237">
        <f>EXP(-(LN(2)/3.66*(K3-C3-D3)))</f>
        <v>0.32316266150383027</v>
      </c>
      <c r="R3" s="111">
        <f>SQRT(S3)/J3</f>
        <v>0.13753393914079687</v>
      </c>
      <c r="S3" s="219">
        <f>O3*J3</f>
        <v>448.60199999999998</v>
      </c>
      <c r="T3" s="111">
        <f>SQRT(W3)/J3</f>
        <v>0.13753393914079687</v>
      </c>
      <c r="U3" s="112">
        <f>2/SQRT(W3)</f>
        <v>9.4427695942874604E-2</v>
      </c>
      <c r="V3" s="236" t="s">
        <v>186</v>
      </c>
      <c r="W3" s="219">
        <f>J3*O3</f>
        <v>448.60199999999998</v>
      </c>
      <c r="X3" s="111">
        <f>SQRT(AA3)/J3</f>
        <v>5.7321150422111083E-2</v>
      </c>
      <c r="Y3" s="112">
        <f>2/SQRT(AA3)</f>
        <v>0.22656581194510308</v>
      </c>
      <c r="Z3" s="236" t="s">
        <v>186</v>
      </c>
      <c r="AA3" s="219">
        <f>J3*N3</f>
        <v>77.924000000000007</v>
      </c>
      <c r="AB3" s="112">
        <f>((M3-O3-N3)^2*0.01)/((1-((M3-O3-N3)*0.01)))</f>
        <v>0.23270488293752814</v>
      </c>
      <c r="AC3" s="112">
        <f t="shared" ref="AC3" si="0">AE3*(((2*0.01*AD3)-(0.01*AD3)^2)/(1-0.01*AD3)^2)</f>
        <v>2.0536065616269101E-2</v>
      </c>
      <c r="AD3" s="231">
        <f>M3-O3-N3</f>
        <v>4.7089999999999996</v>
      </c>
      <c r="AE3" s="112">
        <f>SQRT((R3^2)+(T3^2)+(X3^2))</f>
        <v>0.2027729841889277</v>
      </c>
      <c r="AF3" s="112">
        <f>((M3-O3-AB3-N3)^2*0.000093)/((1-(M3-O3-AB3-N3)*0.000093))</f>
        <v>1.8642373451953278E-3</v>
      </c>
      <c r="AG3" s="112">
        <f>AI3*(((2*0.000093*AD3-(0.01*AD3))^2)/(1-(0.000093*AD3)^2))</f>
        <v>4.3307155978914162E-4</v>
      </c>
      <c r="AH3" s="231">
        <f>M3-AJ3-N3</f>
        <v>4.9417048829375281</v>
      </c>
      <c r="AI3" s="112">
        <f>SQRT((T3^2)+(X3^2)+(R3^2))</f>
        <v>0.2027729841889277</v>
      </c>
      <c r="AJ3" s="231">
        <f>O3-AB3</f>
        <v>2.6802951170624718</v>
      </c>
      <c r="AK3" s="112">
        <f>SQRT((T3^2)+(AC3^2))</f>
        <v>0.13905867253278426</v>
      </c>
      <c r="AL3" s="231">
        <f>N3-AF3</f>
        <v>0.50413576265480464</v>
      </c>
      <c r="AM3" s="112">
        <f>SQRT((X3^2)+(AG3^2))</f>
        <v>5.732278636537292E-2</v>
      </c>
      <c r="AN3" s="112">
        <f>((((IF(F3="Grey",STDs!$Y$9,STDs!$Y$8))*2)*(N3-AF3))^2*0.01)/((1+(((IF(F3="Grey",STDs!$Y$9,STDs!$Y$8))*2)*(N3-AF3))*0.01))</f>
        <v>2.352874248536836E-4</v>
      </c>
      <c r="AO3" s="231">
        <f>AJ3-AN3-IF(F3="Grey",Blanks!$M$6,Blanks!$M$5)</f>
        <v>2.6599169724947611</v>
      </c>
      <c r="AP3" s="112">
        <f>AK3</f>
        <v>0.13905867253278426</v>
      </c>
      <c r="AQ3" s="231">
        <f>AO3/IF(F3="Grey",STDs!$AA$9,STDs!$AA$8)</f>
        <v>20.937333941976203</v>
      </c>
      <c r="AR3" s="231">
        <f>SQRT(((AP3/IF(F3="Grey",STDs!$AA$9,STDs!$AA$8))^2)+(((AO3*(IF(F3="Grey",STDs!$AB$9,STDs!$AB$8)))/(IF(F3="Grey",STDs!$AA$9,STDs!$AA$8))))^2)</f>
        <v>1.1053255986286568</v>
      </c>
      <c r="AS3" s="231">
        <f>(AQ3/G3)*100</f>
        <v>20.30779237825044</v>
      </c>
      <c r="AT3" s="231">
        <f>(SQRT(((AR3/G3)^2)+(((AQ3*(G3*0.03))/(G3^2))^2)))*100</f>
        <v>1.2331035795760388</v>
      </c>
      <c r="AU3" s="302">
        <f>('Count 1 '!AR3-(AS3*EXP(Reference!$C$3*L3)))/(1-EXP(Reference!$C$3*L3))</f>
        <v>0.11916838408767839</v>
      </c>
      <c r="AV3" s="244">
        <f>AS3/Q3</f>
        <v>62.840775861136244</v>
      </c>
      <c r="AW3" s="273">
        <f>AS3-('Count 1 '!AY3*Q3)</f>
        <v>0.11916838408767916</v>
      </c>
      <c r="AX3" s="274">
        <f>SQRT(((AP3/(Q3*IF(F3="Grey",STDs!$AA$9,STDs!$AA$8)))^2)+(((AO3*Q3*IF(F3="Grey",STDs!$AB$9,STDs!$AB$8))/((Q3*IF(F3="Grey",STDs!$AA$9,STDs!$AA$8))^2))^2))</f>
        <v>5.0482437867339822</v>
      </c>
    </row>
    <row r="4" spans="1:50" ht="17">
      <c r="A4" s="107" t="str">
        <f>Samples!A4</f>
        <v>HE541_18-1</v>
      </c>
      <c r="B4" s="107">
        <f>Samples!B4</f>
        <v>23</v>
      </c>
      <c r="C4" s="108">
        <f>Samples!C4</f>
        <v>43723</v>
      </c>
      <c r="D4" s="109">
        <f>Samples!D4</f>
        <v>0.34722222222222227</v>
      </c>
      <c r="E4" s="109" t="str">
        <f>Samples!G4</f>
        <v>Surface water</v>
      </c>
      <c r="F4" s="109" t="str">
        <f>Samples!W4</f>
        <v>Orange</v>
      </c>
      <c r="G4" s="310">
        <f>Samples!I4</f>
        <v>188.8</v>
      </c>
      <c r="H4" s="108">
        <f>Samples!T4</f>
        <v>43729</v>
      </c>
      <c r="I4" s="109">
        <f>Samples!U4</f>
        <v>0.54652777777777783</v>
      </c>
      <c r="J4" s="212">
        <f>Samples!V4</f>
        <v>127</v>
      </c>
      <c r="K4" s="108">
        <f t="shared" ref="K4:K37" si="1">H4+I4+(J4/(60*24))</f>
        <v>43729.634722222218</v>
      </c>
      <c r="L4" s="110">
        <f>K4-'Count 1 '!K4</f>
        <v>5.9979166666598758</v>
      </c>
      <c r="M4" s="110">
        <f>Samples!Z4</f>
        <v>8.8849999999999998</v>
      </c>
      <c r="N4" s="201">
        <f>Samples!X4</f>
        <v>0.503</v>
      </c>
      <c r="O4" s="201">
        <f>Samples!Y4</f>
        <v>2.6179999999999999</v>
      </c>
      <c r="P4" s="237">
        <f t="shared" ref="P4:P37" si="2">EXP(-(LN(2)/11.434*(K4-C4-D4)))</f>
        <v>0.68306981709841763</v>
      </c>
      <c r="Q4" s="237">
        <f t="shared" ref="Q4:Q37" si="3">EXP(-(LN(2)/3.66*(K4-C4-D4)))</f>
        <v>0.30399169710594859</v>
      </c>
      <c r="R4" s="111">
        <f t="shared" ref="R4:R37" si="4">SQRT(S4)/J4</f>
        <v>0.14357636723481498</v>
      </c>
      <c r="S4" s="220">
        <f t="shared" ref="S4:S37" si="5">O4*J4</f>
        <v>332.48599999999999</v>
      </c>
      <c r="T4" s="112">
        <f t="shared" ref="T4:T37" si="6">SQRT(W4)/J4</f>
        <v>0.14357636723481498</v>
      </c>
      <c r="U4" s="112">
        <f t="shared" ref="U4:U37" si="7">2/SQRT(W4)</f>
        <v>0.10968400858274638</v>
      </c>
      <c r="V4" s="112" t="s">
        <v>186</v>
      </c>
      <c r="W4" s="219">
        <f t="shared" ref="W4:W37" si="8">J4*O4</f>
        <v>332.48599999999999</v>
      </c>
      <c r="X4" s="112">
        <f t="shared" ref="X4:X37" si="9">SQRT(AA4)/J4</f>
        <v>6.2933535744147118E-2</v>
      </c>
      <c r="Y4" s="112">
        <f t="shared" ref="Y4:Y37" si="10">2/SQRT(AA4)</f>
        <v>0.25023274649760285</v>
      </c>
      <c r="Z4" s="112" t="s">
        <v>186</v>
      </c>
      <c r="AA4" s="219">
        <f t="shared" ref="AA4:AA37" si="11">J4*N4</f>
        <v>63.881</v>
      </c>
      <c r="AB4" s="112">
        <f t="shared" ref="AB4:AB37" si="12">((M4-O4-N4)^2*0.01)/((1-((M4-O4-N4)*0.01)))</f>
        <v>0.35255842777707025</v>
      </c>
      <c r="AC4" s="112">
        <f t="shared" ref="AC4:AC37" si="13">AE4*(((2*0.01*AD4)-(0.01*AD4)^2)/(1-0.01*AD4)^2)</f>
        <v>2.6800090641862017E-2</v>
      </c>
      <c r="AD4" s="112">
        <f t="shared" ref="AD4:AD37" si="14">M4-O4-N4</f>
        <v>5.7639999999999993</v>
      </c>
      <c r="AE4" s="112">
        <f t="shared" ref="AE4:AE37" si="15">SQRT((R4^2)+(T4^2)+(X4^2))</f>
        <v>0.21257698929553204</v>
      </c>
      <c r="AF4" s="112">
        <f t="shared" ref="AF4:AF37" si="16">((M4-O4-AB4-N4)^2*0.000093)/((1-(M4-O4-AB4-N4)*0.000093))</f>
        <v>2.7247553611936992E-3</v>
      </c>
      <c r="AG4" s="112">
        <f t="shared" ref="AG4:AG37" si="17">AI4*(((2*0.000093*AD4-(0.01*AD4))^2)/(1-(0.000093*AD4)^2))</f>
        <v>6.8023101287680932E-4</v>
      </c>
      <c r="AH4" s="112">
        <f t="shared" ref="AH4:AH37" si="18">M4-AJ4-N4</f>
        <v>6.1165584277770702</v>
      </c>
      <c r="AI4" s="112">
        <f t="shared" ref="AI4:AI37" si="19">SQRT((T4^2)+(X4^2)+(R4^2))</f>
        <v>0.21257698929553204</v>
      </c>
      <c r="AJ4" s="112">
        <f t="shared" ref="AJ4:AJ37" si="20">O4-AB4</f>
        <v>2.2654415722229295</v>
      </c>
      <c r="AK4" s="112">
        <f t="shared" ref="AK4:AK37" si="21">SQRT((T4^2)+(AC4^2))</f>
        <v>0.14605621550197195</v>
      </c>
      <c r="AL4" s="112">
        <f t="shared" ref="AL4:AL37" si="22">N4-AF4</f>
        <v>0.50027524463880635</v>
      </c>
      <c r="AM4" s="112">
        <f t="shared" ref="AM4:AM37" si="23">SQRT((X4^2)+(AG4^2))</f>
        <v>6.2937211850309371E-2</v>
      </c>
      <c r="AN4" s="112">
        <f>((((IF(F4="Grey",STDs!$Y$9,STDs!$Y$8))*2)*(N4-AF4))^2*0.01)/((1+(((IF(F4="Grey",STDs!$Y$9,STDs!$Y$8))*2)*(N4-AF4))*0.01))</f>
        <v>1.8775652340380985E-4</v>
      </c>
      <c r="AO4" s="112">
        <f>AJ4-AN4-IF(F4="Grey",Blanks!$M$6,Blanks!$M$5)</f>
        <v>2.2528252442709542</v>
      </c>
      <c r="AP4" s="112">
        <f t="shared" ref="AP4:AP37" si="24">AK4</f>
        <v>0.14605621550197195</v>
      </c>
      <c r="AQ4" s="231">
        <f>AO4/IF(F4="Grey",STDs!$AA$9,STDs!$AA$8)</f>
        <v>19.102830335722171</v>
      </c>
      <c r="AR4" s="231">
        <f>SQRT(((AP4/IF(F4="Grey",STDs!$AA$9,STDs!$AA$8))^2)+(((AO4*(IF(F4="Grey",STDs!$AB$9,STDs!$AB$8)))/(IF(F4="Grey",STDs!$AA$9,STDs!$AA$8))))^2)</f>
        <v>1.2420074230271614</v>
      </c>
      <c r="AS4" s="231">
        <f t="shared" ref="AS4:AS37" si="25">(AQ4/G4)*100</f>
        <v>10.118024542225726</v>
      </c>
      <c r="AT4" s="231">
        <f t="shared" ref="AT4:AT37" si="26">(SQRT(((AR4/G4)^2)+(((AQ4*(G4*0.03))/(G4^2))^2)))*100</f>
        <v>0.72449587924682357</v>
      </c>
      <c r="AU4" s="302">
        <f>('Count 1 '!AR4-(AS4*EXP(Reference!$C$3*L4)))/(1-EXP(Reference!$C$3*L4))</f>
        <v>-0.53196254875742133</v>
      </c>
      <c r="AV4" s="112">
        <f t="shared" ref="AV4:AV37" si="27">AS4/Q4</f>
        <v>33.283884522343861</v>
      </c>
      <c r="AW4" s="275">
        <f>AS4-('Count 1 '!AY4*Q4)</f>
        <v>-0.53196254875742177</v>
      </c>
      <c r="AX4" s="276">
        <f>SQRT(((AP4/(Q4*IF(F4="Grey",STDs!$AA$9,STDs!$AA$8)))^2)+(((AO4*Q4*IF(F4="Grey",STDs!$AB$9,STDs!$AB$8))/((Q4*IF(F4="Grey",STDs!$AA$9,STDs!$AA$8))^2))^2))</f>
        <v>4.8372512061229935</v>
      </c>
    </row>
    <row r="5" spans="1:50" ht="34">
      <c r="A5" s="101" t="str">
        <f>Samples!A5</f>
        <v>HE541_18-1B</v>
      </c>
      <c r="B5" s="101">
        <f>Samples!B5</f>
        <v>0</v>
      </c>
      <c r="C5" s="102">
        <f>Samples!C5</f>
        <v>43723</v>
      </c>
      <c r="D5" s="103">
        <f>Samples!D5</f>
        <v>0.34722222222222227</v>
      </c>
      <c r="E5" s="103" t="str">
        <f>Samples!G5</f>
        <v>Surface water (Efficiency)</v>
      </c>
      <c r="F5" s="103"/>
      <c r="G5" s="311">
        <f>Samples!I5</f>
        <v>188.8</v>
      </c>
      <c r="H5" s="102" t="str">
        <f>Samples!T5</f>
        <v>x</v>
      </c>
      <c r="I5" s="103" t="str">
        <f>Samples!U5</f>
        <v>x</v>
      </c>
      <c r="J5" s="213">
        <f>Samples!V5</f>
        <v>0</v>
      </c>
      <c r="K5" s="102" t="e">
        <f t="shared" si="1"/>
        <v>#VALUE!</v>
      </c>
      <c r="L5" s="104" t="e">
        <f>K5-'Count 1 '!K5</f>
        <v>#VALUE!</v>
      </c>
      <c r="M5" s="104">
        <f>Samples!Z5</f>
        <v>0</v>
      </c>
      <c r="N5" s="202">
        <f>Samples!X5</f>
        <v>0</v>
      </c>
      <c r="O5" s="202">
        <f>Samples!Y5</f>
        <v>0</v>
      </c>
      <c r="P5" s="238" t="e">
        <f t="shared" si="2"/>
        <v>#VALUE!</v>
      </c>
      <c r="Q5" s="238" t="e">
        <f t="shared" si="3"/>
        <v>#VALUE!</v>
      </c>
      <c r="R5" s="105" t="e">
        <f t="shared" si="4"/>
        <v>#DIV/0!</v>
      </c>
      <c r="S5" s="221">
        <f t="shared" si="5"/>
        <v>0</v>
      </c>
      <c r="T5" s="106" t="e">
        <f t="shared" si="6"/>
        <v>#DIV/0!</v>
      </c>
      <c r="U5" s="106" t="e">
        <f t="shared" si="7"/>
        <v>#DIV/0!</v>
      </c>
      <c r="V5" s="106" t="s">
        <v>186</v>
      </c>
      <c r="W5" s="227">
        <f t="shared" si="8"/>
        <v>0</v>
      </c>
      <c r="X5" s="106" t="e">
        <f t="shared" si="9"/>
        <v>#DIV/0!</v>
      </c>
      <c r="Y5" s="106" t="e">
        <f t="shared" si="10"/>
        <v>#DIV/0!</v>
      </c>
      <c r="Z5" s="106" t="s">
        <v>186</v>
      </c>
      <c r="AA5" s="227">
        <f t="shared" si="11"/>
        <v>0</v>
      </c>
      <c r="AB5" s="106">
        <f t="shared" si="12"/>
        <v>0</v>
      </c>
      <c r="AC5" s="106" t="e">
        <f t="shared" si="13"/>
        <v>#DIV/0!</v>
      </c>
      <c r="AD5" s="106">
        <f t="shared" si="14"/>
        <v>0</v>
      </c>
      <c r="AE5" s="106" t="e">
        <f t="shared" si="15"/>
        <v>#DIV/0!</v>
      </c>
      <c r="AF5" s="106">
        <f t="shared" si="16"/>
        <v>0</v>
      </c>
      <c r="AG5" s="106" t="e">
        <f t="shared" si="17"/>
        <v>#DIV/0!</v>
      </c>
      <c r="AH5" s="106">
        <f t="shared" si="18"/>
        <v>0</v>
      </c>
      <c r="AI5" s="106" t="e">
        <f t="shared" si="19"/>
        <v>#DIV/0!</v>
      </c>
      <c r="AJ5" s="106">
        <f t="shared" si="20"/>
        <v>0</v>
      </c>
      <c r="AK5" s="106" t="e">
        <f t="shared" si="21"/>
        <v>#DIV/0!</v>
      </c>
      <c r="AL5" s="106">
        <f t="shared" si="22"/>
        <v>0</v>
      </c>
      <c r="AM5" s="106" t="e">
        <f t="shared" si="23"/>
        <v>#DIV/0!</v>
      </c>
      <c r="AN5" s="106">
        <f>((((IF(F5="Grey",STDs!$Y$9,STDs!$Y$8))*2)*(N5-AF5))^2*0.01)/((1+(((IF(F5="Grey",STDs!$Y$9,STDs!$Y$8))*2)*(N5-AF5))*0.01))</f>
        <v>0</v>
      </c>
      <c r="AO5" s="106">
        <f>AJ5-AN5-IF(F5="Grey",Blanks!$M$6,Blanks!$M$5)</f>
        <v>-1.2428571428571429E-2</v>
      </c>
      <c r="AP5" s="106" t="e">
        <f>AK5</f>
        <v>#DIV/0!</v>
      </c>
      <c r="AQ5" s="318">
        <f>AO5/IF(F5="Grey",STDs!$AA$9,STDs!$AA$8)</f>
        <v>-0.10538806412933147</v>
      </c>
      <c r="AR5" s="318" t="e">
        <f>SQRT(((AP5/IF(F5="Grey",STDs!$AA$9,STDs!$AA$8))^2)+(((AO5*(IF(F5="Grey",STDs!$AB$9,STDs!$AB$8)))/(IF(F5="Grey",STDs!$AA$9,STDs!$AA$8))))^2)</f>
        <v>#DIV/0!</v>
      </c>
      <c r="AS5" s="318">
        <f t="shared" si="25"/>
        <v>-5.5819949221044197E-2</v>
      </c>
      <c r="AT5" s="318" t="e">
        <f>(SQRT(((AR5/G5)^2)+(((AQ5*(G5*0.03))/(G5^2))^2)))*100</f>
        <v>#DIV/0!</v>
      </c>
      <c r="AU5" s="303" t="e">
        <f>('Count 1 '!AR5-(AS5*EXP(Reference!$C$3*L5)))/(1-EXP(Reference!$C$3*L5))</f>
        <v>#VALUE!</v>
      </c>
      <c r="AV5" s="106" t="e">
        <f t="shared" si="27"/>
        <v>#VALUE!</v>
      </c>
      <c r="AW5" s="277" t="e">
        <f>AS5-('Count 1 '!AY5*Q5)</f>
        <v>#VALUE!</v>
      </c>
      <c r="AX5" s="278" t="e">
        <f>SQRT(((AP5/(Q5*IF(F5="Grey",STDs!$AA$9,STDs!$AA$8)))^2)+(((AO5*Q5*IF(F5="Grey",STDs!$AB$9,STDs!$AB$8))/((Q5*IF(F5="Grey",STDs!$AA$9,STDs!$AA$8))^2))^2))</f>
        <v>#DIV/0!</v>
      </c>
    </row>
    <row r="6" spans="1:50" ht="17">
      <c r="A6" s="107" t="str">
        <f>Samples!A6</f>
        <v>HE541_19-16-MUC</v>
      </c>
      <c r="B6" s="107">
        <f>Samples!B6</f>
        <v>26</v>
      </c>
      <c r="C6" s="108">
        <f>Samples!C6</f>
        <v>43723</v>
      </c>
      <c r="D6" s="109">
        <f>Samples!D6</f>
        <v>0.57291666666666663</v>
      </c>
      <c r="E6" s="109" t="str">
        <f>Samples!G6</f>
        <v>Surface water</v>
      </c>
      <c r="F6" s="109" t="str">
        <f>Samples!W6</f>
        <v>Grey</v>
      </c>
      <c r="G6" s="310">
        <f>Samples!I6</f>
        <v>178.4</v>
      </c>
      <c r="H6" s="108">
        <f>Samples!T6</f>
        <v>43730</v>
      </c>
      <c r="I6" s="109">
        <f>Samples!U6</f>
        <v>0.43055555555555558</v>
      </c>
      <c r="J6" s="212">
        <f>Samples!V6</f>
        <v>139</v>
      </c>
      <c r="K6" s="108">
        <f t="shared" si="1"/>
        <v>43730.527083333334</v>
      </c>
      <c r="L6" s="110">
        <f>K6-'Count 1 '!K6</f>
        <v>6.6479166666686069</v>
      </c>
      <c r="M6" s="110">
        <f>Samples!Z6</f>
        <v>9.1460000000000008</v>
      </c>
      <c r="N6" s="201">
        <f>Samples!X6</f>
        <v>0.51</v>
      </c>
      <c r="O6" s="201">
        <f>Samples!Y6</f>
        <v>3.0289999999999999</v>
      </c>
      <c r="P6" s="237">
        <f t="shared" si="2"/>
        <v>0.65601436520044187</v>
      </c>
      <c r="Q6" s="237">
        <f t="shared" si="3"/>
        <v>0.26793490838186734</v>
      </c>
      <c r="R6" s="111">
        <f t="shared" si="4"/>
        <v>0.14761899236370238</v>
      </c>
      <c r="S6" s="220">
        <f t="shared" si="5"/>
        <v>421.03100000000001</v>
      </c>
      <c r="T6" s="112">
        <f t="shared" si="6"/>
        <v>0.14761899236370238</v>
      </c>
      <c r="U6" s="112">
        <f t="shared" si="7"/>
        <v>9.7470447252362077E-2</v>
      </c>
      <c r="V6" s="112" t="s">
        <v>186</v>
      </c>
      <c r="W6" s="219">
        <f t="shared" si="8"/>
        <v>421.03100000000001</v>
      </c>
      <c r="X6" s="112">
        <f t="shared" si="9"/>
        <v>6.0572805351918772E-2</v>
      </c>
      <c r="Y6" s="112">
        <f t="shared" si="10"/>
        <v>0.23754041314477947</v>
      </c>
      <c r="Z6" s="112" t="s">
        <v>186</v>
      </c>
      <c r="AA6" s="219">
        <f t="shared" si="11"/>
        <v>70.89</v>
      </c>
      <c r="AB6" s="112">
        <f t="shared" si="12"/>
        <v>0.33305911455298609</v>
      </c>
      <c r="AC6" s="112">
        <f t="shared" si="13"/>
        <v>2.6591373616560009E-2</v>
      </c>
      <c r="AD6" s="112">
        <f t="shared" si="14"/>
        <v>5.6070000000000011</v>
      </c>
      <c r="AE6" s="112">
        <f t="shared" si="15"/>
        <v>0.21737478823716214</v>
      </c>
      <c r="AF6" s="112">
        <f t="shared" si="16"/>
        <v>2.5880134388561525E-3</v>
      </c>
      <c r="AG6" s="112">
        <f t="shared" si="17"/>
        <v>6.5820701943117754E-4</v>
      </c>
      <c r="AH6" s="112">
        <f t="shared" si="18"/>
        <v>5.9400591145529873</v>
      </c>
      <c r="AI6" s="112">
        <f t="shared" si="19"/>
        <v>0.21737478823716214</v>
      </c>
      <c r="AJ6" s="112">
        <f t="shared" si="20"/>
        <v>2.6959408854470137</v>
      </c>
      <c r="AK6" s="112">
        <f t="shared" si="21"/>
        <v>0.14999489343737774</v>
      </c>
      <c r="AL6" s="112">
        <f t="shared" si="22"/>
        <v>0.50741198656114384</v>
      </c>
      <c r="AM6" s="112">
        <f t="shared" si="23"/>
        <v>6.0576381409604418E-2</v>
      </c>
      <c r="AN6" s="112">
        <f>((((IF(F6="Grey",STDs!$Y$9,STDs!$Y$8))*2)*(N6-AF6))^2*0.01)/((1+(((IF(F6="Grey",STDs!$Y$9,STDs!$Y$8))*2)*(N6-AF6))*0.01))</f>
        <v>2.3835310938747218E-4</v>
      </c>
      <c r="AO6" s="112">
        <f>AJ6-AN6-IF(F6="Grey",Blanks!$M$6,Blanks!$M$5)</f>
        <v>2.6755596751947692</v>
      </c>
      <c r="AP6" s="112">
        <f t="shared" si="24"/>
        <v>0.14999489343737774</v>
      </c>
      <c r="AQ6" s="231">
        <f>AO6/IF(F6="Grey",STDs!$AA$9,STDs!$AA$8)</f>
        <v>21.060464285356037</v>
      </c>
      <c r="AR6" s="231">
        <f>SQRT(((AP6/IF(F6="Grey",STDs!$AA$9,STDs!$AA$8))^2)+(((AO6*(IF(F6="Grey",STDs!$AB$9,STDs!$AB$8)))/(IF(F6="Grey",STDs!$AA$9,STDs!$AA$8))))^2)</f>
        <v>1.1907502660270599</v>
      </c>
      <c r="AS6" s="231">
        <f t="shared" si="25"/>
        <v>11.805192985065043</v>
      </c>
      <c r="AT6" s="231">
        <f t="shared" si="26"/>
        <v>0.75559935917589638</v>
      </c>
      <c r="AU6" s="302">
        <f>('Count 1 '!AR6-(AS6*EXP(Reference!$C$3*L6)))/(1-EXP(Reference!$C$3*L6))</f>
        <v>1.6098389159419018</v>
      </c>
      <c r="AV6" s="112">
        <f t="shared" si="27"/>
        <v>44.059928795243039</v>
      </c>
      <c r="AW6" s="275">
        <f>AS6-('Count 1 '!AY6*Q6)</f>
        <v>1.6098389159418982</v>
      </c>
      <c r="AX6" s="276">
        <f>SQRT(((AP6/(Q6*IF(F6="Grey",STDs!$AA$9,STDs!$AA$8)))^2)+(((AO6*Q6*IF(F6="Grey",STDs!$AB$9,STDs!$AB$8))/((Q6*IF(F6="Grey",STDs!$AA$9,STDs!$AA$8))^2))^2))</f>
        <v>6.3279013675150217</v>
      </c>
    </row>
    <row r="7" spans="1:50" ht="34">
      <c r="A7" s="113" t="str">
        <f>Samples!A7</f>
        <v>HE541_19-16-MUC-PW</v>
      </c>
      <c r="B7" s="113">
        <f>Samples!B7</f>
        <v>24</v>
      </c>
      <c r="C7" s="114">
        <f>Samples!C7</f>
        <v>43723</v>
      </c>
      <c r="D7" s="115">
        <f>Samples!D7</f>
        <v>0.65972222222222221</v>
      </c>
      <c r="E7" s="115" t="str">
        <f>Samples!G7</f>
        <v>Porewater</v>
      </c>
      <c r="F7" s="115" t="str">
        <f>Samples!W7</f>
        <v>Orange</v>
      </c>
      <c r="G7" s="312">
        <f>Samples!I7</f>
        <v>0.36</v>
      </c>
      <c r="H7" s="114">
        <f>Samples!T7</f>
        <v>43730</v>
      </c>
      <c r="I7" s="115">
        <f>Samples!U7</f>
        <v>0.43055555555555558</v>
      </c>
      <c r="J7" s="214">
        <f>Samples!V7</f>
        <v>330</v>
      </c>
      <c r="K7" s="114">
        <f t="shared" si="1"/>
        <v>43730.659722222219</v>
      </c>
      <c r="L7" s="116">
        <f>K7-'Count 1 '!K7</f>
        <v>6.3680555555547471</v>
      </c>
      <c r="M7" s="116">
        <f>Samples!Z7</f>
        <v>1.0549999999999999</v>
      </c>
      <c r="N7" s="203">
        <f>Samples!X7</f>
        <v>3.0000000000000001E-3</v>
      </c>
      <c r="O7" s="203">
        <f>Samples!Y7</f>
        <v>0.106</v>
      </c>
      <c r="P7" s="239">
        <f t="shared" si="2"/>
        <v>0.6541941662293802</v>
      </c>
      <c r="Q7" s="239">
        <f t="shared" si="3"/>
        <v>0.26561926531491759</v>
      </c>
      <c r="R7" s="117">
        <f t="shared" si="4"/>
        <v>1.7922391615298478E-2</v>
      </c>
      <c r="S7" s="222">
        <f t="shared" si="5"/>
        <v>34.979999999999997</v>
      </c>
      <c r="T7" s="118">
        <f t="shared" si="6"/>
        <v>1.7922391615298478E-2</v>
      </c>
      <c r="U7" s="118">
        <f t="shared" si="7"/>
        <v>0.33815833236412224</v>
      </c>
      <c r="V7" s="118" t="s">
        <v>186</v>
      </c>
      <c r="W7" s="228">
        <f t="shared" si="8"/>
        <v>34.979999999999997</v>
      </c>
      <c r="X7" s="118">
        <f t="shared" si="9"/>
        <v>3.0151134457776364E-3</v>
      </c>
      <c r="Y7" s="118">
        <f t="shared" si="10"/>
        <v>2.0100756305184242</v>
      </c>
      <c r="Z7" s="118" t="s">
        <v>186</v>
      </c>
      <c r="AA7" s="228">
        <f t="shared" si="11"/>
        <v>0.99</v>
      </c>
      <c r="AB7" s="118">
        <f t="shared" si="12"/>
        <v>9.0346275768772577E-3</v>
      </c>
      <c r="AC7" s="118">
        <f t="shared" si="13"/>
        <v>4.898693525610153E-4</v>
      </c>
      <c r="AD7" s="118">
        <f t="shared" si="14"/>
        <v>0.94599999999999995</v>
      </c>
      <c r="AE7" s="118">
        <f t="shared" si="15"/>
        <v>2.5524794837866013E-2</v>
      </c>
      <c r="AF7" s="118">
        <f t="shared" si="16"/>
        <v>8.1652197139321167E-5</v>
      </c>
      <c r="AG7" s="118">
        <f t="shared" si="17"/>
        <v>2.2000707315621916E-6</v>
      </c>
      <c r="AH7" s="118">
        <f t="shared" si="18"/>
        <v>0.95503462757687718</v>
      </c>
      <c r="AI7" s="118">
        <f t="shared" si="19"/>
        <v>2.5524794837866013E-2</v>
      </c>
      <c r="AJ7" s="118">
        <f t="shared" si="20"/>
        <v>9.6965372423122739E-2</v>
      </c>
      <c r="AK7" s="118">
        <f t="shared" si="21"/>
        <v>1.7929085118730953E-2</v>
      </c>
      <c r="AL7" s="118">
        <f t="shared" si="22"/>
        <v>2.9183478028606789E-3</v>
      </c>
      <c r="AM7" s="118">
        <f t="shared" si="23"/>
        <v>3.0151142484523396E-3</v>
      </c>
      <c r="AN7" s="118">
        <f>((((IF(F7="Grey",STDs!$Y$9,STDs!$Y$8))*2)*(N7-AF7))^2*0.01)/((1+(((IF(F7="Grey",STDs!$Y$9,STDs!$Y$8))*2)*(N7-AF7))*0.01))</f>
        <v>6.3979776999038452E-9</v>
      </c>
      <c r="AO7" s="118">
        <f>AJ7-AN7-IF(F7="Grey",Blanks!$M$6,Blanks!$M$5)</f>
        <v>8.4536794596573608E-2</v>
      </c>
      <c r="AP7" s="118">
        <f t="shared" si="24"/>
        <v>1.7929085118730953E-2</v>
      </c>
      <c r="AQ7" s="119">
        <f>AO7/IF(F7="Grey",STDs!$AA$9,STDs!$AA$8)</f>
        <v>0.71682970013359482</v>
      </c>
      <c r="AR7" s="119">
        <f>SQRT(((AP7/IF(F7="Grey",STDs!$AA$9,STDs!$AA$8))^2)+(((AO7*(IF(F7="Grey",STDs!$AB$9,STDs!$AB$8)))/(IF(F7="Grey",STDs!$AA$9,STDs!$AA$8))))^2)</f>
        <v>0.15207014043760825</v>
      </c>
      <c r="AS7" s="119">
        <f t="shared" si="25"/>
        <v>199.1193611482208</v>
      </c>
      <c r="AT7" s="119">
        <f t="shared" si="26"/>
        <v>42.661989715641994</v>
      </c>
      <c r="AU7" s="304">
        <f>('Count 1 '!AR7-(AS7*EXP(Reference!$C$3*L7)))/(1-EXP(Reference!$C$3*L7))</f>
        <v>-108.60845299691</v>
      </c>
      <c r="AV7" s="118">
        <f t="shared" si="27"/>
        <v>749.64201452837142</v>
      </c>
      <c r="AW7" s="279">
        <f>AS7-('Count 1 '!AY7*Q7)</f>
        <v>-108.60845299691002</v>
      </c>
      <c r="AX7" s="280">
        <f>SQRT(((AP7/(Q7*IF(F7="Grey",STDs!$AA$9,STDs!$AA$8)))^2)+(((AO7*Q7*IF(F7="Grey",STDs!$AB$9,STDs!$AB$8))/((Q7*IF(F7="Grey",STDs!$AA$9,STDs!$AA$8))^2))^2))</f>
        <v>0.58321391422872104</v>
      </c>
    </row>
    <row r="8" spans="1:50" ht="17">
      <c r="A8" s="107" t="str">
        <f>Samples!A8</f>
        <v>HE541_26-4-MUC</v>
      </c>
      <c r="B8" s="107">
        <f>Samples!B8</f>
        <v>52</v>
      </c>
      <c r="C8" s="108">
        <f>Samples!C8</f>
        <v>43724</v>
      </c>
      <c r="D8" s="109">
        <f>Samples!D8</f>
        <v>0.53819444444444442</v>
      </c>
      <c r="E8" s="109" t="str">
        <f>Samples!G8</f>
        <v>Surface water</v>
      </c>
      <c r="F8" s="109" t="str">
        <f>Samples!W8</f>
        <v>Grey</v>
      </c>
      <c r="G8" s="310">
        <f>Samples!I8</f>
        <v>194.9</v>
      </c>
      <c r="H8" s="108">
        <f>Samples!T8</f>
        <v>43730</v>
      </c>
      <c r="I8" s="109">
        <f>Samples!U8</f>
        <v>0.54513888888888895</v>
      </c>
      <c r="J8" s="212">
        <f>Samples!V8</f>
        <v>164</v>
      </c>
      <c r="K8" s="108">
        <f t="shared" si="1"/>
        <v>43730.65902777778</v>
      </c>
      <c r="L8" s="110">
        <f>K8-'Count 1 '!K8</f>
        <v>5.8743055555532919</v>
      </c>
      <c r="M8" s="110">
        <f>Samples!Z8</f>
        <v>9.7799999999999994</v>
      </c>
      <c r="N8" s="201">
        <f>Samples!X8</f>
        <v>0.61599999999999999</v>
      </c>
      <c r="O8" s="201">
        <f>Samples!Y8</f>
        <v>3.165</v>
      </c>
      <c r="P8" s="237">
        <f t="shared" si="2"/>
        <v>0.69000626188668768</v>
      </c>
      <c r="Q8" s="237">
        <f t="shared" si="3"/>
        <v>0.31373995316267034</v>
      </c>
      <c r="R8" s="111">
        <f t="shared" si="4"/>
        <v>0.13892005070473046</v>
      </c>
      <c r="S8" s="220">
        <f t="shared" si="5"/>
        <v>519.06000000000006</v>
      </c>
      <c r="T8" s="112">
        <f t="shared" si="6"/>
        <v>0.13892005070473046</v>
      </c>
      <c r="U8" s="112">
        <f t="shared" si="7"/>
        <v>8.7785182119892863E-2</v>
      </c>
      <c r="V8" s="112" t="s">
        <v>186</v>
      </c>
      <c r="W8" s="219">
        <f t="shared" si="8"/>
        <v>519.06000000000006</v>
      </c>
      <c r="X8" s="112">
        <f t="shared" si="9"/>
        <v>6.1287009724537947E-2</v>
      </c>
      <c r="Y8" s="112">
        <f t="shared" si="10"/>
        <v>0.19898379780694142</v>
      </c>
      <c r="Z8" s="112" t="s">
        <v>186</v>
      </c>
      <c r="AA8" s="219">
        <f t="shared" si="11"/>
        <v>101.024</v>
      </c>
      <c r="AB8" s="112">
        <f t="shared" si="12"/>
        <v>0.38284700162764224</v>
      </c>
      <c r="AC8" s="112">
        <f t="shared" si="13"/>
        <v>2.7105869836616076E-2</v>
      </c>
      <c r="AD8" s="112">
        <f t="shared" si="14"/>
        <v>5.9989999999999997</v>
      </c>
      <c r="AE8" s="112">
        <f t="shared" si="15"/>
        <v>0.20580004503543087</v>
      </c>
      <c r="AF8" s="112">
        <f t="shared" si="16"/>
        <v>2.9348621136281059E-3</v>
      </c>
      <c r="AG8" s="112">
        <f t="shared" si="17"/>
        <v>7.133381182742915E-4</v>
      </c>
      <c r="AH8" s="112">
        <f t="shared" si="18"/>
        <v>6.3818470016276425</v>
      </c>
      <c r="AI8" s="112">
        <f t="shared" si="19"/>
        <v>0.20580004503543087</v>
      </c>
      <c r="AJ8" s="112">
        <f t="shared" si="20"/>
        <v>2.7821529983723576</v>
      </c>
      <c r="AK8" s="112">
        <f t="shared" si="21"/>
        <v>0.14153977768600759</v>
      </c>
      <c r="AL8" s="112">
        <f t="shared" si="22"/>
        <v>0.61306513788637185</v>
      </c>
      <c r="AM8" s="112">
        <f t="shared" si="23"/>
        <v>6.1291160963442289E-2</v>
      </c>
      <c r="AN8" s="112">
        <f>((((IF(F8="Grey",STDs!$Y$9,STDs!$Y$8))*2)*(N8-AF8))^2*0.01)/((1+(((IF(F8="Grey",STDs!$Y$9,STDs!$Y$8))*2)*(N8-AF8))*0.01))</f>
        <v>3.4783488691290064E-4</v>
      </c>
      <c r="AO8" s="112">
        <f>AJ8-AN8-IF(F8="Grey",Blanks!$M$6,Blanks!$M$5)</f>
        <v>2.7616623063425876</v>
      </c>
      <c r="AP8" s="112">
        <f t="shared" si="24"/>
        <v>0.14153977768600759</v>
      </c>
      <c r="AQ8" s="231">
        <f>AO8/IF(F8="Grey",STDs!$AA$9,STDs!$AA$8)</f>
        <v>21.738214591198798</v>
      </c>
      <c r="AR8" s="231">
        <f>SQRT(((AP8/IF(F8="Grey",STDs!$AA$9,STDs!$AA$8))^2)+(((AO8*(IF(F8="Grey",STDs!$AB$9,STDs!$AB$8)))/(IF(F8="Grey",STDs!$AA$9,STDs!$AA$8))))^2)</f>
        <v>1.1254873566486152</v>
      </c>
      <c r="AS8" s="231">
        <f t="shared" si="25"/>
        <v>11.153522109388813</v>
      </c>
      <c r="AT8" s="231">
        <f t="shared" si="26"/>
        <v>0.6674065921198109</v>
      </c>
      <c r="AU8" s="302">
        <f>('Count 1 '!AR8-(AS8*EXP(Reference!$C$3*L8)))/(1-EXP(Reference!$C$3*L8))</f>
        <v>1.3572879403809812</v>
      </c>
      <c r="AV8" s="112">
        <f t="shared" si="27"/>
        <v>35.550212833766338</v>
      </c>
      <c r="AW8" s="275">
        <f>AS8-('Count 1 '!AY8*Q8)</f>
        <v>1.3572879403809814</v>
      </c>
      <c r="AX8" s="276">
        <f>SQRT(((AP8/(Q8*IF(F8="Grey",STDs!$AA$9,STDs!$AA$8)))^2)+(((AO8*Q8*IF(F8="Grey",STDs!$AB$9,STDs!$AB$8))/((Q8*IF(F8="Grey",STDs!$AA$9,STDs!$AA$8))^2))^2))</f>
        <v>5.3512476194717848</v>
      </c>
    </row>
    <row r="9" spans="1:50" ht="85">
      <c r="A9" s="121" t="str">
        <f>Samples!A9</f>
        <v>HE541-26-4-MUC-OverlyingWater</v>
      </c>
      <c r="B9" s="121">
        <f>Samples!B9</f>
        <v>22</v>
      </c>
      <c r="C9" s="122">
        <f>Samples!C9</f>
        <v>43724</v>
      </c>
      <c r="D9" s="123">
        <f>Samples!D9</f>
        <v>0.625</v>
      </c>
      <c r="E9" s="123" t="str">
        <f>Samples!G9</f>
        <v>Overlying water from sed core (Pre-porewater profile)</v>
      </c>
      <c r="F9" s="123" t="str">
        <f>Samples!W9</f>
        <v>Orange</v>
      </c>
      <c r="G9" s="313">
        <f>Samples!I9</f>
        <v>6.8490000000000002</v>
      </c>
      <c r="H9" s="122">
        <f>Samples!T9</f>
        <v>43730</v>
      </c>
      <c r="I9" s="123">
        <f>Samples!U9</f>
        <v>0.88888888888888884</v>
      </c>
      <c r="J9" s="215">
        <f>Samples!V9</f>
        <v>571</v>
      </c>
      <c r="K9" s="122">
        <f t="shared" si="1"/>
        <v>43731.285416666666</v>
      </c>
      <c r="L9" s="124">
        <f>K9-'Count 1 '!K9</f>
        <v>5.8125</v>
      </c>
      <c r="M9" s="124">
        <f>Samples!Z9</f>
        <v>1.081</v>
      </c>
      <c r="N9" s="204">
        <f>Samples!X9</f>
        <v>2.5999999999999999E-2</v>
      </c>
      <c r="O9" s="204">
        <f>Samples!Y9</f>
        <v>0.19900000000000001</v>
      </c>
      <c r="P9" s="240">
        <f t="shared" si="2"/>
        <v>0.66780103468101726</v>
      </c>
      <c r="Q9" s="240">
        <f t="shared" si="3"/>
        <v>0.28326299060390875</v>
      </c>
      <c r="R9" s="125">
        <f t="shared" si="4"/>
        <v>1.8668459591987048E-2</v>
      </c>
      <c r="S9" s="223">
        <f t="shared" si="5"/>
        <v>113.629</v>
      </c>
      <c r="T9" s="126">
        <f t="shared" si="6"/>
        <v>1.8668459591987048E-2</v>
      </c>
      <c r="U9" s="126">
        <f t="shared" si="7"/>
        <v>0.18762270946720649</v>
      </c>
      <c r="V9" s="126" t="s">
        <v>186</v>
      </c>
      <c r="W9" s="229">
        <f t="shared" si="8"/>
        <v>113.629</v>
      </c>
      <c r="X9" s="126">
        <f t="shared" si="9"/>
        <v>6.74789971865022E-3</v>
      </c>
      <c r="Y9" s="126">
        <f t="shared" si="10"/>
        <v>0.51906920912693999</v>
      </c>
      <c r="Z9" s="126" t="s">
        <v>186</v>
      </c>
      <c r="AA9" s="229">
        <f t="shared" si="11"/>
        <v>14.846</v>
      </c>
      <c r="AB9" s="126">
        <f t="shared" si="12"/>
        <v>7.3906237392076151E-3</v>
      </c>
      <c r="AC9" s="126">
        <f t="shared" si="13"/>
        <v>4.7257744677710881E-4</v>
      </c>
      <c r="AD9" s="126">
        <f t="shared" si="14"/>
        <v>0.85599999999999987</v>
      </c>
      <c r="AE9" s="126">
        <f t="shared" si="15"/>
        <v>2.7249897572069259E-2</v>
      </c>
      <c r="AF9" s="126">
        <f t="shared" si="16"/>
        <v>6.6978108190736136E-5</v>
      </c>
      <c r="AG9" s="126">
        <f t="shared" si="17"/>
        <v>1.9231117154730138E-6</v>
      </c>
      <c r="AH9" s="126">
        <f t="shared" si="18"/>
        <v>0.8633906237392075</v>
      </c>
      <c r="AI9" s="126">
        <f t="shared" si="19"/>
        <v>2.7249897572069262E-2</v>
      </c>
      <c r="AJ9" s="126">
        <f t="shared" si="20"/>
        <v>0.19160937626079239</v>
      </c>
      <c r="AK9" s="126">
        <f t="shared" si="21"/>
        <v>1.8674440098189173E-2</v>
      </c>
      <c r="AL9" s="126">
        <f t="shared" si="22"/>
        <v>2.5933021891809262E-2</v>
      </c>
      <c r="AM9" s="126">
        <f t="shared" si="23"/>
        <v>6.747899992687976E-3</v>
      </c>
      <c r="AN9" s="126">
        <f>((((IF(F9="Grey",STDs!$Y$9,STDs!$Y$8))*2)*(N9-AF9))^2*0.01)/((1+(((IF(F9="Grey",STDs!$Y$9,STDs!$Y$8))*2)*(N9-AF9))*0.01))</f>
        <v>5.0518155246803064E-7</v>
      </c>
      <c r="AO9" s="126">
        <f>AJ9-AN9-IF(F9="Grey",Blanks!$M$6,Blanks!$M$5)</f>
        <v>0.17918029965066848</v>
      </c>
      <c r="AP9" s="126">
        <f t="shared" si="24"/>
        <v>1.8674440098189173E-2</v>
      </c>
      <c r="AQ9" s="319">
        <f>AO9/IF(F9="Grey",STDs!$AA$9,STDs!$AA$8)</f>
        <v>1.5193592456561189</v>
      </c>
      <c r="AR9" s="319">
        <f>SQRT(((AP9/IF(F9="Grey",STDs!$AA$9,STDs!$AA$8))^2)+(((AO9*(IF(F9="Grey",STDs!$AB$9,STDs!$AB$8)))/(IF(F9="Grey",STDs!$AA$9,STDs!$AA$8))))^2)</f>
        <v>0.15852440207424001</v>
      </c>
      <c r="AS9" s="319">
        <f>(AQ9/G9)*100</f>
        <v>22.183665435189354</v>
      </c>
      <c r="AT9" s="319">
        <f t="shared" si="26"/>
        <v>2.408340546747783</v>
      </c>
      <c r="AU9" s="305">
        <f>('Count 1 '!AR9-(AS9*EXP(Reference!$C$3*L9)))/(1-EXP(Reference!$C$3*L9))</f>
        <v>7.7943630075178758</v>
      </c>
      <c r="AV9" s="126">
        <f t="shared" si="27"/>
        <v>78.314732849125122</v>
      </c>
      <c r="AW9" s="281">
        <f>AS9-('Count 1 '!AY9*Q9)</f>
        <v>7.7943630075178749</v>
      </c>
      <c r="AX9" s="282">
        <f>SQRT(((AP9/(Q9*IF(F9="Grey",STDs!$AA$9,STDs!$AA$8)))^2)+(((AO9*Q9*IF(F9="Grey",STDs!$AB$9,STDs!$AB$8))/((Q9*IF(F9="Grey",STDs!$AA$9,STDs!$AA$8))^2))^2))</f>
        <v>0.60170898453135746</v>
      </c>
    </row>
    <row r="10" spans="1:50" ht="68">
      <c r="A10" s="127" t="str">
        <f>Samples!A10</f>
        <v>HE541-19-PostFlux-OverlyingWater</v>
      </c>
      <c r="B10" s="127">
        <f>Samples!B10</f>
        <v>39</v>
      </c>
      <c r="C10" s="128">
        <f>Samples!C10</f>
        <v>43724</v>
      </c>
      <c r="D10" s="129">
        <f>Samples!D10</f>
        <v>0.55208333333333337</v>
      </c>
      <c r="E10" s="129" t="str">
        <f>Samples!G10</f>
        <v>Overlying water from sed core (post O2 flux)</v>
      </c>
      <c r="F10" s="129" t="str">
        <f>Samples!W10</f>
        <v>Grey</v>
      </c>
      <c r="G10" s="314">
        <f>Samples!I10</f>
        <v>4.4109999999999996</v>
      </c>
      <c r="H10" s="128">
        <f>Samples!T10</f>
        <v>43730</v>
      </c>
      <c r="I10" s="129">
        <f>Samples!U10</f>
        <v>0.88888888888888884</v>
      </c>
      <c r="J10" s="216">
        <f>Samples!V10</f>
        <v>571</v>
      </c>
      <c r="K10" s="128">
        <f t="shared" si="1"/>
        <v>43731.285416666666</v>
      </c>
      <c r="L10" s="130">
        <f>K10-'Count 1 '!K10</f>
        <v>5.984722222223354</v>
      </c>
      <c r="M10" s="130">
        <f>Samples!Z10</f>
        <v>1.877</v>
      </c>
      <c r="N10" s="205">
        <f>Samples!X10</f>
        <v>3.1E-2</v>
      </c>
      <c r="O10" s="205">
        <f>Samples!Y10</f>
        <v>0.32700000000000001</v>
      </c>
      <c r="P10" s="241">
        <f t="shared" si="2"/>
        <v>0.66485565246527722</v>
      </c>
      <c r="Q10" s="241">
        <f t="shared" si="3"/>
        <v>0.27937821604143598</v>
      </c>
      <c r="R10" s="131">
        <f t="shared" si="4"/>
        <v>2.3930723132246218E-2</v>
      </c>
      <c r="S10" s="224">
        <f t="shared" si="5"/>
        <v>186.71700000000001</v>
      </c>
      <c r="T10" s="132">
        <f t="shared" si="6"/>
        <v>2.3930723132246218E-2</v>
      </c>
      <c r="U10" s="132">
        <f t="shared" si="7"/>
        <v>0.14636527909630712</v>
      </c>
      <c r="V10" s="132" t="s">
        <v>186</v>
      </c>
      <c r="W10" s="230">
        <f t="shared" si="8"/>
        <v>186.71700000000001</v>
      </c>
      <c r="X10" s="132">
        <f t="shared" si="9"/>
        <v>7.3682235334257403E-3</v>
      </c>
      <c r="Y10" s="132">
        <f t="shared" si="10"/>
        <v>0.47536926022101544</v>
      </c>
      <c r="Z10" s="132" t="s">
        <v>186</v>
      </c>
      <c r="AA10" s="230">
        <f t="shared" si="11"/>
        <v>17.701000000000001</v>
      </c>
      <c r="AB10" s="132">
        <f t="shared" si="12"/>
        <v>2.3429504168316732E-2</v>
      </c>
      <c r="AC10" s="132">
        <f t="shared" si="13"/>
        <v>1.0767107400162679E-3</v>
      </c>
      <c r="AD10" s="132">
        <f t="shared" si="14"/>
        <v>1.5190000000000001</v>
      </c>
      <c r="AE10" s="132">
        <f t="shared" si="15"/>
        <v>3.4635960175848704E-2</v>
      </c>
      <c r="AF10" s="132">
        <f t="shared" si="16"/>
        <v>2.0804492960905047E-4</v>
      </c>
      <c r="AG10" s="132">
        <f t="shared" si="17"/>
        <v>7.6972376468419712E-6</v>
      </c>
      <c r="AH10" s="132">
        <f t="shared" si="18"/>
        <v>1.5424295041683169</v>
      </c>
      <c r="AI10" s="132">
        <f t="shared" si="19"/>
        <v>3.4635960175848704E-2</v>
      </c>
      <c r="AJ10" s="132">
        <f t="shared" si="20"/>
        <v>0.30357049583168327</v>
      </c>
      <c r="AK10" s="132">
        <f t="shared" si="21"/>
        <v>2.3954933012844987E-2</v>
      </c>
      <c r="AL10" s="132">
        <f t="shared" si="22"/>
        <v>3.0791955070390949E-2</v>
      </c>
      <c r="AM10" s="132">
        <f t="shared" si="23"/>
        <v>7.3682275538962758E-3</v>
      </c>
      <c r="AN10" s="132">
        <f>((((IF(F10="Grey",STDs!$Y$9,STDs!$Y$8))*2)*(N10-AF10))^2*0.01)/((1+(((IF(F10="Grey",STDs!$Y$9,STDs!$Y$8))*2)*(N10-AF10))*0.01))</f>
        <v>8.790299685974037E-7</v>
      </c>
      <c r="AO10" s="132">
        <f>AJ10-AN10-IF(F10="Grey",Blanks!$M$6,Blanks!$M$5)</f>
        <v>0.28342675965885755</v>
      </c>
      <c r="AP10" s="132">
        <f t="shared" si="24"/>
        <v>2.3954933012844987E-2</v>
      </c>
      <c r="AQ10" s="320">
        <f>AO10/IF(F10="Grey",STDs!$AA$9,STDs!$AA$8)</f>
        <v>2.2309721605723607</v>
      </c>
      <c r="AR10" s="320">
        <f>SQRT(((AP10/IF(F10="Grey",STDs!$AA$9,STDs!$AA$8))^2)+(((AO10*(IF(F10="Grey",STDs!$AB$9,STDs!$AB$8)))/(IF(F10="Grey",STDs!$AA$9,STDs!$AA$8))))^2)</f>
        <v>0.18926916104564073</v>
      </c>
      <c r="AS10" s="320">
        <f t="shared" si="25"/>
        <v>50.577469067611901</v>
      </c>
      <c r="AT10" s="320">
        <f t="shared" si="26"/>
        <v>4.5512219059901424</v>
      </c>
      <c r="AU10" s="306">
        <f>('Count 1 '!AR10-(AS10*EXP(Reference!$C$3*L10)))/(1-EXP(Reference!$C$3*L10))</f>
        <v>-7.2035669183595488</v>
      </c>
      <c r="AV10" s="132">
        <f t="shared" si="27"/>
        <v>181.03583659547209</v>
      </c>
      <c r="AW10" s="283">
        <f>AS10-('Count 1 '!AY10*Q10)</f>
        <v>-7.2035669183595488</v>
      </c>
      <c r="AX10" s="284">
        <f>SQRT(((AP10/(Q10*IF(F10="Grey",STDs!$AA$9,STDs!$AA$8)))^2)+(((AO10*Q10*IF(F10="Grey",STDs!$AB$9,STDs!$AB$8))/((Q10*IF(F10="Grey",STDs!$AA$9,STDs!$AA$8))^2))^2))</f>
        <v>0.81755222045147247</v>
      </c>
    </row>
    <row r="11" spans="1:50" ht="34">
      <c r="A11" s="113" t="str">
        <f>Samples!A11</f>
        <v>HE541-26-4-MUC-Porewater1</v>
      </c>
      <c r="B11" s="113">
        <f>Samples!B11</f>
        <v>59</v>
      </c>
      <c r="C11" s="114">
        <f>Samples!C11</f>
        <v>43725</v>
      </c>
      <c r="D11" s="115">
        <f>Samples!D11</f>
        <v>0.54166666666666663</v>
      </c>
      <c r="E11" s="115" t="str">
        <f>Samples!G11</f>
        <v>Porewater</v>
      </c>
      <c r="F11" s="115" t="str">
        <f>Samples!W11</f>
        <v>Grey</v>
      </c>
      <c r="G11" s="312">
        <f>Samples!I11</f>
        <v>0.16600000000000001</v>
      </c>
      <c r="H11" s="114">
        <f>Samples!T11</f>
        <v>43732</v>
      </c>
      <c r="I11" s="115">
        <f>Samples!U11</f>
        <v>0.31319444444444444</v>
      </c>
      <c r="J11" s="214">
        <f>Samples!V11</f>
        <v>314</v>
      </c>
      <c r="K11" s="114">
        <f t="shared" si="1"/>
        <v>43732.53125</v>
      </c>
      <c r="L11" s="116">
        <f>K11-'Count 1 '!K11</f>
        <v>6.2368055555562023</v>
      </c>
      <c r="M11" s="116">
        <f>Samples!Z11</f>
        <v>1.2070000000000001</v>
      </c>
      <c r="N11" s="203">
        <f>Samples!X11</f>
        <v>3.5000000000000003E-2</v>
      </c>
      <c r="O11" s="203">
        <f>Samples!Y11</f>
        <v>0.248</v>
      </c>
      <c r="P11" s="239">
        <f t="shared" si="2"/>
        <v>0.65460740383568572</v>
      </c>
      <c r="Q11" s="239">
        <f t="shared" si="3"/>
        <v>0.26614378423976914</v>
      </c>
      <c r="R11" s="117">
        <f t="shared" si="4"/>
        <v>2.8103539229026871E-2</v>
      </c>
      <c r="S11" s="222">
        <f t="shared" si="5"/>
        <v>77.872</v>
      </c>
      <c r="T11" s="119">
        <f t="shared" si="6"/>
        <v>2.8103539229026871E-2</v>
      </c>
      <c r="U11" s="118">
        <f t="shared" si="7"/>
        <v>0.22664144539537801</v>
      </c>
      <c r="V11" s="118" t="s">
        <v>186</v>
      </c>
      <c r="W11" s="228">
        <f t="shared" si="8"/>
        <v>77.872</v>
      </c>
      <c r="X11" s="118">
        <f t="shared" si="9"/>
        <v>1.0557697104618329E-2</v>
      </c>
      <c r="Y11" s="118">
        <f t="shared" si="10"/>
        <v>0.60329697740676169</v>
      </c>
      <c r="Z11" s="118" t="s">
        <v>186</v>
      </c>
      <c r="AA11" s="228">
        <f t="shared" si="11"/>
        <v>10.99</v>
      </c>
      <c r="AB11" s="118">
        <f t="shared" si="12"/>
        <v>8.6173846340183314E-3</v>
      </c>
      <c r="AC11" s="118">
        <f t="shared" si="13"/>
        <v>7.7061309506542793E-4</v>
      </c>
      <c r="AD11" s="118">
        <f t="shared" si="14"/>
        <v>0.92400000000000004</v>
      </c>
      <c r="AE11" s="118">
        <f t="shared" si="15"/>
        <v>4.1122777174550977E-2</v>
      </c>
      <c r="AF11" s="118">
        <f t="shared" si="16"/>
        <v>7.7933690464349054E-5</v>
      </c>
      <c r="AG11" s="118">
        <f t="shared" si="17"/>
        <v>3.3815708370185135E-6</v>
      </c>
      <c r="AH11" s="118">
        <f t="shared" si="18"/>
        <v>0.93261738463401833</v>
      </c>
      <c r="AI11" s="118">
        <f t="shared" si="19"/>
        <v>4.1122777174550977E-2</v>
      </c>
      <c r="AJ11" s="118">
        <f t="shared" si="20"/>
        <v>0.23938261536598165</v>
      </c>
      <c r="AK11" s="118">
        <f t="shared" si="21"/>
        <v>2.8114102541958164E-2</v>
      </c>
      <c r="AL11" s="118">
        <f t="shared" si="22"/>
        <v>3.4922066309535656E-2</v>
      </c>
      <c r="AM11" s="118">
        <f t="shared" si="23"/>
        <v>1.0557697646167348E-2</v>
      </c>
      <c r="AN11" s="118">
        <f>((((IF(F11="Grey",STDs!$Y$9,STDs!$Y$8))*2)*(N11-AF11))^2*0.01)/((1+(((IF(F11="Grey",STDs!$Y$9,STDs!$Y$8))*2)*(N11-AF11))*0.01))</f>
        <v>1.1306379458883607E-6</v>
      </c>
      <c r="AO11" s="118">
        <f>AJ11-AN11-IF(F11="Grey",Blanks!$M$6,Blanks!$M$5)</f>
        <v>0.21923862758517862</v>
      </c>
      <c r="AP11" s="118">
        <f t="shared" si="24"/>
        <v>2.8114102541958164E-2</v>
      </c>
      <c r="AQ11" s="119">
        <f>AO11/IF(F11="Grey",STDs!$AA$9,STDs!$AA$8)</f>
        <v>1.7257201657787766</v>
      </c>
      <c r="AR11" s="119">
        <f>SQRT(((AP11/IF(F11="Grey",STDs!$AA$9,STDs!$AA$8))^2)+(((AO11*(IF(F11="Grey",STDs!$AB$9,STDs!$AB$8)))/(IF(F11="Grey",STDs!$AA$9,STDs!$AA$8))))^2)</f>
        <v>0.22166024188096878</v>
      </c>
      <c r="AS11" s="119">
        <f t="shared" si="25"/>
        <v>1039.590461312516</v>
      </c>
      <c r="AT11" s="119">
        <f t="shared" si="26"/>
        <v>137.12405144319115</v>
      </c>
      <c r="AU11" s="304">
        <f>('Count 1 '!AR11-(AS11*EXP(Reference!$C$3*L11)))/(1-EXP(Reference!$C$3*L11))</f>
        <v>-139.36423404707088</v>
      </c>
      <c r="AV11" s="118">
        <f t="shared" si="27"/>
        <v>3906.1233922185015</v>
      </c>
      <c r="AW11" s="279">
        <f>AS11-('Count 1 '!AY11*Q11)</f>
        <v>-139.36423404707102</v>
      </c>
      <c r="AX11" s="280">
        <f>SQRT(((AP11/(Q11*IF(F11="Grey",STDs!$AA$9,STDs!$AA$8)))^2)+(((AO11*Q11*IF(F11="Grey",STDs!$AB$9,STDs!$AB$8))/((Q11*IF(F11="Grey",STDs!$AA$9,STDs!$AA$8))^2))^2))</f>
        <v>0.91199749694802024</v>
      </c>
    </row>
    <row r="12" spans="1:50" ht="34">
      <c r="A12" s="113" t="str">
        <f>Samples!A12</f>
        <v>HE541-26-4-MUC-Porewater2</v>
      </c>
      <c r="B12" s="113">
        <f>Samples!B12</f>
        <v>58</v>
      </c>
      <c r="C12" s="114">
        <f>Samples!C12</f>
        <v>43725</v>
      </c>
      <c r="D12" s="115">
        <f>Samples!D12</f>
        <v>0.70833333333333337</v>
      </c>
      <c r="E12" s="115" t="str">
        <f>Samples!G12</f>
        <v>Porewater</v>
      </c>
      <c r="F12" s="115" t="str">
        <f>Samples!W12</f>
        <v>Orange</v>
      </c>
      <c r="G12" s="312">
        <f>Samples!I12</f>
        <v>0.14099999999999999</v>
      </c>
      <c r="H12" s="114">
        <f>Samples!T12</f>
        <v>43732</v>
      </c>
      <c r="I12" s="115">
        <f>Samples!U12</f>
        <v>0.31319444444444444</v>
      </c>
      <c r="J12" s="214">
        <f>Samples!V12</f>
        <v>314</v>
      </c>
      <c r="K12" s="114">
        <f t="shared" si="1"/>
        <v>43732.53125</v>
      </c>
      <c r="L12" s="116">
        <f>K12-'Count 1 '!K12</f>
        <v>6.2291666666642413</v>
      </c>
      <c r="M12" s="116">
        <f>Samples!Z12</f>
        <v>1.194</v>
      </c>
      <c r="N12" s="203">
        <f>Samples!X12</f>
        <v>1.2999999999999999E-2</v>
      </c>
      <c r="O12" s="203">
        <f>Samples!Y12</f>
        <v>0.222</v>
      </c>
      <c r="P12" s="239">
        <f t="shared" si="2"/>
        <v>0.66125481820126863</v>
      </c>
      <c r="Q12" s="239">
        <f t="shared" si="3"/>
        <v>0.27467835206341673</v>
      </c>
      <c r="R12" s="117">
        <f t="shared" si="4"/>
        <v>2.6589591373820536E-2</v>
      </c>
      <c r="S12" s="222">
        <f t="shared" si="5"/>
        <v>69.707999999999998</v>
      </c>
      <c r="T12" s="119">
        <f t="shared" si="6"/>
        <v>2.6589591373820536E-2</v>
      </c>
      <c r="U12" s="118">
        <f t="shared" si="7"/>
        <v>0.23954586823261748</v>
      </c>
      <c r="V12" s="118" t="s">
        <v>186</v>
      </c>
      <c r="W12" s="228">
        <f t="shared" si="8"/>
        <v>69.707999999999998</v>
      </c>
      <c r="X12" s="118">
        <f t="shared" si="9"/>
        <v>6.434382168114536E-3</v>
      </c>
      <c r="Y12" s="118">
        <f t="shared" si="10"/>
        <v>0.98990494894069792</v>
      </c>
      <c r="Z12" s="118" t="s">
        <v>186</v>
      </c>
      <c r="AA12" s="228">
        <f t="shared" si="11"/>
        <v>4.0819999999999999</v>
      </c>
      <c r="AB12" s="118">
        <f t="shared" si="12"/>
        <v>9.285861410930827E-3</v>
      </c>
      <c r="AC12" s="118">
        <f t="shared" si="13"/>
        <v>7.4237680586926172E-4</v>
      </c>
      <c r="AD12" s="118">
        <f t="shared" si="14"/>
        <v>0.95899999999999996</v>
      </c>
      <c r="AE12" s="118">
        <f t="shared" si="15"/>
        <v>3.8149888764436174E-2</v>
      </c>
      <c r="AF12" s="118">
        <f t="shared" si="16"/>
        <v>8.3889405287093852E-5</v>
      </c>
      <c r="AG12" s="118">
        <f t="shared" si="17"/>
        <v>3.379267729999571E-6</v>
      </c>
      <c r="AH12" s="118">
        <f t="shared" si="18"/>
        <v>0.96828586141093076</v>
      </c>
      <c r="AI12" s="118">
        <f t="shared" si="19"/>
        <v>3.8149888764436174E-2</v>
      </c>
      <c r="AJ12" s="118">
        <f t="shared" si="20"/>
        <v>0.21271413858906918</v>
      </c>
      <c r="AK12" s="118">
        <f t="shared" si="21"/>
        <v>2.6599952871173366E-2</v>
      </c>
      <c r="AL12" s="118">
        <f t="shared" si="22"/>
        <v>1.2916110594712905E-2</v>
      </c>
      <c r="AM12" s="118">
        <f t="shared" si="23"/>
        <v>6.434383055491856E-3</v>
      </c>
      <c r="AN12" s="118">
        <f>((((IF(F12="Grey",STDs!$Y$9,STDs!$Y$8))*2)*(N12-AF12))^2*0.01)/((1+(((IF(F12="Grey",STDs!$Y$9,STDs!$Y$8))*2)*(N12-AF12))*0.01))</f>
        <v>1.2531995597139785E-7</v>
      </c>
      <c r="AO12" s="118">
        <f>AJ12-AN12-IF(F12="Grey",Blanks!$M$6,Blanks!$M$5)</f>
        <v>0.20028544184054178</v>
      </c>
      <c r="AP12" s="118">
        <f t="shared" si="24"/>
        <v>2.6599952871173366E-2</v>
      </c>
      <c r="AQ12" s="119">
        <f>AO12/IF(F12="Grey",STDs!$AA$9,STDs!$AA$8)</f>
        <v>1.6983202864602014</v>
      </c>
      <c r="AR12" s="119">
        <f>SQRT(((AP12/IF(F12="Grey",STDs!$AA$9,STDs!$AA$8))^2)+(((AO12*(IF(F12="Grey",STDs!$AB$9,STDs!$AB$8)))/(IF(F12="Grey",STDs!$AA$9,STDs!$AA$8))))^2)</f>
        <v>0.22570738216290265</v>
      </c>
      <c r="AS12" s="119">
        <f t="shared" si="25"/>
        <v>1204.4824726668096</v>
      </c>
      <c r="AT12" s="119">
        <f t="shared" si="26"/>
        <v>164.10385871206458</v>
      </c>
      <c r="AU12" s="304">
        <f>('Count 1 '!AR12-(AS12*EXP(Reference!$C$3*L12)))/(1-EXP(Reference!$C$3*L12))</f>
        <v>145.13221497368949</v>
      </c>
      <c r="AV12" s="118">
        <f t="shared" si="27"/>
        <v>4385.065163011911</v>
      </c>
      <c r="AW12" s="279">
        <f>AS12-('Count 1 '!AY12*Q12)</f>
        <v>145.13221497368954</v>
      </c>
      <c r="AX12" s="280">
        <f>SQRT(((AP12/(Q12*IF(F12="Grey",STDs!$AA$9,STDs!$AA$8)))^2)+(((AO12*Q12*IF(F12="Grey",STDs!$AB$9,STDs!$AB$8))/((Q12*IF(F12="Grey",STDs!$AA$9,STDs!$AA$8))^2))^2))</f>
        <v>0.86031384712564418</v>
      </c>
    </row>
    <row r="13" spans="1:50" ht="34">
      <c r="A13" s="113" t="str">
        <f>Samples!A13</f>
        <v>HE541-26-4-MUC-Porewater3</v>
      </c>
      <c r="B13" s="113">
        <f>Samples!B13</f>
        <v>64</v>
      </c>
      <c r="C13" s="114">
        <f>Samples!C13</f>
        <v>43725</v>
      </c>
      <c r="D13" s="115">
        <f>Samples!D13</f>
        <v>0.75</v>
      </c>
      <c r="E13" s="115" t="str">
        <f>Samples!G13</f>
        <v>Porewater</v>
      </c>
      <c r="F13" s="115" t="str">
        <f>Samples!W13</f>
        <v>Orange</v>
      </c>
      <c r="G13" s="312">
        <f>Samples!I13</f>
        <v>0.13600000000000001</v>
      </c>
      <c r="H13" s="114">
        <f>Samples!T13</f>
        <v>43732</v>
      </c>
      <c r="I13" s="115">
        <f>Samples!U13</f>
        <v>0.8930555555555556</v>
      </c>
      <c r="J13" s="214">
        <f>Samples!V13</f>
        <v>0</v>
      </c>
      <c r="K13" s="114">
        <f t="shared" si="1"/>
        <v>43732.893055555556</v>
      </c>
      <c r="L13" s="116">
        <f>K13-'Count 1 '!K13</f>
        <v>6.3340277777751908</v>
      </c>
      <c r="M13" s="116">
        <f>Samples!Z13</f>
        <v>0</v>
      </c>
      <c r="N13" s="203">
        <f>Samples!X13</f>
        <v>0</v>
      </c>
      <c r="O13" s="203">
        <f>Samples!Y13</f>
        <v>0</v>
      </c>
      <c r="P13" s="239">
        <f t="shared" si="2"/>
        <v>0.64854535745226904</v>
      </c>
      <c r="Q13" s="239">
        <f t="shared" si="3"/>
        <v>0.25851958333907499</v>
      </c>
      <c r="R13" s="117" t="e">
        <f>SQRT(S13)/J13</f>
        <v>#DIV/0!</v>
      </c>
      <c r="S13" s="222">
        <f t="shared" si="5"/>
        <v>0</v>
      </c>
      <c r="T13" s="119" t="e">
        <f t="shared" si="6"/>
        <v>#DIV/0!</v>
      </c>
      <c r="U13" s="118" t="e">
        <f t="shared" si="7"/>
        <v>#DIV/0!</v>
      </c>
      <c r="V13" s="118" t="s">
        <v>186</v>
      </c>
      <c r="W13" s="228">
        <f t="shared" si="8"/>
        <v>0</v>
      </c>
      <c r="X13" s="118" t="e">
        <f t="shared" si="9"/>
        <v>#DIV/0!</v>
      </c>
      <c r="Y13" s="118" t="e">
        <f t="shared" si="10"/>
        <v>#DIV/0!</v>
      </c>
      <c r="Z13" s="118" t="s">
        <v>186</v>
      </c>
      <c r="AA13" s="228">
        <f t="shared" si="11"/>
        <v>0</v>
      </c>
      <c r="AB13" s="118">
        <f t="shared" si="12"/>
        <v>0</v>
      </c>
      <c r="AC13" s="118" t="e">
        <f t="shared" si="13"/>
        <v>#DIV/0!</v>
      </c>
      <c r="AD13" s="118">
        <f t="shared" si="14"/>
        <v>0</v>
      </c>
      <c r="AE13" s="118" t="e">
        <f t="shared" si="15"/>
        <v>#DIV/0!</v>
      </c>
      <c r="AF13" s="118">
        <f t="shared" si="16"/>
        <v>0</v>
      </c>
      <c r="AG13" s="118" t="e">
        <f t="shared" si="17"/>
        <v>#DIV/0!</v>
      </c>
      <c r="AH13" s="118">
        <f t="shared" si="18"/>
        <v>0</v>
      </c>
      <c r="AI13" s="118" t="e">
        <f t="shared" si="19"/>
        <v>#DIV/0!</v>
      </c>
      <c r="AJ13" s="118">
        <f t="shared" si="20"/>
        <v>0</v>
      </c>
      <c r="AK13" s="118" t="e">
        <f t="shared" si="21"/>
        <v>#DIV/0!</v>
      </c>
      <c r="AL13" s="118">
        <f t="shared" si="22"/>
        <v>0</v>
      </c>
      <c r="AM13" s="118" t="e">
        <f t="shared" si="23"/>
        <v>#DIV/0!</v>
      </c>
      <c r="AN13" s="118">
        <f>((((IF(F13="Grey",STDs!$Y$9,STDs!$Y$8))*2)*(N13-AF13))^2*0.01)/((1+(((IF(F13="Grey",STDs!$Y$9,STDs!$Y$8))*2)*(N13-AF13))*0.01))</f>
        <v>0</v>
      </c>
      <c r="AO13" s="118">
        <f>AJ13-AN13-IF(F13="Grey",Blanks!$M$6,Blanks!$M$5)</f>
        <v>-1.2428571428571429E-2</v>
      </c>
      <c r="AP13" s="118" t="e">
        <f t="shared" si="24"/>
        <v>#DIV/0!</v>
      </c>
      <c r="AQ13" s="119">
        <f>AO13/IF(F13="Grey",STDs!$AA$9,STDs!$AA$8)</f>
        <v>-0.10538806412933147</v>
      </c>
      <c r="AR13" s="119" t="e">
        <f>SQRT(((AP13/IF(F13="Grey",STDs!$AA$9,STDs!$AA$8))^2)+(((AO13*(IF(F13="Grey",STDs!$AB$9,STDs!$AB$8)))/(IF(F13="Grey",STDs!$AA$9,STDs!$AA$8))))^2)</f>
        <v>#DIV/0!</v>
      </c>
      <c r="AS13" s="119">
        <f t="shared" si="25"/>
        <v>-77.491223624508422</v>
      </c>
      <c r="AT13" s="119" t="e">
        <f t="shared" si="26"/>
        <v>#DIV/0!</v>
      </c>
      <c r="AU13" s="304">
        <f>('Count 1 '!AR13-(AS13*EXP(Reference!$C$3*L13)))/(1-EXP(Reference!$C$3*L13))</f>
        <v>-1342.8154740203304</v>
      </c>
      <c r="AV13" s="118">
        <f t="shared" si="27"/>
        <v>-299.74991690618162</v>
      </c>
      <c r="AW13" s="279">
        <f>AS13-('Count 1 '!AY13*Q13)</f>
        <v>-1342.8154740203304</v>
      </c>
      <c r="AX13" s="280" t="e">
        <f>SQRT(((AP13/(Q13*IF(F13="Grey",STDs!$AA$9,STDs!$AA$8)))^2)+(((AO13*Q13*IF(F13="Grey",STDs!$AB$9,STDs!$AB$8))/((Q13*IF(F13="Grey",STDs!$AA$9,STDs!$AA$8))^2))^2))</f>
        <v>#DIV/0!</v>
      </c>
    </row>
    <row r="14" spans="1:50" ht="85">
      <c r="A14" s="121" t="str">
        <f>Samples!A14</f>
        <v>HE541-26-4-MUC-OverlyingWater-</v>
      </c>
      <c r="B14" s="121">
        <f>Samples!B14</f>
        <v>10</v>
      </c>
      <c r="C14" s="122">
        <f>Samples!C14</f>
        <v>43725</v>
      </c>
      <c r="D14" s="123">
        <f>Samples!D14</f>
        <v>0.51041666666666663</v>
      </c>
      <c r="E14" s="123" t="str">
        <f>Samples!G14</f>
        <v>Overlying water from sed core (Pre-porewater profile)</v>
      </c>
      <c r="F14" s="123" t="str">
        <f>Samples!W14</f>
        <v>Grey</v>
      </c>
      <c r="G14" s="313">
        <f>Samples!I14</f>
        <v>7.55</v>
      </c>
      <c r="H14" s="122">
        <f>Samples!T14</f>
        <v>43732</v>
      </c>
      <c r="I14" s="123">
        <f>Samples!U14</f>
        <v>0.68333333333333324</v>
      </c>
      <c r="J14" s="215">
        <f>Samples!V14</f>
        <v>863</v>
      </c>
      <c r="K14" s="122">
        <f t="shared" si="1"/>
        <v>43733.282638888893</v>
      </c>
      <c r="L14" s="124">
        <f>K14-'Count 1 '!K14</f>
        <v>7.3631944444496185</v>
      </c>
      <c r="M14" s="124">
        <f>Samples!Z14</f>
        <v>1.6910000000000001</v>
      </c>
      <c r="N14" s="204">
        <f>Samples!X14</f>
        <v>3.5000000000000003E-2</v>
      </c>
      <c r="O14" s="204">
        <f>Samples!Y14</f>
        <v>0.36599999999999999</v>
      </c>
      <c r="P14" s="240">
        <f t="shared" si="2"/>
        <v>0.62427492986998523</v>
      </c>
      <c r="Q14" s="240">
        <f t="shared" si="3"/>
        <v>0.22948026843078584</v>
      </c>
      <c r="R14" s="125">
        <f t="shared" si="4"/>
        <v>2.0593736180512211E-2</v>
      </c>
      <c r="S14" s="223">
        <f t="shared" si="5"/>
        <v>315.858</v>
      </c>
      <c r="T14" s="126">
        <f t="shared" si="6"/>
        <v>2.0593736180512211E-2</v>
      </c>
      <c r="U14" s="126">
        <f t="shared" si="7"/>
        <v>0.11253407748913777</v>
      </c>
      <c r="V14" s="126" t="s">
        <v>186</v>
      </c>
      <c r="W14" s="229">
        <f t="shared" si="8"/>
        <v>315.858</v>
      </c>
      <c r="X14" s="126">
        <f t="shared" si="9"/>
        <v>6.3683749343730438E-3</v>
      </c>
      <c r="Y14" s="126">
        <f t="shared" si="10"/>
        <v>0.36390713910703104</v>
      </c>
      <c r="Z14" s="126" t="s">
        <v>186</v>
      </c>
      <c r="AA14" s="229">
        <f t="shared" si="11"/>
        <v>30.205000000000002</v>
      </c>
      <c r="AB14" s="126">
        <f t="shared" si="12"/>
        <v>1.6858474318711385E-2</v>
      </c>
      <c r="AC14" s="126">
        <f t="shared" si="13"/>
        <v>7.8429494153872919E-4</v>
      </c>
      <c r="AD14" s="126">
        <f t="shared" si="14"/>
        <v>1.2900000000000003</v>
      </c>
      <c r="AE14" s="126">
        <f t="shared" si="15"/>
        <v>2.9812080421363185E-2</v>
      </c>
      <c r="AF14" s="126">
        <f t="shared" si="16"/>
        <v>1.5076055940667067E-4</v>
      </c>
      <c r="AG14" s="126">
        <f t="shared" si="17"/>
        <v>4.7781944361737425E-6</v>
      </c>
      <c r="AH14" s="126">
        <f t="shared" si="18"/>
        <v>1.3068584743187115</v>
      </c>
      <c r="AI14" s="126">
        <f t="shared" si="19"/>
        <v>2.9812080421363189E-2</v>
      </c>
      <c r="AJ14" s="126">
        <f t="shared" si="20"/>
        <v>0.34914152568128859</v>
      </c>
      <c r="AK14" s="126">
        <f t="shared" si="21"/>
        <v>2.0608665372310282E-2</v>
      </c>
      <c r="AL14" s="126">
        <f t="shared" si="22"/>
        <v>3.484923944059333E-2</v>
      </c>
      <c r="AM14" s="126">
        <f t="shared" si="23"/>
        <v>6.368376726913455E-3</v>
      </c>
      <c r="AN14" s="126">
        <f>((((IF(F14="Grey",STDs!$Y$9,STDs!$Y$8))*2)*(N14-AF14))^2*0.01)/((1+(((IF(F14="Grey",STDs!$Y$9,STDs!$Y$8))*2)*(N14-AF14))*0.01))</f>
        <v>1.1259274225017231E-6</v>
      </c>
      <c r="AO14" s="126">
        <f>AJ14-AN14-IF(F14="Grey",Blanks!$M$6,Blanks!$M$5)</f>
        <v>0.32899754261100894</v>
      </c>
      <c r="AP14" s="126">
        <f t="shared" si="24"/>
        <v>2.0608665372310282E-2</v>
      </c>
      <c r="AQ14" s="319">
        <f>AO14/IF(F14="Grey",STDs!$AA$9,STDs!$AA$8)</f>
        <v>2.5896791091473839</v>
      </c>
      <c r="AR14" s="319">
        <f>SQRT(((AP14/IF(F14="Grey",STDs!$AA$9,STDs!$AA$8))^2)+(((AO14*(IF(F14="Grey",STDs!$AB$9,STDs!$AB$8)))/(IF(F14="Grey",STDs!$AA$9,STDs!$AA$8))))^2)</f>
        <v>0.16332941793417916</v>
      </c>
      <c r="AS14" s="319">
        <f t="shared" si="25"/>
        <v>34.300385551620977</v>
      </c>
      <c r="AT14" s="319">
        <f t="shared" si="26"/>
        <v>2.3955682099094742</v>
      </c>
      <c r="AU14" s="305">
        <f>('Count 1 '!AR14-(AS14*EXP(Reference!$C$3*L14)))/(1-EXP(Reference!$C$3*L14))</f>
        <v>5.3999530079807965</v>
      </c>
      <c r="AV14" s="126">
        <f t="shared" si="27"/>
        <v>149.46986852582668</v>
      </c>
      <c r="AW14" s="281">
        <f>AS14-('Count 1 '!AY14*Q14)</f>
        <v>5.3999530079807982</v>
      </c>
      <c r="AX14" s="282">
        <f>SQRT(((AP14/(Q14*IF(F14="Grey",STDs!$AA$9,STDs!$AA$8)))^2)+(((AO14*Q14*IF(F14="Grey",STDs!$AB$9,STDs!$AB$8))/((Q14*IF(F14="Grey",STDs!$AA$9,STDs!$AA$8))^2))^2))</f>
        <v>0.96167719380808203</v>
      </c>
    </row>
    <row r="15" spans="1:50" ht="68">
      <c r="A15" s="127" t="str">
        <f>Samples!A15</f>
        <v>HE541-26-PostFlux</v>
      </c>
      <c r="B15" s="127">
        <f>Samples!B15</f>
        <v>45</v>
      </c>
      <c r="C15" s="128">
        <f>Samples!C15</f>
        <v>43725</v>
      </c>
      <c r="D15" s="129">
        <f>Samples!D15</f>
        <v>0.70833333333333337</v>
      </c>
      <c r="E15" s="129" t="str">
        <f>Samples!G15</f>
        <v>Overlying water from sed core (post O2 flux)</v>
      </c>
      <c r="F15" s="129" t="str">
        <f>Samples!W15</f>
        <v>Orange</v>
      </c>
      <c r="G15" s="314">
        <f>Samples!I15</f>
        <v>4.6429999999999998</v>
      </c>
      <c r="H15" s="128">
        <f>Samples!T15</f>
        <v>43732</v>
      </c>
      <c r="I15" s="129">
        <f>Samples!U15</f>
        <v>0.68333333333333324</v>
      </c>
      <c r="J15" s="216">
        <f>Samples!V15</f>
        <v>260</v>
      </c>
      <c r="K15" s="128">
        <f t="shared" si="1"/>
        <v>43732.863888888889</v>
      </c>
      <c r="L15" s="130">
        <f>K15-'Count 1 '!K15</f>
        <v>6.304861111108039</v>
      </c>
      <c r="M15" s="130">
        <f>Samples!Z15</f>
        <v>2.0590000000000002</v>
      </c>
      <c r="N15" s="205">
        <f>Samples!X15</f>
        <v>4.2000000000000003E-2</v>
      </c>
      <c r="O15" s="205">
        <f>Samples!Y15</f>
        <v>0.53700000000000003</v>
      </c>
      <c r="P15" s="241">
        <f t="shared" si="2"/>
        <v>0.64805409552943505</v>
      </c>
      <c r="Q15" s="241">
        <f t="shared" si="3"/>
        <v>0.25790831221103949</v>
      </c>
      <c r="R15" s="131">
        <f t="shared" si="4"/>
        <v>4.5446502784973621E-2</v>
      </c>
      <c r="S15" s="224">
        <f t="shared" si="5"/>
        <v>139.62</v>
      </c>
      <c r="T15" s="132">
        <f t="shared" si="6"/>
        <v>4.5446502784973621E-2</v>
      </c>
      <c r="U15" s="132">
        <f t="shared" si="7"/>
        <v>0.16926071800735057</v>
      </c>
      <c r="V15" s="132" t="s">
        <v>186</v>
      </c>
      <c r="W15" s="230">
        <f t="shared" si="8"/>
        <v>139.62</v>
      </c>
      <c r="X15" s="132">
        <f t="shared" si="9"/>
        <v>1.2709778186044851E-2</v>
      </c>
      <c r="Y15" s="132">
        <f t="shared" si="10"/>
        <v>0.60522753266880247</v>
      </c>
      <c r="Z15" s="132" t="s">
        <v>186</v>
      </c>
      <c r="AA15" s="230">
        <f t="shared" si="11"/>
        <v>10.92</v>
      </c>
      <c r="AB15" s="132">
        <f t="shared" si="12"/>
        <v>2.2233049127080802E-2</v>
      </c>
      <c r="AC15" s="132">
        <f t="shared" si="13"/>
        <v>1.9831821229320764E-3</v>
      </c>
      <c r="AD15" s="132">
        <f t="shared" si="14"/>
        <v>1.4800000000000002</v>
      </c>
      <c r="AE15" s="132">
        <f t="shared" si="15"/>
        <v>6.5515705691900253E-2</v>
      </c>
      <c r="AF15" s="132">
        <f t="shared" si="16"/>
        <v>1.9765965410347992E-4</v>
      </c>
      <c r="AG15" s="132">
        <f t="shared" si="17"/>
        <v>1.3821684317899681E-5</v>
      </c>
      <c r="AH15" s="132">
        <f t="shared" si="18"/>
        <v>1.5022330491270808</v>
      </c>
      <c r="AI15" s="132">
        <f t="shared" si="19"/>
        <v>6.5515705691900267E-2</v>
      </c>
      <c r="AJ15" s="132">
        <f t="shared" si="20"/>
        <v>0.51476695087291924</v>
      </c>
      <c r="AK15" s="132">
        <f t="shared" si="21"/>
        <v>4.5489752985890489E-2</v>
      </c>
      <c r="AL15" s="132">
        <f t="shared" si="22"/>
        <v>4.180234034589652E-2</v>
      </c>
      <c r="AM15" s="132">
        <f t="shared" si="23"/>
        <v>1.2709785701475023E-2</v>
      </c>
      <c r="AN15" s="132">
        <f>((((IF(F15="Grey",STDs!$Y$9,STDs!$Y$8))*2)*(N15-AF15))^2*0.01)/((1+(((IF(F15="Grey",STDs!$Y$9,STDs!$Y$8))*2)*(N15-AF15))*0.01))</f>
        <v>1.3125732087165005E-6</v>
      </c>
      <c r="AO15" s="132">
        <f>AJ15-AN15-IF(F15="Grey",Blanks!$M$6,Blanks!$M$5)</f>
        <v>0.5023370668711391</v>
      </c>
      <c r="AP15" s="132">
        <f t="shared" si="24"/>
        <v>4.5489752985890489E-2</v>
      </c>
      <c r="AQ15" s="320">
        <f>AO15/IF(F15="Grey",STDs!$AA$9,STDs!$AA$8)</f>
        <v>4.2595668635136912</v>
      </c>
      <c r="AR15" s="320">
        <f>SQRT(((AP15/IF(F15="Grey",STDs!$AA$9,STDs!$AA$8))^2)+(((AO15*(IF(F15="Grey",STDs!$AB$9,STDs!$AB$8)))/(IF(F15="Grey",STDs!$AA$9,STDs!$AA$8))))^2)</f>
        <v>0.38629326763172073</v>
      </c>
      <c r="AS15" s="320">
        <f t="shared" si="25"/>
        <v>91.74169423893369</v>
      </c>
      <c r="AT15" s="320">
        <f t="shared" si="26"/>
        <v>8.7633174056025709</v>
      </c>
      <c r="AU15" s="306">
        <f>('Count 1 '!AR15-(AS15*EXP(Reference!$C$3*L15)))/(1-EXP(Reference!$C$3*L15))</f>
        <v>1.9540968935243328</v>
      </c>
      <c r="AV15" s="132">
        <f t="shared" si="27"/>
        <v>355.71437559509098</v>
      </c>
      <c r="AW15" s="283">
        <f>AS15-('Count 1 '!AY15*Q15)</f>
        <v>1.9540968935243228</v>
      </c>
      <c r="AX15" s="284">
        <f>SQRT(((AP15/(Q15*IF(F15="Grey",STDs!$AA$9,STDs!$AA$8)))^2)+(((AO15*Q15*IF(F15="Grey",STDs!$AB$9,STDs!$AB$8))/((Q15*IF(F15="Grey",STDs!$AA$9,STDs!$AA$8))^2))^2))</f>
        <v>1.6451850064108489</v>
      </c>
    </row>
    <row r="16" spans="1:50" ht="17">
      <c r="A16" s="107" t="str">
        <f>Samples!A16</f>
        <v>HE541_27-SW</v>
      </c>
      <c r="B16" s="107">
        <f>Samples!B16</f>
        <v>13</v>
      </c>
      <c r="C16" s="108">
        <f>Samples!C16</f>
        <v>43727</v>
      </c>
      <c r="D16" s="109">
        <f>Samples!D16</f>
        <v>0.35416666666666669</v>
      </c>
      <c r="E16" s="109" t="str">
        <f>Samples!G16</f>
        <v>Surface water</v>
      </c>
      <c r="F16" s="109" t="str">
        <f>Samples!W16</f>
        <v>Grey</v>
      </c>
      <c r="G16" s="310">
        <f>Samples!I16</f>
        <v>179.8</v>
      </c>
      <c r="H16" s="108">
        <f>Samples!T16</f>
        <v>43733</v>
      </c>
      <c r="I16" s="109">
        <f>Samples!U16</f>
        <v>0.67569444444444438</v>
      </c>
      <c r="J16" s="212">
        <f>Samples!V16</f>
        <v>185</v>
      </c>
      <c r="K16" s="108">
        <f t="shared" si="1"/>
        <v>43733.804166666661</v>
      </c>
      <c r="L16" s="110">
        <f>K16-'Count 1 '!K16</f>
        <v>6.0499999999883585</v>
      </c>
      <c r="M16" s="110">
        <f>Samples!Z16</f>
        <v>6.7779999999999996</v>
      </c>
      <c r="N16" s="201">
        <f>Samples!X16</f>
        <v>0.216</v>
      </c>
      <c r="O16" s="201">
        <f>Samples!Y16</f>
        <v>2.23</v>
      </c>
      <c r="P16" s="237">
        <f t="shared" si="2"/>
        <v>0.67637392616497494</v>
      </c>
      <c r="Q16" s="237">
        <f t="shared" si="3"/>
        <v>0.29477884923840325</v>
      </c>
      <c r="R16" s="111">
        <f t="shared" si="4"/>
        <v>0.10979095615784597</v>
      </c>
      <c r="S16" s="220">
        <f t="shared" si="5"/>
        <v>412.55</v>
      </c>
      <c r="T16" s="112">
        <f t="shared" si="6"/>
        <v>0.10979095615784597</v>
      </c>
      <c r="U16" s="112">
        <f t="shared" si="7"/>
        <v>9.8467225253673504E-2</v>
      </c>
      <c r="V16" s="112" t="s">
        <v>186</v>
      </c>
      <c r="W16" s="219">
        <f t="shared" si="8"/>
        <v>412.55</v>
      </c>
      <c r="X16" s="112">
        <f t="shared" si="9"/>
        <v>3.4169687847089965E-2</v>
      </c>
      <c r="Y16" s="112">
        <f t="shared" si="10"/>
        <v>0.31638599858416633</v>
      </c>
      <c r="Z16" s="112" t="s">
        <v>186</v>
      </c>
      <c r="AA16" s="219">
        <f t="shared" si="11"/>
        <v>39.96</v>
      </c>
      <c r="AB16" s="112">
        <f t="shared" si="12"/>
        <v>0.19615988627336203</v>
      </c>
      <c r="AC16" s="112">
        <f t="shared" si="13"/>
        <v>1.4724015000280519E-2</v>
      </c>
      <c r="AD16" s="112">
        <f t="shared" si="14"/>
        <v>4.3319999999999999</v>
      </c>
      <c r="AE16" s="112">
        <f t="shared" si="15"/>
        <v>0.15898325596010318</v>
      </c>
      <c r="AF16" s="112">
        <f t="shared" si="16"/>
        <v>1.5913932330680774E-3</v>
      </c>
      <c r="AG16" s="112">
        <f t="shared" si="17"/>
        <v>2.8735612643454654E-4</v>
      </c>
      <c r="AH16" s="112">
        <f t="shared" si="18"/>
        <v>4.5281598862733619</v>
      </c>
      <c r="AI16" s="112">
        <f t="shared" si="19"/>
        <v>0.15898325596010318</v>
      </c>
      <c r="AJ16" s="112">
        <f t="shared" si="20"/>
        <v>2.033840113726638</v>
      </c>
      <c r="AK16" s="112">
        <f t="shared" si="21"/>
        <v>0.1107738717919643</v>
      </c>
      <c r="AL16" s="112">
        <f t="shared" si="22"/>
        <v>0.21440860676693191</v>
      </c>
      <c r="AM16" s="112">
        <f t="shared" si="23"/>
        <v>3.4170896112202954E-2</v>
      </c>
      <c r="AN16" s="112">
        <f>((((IF(F16="Grey",STDs!$Y$9,STDs!$Y$8))*2)*(N16-AF16))^2*0.01)/((1+(((IF(F16="Grey",STDs!$Y$9,STDs!$Y$8))*2)*(N16-AF16))*0.01))</f>
        <v>4.2596199732907361E-5</v>
      </c>
      <c r="AO16" s="112">
        <f>AJ16-AN16-IF(F16="Grey",Blanks!$M$6,Blanks!$M$5)</f>
        <v>2.0136546603840482</v>
      </c>
      <c r="AP16" s="112">
        <f t="shared" si="24"/>
        <v>0.1107738717919643</v>
      </c>
      <c r="AQ16" s="231">
        <f>AO16/IF(F16="Grey",STDs!$AA$9,STDs!$AA$8)</f>
        <v>15.850329353977809</v>
      </c>
      <c r="AR16" s="231">
        <f>SQRT(((AP16/IF(F16="Grey",STDs!$AA$9,STDs!$AA$8))^2)+(((AO16*(IF(F16="Grey",STDs!$AB$9,STDs!$AB$8)))/(IF(F16="Grey",STDs!$AA$9,STDs!$AA$8))))^2)</f>
        <v>0.87967553075367977</v>
      </c>
      <c r="AS16" s="231">
        <f t="shared" si="25"/>
        <v>8.8155335672846551</v>
      </c>
      <c r="AT16" s="231">
        <f t="shared" si="26"/>
        <v>0.55615647525959411</v>
      </c>
      <c r="AU16" s="302">
        <f>('Count 1 '!AR16-(AS16*EXP(Reference!$C$3*L16)))/(1-EXP(Reference!$C$3*L16))</f>
        <v>1.0887618096258571</v>
      </c>
      <c r="AV16" s="112">
        <f t="shared" si="27"/>
        <v>29.905583762405783</v>
      </c>
      <c r="AW16" s="275">
        <f>AS16-('Count 1 '!AY16*Q16)</f>
        <v>1.088761809625856</v>
      </c>
      <c r="AX16" s="276">
        <f>SQRT(((AP16/(Q16*IF(F16="Grey",STDs!$AA$9,STDs!$AA$8)))^2)+(((AO16*Q16*IF(F16="Grey",STDs!$AB$9,STDs!$AB$8))/((Q16*IF(F16="Grey",STDs!$AA$9,STDs!$AA$8))^2))^2))</f>
        <v>4.2896388107009011</v>
      </c>
    </row>
    <row r="17" spans="1:50" ht="34">
      <c r="A17" s="101" t="str">
        <f>Samples!A17</f>
        <v>HE541_27-SWB</v>
      </c>
      <c r="B17" s="101">
        <f>Samples!B17</f>
        <v>0</v>
      </c>
      <c r="C17" s="102">
        <f>Samples!C17</f>
        <v>43727</v>
      </c>
      <c r="D17" s="103">
        <f>Samples!D17</f>
        <v>0.35416666666666669</v>
      </c>
      <c r="E17" s="103" t="str">
        <f>Samples!G17</f>
        <v>Surface water (Efficiency)</v>
      </c>
      <c r="F17" s="103"/>
      <c r="G17" s="311">
        <f>Samples!I17</f>
        <v>179.8</v>
      </c>
      <c r="H17" s="102" t="str">
        <f>Samples!T17</f>
        <v>x</v>
      </c>
      <c r="I17" s="103" t="str">
        <f>Samples!U17</f>
        <v>x</v>
      </c>
      <c r="J17" s="213">
        <f>Samples!V17</f>
        <v>0</v>
      </c>
      <c r="K17" s="102" t="e">
        <f t="shared" si="1"/>
        <v>#VALUE!</v>
      </c>
      <c r="L17" s="104" t="e">
        <f>K17-'Count 1 '!K17</f>
        <v>#VALUE!</v>
      </c>
      <c r="M17" s="104">
        <f>Samples!Z17</f>
        <v>0</v>
      </c>
      <c r="N17" s="202">
        <f>Samples!X17</f>
        <v>0</v>
      </c>
      <c r="O17" s="202">
        <f>Samples!Y17</f>
        <v>0</v>
      </c>
      <c r="P17" s="238" t="e">
        <f t="shared" si="2"/>
        <v>#VALUE!</v>
      </c>
      <c r="Q17" s="238" t="e">
        <f t="shared" si="3"/>
        <v>#VALUE!</v>
      </c>
      <c r="R17" s="105" t="e">
        <f t="shared" si="4"/>
        <v>#DIV/0!</v>
      </c>
      <c r="S17" s="221">
        <f t="shared" si="5"/>
        <v>0</v>
      </c>
      <c r="T17" s="106" t="e">
        <f t="shared" si="6"/>
        <v>#DIV/0!</v>
      </c>
      <c r="U17" s="106" t="e">
        <f t="shared" si="7"/>
        <v>#DIV/0!</v>
      </c>
      <c r="V17" s="106" t="s">
        <v>186</v>
      </c>
      <c r="W17" s="227">
        <f t="shared" si="8"/>
        <v>0</v>
      </c>
      <c r="X17" s="106" t="e">
        <f t="shared" si="9"/>
        <v>#DIV/0!</v>
      </c>
      <c r="Y17" s="106" t="e">
        <f t="shared" si="10"/>
        <v>#DIV/0!</v>
      </c>
      <c r="Z17" s="106" t="s">
        <v>186</v>
      </c>
      <c r="AA17" s="227">
        <f t="shared" si="11"/>
        <v>0</v>
      </c>
      <c r="AB17" s="106">
        <f t="shared" si="12"/>
        <v>0</v>
      </c>
      <c r="AC17" s="106" t="e">
        <f t="shared" si="13"/>
        <v>#DIV/0!</v>
      </c>
      <c r="AD17" s="106">
        <f t="shared" si="14"/>
        <v>0</v>
      </c>
      <c r="AE17" s="106" t="e">
        <f t="shared" si="15"/>
        <v>#DIV/0!</v>
      </c>
      <c r="AF17" s="106">
        <f t="shared" si="16"/>
        <v>0</v>
      </c>
      <c r="AG17" s="106" t="e">
        <f t="shared" si="17"/>
        <v>#DIV/0!</v>
      </c>
      <c r="AH17" s="106">
        <f t="shared" si="18"/>
        <v>0</v>
      </c>
      <c r="AI17" s="106" t="e">
        <f t="shared" si="19"/>
        <v>#DIV/0!</v>
      </c>
      <c r="AJ17" s="106">
        <f t="shared" si="20"/>
        <v>0</v>
      </c>
      <c r="AK17" s="106" t="e">
        <f t="shared" si="21"/>
        <v>#DIV/0!</v>
      </c>
      <c r="AL17" s="106">
        <f t="shared" si="22"/>
        <v>0</v>
      </c>
      <c r="AM17" s="106" t="e">
        <f t="shared" si="23"/>
        <v>#DIV/0!</v>
      </c>
      <c r="AN17" s="106">
        <f>((((IF(F17="Grey",STDs!$Y$9,STDs!$Y$8))*2)*(N17-AF17))^2*0.01)/((1+(((IF(F17="Grey",STDs!$Y$9,STDs!$Y$8))*2)*(N17-AF17))*0.01))</f>
        <v>0</v>
      </c>
      <c r="AO17" s="106">
        <f>AJ17-AN17-IF(F17="Grey",Blanks!$M$6,Blanks!$M$5)</f>
        <v>-1.2428571428571429E-2</v>
      </c>
      <c r="AP17" s="106" t="e">
        <f t="shared" si="24"/>
        <v>#DIV/0!</v>
      </c>
      <c r="AQ17" s="318">
        <f>AO17/IF(F17="Grey",STDs!$AA$9,STDs!$AA$8)</f>
        <v>-0.10538806412933147</v>
      </c>
      <c r="AR17" s="318" t="e">
        <f>SQRT(((AP17/IF(F17="Grey",STDs!$AA$9,STDs!$AA$8))^2)+(((AO17*(IF(F17="Grey",STDs!$AB$9,STDs!$AB$8)))/(IF(F17="Grey",STDs!$AA$9,STDs!$AA$8))))^2)</f>
        <v>#DIV/0!</v>
      </c>
      <c r="AS17" s="318">
        <f t="shared" si="25"/>
        <v>-5.8614051239895139E-2</v>
      </c>
      <c r="AT17" s="318" t="e">
        <f t="shared" si="26"/>
        <v>#DIV/0!</v>
      </c>
      <c r="AU17" s="303" t="e">
        <f>('Count 1 '!AR17-(AS17*EXP(Reference!$C$3*L17)))/(1-EXP(Reference!$C$3*L17))</f>
        <v>#VALUE!</v>
      </c>
      <c r="AV17" s="106" t="e">
        <f t="shared" si="27"/>
        <v>#VALUE!</v>
      </c>
      <c r="AW17" s="277" t="e">
        <f>AS17-('Count 1 '!AY17*Q17)</f>
        <v>#VALUE!</v>
      </c>
      <c r="AX17" s="278" t="e">
        <f>SQRT(((AP17/(Q17*IF(F17="Grey",STDs!$AA$9,STDs!$AA$8)))^2)+(((AO17*Q17*IF(F17="Grey",STDs!$AB$9,STDs!$AB$8))/((Q17*IF(F17="Grey",STDs!$AA$9,STDs!$AA$8))^2))^2))</f>
        <v>#DIV/0!</v>
      </c>
    </row>
    <row r="18" spans="1:50" ht="17">
      <c r="A18" s="113" t="str">
        <f>Samples!A18</f>
        <v>HE541-33-PW1</v>
      </c>
      <c r="B18" s="113">
        <f>Samples!B18</f>
        <v>4</v>
      </c>
      <c r="C18" s="114">
        <f>Samples!C18</f>
        <v>43727</v>
      </c>
      <c r="D18" s="115">
        <f>Samples!D18</f>
        <v>0.65625</v>
      </c>
      <c r="E18" s="115" t="str">
        <f>Samples!G18</f>
        <v>Porewater</v>
      </c>
      <c r="F18" s="115" t="str">
        <f>Samples!W18</f>
        <v>Orange</v>
      </c>
      <c r="G18" s="312">
        <f>Samples!I18</f>
        <v>0.20100000000000001</v>
      </c>
      <c r="H18" s="114">
        <f>Samples!T18</f>
        <v>43733</v>
      </c>
      <c r="I18" s="115">
        <f>Samples!U18</f>
        <v>0.67638888888888893</v>
      </c>
      <c r="J18" s="214">
        <f>Samples!V18</f>
        <v>245</v>
      </c>
      <c r="K18" s="114">
        <f t="shared" si="1"/>
        <v>43733.84652777778</v>
      </c>
      <c r="L18" s="116">
        <f>K18-'Count 1 '!K18</f>
        <v>5.5520833333357587</v>
      </c>
      <c r="M18" s="116">
        <f>Samples!Z18</f>
        <v>1.169</v>
      </c>
      <c r="N18" s="203">
        <f>Samples!X18</f>
        <v>8.0000000000000002E-3</v>
      </c>
      <c r="O18" s="203">
        <f>Samples!Y18</f>
        <v>0.20399999999999999</v>
      </c>
      <c r="P18" s="239">
        <f t="shared" si="2"/>
        <v>0.68710755714880134</v>
      </c>
      <c r="Q18" s="239">
        <f t="shared" si="3"/>
        <v>0.30964075431883159</v>
      </c>
      <c r="R18" s="117">
        <f t="shared" si="4"/>
        <v>2.8855728395320222E-2</v>
      </c>
      <c r="S18" s="222">
        <f t="shared" si="5"/>
        <v>49.98</v>
      </c>
      <c r="T18" s="118">
        <f t="shared" si="6"/>
        <v>2.8855728395320222E-2</v>
      </c>
      <c r="U18" s="118">
        <f t="shared" si="7"/>
        <v>0.28289929799333552</v>
      </c>
      <c r="V18" s="118" t="s">
        <v>186</v>
      </c>
      <c r="W18" s="228">
        <f t="shared" si="8"/>
        <v>49.98</v>
      </c>
      <c r="X18" s="118">
        <f t="shared" si="9"/>
        <v>5.7142857142857143E-3</v>
      </c>
      <c r="Y18" s="118">
        <f t="shared" si="10"/>
        <v>1.4285714285714286</v>
      </c>
      <c r="Z18" s="118" t="s">
        <v>186</v>
      </c>
      <c r="AA18" s="228">
        <f t="shared" si="11"/>
        <v>1.96</v>
      </c>
      <c r="AB18" s="118">
        <f t="shared" si="12"/>
        <v>9.2469836333713661E-3</v>
      </c>
      <c r="AC18" s="118">
        <f t="shared" si="13"/>
        <v>8.001564243953574E-4</v>
      </c>
      <c r="AD18" s="118">
        <f t="shared" si="14"/>
        <v>0.95700000000000007</v>
      </c>
      <c r="AE18" s="118">
        <f t="shared" si="15"/>
        <v>4.1206300291017017E-2</v>
      </c>
      <c r="AF18" s="118">
        <f t="shared" si="16"/>
        <v>8.3543291134753834E-5</v>
      </c>
      <c r="AG18" s="118">
        <f t="shared" si="17"/>
        <v>3.6347923841074265E-6</v>
      </c>
      <c r="AH18" s="118">
        <f t="shared" si="18"/>
        <v>0.96624698363337136</v>
      </c>
      <c r="AI18" s="118">
        <f t="shared" si="19"/>
        <v>4.1206300291017017E-2</v>
      </c>
      <c r="AJ18" s="118">
        <f t="shared" si="20"/>
        <v>0.19475301636662862</v>
      </c>
      <c r="AK18" s="118">
        <f t="shared" si="21"/>
        <v>2.886682025315554E-2</v>
      </c>
      <c r="AL18" s="118">
        <f t="shared" si="22"/>
        <v>7.9164567088652465E-3</v>
      </c>
      <c r="AM18" s="118">
        <f t="shared" si="23"/>
        <v>5.7142868703107192E-3</v>
      </c>
      <c r="AN18" s="118">
        <f>((((IF(F18="Grey",STDs!$Y$9,STDs!$Y$8))*2)*(N18-AF18))^2*0.01)/((1+(((IF(F18="Grey",STDs!$Y$9,STDs!$Y$8))*2)*(N18-AF18))*0.01))</f>
        <v>4.7078688619118358E-8</v>
      </c>
      <c r="AO18" s="118">
        <f>AJ18-AN18-IF(F18="Grey",Blanks!$M$6,Blanks!$M$5)</f>
        <v>0.18232439785936858</v>
      </c>
      <c r="AP18" s="118">
        <f t="shared" si="24"/>
        <v>2.886682025315554E-2</v>
      </c>
      <c r="AQ18" s="119">
        <f>AO18/IF(F18="Grey",STDs!$AA$9,STDs!$AA$8)</f>
        <v>1.5460196245702775</v>
      </c>
      <c r="AR18" s="119">
        <f>SQRT(((AP18/IF(F18="Grey",STDs!$AA$9,STDs!$AA$8))^2)+(((AO18*(IF(F18="Grey",STDs!$AB$9,STDs!$AB$8)))/(IF(F18="Grey",STDs!$AA$9,STDs!$AA$8))))^2)</f>
        <v>0.24489310415402649</v>
      </c>
      <c r="AS18" s="119">
        <f t="shared" si="25"/>
        <v>769.16399232352114</v>
      </c>
      <c r="AT18" s="119">
        <f t="shared" si="26"/>
        <v>124.00320759409942</v>
      </c>
      <c r="AU18" s="304">
        <f>('Count 1 '!AR18-(AS18*EXP(Reference!$C$3*L18)))/(1-EXP(Reference!$C$3*L18))</f>
        <v>-145.79541832296937</v>
      </c>
      <c r="AV18" s="118">
        <f t="shared" si="27"/>
        <v>2484.0528308864882</v>
      </c>
      <c r="AW18" s="279">
        <f>AS18-('Count 1 '!AY18*Q18)</f>
        <v>-145.79541832296923</v>
      </c>
      <c r="AX18" s="280">
        <f>SQRT(((AP18/(Q18*IF(F18="Grey",STDs!$AA$9,STDs!$AA$8)))^2)+(((AO18*Q18*IF(F18="Grey",STDs!$AB$9,STDs!$AB$8))/((Q18*IF(F18="Grey",STDs!$AA$9,STDs!$AA$8))^2))^2))</f>
        <v>0.81722189583746496</v>
      </c>
    </row>
    <row r="19" spans="1:50" ht="17">
      <c r="A19" s="113" t="str">
        <f>Samples!A19</f>
        <v>HE541-33-PW2</v>
      </c>
      <c r="B19" s="113">
        <f>Samples!B19</f>
        <v>36</v>
      </c>
      <c r="C19" s="114">
        <f>Samples!C19</f>
        <v>43727</v>
      </c>
      <c r="D19" s="115">
        <f>Samples!D19</f>
        <v>0.66666666666666663</v>
      </c>
      <c r="E19" s="115" t="str">
        <f>Samples!G19</f>
        <v>Porewater</v>
      </c>
      <c r="F19" s="115" t="str">
        <f>Samples!W19</f>
        <v>Orange</v>
      </c>
      <c r="G19" s="312">
        <f>Samples!I19</f>
        <v>0.151</v>
      </c>
      <c r="H19" s="114">
        <f>Samples!T19</f>
        <v>43734</v>
      </c>
      <c r="I19" s="115">
        <f>Samples!U19</f>
        <v>0.31319444444444444</v>
      </c>
      <c r="J19" s="214">
        <f>Samples!V19</f>
        <v>321</v>
      </c>
      <c r="K19" s="114">
        <f t="shared" si="1"/>
        <v>43734.536111111112</v>
      </c>
      <c r="L19" s="116">
        <f>K19-'Count 1 '!K19</f>
        <v>6.2416666666686069</v>
      </c>
      <c r="M19" s="116">
        <f>Samples!Z19</f>
        <v>0.83699999999999997</v>
      </c>
      <c r="N19" s="203">
        <f>Samples!X19</f>
        <v>1.6E-2</v>
      </c>
      <c r="O19" s="203">
        <f>Samples!Y19</f>
        <v>0.115</v>
      </c>
      <c r="P19" s="239">
        <f t="shared" si="2"/>
        <v>0.65939231900303708</v>
      </c>
      <c r="Q19" s="239">
        <f t="shared" si="3"/>
        <v>0.2722686180852204</v>
      </c>
      <c r="R19" s="117">
        <f t="shared" si="4"/>
        <v>1.8927637245926804E-2</v>
      </c>
      <c r="S19" s="222">
        <f t="shared" si="5"/>
        <v>36.914999999999999</v>
      </c>
      <c r="T19" s="120">
        <f t="shared" si="6"/>
        <v>1.8927637245926804E-2</v>
      </c>
      <c r="U19" s="120">
        <f t="shared" si="7"/>
        <v>0.32917629992916181</v>
      </c>
      <c r="V19" s="118" t="s">
        <v>186</v>
      </c>
      <c r="W19" s="228">
        <f t="shared" si="8"/>
        <v>36.914999999999999</v>
      </c>
      <c r="X19" s="118">
        <f t="shared" si="9"/>
        <v>7.060045096182078E-3</v>
      </c>
      <c r="Y19" s="118">
        <f t="shared" si="10"/>
        <v>0.88250563702275975</v>
      </c>
      <c r="Z19" s="118" t="s">
        <v>186</v>
      </c>
      <c r="AA19" s="228">
        <f t="shared" si="11"/>
        <v>5.1360000000000001</v>
      </c>
      <c r="AB19" s="118">
        <f t="shared" si="12"/>
        <v>5.0197997864926368E-3</v>
      </c>
      <c r="AC19" s="118">
        <f t="shared" si="13"/>
        <v>3.9506444846096659E-4</v>
      </c>
      <c r="AD19" s="118">
        <f t="shared" si="14"/>
        <v>0.70599999999999996</v>
      </c>
      <c r="AE19" s="118">
        <f t="shared" si="15"/>
        <v>2.7683120130991661E-2</v>
      </c>
      <c r="AF19" s="118">
        <f t="shared" si="16"/>
        <v>4.5700690702473921E-5</v>
      </c>
      <c r="AG19" s="118">
        <f t="shared" si="17"/>
        <v>1.3289741961839699E-6</v>
      </c>
      <c r="AH19" s="118">
        <f t="shared" si="18"/>
        <v>0.71101979978649255</v>
      </c>
      <c r="AI19" s="118">
        <f t="shared" si="19"/>
        <v>2.7683120130991661E-2</v>
      </c>
      <c r="AJ19" s="118">
        <f t="shared" si="20"/>
        <v>0.10998020021350736</v>
      </c>
      <c r="AK19" s="118">
        <f t="shared" si="21"/>
        <v>1.8931759760567251E-2</v>
      </c>
      <c r="AL19" s="118">
        <f t="shared" si="22"/>
        <v>1.5954299309297527E-2</v>
      </c>
      <c r="AM19" s="118">
        <f t="shared" si="23"/>
        <v>7.0600452212643099E-3</v>
      </c>
      <c r="AN19" s="118">
        <f>((((IF(F19="Grey",STDs!$Y$9,STDs!$Y$8))*2)*(N19-AF19))^2*0.01)/((1+(((IF(F19="Grey",STDs!$Y$9,STDs!$Y$8))*2)*(N19-AF19))*0.01))</f>
        <v>1.9120910907090695E-7</v>
      </c>
      <c r="AO19" s="118">
        <f>AJ19-AN19-IF(F19="Grey",Blanks!$M$6,Blanks!$M$5)</f>
        <v>9.7551437575826863E-2</v>
      </c>
      <c r="AP19" s="118">
        <f t="shared" si="24"/>
        <v>1.8931759760567251E-2</v>
      </c>
      <c r="AQ19" s="119">
        <f>AO19/IF(F19="Grey",STDs!$AA$9,STDs!$AA$8)</f>
        <v>0.82718735763273576</v>
      </c>
      <c r="AR19" s="119">
        <f>SQRT(((AP19/IF(F19="Grey",STDs!$AA$9,STDs!$AA$8))^2)+(((AO19*(IF(F19="Grey",STDs!$AB$9,STDs!$AB$8)))/(IF(F19="Grey",STDs!$AA$9,STDs!$AA$8))))^2)</f>
        <v>0.16058288506430624</v>
      </c>
      <c r="AS19" s="119">
        <f t="shared" si="25"/>
        <v>547.80619710777205</v>
      </c>
      <c r="AT19" s="119">
        <f t="shared" si="26"/>
        <v>107.60861515422559</v>
      </c>
      <c r="AU19" s="304">
        <f>('Count 1 '!AR19-(AS19*EXP(Reference!$C$3*L19)))/(1-EXP(Reference!$C$3*L19))</f>
        <v>-111.79389403757304</v>
      </c>
      <c r="AV19" s="118">
        <f t="shared" si="27"/>
        <v>2012.0063816400173</v>
      </c>
      <c r="AW19" s="279">
        <f>AS19-('Count 1 '!AY19*Q19)</f>
        <v>-111.79389403757307</v>
      </c>
      <c r="AX19" s="280">
        <f>SQRT(((AP19/(Q19*IF(F19="Grey",STDs!$AA$9,STDs!$AA$8)))^2)+(((AO19*Q19*IF(F19="Grey",STDs!$AB$9,STDs!$AB$8))/((Q19*IF(F19="Grey",STDs!$AA$9,STDs!$AA$8))^2))^2))</f>
        <v>0.60293847174631421</v>
      </c>
    </row>
    <row r="20" spans="1:50" ht="17">
      <c r="A20" s="113" t="str">
        <f>Samples!A20</f>
        <v>HE541-33-PW3</v>
      </c>
      <c r="B20" s="113">
        <f>Samples!B20</f>
        <v>42</v>
      </c>
      <c r="C20" s="114">
        <f>Samples!C20</f>
        <v>43727</v>
      </c>
      <c r="D20" s="115">
        <f>Samples!D20</f>
        <v>0.79166666666666663</v>
      </c>
      <c r="E20" s="115" t="str">
        <f>Samples!G20</f>
        <v>Porewater</v>
      </c>
      <c r="F20" s="115" t="str">
        <f>Samples!W20</f>
        <v>Grey</v>
      </c>
      <c r="G20" s="312">
        <f>Samples!I20</f>
        <v>0.112</v>
      </c>
      <c r="H20" s="114">
        <f>Samples!T20</f>
        <v>43734</v>
      </c>
      <c r="I20" s="115">
        <f>Samples!U20</f>
        <v>0.7729166666666667</v>
      </c>
      <c r="J20" s="214">
        <f>Samples!V20</f>
        <v>746</v>
      </c>
      <c r="K20" s="114">
        <f t="shared" si="1"/>
        <v>43735.290972222225</v>
      </c>
      <c r="L20" s="116">
        <f>K20-'Count 1 '!K20</f>
        <v>6.5881944444481633</v>
      </c>
      <c r="M20" s="116">
        <f>Samples!Z20</f>
        <v>1.075</v>
      </c>
      <c r="N20" s="203">
        <f>Samples!X20</f>
        <v>7.0000000000000001E-3</v>
      </c>
      <c r="O20" s="203">
        <f>Samples!Y20</f>
        <v>0.112</v>
      </c>
      <c r="P20" s="239">
        <f t="shared" si="2"/>
        <v>0.63468924709143926</v>
      </c>
      <c r="Q20" s="239">
        <f t="shared" si="3"/>
        <v>0.24165310062289197</v>
      </c>
      <c r="R20" s="117">
        <f t="shared" si="4"/>
        <v>1.2252919989021909E-2</v>
      </c>
      <c r="S20" s="222">
        <f t="shared" si="5"/>
        <v>83.552000000000007</v>
      </c>
      <c r="T20" s="118">
        <f t="shared" si="6"/>
        <v>1.2252919989021909E-2</v>
      </c>
      <c r="U20" s="118">
        <f t="shared" si="7"/>
        <v>0.21880214266110551</v>
      </c>
      <c r="V20" s="118" t="s">
        <v>186</v>
      </c>
      <c r="W20" s="228">
        <f t="shared" si="8"/>
        <v>83.552000000000007</v>
      </c>
      <c r="X20" s="118">
        <f t="shared" si="9"/>
        <v>3.0632299972554772E-3</v>
      </c>
      <c r="Y20" s="118">
        <f t="shared" si="10"/>
        <v>0.87520857064442203</v>
      </c>
      <c r="Z20" s="118" t="s">
        <v>186</v>
      </c>
      <c r="AA20" s="228">
        <f t="shared" si="11"/>
        <v>5.2220000000000004</v>
      </c>
      <c r="AB20" s="118">
        <f t="shared" si="12"/>
        <v>9.2275756229554529E-3</v>
      </c>
      <c r="AC20" s="118">
        <f t="shared" si="13"/>
        <v>3.4134002520354583E-4</v>
      </c>
      <c r="AD20" s="118">
        <f t="shared" si="14"/>
        <v>0.95599999999999996</v>
      </c>
      <c r="AE20" s="118">
        <f t="shared" si="15"/>
        <v>1.7596916619988603E-2</v>
      </c>
      <c r="AF20" s="118">
        <f t="shared" si="16"/>
        <v>8.3370496949692358E-5</v>
      </c>
      <c r="AG20" s="118">
        <f t="shared" si="17"/>
        <v>1.5489752248908104E-6</v>
      </c>
      <c r="AH20" s="118">
        <f t="shared" si="18"/>
        <v>0.96522757562295536</v>
      </c>
      <c r="AI20" s="118">
        <f t="shared" si="19"/>
        <v>1.7596916619988603E-2</v>
      </c>
      <c r="AJ20" s="118">
        <f t="shared" si="20"/>
        <v>0.10277242437704455</v>
      </c>
      <c r="AK20" s="118">
        <f t="shared" si="21"/>
        <v>1.225767356679801E-2</v>
      </c>
      <c r="AL20" s="118">
        <f t="shared" si="22"/>
        <v>6.9166295030503077E-3</v>
      </c>
      <c r="AM20" s="118">
        <f t="shared" si="23"/>
        <v>3.0632303888885079E-3</v>
      </c>
      <c r="AN20" s="118">
        <f>((((IF(F20="Grey",STDs!$Y$9,STDs!$Y$8))*2)*(N20-AF20))^2*0.01)/((1+(((IF(F20="Grey",STDs!$Y$9,STDs!$Y$8))*2)*(N20-AF20))*0.01))</f>
        <v>4.4355731911581107E-8</v>
      </c>
      <c r="AO20" s="118">
        <f>AJ20-AN20-IF(F20="Grey",Blanks!$M$6,Blanks!$M$5)</f>
        <v>8.26295228784555E-2</v>
      </c>
      <c r="AP20" s="118">
        <f t="shared" si="24"/>
        <v>1.225767356679801E-2</v>
      </c>
      <c r="AQ20" s="119">
        <f>AO20/IF(F20="Grey",STDs!$AA$9,STDs!$AA$8)</f>
        <v>0.6504119985180451</v>
      </c>
      <c r="AR20" s="119">
        <f>SQRT(((AP20/IF(F20="Grey",STDs!$AA$9,STDs!$AA$8))^2)+(((AO20*(IF(F20="Grey",STDs!$AB$9,STDs!$AB$8)))/(IF(F20="Grey",STDs!$AA$9,STDs!$AA$8))))^2)</f>
        <v>9.6603381661188245E-2</v>
      </c>
      <c r="AS20" s="119">
        <f t="shared" si="25"/>
        <v>580.72499867682598</v>
      </c>
      <c r="AT20" s="119">
        <f t="shared" si="26"/>
        <v>87.994890289184355</v>
      </c>
      <c r="AU20" s="304">
        <f>('Count 1 '!AR20-(AS20*EXP(Reference!$C$3*L20)))/(1-EXP(Reference!$C$3*L20))</f>
        <v>59.168781278475805</v>
      </c>
      <c r="AV20" s="118">
        <f t="shared" si="27"/>
        <v>2403.1348953517772</v>
      </c>
      <c r="AW20" s="279">
        <f>AS20-('Count 1 '!AY20*Q20)</f>
        <v>59.168781278475649</v>
      </c>
      <c r="AX20" s="280">
        <f>SQRT(((AP20/(Q20*IF(F20="Grey",STDs!$AA$9,STDs!$AA$8)))^2)+(((AO20*Q20*IF(F20="Grey",STDs!$AB$9,STDs!$AB$8))/((Q20*IF(F20="Grey",STDs!$AA$9,STDs!$AA$8))^2))^2))</f>
        <v>0.4284863634981404</v>
      </c>
    </row>
    <row r="21" spans="1:50" ht="85">
      <c r="A21" s="121" t="str">
        <f>Samples!A21</f>
        <v>HE541-33-OverlyingWater</v>
      </c>
      <c r="B21" s="121">
        <f>Samples!B21</f>
        <v>12</v>
      </c>
      <c r="C21" s="122">
        <f>Samples!C21</f>
        <v>43727</v>
      </c>
      <c r="D21" s="123">
        <f>Samples!D21</f>
        <v>0.75</v>
      </c>
      <c r="E21" s="123" t="str">
        <f>Samples!G21</f>
        <v>Overlying water from sed core (Pre-porewater profile)</v>
      </c>
      <c r="F21" s="123" t="str">
        <f>Samples!W21</f>
        <v>Grey</v>
      </c>
      <c r="G21" s="313">
        <f>Samples!I21</f>
        <v>8.3350000000000009</v>
      </c>
      <c r="H21" s="122">
        <f>Samples!T21</f>
        <v>43734</v>
      </c>
      <c r="I21" s="123">
        <f>Samples!U21</f>
        <v>0.31319444444444444</v>
      </c>
      <c r="J21" s="215">
        <f>Samples!V21</f>
        <v>321</v>
      </c>
      <c r="K21" s="122">
        <f t="shared" si="1"/>
        <v>43734.536111111112</v>
      </c>
      <c r="L21" s="124">
        <f>K21-'Count 1 '!K21</f>
        <v>5.2604166666642413</v>
      </c>
      <c r="M21" s="124">
        <f>Samples!Z21</f>
        <v>1.2010000000000001</v>
      </c>
      <c r="N21" s="204">
        <f>Samples!X21</f>
        <v>1.9E-2</v>
      </c>
      <c r="O21" s="204">
        <f>Samples!Y21</f>
        <v>0.156</v>
      </c>
      <c r="P21" s="240">
        <f t="shared" si="2"/>
        <v>0.66273186444180454</v>
      </c>
      <c r="Q21" s="240">
        <f t="shared" si="3"/>
        <v>0.27659965863774666</v>
      </c>
      <c r="R21" s="125">
        <f t="shared" si="4"/>
        <v>2.2044983747129751E-2</v>
      </c>
      <c r="S21" s="223">
        <f t="shared" si="5"/>
        <v>50.076000000000001</v>
      </c>
      <c r="T21" s="126">
        <f t="shared" si="6"/>
        <v>2.2044983747129751E-2</v>
      </c>
      <c r="U21" s="126">
        <f t="shared" si="7"/>
        <v>0.28262799675807376</v>
      </c>
      <c r="V21" s="126" t="s">
        <v>186</v>
      </c>
      <c r="W21" s="229">
        <f t="shared" si="8"/>
        <v>50.076000000000001</v>
      </c>
      <c r="X21" s="126">
        <f t="shared" si="9"/>
        <v>7.6935057777743933E-3</v>
      </c>
      <c r="Y21" s="126">
        <f t="shared" si="10"/>
        <v>0.80984271344993619</v>
      </c>
      <c r="Z21" s="126" t="s">
        <v>186</v>
      </c>
      <c r="AA21" s="229">
        <f t="shared" si="11"/>
        <v>6.0990000000000002</v>
      </c>
      <c r="AB21" s="126">
        <f t="shared" si="12"/>
        <v>1.063588417160063E-2</v>
      </c>
      <c r="AC21" s="126">
        <f t="shared" si="13"/>
        <v>6.6921077848675157E-4</v>
      </c>
      <c r="AD21" s="126">
        <f t="shared" si="14"/>
        <v>1.0260000000000002</v>
      </c>
      <c r="AE21" s="126">
        <f t="shared" si="15"/>
        <v>3.211156564191596E-2</v>
      </c>
      <c r="AF21" s="126">
        <f t="shared" si="16"/>
        <v>9.5888733421264477E-5</v>
      </c>
      <c r="AG21" s="126">
        <f t="shared" si="17"/>
        <v>3.2557294911314929E-6</v>
      </c>
      <c r="AH21" s="126">
        <f t="shared" si="18"/>
        <v>1.0366358841716008</v>
      </c>
      <c r="AI21" s="126">
        <f t="shared" si="19"/>
        <v>3.211156564191596E-2</v>
      </c>
      <c r="AJ21" s="126">
        <f t="shared" si="20"/>
        <v>0.14536411582839937</v>
      </c>
      <c r="AK21" s="126">
        <f t="shared" si="21"/>
        <v>2.2055138890454934E-2</v>
      </c>
      <c r="AL21" s="126">
        <f t="shared" si="22"/>
        <v>1.8904111266578736E-2</v>
      </c>
      <c r="AM21" s="126">
        <f t="shared" si="23"/>
        <v>7.693506466652413E-3</v>
      </c>
      <c r="AN21" s="126">
        <f>((((IF(F21="Grey",STDs!$Y$9,STDs!$Y$8))*2)*(N21-AF21))^2*0.01)/((1+(((IF(F21="Grey",STDs!$Y$9,STDs!$Y$8))*2)*(N21-AF21))*0.01))</f>
        <v>3.3132743777979876E-7</v>
      </c>
      <c r="AO21" s="126">
        <f>AJ21-AN21-IF(F21="Grey",Blanks!$M$6,Blanks!$M$5)</f>
        <v>0.12522092735810442</v>
      </c>
      <c r="AP21" s="126">
        <f t="shared" si="24"/>
        <v>2.2055138890454934E-2</v>
      </c>
      <c r="AQ21" s="319">
        <f>AO21/IF(F21="Grey",STDs!$AA$9,STDs!$AA$8)</f>
        <v>0.98566699627529064</v>
      </c>
      <c r="AR21" s="319">
        <f>SQRT(((AP21/IF(F21="Grey",STDs!$AA$9,STDs!$AA$8))^2)+(((AO21*(IF(F21="Grey",STDs!$AB$9,STDs!$AB$8)))/(IF(F21="Grey",STDs!$AA$9,STDs!$AA$8))))^2)</f>
        <v>0.17375603453812841</v>
      </c>
      <c r="AS21" s="319">
        <f t="shared" si="25"/>
        <v>11.825638827537979</v>
      </c>
      <c r="AT21" s="319">
        <f t="shared" si="26"/>
        <v>2.1146275427644396</v>
      </c>
      <c r="AU21" s="305">
        <f>('Count 1 '!AR21-(AS21*EXP(Reference!$C$3*L21)))/(1-EXP(Reference!$C$3*L21))</f>
        <v>-2.4848000704473536</v>
      </c>
      <c r="AV21" s="126">
        <f t="shared" si="27"/>
        <v>42.753627700696562</v>
      </c>
      <c r="AW21" s="281">
        <f>AS21-('Count 1 '!AY21*Q21)</f>
        <v>-2.4848000704473527</v>
      </c>
      <c r="AX21" s="282">
        <f>SQRT(((AP21/(Q21*IF(F21="Grey",STDs!$AA$9,STDs!$AA$8)))^2)+(((AO21*Q21*IF(F21="Grey",STDs!$AB$9,STDs!$AB$8))/((Q21*IF(F21="Grey",STDs!$AA$9,STDs!$AA$8))^2))^2))</f>
        <v>0.66054786017946054</v>
      </c>
    </row>
    <row r="22" spans="1:50" ht="68">
      <c r="A22" s="127" t="str">
        <f>Samples!A22</f>
        <v>HE541-33-PostFlux</v>
      </c>
      <c r="B22" s="127">
        <f>Samples!B22</f>
        <v>51</v>
      </c>
      <c r="C22" s="128">
        <f>Samples!C22</f>
        <v>43728</v>
      </c>
      <c r="D22" s="129">
        <f>Samples!D22</f>
        <v>0.79166666666666663</v>
      </c>
      <c r="E22" s="129" t="str">
        <f>Samples!G22</f>
        <v>Overlying water from sed core (post O2 flux)</v>
      </c>
      <c r="F22" s="129" t="str">
        <f>Samples!W22</f>
        <v>Grey</v>
      </c>
      <c r="G22" s="314">
        <f>Samples!I22</f>
        <v>3.15</v>
      </c>
      <c r="H22" s="128">
        <f>Samples!T22</f>
        <v>43735</v>
      </c>
      <c r="I22" s="129">
        <f>Samples!U22</f>
        <v>0.31111111111111112</v>
      </c>
      <c r="J22" s="216">
        <f>Samples!V22</f>
        <v>663</v>
      </c>
      <c r="K22" s="128">
        <f t="shared" si="1"/>
        <v>43735.771527777782</v>
      </c>
      <c r="L22" s="130">
        <f>K22-'Count 1 '!K22</f>
        <v>6.4965277777882875</v>
      </c>
      <c r="M22" s="130">
        <f>Samples!Z22</f>
        <v>1.0169999999999999</v>
      </c>
      <c r="N22" s="205">
        <f>Samples!X22</f>
        <v>1.2E-2</v>
      </c>
      <c r="O22" s="205">
        <f>Samples!Y22</f>
        <v>0.16300000000000001</v>
      </c>
      <c r="P22" s="241">
        <f t="shared" si="2"/>
        <v>0.65499332777333374</v>
      </c>
      <c r="Q22" s="241">
        <f t="shared" si="3"/>
        <v>0.2666342696887018</v>
      </c>
      <c r="R22" s="131">
        <f t="shared" si="4"/>
        <v>1.567967432788888E-2</v>
      </c>
      <c r="S22" s="224">
        <f t="shared" si="5"/>
        <v>108.069</v>
      </c>
      <c r="T22" s="132">
        <f t="shared" si="6"/>
        <v>1.567967432788888E-2</v>
      </c>
      <c r="U22" s="132">
        <f t="shared" si="7"/>
        <v>0.19238864205998624</v>
      </c>
      <c r="V22" s="132" t="s">
        <v>186</v>
      </c>
      <c r="W22" s="230">
        <f t="shared" si="8"/>
        <v>108.069</v>
      </c>
      <c r="X22" s="132">
        <f t="shared" si="9"/>
        <v>4.2543562981151705E-3</v>
      </c>
      <c r="Y22" s="132">
        <f t="shared" si="10"/>
        <v>0.70905938301919502</v>
      </c>
      <c r="Z22" s="132" t="s">
        <v>186</v>
      </c>
      <c r="AA22" s="230">
        <f t="shared" si="11"/>
        <v>7.9560000000000004</v>
      </c>
      <c r="AB22" s="132">
        <f t="shared" si="12"/>
        <v>7.1498416668347468E-3</v>
      </c>
      <c r="AC22" s="132">
        <f t="shared" si="13"/>
        <v>3.8508439222356239E-4</v>
      </c>
      <c r="AD22" s="132">
        <f t="shared" si="14"/>
        <v>0.84199999999999986</v>
      </c>
      <c r="AE22" s="132">
        <f t="shared" si="15"/>
        <v>2.2578837914485932E-2</v>
      </c>
      <c r="AF22" s="132">
        <f t="shared" si="16"/>
        <v>6.4823688158976769E-5</v>
      </c>
      <c r="AG22" s="132">
        <f t="shared" si="17"/>
        <v>1.5417639224595507E-6</v>
      </c>
      <c r="AH22" s="132">
        <f t="shared" si="18"/>
        <v>0.8491498416668346</v>
      </c>
      <c r="AI22" s="132">
        <f t="shared" si="19"/>
        <v>2.2578837914485932E-2</v>
      </c>
      <c r="AJ22" s="132">
        <f t="shared" si="20"/>
        <v>0.15585015833316526</v>
      </c>
      <c r="AK22" s="132">
        <f t="shared" si="21"/>
        <v>1.5684402348122538E-2</v>
      </c>
      <c r="AL22" s="132">
        <f t="shared" si="22"/>
        <v>1.1935176311841024E-2</v>
      </c>
      <c r="AM22" s="132">
        <f t="shared" si="23"/>
        <v>4.2543565774801027E-3</v>
      </c>
      <c r="AN22" s="132">
        <f>((((IF(F22="Grey",STDs!$Y$9,STDs!$Y$8))*2)*(N22-AF22))^2*0.01)/((1+(((IF(F22="Grey",STDs!$Y$9,STDs!$Y$8))*2)*(N22-AF22))*0.01))</f>
        <v>1.3207230753025498E-7</v>
      </c>
      <c r="AO22" s="132">
        <f>AJ22-AN22-IF(F22="Grey",Blanks!$M$6,Blanks!$M$5)</f>
        <v>0.13570716911800057</v>
      </c>
      <c r="AP22" s="132">
        <f t="shared" si="24"/>
        <v>1.5684402348122538E-2</v>
      </c>
      <c r="AQ22" s="320">
        <f>AO22/IF(F22="Grey",STDs!$AA$9,STDs!$AA$8)</f>
        <v>1.0682086499410142</v>
      </c>
      <c r="AR22" s="320">
        <f>SQRT(((AP22/IF(F22="Grey",STDs!$AA$9,STDs!$AA$8))^2)+(((AO22*(IF(F22="Grey",STDs!$AB$9,STDs!$AB$8)))/(IF(F22="Grey",STDs!$AA$9,STDs!$AA$8))))^2)</f>
        <v>0.12370730607332439</v>
      </c>
      <c r="AS22" s="320">
        <f t="shared" si="25"/>
        <v>33.91138571241315</v>
      </c>
      <c r="AT22" s="320">
        <f t="shared" si="26"/>
        <v>4.0568472858213154</v>
      </c>
      <c r="AU22" s="306">
        <f>('Count 1 '!AR22-(AS22*EXP(Reference!$C$3*L22)))/(1-EXP(Reference!$C$3*L22))</f>
        <v>3.2646936666066826</v>
      </c>
      <c r="AV22" s="132">
        <f t="shared" si="27"/>
        <v>127.18314773267906</v>
      </c>
      <c r="AW22" s="283">
        <f>AS22-('Count 1 '!AY22*Q22)</f>
        <v>3.2646936666066857</v>
      </c>
      <c r="AX22" s="284">
        <f>SQRT(((AP22/(Q22*IF(F22="Grey",STDs!$AA$9,STDs!$AA$8)))^2)+(((AO22*Q22*IF(F22="Grey",STDs!$AB$9,STDs!$AB$8))/((Q22*IF(F22="Grey",STDs!$AA$9,STDs!$AA$8))^2))^2))</f>
        <v>0.51765913365802829</v>
      </c>
    </row>
    <row r="23" spans="1:50" ht="17">
      <c r="A23" s="107" t="str">
        <f>Samples!A23</f>
        <v>HE541-47-SW</v>
      </c>
      <c r="B23" s="107">
        <f>Samples!B23</f>
        <v>1</v>
      </c>
      <c r="C23" s="108">
        <f>Samples!C23</f>
        <v>43729</v>
      </c>
      <c r="D23" s="109">
        <f>Samples!D23</f>
        <v>0.70833333333333337</v>
      </c>
      <c r="E23" s="109" t="str">
        <f>Samples!G23</f>
        <v>Surface water</v>
      </c>
      <c r="F23" s="109" t="str">
        <f>Samples!W23</f>
        <v>Orange</v>
      </c>
      <c r="G23" s="310">
        <f>Samples!I23</f>
        <v>174</v>
      </c>
      <c r="H23" s="108">
        <f>Samples!T23</f>
        <v>43735</v>
      </c>
      <c r="I23" s="109">
        <f>Samples!U23</f>
        <v>0.47152777777777777</v>
      </c>
      <c r="J23" s="212">
        <f>Samples!V23</f>
        <v>146</v>
      </c>
      <c r="K23" s="108">
        <f t="shared" si="1"/>
        <v>43735.572916666672</v>
      </c>
      <c r="L23" s="110">
        <f>K23-'Count 1 '!K23</f>
        <v>5.1618055555591127</v>
      </c>
      <c r="M23" s="110">
        <f>Samples!Z23</f>
        <v>7.9619999999999997</v>
      </c>
      <c r="N23" s="201">
        <f>Samples!X23</f>
        <v>0.39700000000000002</v>
      </c>
      <c r="O23" s="201">
        <f>Samples!Y23</f>
        <v>2.7450000000000001</v>
      </c>
      <c r="P23" s="237">
        <f t="shared" si="2"/>
        <v>0.70080869963218617</v>
      </c>
      <c r="Q23" s="237">
        <f t="shared" si="3"/>
        <v>0.32934118174436711</v>
      </c>
      <c r="R23" s="111">
        <f t="shared" si="4"/>
        <v>0.13711808729344827</v>
      </c>
      <c r="S23" s="220">
        <f t="shared" si="5"/>
        <v>400.77000000000004</v>
      </c>
      <c r="T23" s="112">
        <f t="shared" si="6"/>
        <v>0.13711808729344827</v>
      </c>
      <c r="U23" s="112">
        <f t="shared" si="7"/>
        <v>9.9903888738395813E-2</v>
      </c>
      <c r="V23" s="112" t="s">
        <v>186</v>
      </c>
      <c r="W23" s="219">
        <f t="shared" si="8"/>
        <v>400.77000000000004</v>
      </c>
      <c r="X23" s="112">
        <f t="shared" si="9"/>
        <v>5.2145738868979323E-2</v>
      </c>
      <c r="Y23" s="112">
        <f t="shared" si="10"/>
        <v>0.26269893636765401</v>
      </c>
      <c r="Z23" s="112" t="s">
        <v>186</v>
      </c>
      <c r="AA23" s="219">
        <f t="shared" si="11"/>
        <v>57.962000000000003</v>
      </c>
      <c r="AB23" s="112">
        <f t="shared" si="12"/>
        <v>0.24408909434755197</v>
      </c>
      <c r="AC23" s="112">
        <f t="shared" si="13"/>
        <v>2.0852663784671363E-2</v>
      </c>
      <c r="AD23" s="112">
        <f t="shared" si="14"/>
        <v>4.8199999999999994</v>
      </c>
      <c r="AE23" s="112">
        <f t="shared" si="15"/>
        <v>0.20080318176816617</v>
      </c>
      <c r="AF23" s="112">
        <f t="shared" si="16"/>
        <v>1.9481523925070404E-3</v>
      </c>
      <c r="AG23" s="112">
        <f t="shared" si="17"/>
        <v>4.4932114926902691E-4</v>
      </c>
      <c r="AH23" s="112">
        <f t="shared" si="18"/>
        <v>5.0640890943475512</v>
      </c>
      <c r="AI23" s="112">
        <f t="shared" si="19"/>
        <v>0.20080318176816614</v>
      </c>
      <c r="AJ23" s="112">
        <f t="shared" si="20"/>
        <v>2.5009109056524483</v>
      </c>
      <c r="AK23" s="112">
        <f t="shared" si="21"/>
        <v>0.13869464102816029</v>
      </c>
      <c r="AL23" s="112">
        <f t="shared" si="22"/>
        <v>0.39505184760749296</v>
      </c>
      <c r="AM23" s="112">
        <f t="shared" si="23"/>
        <v>5.2147674652729827E-2</v>
      </c>
      <c r="AN23" s="112">
        <f>((((IF(F23="Grey",STDs!$Y$9,STDs!$Y$8))*2)*(N23-AF23))^2*0.01)/((1+(((IF(F23="Grey",STDs!$Y$9,STDs!$Y$8))*2)*(N23-AF23))*0.01))</f>
        <v>1.1711440100840235E-4</v>
      </c>
      <c r="AO23" s="112">
        <f>AJ23-AN23-IF(F23="Grey",Blanks!$M$6,Blanks!$M$5)</f>
        <v>2.4883652198228683</v>
      </c>
      <c r="AP23" s="112">
        <f t="shared" si="24"/>
        <v>0.13869464102816029</v>
      </c>
      <c r="AQ23" s="231">
        <f>AO23/IF(F23="Grey",STDs!$AA$9,STDs!$AA$8)</f>
        <v>21.100091420083139</v>
      </c>
      <c r="AR23" s="231">
        <f>SQRT(((AP23/IF(F23="Grey",STDs!$AA$9,STDs!$AA$8))^2)+(((AO23*(IF(F23="Grey",STDs!$AB$9,STDs!$AB$8)))/(IF(F23="Grey",STDs!$AA$9,STDs!$AA$8))))^2)</f>
        <v>1.1805862582994835</v>
      </c>
      <c r="AS23" s="231">
        <f t="shared" si="25"/>
        <v>12.126489321886861</v>
      </c>
      <c r="AT23" s="231">
        <f t="shared" si="26"/>
        <v>0.76987395127693103</v>
      </c>
      <c r="AU23" s="302">
        <f>('Count 1 '!AR23-(AS23*EXP(Reference!$C$3*L23)))/(1-EXP(Reference!$C$3*L23))</f>
        <v>-0.54519800370121929</v>
      </c>
      <c r="AV23" s="112">
        <f t="shared" si="27"/>
        <v>36.820446376181948</v>
      </c>
      <c r="AW23" s="275">
        <f>AS23-('Count 1 '!AY23*Q23)</f>
        <v>-0.54519800370121629</v>
      </c>
      <c r="AX23" s="276">
        <f>SQRT(((AP23/(Q23*IF(F23="Grey",STDs!$AA$9,STDs!$AA$8)))^2)+(((AO23*Q23*IF(F23="Grey",STDs!$AB$9,STDs!$AB$8))/((Q23*IF(F23="Grey",STDs!$AA$9,STDs!$AA$8))^2))^2))</f>
        <v>4.4520727513023193</v>
      </c>
    </row>
    <row r="24" spans="1:50" ht="34">
      <c r="A24" s="101" t="str">
        <f>Samples!A24</f>
        <v>HE541-47-SWB</v>
      </c>
      <c r="B24" s="101">
        <f>Samples!B24</f>
        <v>0</v>
      </c>
      <c r="C24" s="102">
        <f>Samples!C24</f>
        <v>43729</v>
      </c>
      <c r="D24" s="103">
        <f>Samples!D24</f>
        <v>0.70833333333333337</v>
      </c>
      <c r="E24" s="103" t="str">
        <f>Samples!G24</f>
        <v>Surface water (Efficiency)</v>
      </c>
      <c r="F24" s="103"/>
      <c r="G24" s="311">
        <f>Samples!I24</f>
        <v>174</v>
      </c>
      <c r="H24" s="102" t="str">
        <f>Samples!T24</f>
        <v>x</v>
      </c>
      <c r="I24" s="103" t="str">
        <f>Samples!U24</f>
        <v>x</v>
      </c>
      <c r="J24" s="213">
        <f>Samples!V24</f>
        <v>0</v>
      </c>
      <c r="K24" s="102" t="e">
        <f t="shared" si="1"/>
        <v>#VALUE!</v>
      </c>
      <c r="L24" s="104" t="e">
        <f>K24-'Count 1 '!K24</f>
        <v>#VALUE!</v>
      </c>
      <c r="M24" s="104">
        <f>Samples!Z24</f>
        <v>0</v>
      </c>
      <c r="N24" s="202">
        <f>Samples!X24</f>
        <v>0</v>
      </c>
      <c r="O24" s="202">
        <f>Samples!Y24</f>
        <v>0</v>
      </c>
      <c r="P24" s="238" t="e">
        <f t="shared" si="2"/>
        <v>#VALUE!</v>
      </c>
      <c r="Q24" s="238" t="e">
        <f t="shared" si="3"/>
        <v>#VALUE!</v>
      </c>
      <c r="R24" s="105" t="e">
        <f t="shared" si="4"/>
        <v>#DIV/0!</v>
      </c>
      <c r="S24" s="221">
        <f t="shared" si="5"/>
        <v>0</v>
      </c>
      <c r="T24" s="106" t="e">
        <f t="shared" si="6"/>
        <v>#DIV/0!</v>
      </c>
      <c r="U24" s="106" t="e">
        <f t="shared" si="7"/>
        <v>#DIV/0!</v>
      </c>
      <c r="V24" s="106" t="s">
        <v>186</v>
      </c>
      <c r="W24" s="227">
        <f t="shared" si="8"/>
        <v>0</v>
      </c>
      <c r="X24" s="106" t="e">
        <f t="shared" si="9"/>
        <v>#DIV/0!</v>
      </c>
      <c r="Y24" s="106" t="e">
        <f t="shared" si="10"/>
        <v>#DIV/0!</v>
      </c>
      <c r="Z24" s="106" t="s">
        <v>186</v>
      </c>
      <c r="AA24" s="227">
        <f t="shared" si="11"/>
        <v>0</v>
      </c>
      <c r="AB24" s="106">
        <f t="shared" si="12"/>
        <v>0</v>
      </c>
      <c r="AC24" s="106" t="e">
        <f t="shared" si="13"/>
        <v>#DIV/0!</v>
      </c>
      <c r="AD24" s="106">
        <f t="shared" si="14"/>
        <v>0</v>
      </c>
      <c r="AE24" s="106" t="e">
        <f t="shared" si="15"/>
        <v>#DIV/0!</v>
      </c>
      <c r="AF24" s="106">
        <f t="shared" si="16"/>
        <v>0</v>
      </c>
      <c r="AG24" s="106" t="e">
        <f t="shared" si="17"/>
        <v>#DIV/0!</v>
      </c>
      <c r="AH24" s="106">
        <f t="shared" si="18"/>
        <v>0</v>
      </c>
      <c r="AI24" s="106" t="e">
        <f t="shared" si="19"/>
        <v>#DIV/0!</v>
      </c>
      <c r="AJ24" s="106">
        <f t="shared" si="20"/>
        <v>0</v>
      </c>
      <c r="AK24" s="106" t="e">
        <f t="shared" si="21"/>
        <v>#DIV/0!</v>
      </c>
      <c r="AL24" s="106">
        <f t="shared" si="22"/>
        <v>0</v>
      </c>
      <c r="AM24" s="106" t="e">
        <f t="shared" si="23"/>
        <v>#DIV/0!</v>
      </c>
      <c r="AN24" s="106">
        <f>((((IF(F24="Grey",STDs!$Y$9,STDs!$Y$8))*2)*(N24-AF24))^2*0.01)/((1+(((IF(F24="Grey",STDs!$Y$9,STDs!$Y$8))*2)*(N24-AF24))*0.01))</f>
        <v>0</v>
      </c>
      <c r="AO24" s="106">
        <f>AJ24-AN24-IF(F24="Grey",Blanks!$M$6,Blanks!$M$5)</f>
        <v>-1.2428571428571429E-2</v>
      </c>
      <c r="AP24" s="106" t="e">
        <f t="shared" si="24"/>
        <v>#DIV/0!</v>
      </c>
      <c r="AQ24" s="318">
        <f>AO24/IF(F24="Grey",STDs!$AA$9,STDs!$AA$8)</f>
        <v>-0.10538806412933147</v>
      </c>
      <c r="AR24" s="318" t="e">
        <f>SQRT(((AP24/IF(F24="Grey",STDs!$AA$9,STDs!$AA$8))^2)+(((AO24*(IF(F24="Grey",STDs!$AB$9,STDs!$AB$8)))/(IF(F24="Grey",STDs!$AA$9,STDs!$AA$8))))^2)</f>
        <v>#DIV/0!</v>
      </c>
      <c r="AS24" s="318">
        <f t="shared" si="25"/>
        <v>-6.0567852947891646E-2</v>
      </c>
      <c r="AT24" s="318" t="e">
        <f t="shared" si="26"/>
        <v>#DIV/0!</v>
      </c>
      <c r="AU24" s="303" t="e">
        <f>('Count 1 '!AR24-(AS24*EXP(Reference!$C$3*L24)))/(1-EXP(Reference!$C$3*L24))</f>
        <v>#VALUE!</v>
      </c>
      <c r="AV24" s="106" t="e">
        <f t="shared" si="27"/>
        <v>#VALUE!</v>
      </c>
      <c r="AW24" s="277" t="e">
        <f>AS24-('Count 1 '!AY24*Q24)</f>
        <v>#VALUE!</v>
      </c>
      <c r="AX24" s="278" t="e">
        <f>SQRT(((AP24/(Q24*IF(F24="Grey",STDs!$AA$9,STDs!$AA$8)))^2)+(((AO24*Q24*IF(F24="Grey",STDs!$AB$9,STDs!$AB$8))/((Q24*IF(F24="Grey",STDs!$AA$9,STDs!$AA$8))^2))^2))</f>
        <v>#DIV/0!</v>
      </c>
    </row>
    <row r="25" spans="1:50" ht="17">
      <c r="A25" s="113" t="str">
        <f>Samples!A25</f>
        <v>HE541-47-PW1</v>
      </c>
      <c r="B25" s="113">
        <f>Samples!B25</f>
        <v>27</v>
      </c>
      <c r="C25" s="114">
        <f>Samples!C25</f>
        <v>43729</v>
      </c>
      <c r="D25" s="115">
        <f>Samples!D25</f>
        <v>0.53125</v>
      </c>
      <c r="E25" s="115" t="str">
        <f>Samples!G25</f>
        <v>Porewater</v>
      </c>
      <c r="F25" s="115" t="str">
        <f>Samples!W25</f>
        <v>Grey</v>
      </c>
      <c r="G25" s="312">
        <f>Samples!I25</f>
        <v>0.27200000000000002</v>
      </c>
      <c r="H25" s="114">
        <f>Samples!T25</f>
        <v>43735</v>
      </c>
      <c r="I25" s="115">
        <f>Samples!U25</f>
        <v>0.78194444444444444</v>
      </c>
      <c r="J25" s="214">
        <f>Samples!V25</f>
        <v>806</v>
      </c>
      <c r="K25" s="114">
        <f t="shared" si="1"/>
        <v>43736.341666666667</v>
      </c>
      <c r="L25" s="116">
        <f>K25-'Count 1 '!K25</f>
        <v>6.046527777776646</v>
      </c>
      <c r="M25" s="116">
        <f>Samples!Z25</f>
        <v>0.89400000000000002</v>
      </c>
      <c r="N25" s="203">
        <f>Samples!X25</f>
        <v>0.01</v>
      </c>
      <c r="O25" s="203">
        <f>Samples!Y25</f>
        <v>0.14000000000000001</v>
      </c>
      <c r="P25" s="239">
        <f t="shared" si="2"/>
        <v>0.6617560870239082</v>
      </c>
      <c r="Q25" s="239">
        <f t="shared" si="3"/>
        <v>0.2753293700343899</v>
      </c>
      <c r="R25" s="117">
        <f t="shared" si="4"/>
        <v>1.3179426029666999E-2</v>
      </c>
      <c r="S25" s="222">
        <f t="shared" si="5"/>
        <v>112.84000000000002</v>
      </c>
      <c r="T25" s="118">
        <f t="shared" si="6"/>
        <v>1.3179426029666999E-2</v>
      </c>
      <c r="U25" s="118">
        <f t="shared" si="7"/>
        <v>0.18827751470952855</v>
      </c>
      <c r="V25" s="118" t="s">
        <v>186</v>
      </c>
      <c r="W25" s="228">
        <f t="shared" si="8"/>
        <v>112.84000000000002</v>
      </c>
      <c r="X25" s="118">
        <f t="shared" si="9"/>
        <v>3.5223497683817347E-3</v>
      </c>
      <c r="Y25" s="118">
        <f t="shared" si="10"/>
        <v>0.70446995367634679</v>
      </c>
      <c r="Z25" s="118" t="s">
        <v>186</v>
      </c>
      <c r="AA25" s="228">
        <f t="shared" si="11"/>
        <v>8.06</v>
      </c>
      <c r="AB25" s="118">
        <f t="shared" si="12"/>
        <v>5.5768517772225362E-3</v>
      </c>
      <c r="AC25" s="118">
        <f t="shared" si="13"/>
        <v>2.8543175176769383E-4</v>
      </c>
      <c r="AD25" s="118">
        <f t="shared" si="14"/>
        <v>0.74399999999999999</v>
      </c>
      <c r="AE25" s="118">
        <f t="shared" si="15"/>
        <v>1.896843401110769E-2</v>
      </c>
      <c r="AF25" s="118">
        <f t="shared" si="16"/>
        <v>5.0713476026735256E-5</v>
      </c>
      <c r="AG25" s="118">
        <f t="shared" si="17"/>
        <v>1.0112754364733586E-6</v>
      </c>
      <c r="AH25" s="118">
        <f t="shared" si="18"/>
        <v>0.74957685177722255</v>
      </c>
      <c r="AI25" s="118">
        <f t="shared" si="19"/>
        <v>1.896843401110769E-2</v>
      </c>
      <c r="AJ25" s="118">
        <f t="shared" si="20"/>
        <v>0.13442314822277748</v>
      </c>
      <c r="AK25" s="118">
        <f t="shared" si="21"/>
        <v>1.3182516518342817E-2</v>
      </c>
      <c r="AL25" s="118">
        <f t="shared" si="22"/>
        <v>9.9492865239732657E-3</v>
      </c>
      <c r="AM25" s="118">
        <f t="shared" si="23"/>
        <v>3.5223499135515865E-3</v>
      </c>
      <c r="AN25" s="118">
        <f>((((IF(F25="Grey",STDs!$Y$9,STDs!$Y$8))*2)*(N25-AF25))^2*0.01)/((1+(((IF(F25="Grey",STDs!$Y$9,STDs!$Y$8))*2)*(N25-AF25))*0.01))</f>
        <v>9.177842277293224E-8</v>
      </c>
      <c r="AO25" s="118">
        <f>AJ25-AN25-IF(F25="Grey",Blanks!$M$6,Blanks!$M$5)</f>
        <v>0.11428019930149756</v>
      </c>
      <c r="AP25" s="118">
        <f t="shared" si="24"/>
        <v>1.3182516518342817E-2</v>
      </c>
      <c r="AQ25" s="119">
        <f>AO25/IF(F25="Grey",STDs!$AA$9,STDs!$AA$8)</f>
        <v>0.89954788832633858</v>
      </c>
      <c r="AR25" s="119">
        <f>SQRT(((AP25/IF(F25="Grey",STDs!$AA$9,STDs!$AA$8))^2)+(((AO25*(IF(F25="Grey",STDs!$AB$9,STDs!$AB$8)))/(IF(F25="Grey",STDs!$AA$9,STDs!$AA$8))))^2)</f>
        <v>0.1039750340768948</v>
      </c>
      <c r="AS25" s="119">
        <f t="shared" si="25"/>
        <v>330.71613541409505</v>
      </c>
      <c r="AT25" s="119">
        <f t="shared" si="26"/>
        <v>39.492679699969422</v>
      </c>
      <c r="AU25" s="304">
        <f>('Count 1 '!AR25-(AS25*EXP(Reference!$C$3*L25)))/(1-EXP(Reference!$C$3*L25))</f>
        <v>-10.160804487866393</v>
      </c>
      <c r="AV25" s="118">
        <f t="shared" si="27"/>
        <v>1201.1654818110653</v>
      </c>
      <c r="AW25" s="279">
        <f>AS25-('Count 1 '!AY25*Q25)</f>
        <v>-10.160804487866471</v>
      </c>
      <c r="AX25" s="280">
        <f>SQRT(((AP25/(Q25*IF(F25="Grey",STDs!$AA$9,STDs!$AA$8)))^2)+(((AO25*Q25*IF(F25="Grey",STDs!$AB$9,STDs!$AB$8))/((Q25*IF(F25="Grey",STDs!$AA$9,STDs!$AA$8))^2))^2))</f>
        <v>0.42150762427861377</v>
      </c>
    </row>
    <row r="26" spans="1:50" ht="17">
      <c r="A26" s="113" t="str">
        <f>Samples!A26</f>
        <v>HE541-47-PW2</v>
      </c>
      <c r="B26" s="113">
        <f>Samples!B26</f>
        <v>56</v>
      </c>
      <c r="C26" s="114">
        <f>Samples!C26</f>
        <v>43729</v>
      </c>
      <c r="D26" s="115">
        <f>Samples!D26</f>
        <v>0.5625</v>
      </c>
      <c r="E26" s="115" t="str">
        <f>Samples!G26</f>
        <v>Porewater</v>
      </c>
      <c r="F26" s="115" t="str">
        <f>Samples!W26</f>
        <v>Orange</v>
      </c>
      <c r="G26" s="312">
        <f>Samples!I26</f>
        <v>0.14799999999999999</v>
      </c>
      <c r="H26" s="114">
        <f>Samples!T26</f>
        <v>43735</v>
      </c>
      <c r="I26" s="115">
        <f>Samples!U26</f>
        <v>0.60138888888888886</v>
      </c>
      <c r="J26" s="214">
        <f>Samples!V26</f>
        <v>67</v>
      </c>
      <c r="K26" s="114">
        <f t="shared" si="1"/>
        <v>43735.647916666669</v>
      </c>
      <c r="L26" s="116">
        <f>K26-'Count 1 '!K26</f>
        <v>5.3527777777781012</v>
      </c>
      <c r="M26" s="116">
        <f>Samples!Z26</f>
        <v>0.61799999999999999</v>
      </c>
      <c r="N26" s="203">
        <f>Samples!X26</f>
        <v>1E-3</v>
      </c>
      <c r="O26" s="203">
        <f>Samples!Y26</f>
        <v>2.9000000000000001E-2</v>
      </c>
      <c r="P26" s="239">
        <f t="shared" si="2"/>
        <v>0.69148930675640363</v>
      </c>
      <c r="Q26" s="239">
        <f t="shared" si="3"/>
        <v>0.31585139531439471</v>
      </c>
      <c r="R26" s="117">
        <f t="shared" si="4"/>
        <v>2.0804706700540684E-2</v>
      </c>
      <c r="S26" s="222">
        <f t="shared" si="5"/>
        <v>1.9430000000000001</v>
      </c>
      <c r="T26" s="118">
        <f t="shared" si="6"/>
        <v>2.0804706700540684E-2</v>
      </c>
      <c r="U26" s="118">
        <f t="shared" si="7"/>
        <v>1.4348073586579781</v>
      </c>
      <c r="V26" s="118" t="s">
        <v>186</v>
      </c>
      <c r="W26" s="228">
        <f t="shared" si="8"/>
        <v>1.9430000000000001</v>
      </c>
      <c r="X26" s="118">
        <f t="shared" si="9"/>
        <v>3.8633370464312791E-3</v>
      </c>
      <c r="Y26" s="118">
        <f t="shared" si="10"/>
        <v>7.7266740928625577</v>
      </c>
      <c r="Z26" s="118" t="s">
        <v>186</v>
      </c>
      <c r="AA26" s="228">
        <f t="shared" si="11"/>
        <v>6.7000000000000004E-2</v>
      </c>
      <c r="AB26" s="118">
        <f t="shared" si="12"/>
        <v>3.4778899931597789E-3</v>
      </c>
      <c r="AC26" s="118">
        <f t="shared" si="13"/>
        <v>3.5207857476854187E-4</v>
      </c>
      <c r="AD26" s="118">
        <f t="shared" si="14"/>
        <v>0.58799999999999997</v>
      </c>
      <c r="AE26" s="118">
        <f t="shared" si="15"/>
        <v>2.9674854926778887E-2</v>
      </c>
      <c r="AF26" s="118">
        <f t="shared" si="16"/>
        <v>3.1776674426773917E-5</v>
      </c>
      <c r="AG26" s="118">
        <f t="shared" si="17"/>
        <v>9.8817841942553546E-7</v>
      </c>
      <c r="AH26" s="118">
        <f t="shared" si="18"/>
        <v>0.59147788999315976</v>
      </c>
      <c r="AI26" s="118">
        <f t="shared" si="19"/>
        <v>2.9674854926778887E-2</v>
      </c>
      <c r="AJ26" s="118">
        <f t="shared" si="20"/>
        <v>2.5522110006840223E-2</v>
      </c>
      <c r="AK26" s="118">
        <f t="shared" si="21"/>
        <v>2.0807685604562885E-2</v>
      </c>
      <c r="AL26" s="118">
        <f t="shared" si="22"/>
        <v>9.6822332557322608E-4</v>
      </c>
      <c r="AM26" s="118">
        <f t="shared" si="23"/>
        <v>3.8633371728112142E-3</v>
      </c>
      <c r="AN26" s="118">
        <f>((((IF(F26="Grey",STDs!$Y$9,STDs!$Y$8))*2)*(N26-AF26))^2*0.01)/((1+(((IF(F26="Grey",STDs!$Y$9,STDs!$Y$8))*2)*(N26-AF26))*0.01))</f>
        <v>7.0424217067223644E-10</v>
      </c>
      <c r="AO26" s="118">
        <f>AJ26-AN26-IF(F26="Grey",Blanks!$M$6,Blanks!$M$5)</f>
        <v>1.3093537874026622E-2</v>
      </c>
      <c r="AP26" s="118">
        <f t="shared" si="24"/>
        <v>2.0807685604562885E-2</v>
      </c>
      <c r="AQ26" s="119">
        <f>AO26/IF(F26="Grey",STDs!$AA$9,STDs!$AA$8)</f>
        <v>0.11102664671303719</v>
      </c>
      <c r="AR26" s="119">
        <f>SQRT(((AP26/IF(F26="Grey",STDs!$AA$9,STDs!$AA$8))^2)+(((AO26*(IF(F26="Grey",STDs!$AB$9,STDs!$AB$8)))/(IF(F26="Grey",STDs!$AA$9,STDs!$AA$8))))^2)</f>
        <v>0.17643959459593453</v>
      </c>
      <c r="AS26" s="119">
        <f t="shared" si="25"/>
        <v>75.018004535835942</v>
      </c>
      <c r="AT26" s="119">
        <f t="shared" si="26"/>
        <v>119.23718307676363</v>
      </c>
      <c r="AU26" s="304">
        <f>('Count 1 '!AR26-(AS26*EXP(Reference!$C$3*L26)))/(1-EXP(Reference!$C$3*L26))</f>
        <v>-66.508576846791968</v>
      </c>
      <c r="AV26" s="118">
        <f t="shared" si="27"/>
        <v>237.51044208990723</v>
      </c>
      <c r="AW26" s="279">
        <f>AS26-('Count 1 '!AY26*Q26)</f>
        <v>-66.508576846791996</v>
      </c>
      <c r="AX26" s="280">
        <f>SQRT(((AP26/(Q26*IF(F26="Grey",STDs!$AA$9,STDs!$AA$8)))^2)+(((AO26*Q26*IF(F26="Grey",STDs!$AB$9,STDs!$AB$8))/((Q26*IF(F26="Grey",STDs!$AA$9,STDs!$AA$8))^2))^2))</f>
        <v>0.558803643173301</v>
      </c>
    </row>
    <row r="27" spans="1:50" ht="68">
      <c r="A27" s="127" t="str">
        <f>Samples!A27</f>
        <v>HE541-47-PostFlux</v>
      </c>
      <c r="B27" s="127">
        <f>Samples!B27</f>
        <v>38</v>
      </c>
      <c r="C27" s="128">
        <f>Samples!C27</f>
        <v>43730</v>
      </c>
      <c r="D27" s="129">
        <f>Samples!D27</f>
        <v>0.60416666666666663</v>
      </c>
      <c r="E27" s="129" t="str">
        <f>Samples!G27</f>
        <v>Overlying water from sed core (post O2 flux)</v>
      </c>
      <c r="F27" s="129" t="str">
        <f>Samples!W27</f>
        <v>Orange</v>
      </c>
      <c r="G27" s="314">
        <f>Samples!I27</f>
        <v>4.29</v>
      </c>
      <c r="H27" s="128">
        <f>Samples!T27</f>
        <v>43738</v>
      </c>
      <c r="I27" s="129">
        <f>Samples!U27</f>
        <v>0.58124999999999993</v>
      </c>
      <c r="J27" s="216">
        <f>Samples!V27</f>
        <v>800</v>
      </c>
      <c r="K27" s="128">
        <f t="shared" si="1"/>
        <v>43739.136805555558</v>
      </c>
      <c r="L27" s="130">
        <f>K27-'Count 1 '!K27</f>
        <v>8.2624999999970896</v>
      </c>
      <c r="M27" s="130">
        <f>Samples!Z27</f>
        <v>0.93300000000000005</v>
      </c>
      <c r="N27" s="205">
        <f>Samples!X27</f>
        <v>1.9E-2</v>
      </c>
      <c r="O27" s="205">
        <f>Samples!Y27</f>
        <v>0.17899999999999999</v>
      </c>
      <c r="P27" s="241">
        <f t="shared" si="2"/>
        <v>0.5961505298086488</v>
      </c>
      <c r="Q27" s="241">
        <f t="shared" si="3"/>
        <v>0.19870194494170187</v>
      </c>
      <c r="R27" s="131">
        <f t="shared" si="4"/>
        <v>1.4958275301651591E-2</v>
      </c>
      <c r="S27" s="224">
        <f t="shared" si="5"/>
        <v>143.19999999999999</v>
      </c>
      <c r="T27" s="132">
        <f t="shared" si="6"/>
        <v>1.4958275301651591E-2</v>
      </c>
      <c r="U27" s="132">
        <f t="shared" si="7"/>
        <v>0.16713156761621889</v>
      </c>
      <c r="V27" s="132" t="s">
        <v>186</v>
      </c>
      <c r="W27" s="230">
        <f t="shared" si="8"/>
        <v>143.19999999999999</v>
      </c>
      <c r="X27" s="132">
        <f t="shared" si="9"/>
        <v>4.873397172404482E-3</v>
      </c>
      <c r="Y27" s="132">
        <f t="shared" si="10"/>
        <v>0.5129891760425771</v>
      </c>
      <c r="Z27" s="132" t="s">
        <v>186</v>
      </c>
      <c r="AA27" s="230">
        <f t="shared" si="11"/>
        <v>15.2</v>
      </c>
      <c r="AB27" s="132">
        <f t="shared" si="12"/>
        <v>5.4422505414798766E-3</v>
      </c>
      <c r="AC27" s="132">
        <f t="shared" si="13"/>
        <v>3.2266491905478476E-4</v>
      </c>
      <c r="AD27" s="132">
        <f t="shared" si="14"/>
        <v>0.73499999999999999</v>
      </c>
      <c r="AE27" s="132">
        <f t="shared" si="15"/>
        <v>2.1708293346092408E-2</v>
      </c>
      <c r="AF27" s="132">
        <f t="shared" si="16"/>
        <v>4.9503028135488429E-5</v>
      </c>
      <c r="AG27" s="132">
        <f t="shared" si="17"/>
        <v>1.1295162128941653E-6</v>
      </c>
      <c r="AH27" s="132">
        <f t="shared" si="18"/>
        <v>0.74044225054147994</v>
      </c>
      <c r="AI27" s="132">
        <f t="shared" si="19"/>
        <v>2.1708293346092408E-2</v>
      </c>
      <c r="AJ27" s="132">
        <f t="shared" si="20"/>
        <v>0.17355774945852012</v>
      </c>
      <c r="AK27" s="132">
        <f t="shared" si="21"/>
        <v>1.4961754998996228E-2</v>
      </c>
      <c r="AL27" s="132">
        <f t="shared" si="22"/>
        <v>1.895049697186451E-2</v>
      </c>
      <c r="AM27" s="132">
        <f t="shared" si="23"/>
        <v>4.8733973032995042E-3</v>
      </c>
      <c r="AN27" s="132">
        <f>((((IF(F27="Grey",STDs!$Y$9,STDs!$Y$8))*2)*(N27-AF27))^2*0.01)/((1+(((IF(F27="Grey",STDs!$Y$9,STDs!$Y$8))*2)*(N27-AF27))*0.01))</f>
        <v>2.6976819639525668E-7</v>
      </c>
      <c r="AO27" s="132">
        <f>AJ27-AN27-IF(F27="Grey",Blanks!$M$6,Blanks!$M$5)</f>
        <v>0.1611289082617523</v>
      </c>
      <c r="AP27" s="132">
        <f t="shared" si="24"/>
        <v>1.4961754998996228E-2</v>
      </c>
      <c r="AQ27" s="320">
        <f>AO27/IF(F27="Grey",STDs!$AA$9,STDs!$AA$8)</f>
        <v>1.3662924829752991</v>
      </c>
      <c r="AR27" s="320">
        <f>SQRT(((AP27/IF(F27="Grey",STDs!$AA$9,STDs!$AA$8))^2)+(((AO27*(IF(F27="Grey",STDs!$AB$9,STDs!$AB$8)))/(IF(F27="Grey",STDs!$AA$9,STDs!$AA$8))))^2)</f>
        <v>0.12704429315187418</v>
      </c>
      <c r="AS27" s="320">
        <f t="shared" si="25"/>
        <v>31.848309626463848</v>
      </c>
      <c r="AT27" s="320">
        <f t="shared" si="26"/>
        <v>3.1117206642909627</v>
      </c>
      <c r="AU27" s="306">
        <f>('Count 1 '!AR27-(AS27*EXP(Reference!$C$3*L27)))/(1-EXP(Reference!$C$3*L27))</f>
        <v>-3.5301259141427583</v>
      </c>
      <c r="AV27" s="132">
        <f t="shared" si="27"/>
        <v>160.28182127662603</v>
      </c>
      <c r="AW27" s="283">
        <f>AS27-('Count 1 '!AY27*Q27)</f>
        <v>-3.5301259141427614</v>
      </c>
      <c r="AX27" s="284">
        <f>SQRT(((AP27/(Q27*IF(F27="Grey",STDs!$AA$9,STDs!$AA$8)))^2)+(((AO27*Q27*IF(F27="Grey",STDs!$AB$9,STDs!$AB$8))/((Q27*IF(F27="Grey",STDs!$AA$9,STDs!$AA$8))^2))^2))</f>
        <v>0.69935131859600608</v>
      </c>
    </row>
    <row r="28" spans="1:50" ht="68">
      <c r="A28" s="101" t="str">
        <f>Samples!A28</f>
        <v>HE541-47-PostFlux-Eff</v>
      </c>
      <c r="B28" s="101">
        <f>Samples!B28</f>
        <v>0</v>
      </c>
      <c r="C28" s="102">
        <f>Samples!C28</f>
        <v>43730</v>
      </c>
      <c r="D28" s="103">
        <f>Samples!D28</f>
        <v>0.60416666666666663</v>
      </c>
      <c r="E28" s="103" t="str">
        <f>Samples!G28</f>
        <v>Efficiency check for HE541-47-PostFlux</v>
      </c>
      <c r="F28" s="103"/>
      <c r="G28" s="311">
        <f>Samples!I28</f>
        <v>4.29</v>
      </c>
      <c r="H28" s="102" t="str">
        <f>Samples!T28</f>
        <v>x</v>
      </c>
      <c r="I28" s="103" t="str">
        <f>Samples!U28</f>
        <v>x</v>
      </c>
      <c r="J28" s="213">
        <f>Samples!V28</f>
        <v>0</v>
      </c>
      <c r="K28" s="102" t="e">
        <f t="shared" si="1"/>
        <v>#VALUE!</v>
      </c>
      <c r="L28" s="104" t="e">
        <f>K28-'Count 1 '!K28</f>
        <v>#VALUE!</v>
      </c>
      <c r="M28" s="104">
        <f>Samples!Z28</f>
        <v>0</v>
      </c>
      <c r="N28" s="202">
        <f>Samples!X28</f>
        <v>0</v>
      </c>
      <c r="O28" s="202">
        <f>Samples!Y28</f>
        <v>0</v>
      </c>
      <c r="P28" s="238" t="e">
        <f t="shared" si="2"/>
        <v>#VALUE!</v>
      </c>
      <c r="Q28" s="238" t="e">
        <f t="shared" si="3"/>
        <v>#VALUE!</v>
      </c>
      <c r="R28" s="105" t="e">
        <f t="shared" si="4"/>
        <v>#DIV/0!</v>
      </c>
      <c r="S28" s="221">
        <f t="shared" si="5"/>
        <v>0</v>
      </c>
      <c r="T28" s="106" t="e">
        <f t="shared" si="6"/>
        <v>#DIV/0!</v>
      </c>
      <c r="U28" s="106" t="e">
        <f t="shared" si="7"/>
        <v>#DIV/0!</v>
      </c>
      <c r="V28" s="106" t="s">
        <v>186</v>
      </c>
      <c r="W28" s="227">
        <f t="shared" si="8"/>
        <v>0</v>
      </c>
      <c r="X28" s="106" t="e">
        <f t="shared" si="9"/>
        <v>#DIV/0!</v>
      </c>
      <c r="Y28" s="106" t="e">
        <f t="shared" si="10"/>
        <v>#DIV/0!</v>
      </c>
      <c r="Z28" s="106" t="s">
        <v>186</v>
      </c>
      <c r="AA28" s="227">
        <f t="shared" si="11"/>
        <v>0</v>
      </c>
      <c r="AB28" s="106">
        <f t="shared" si="12"/>
        <v>0</v>
      </c>
      <c r="AC28" s="106" t="e">
        <f t="shared" si="13"/>
        <v>#DIV/0!</v>
      </c>
      <c r="AD28" s="106">
        <f t="shared" si="14"/>
        <v>0</v>
      </c>
      <c r="AE28" s="106" t="e">
        <f t="shared" si="15"/>
        <v>#DIV/0!</v>
      </c>
      <c r="AF28" s="106">
        <f t="shared" si="16"/>
        <v>0</v>
      </c>
      <c r="AG28" s="106" t="e">
        <f t="shared" si="17"/>
        <v>#DIV/0!</v>
      </c>
      <c r="AH28" s="106">
        <f t="shared" si="18"/>
        <v>0</v>
      </c>
      <c r="AI28" s="106" t="e">
        <f t="shared" si="19"/>
        <v>#DIV/0!</v>
      </c>
      <c r="AJ28" s="106">
        <f t="shared" si="20"/>
        <v>0</v>
      </c>
      <c r="AK28" s="106" t="e">
        <f t="shared" si="21"/>
        <v>#DIV/0!</v>
      </c>
      <c r="AL28" s="106">
        <f t="shared" si="22"/>
        <v>0</v>
      </c>
      <c r="AM28" s="106" t="e">
        <f t="shared" si="23"/>
        <v>#DIV/0!</v>
      </c>
      <c r="AN28" s="106">
        <f>((((IF(F28="Grey",STDs!$Y$9,STDs!$Y$8))*2)*(N28-AF28))^2*0.01)/((1+(((IF(F28="Grey",STDs!$Y$9,STDs!$Y$8))*2)*(N28-AF28))*0.01))</f>
        <v>0</v>
      </c>
      <c r="AO28" s="106">
        <f>AJ28-AN28-IF(F28="Grey",Blanks!$M$6,Blanks!$M$5)</f>
        <v>-1.2428571428571429E-2</v>
      </c>
      <c r="AP28" s="106" t="e">
        <f t="shared" si="24"/>
        <v>#DIV/0!</v>
      </c>
      <c r="AQ28" s="318">
        <f>AO28/IF(F28="Grey",STDs!$AA$9,STDs!$AA$8)</f>
        <v>-0.10538806412933147</v>
      </c>
      <c r="AR28" s="318" t="e">
        <f>SQRT(((AP28/IF(F28="Grey",STDs!$AA$9,STDs!$AA$8))^2)+(((AO28*(IF(F28="Grey",STDs!$AB$9,STDs!$AB$8)))/(IF(F28="Grey",STDs!$AA$9,STDs!$AA$8))))^2)</f>
        <v>#DIV/0!</v>
      </c>
      <c r="AS28" s="318">
        <f t="shared" si="25"/>
        <v>-2.456598231452948</v>
      </c>
      <c r="AT28" s="318" t="e">
        <f t="shared" si="26"/>
        <v>#DIV/0!</v>
      </c>
      <c r="AU28" s="303" t="e">
        <f>('Count 1 '!AR28-(AS28*EXP(Reference!$C$3*L28)))/(1-EXP(Reference!$C$3*L28))</f>
        <v>#VALUE!</v>
      </c>
      <c r="AV28" s="106" t="e">
        <f t="shared" si="27"/>
        <v>#VALUE!</v>
      </c>
      <c r="AW28" s="277" t="e">
        <f>AS28-('Count 1 '!AY28*Q28)</f>
        <v>#VALUE!</v>
      </c>
      <c r="AX28" s="278" t="e">
        <f>SQRT(((AP28/(Q28*IF(F28="Grey",STDs!$AA$9,STDs!$AA$8)))^2)+(((AO28*Q28*IF(F28="Grey",STDs!$AB$9,STDs!$AB$8))/((Q28*IF(F28="Grey",STDs!$AA$9,STDs!$AA$8))^2))^2))</f>
        <v>#DIV/0!</v>
      </c>
    </row>
    <row r="29" spans="1:50" ht="17">
      <c r="A29" s="107" t="str">
        <f>Samples!A29</f>
        <v>HE541-66-SW</v>
      </c>
      <c r="B29" s="107">
        <f>Samples!B29</f>
        <v>46</v>
      </c>
      <c r="C29" s="108">
        <f>Samples!C29</f>
        <v>43731</v>
      </c>
      <c r="D29" s="109">
        <f>Samples!D29</f>
        <v>0.33333333333333331</v>
      </c>
      <c r="E29" s="109" t="str">
        <f>Samples!G29</f>
        <v>Surface water</v>
      </c>
      <c r="F29" s="109" t="str">
        <f>Samples!W29</f>
        <v>Orange</v>
      </c>
      <c r="G29" s="310">
        <f>Samples!I29</f>
        <v>192.9</v>
      </c>
      <c r="H29" s="108">
        <f>Samples!T29</f>
        <v>43739</v>
      </c>
      <c r="I29" s="109">
        <f>Samples!U29</f>
        <v>0.47222222222222227</v>
      </c>
      <c r="J29" s="212">
        <f>Samples!V29</f>
        <v>288</v>
      </c>
      <c r="K29" s="108">
        <f t="shared" si="1"/>
        <v>43739.672222222216</v>
      </c>
      <c r="L29" s="110">
        <f>K29-'Count 1 '!K29</f>
        <v>8.0284722222204437</v>
      </c>
      <c r="M29" s="110">
        <f>Samples!Z29</f>
        <v>7.4930000000000003</v>
      </c>
      <c r="N29" s="201">
        <f>Samples!X29</f>
        <v>0.45100000000000001</v>
      </c>
      <c r="O29" s="201">
        <f>Samples!Y29</f>
        <v>2.3460000000000001</v>
      </c>
      <c r="P29" s="237">
        <f t="shared" si="2"/>
        <v>0.60319385764017319</v>
      </c>
      <c r="Q29" s="237">
        <f t="shared" si="3"/>
        <v>0.20612838029315952</v>
      </c>
      <c r="R29" s="111">
        <f t="shared" si="4"/>
        <v>9.025427044374873E-2</v>
      </c>
      <c r="S29" s="220">
        <f t="shared" si="5"/>
        <v>675.64800000000002</v>
      </c>
      <c r="T29" s="112">
        <f t="shared" si="6"/>
        <v>9.025427044374873E-2</v>
      </c>
      <c r="U29" s="112">
        <f t="shared" si="7"/>
        <v>7.6943112057756793E-2</v>
      </c>
      <c r="V29" s="112" t="s">
        <v>186</v>
      </c>
      <c r="W29" s="219">
        <f t="shared" si="8"/>
        <v>675.64800000000002</v>
      </c>
      <c r="X29" s="112">
        <f t="shared" si="9"/>
        <v>3.9572366901945891E-2</v>
      </c>
      <c r="Y29" s="112">
        <f t="shared" si="10"/>
        <v>0.17548721464277553</v>
      </c>
      <c r="Z29" s="112" t="s">
        <v>186</v>
      </c>
      <c r="AA29" s="219">
        <f t="shared" si="11"/>
        <v>129.88800000000001</v>
      </c>
      <c r="AB29" s="112">
        <f t="shared" si="12"/>
        <v>0.23139024594980279</v>
      </c>
      <c r="AC29" s="112">
        <f t="shared" si="13"/>
        <v>1.3493635891192103E-2</v>
      </c>
      <c r="AD29" s="112">
        <f t="shared" si="14"/>
        <v>4.6960000000000006</v>
      </c>
      <c r="AE29" s="112">
        <f t="shared" si="15"/>
        <v>0.13363247692417024</v>
      </c>
      <c r="AF29" s="112">
        <f t="shared" si="16"/>
        <v>1.8545148545193876E-3</v>
      </c>
      <c r="AG29" s="112">
        <f t="shared" si="17"/>
        <v>2.8383136439178119E-4</v>
      </c>
      <c r="AH29" s="112">
        <f t="shared" si="18"/>
        <v>4.9273902459498036</v>
      </c>
      <c r="AI29" s="112">
        <f t="shared" si="19"/>
        <v>0.13363247692417024</v>
      </c>
      <c r="AJ29" s="112">
        <f t="shared" si="20"/>
        <v>2.1146097540501971</v>
      </c>
      <c r="AK29" s="112">
        <f t="shared" si="21"/>
        <v>9.1257391716492761E-2</v>
      </c>
      <c r="AL29" s="112">
        <f t="shared" si="22"/>
        <v>0.44914548514548064</v>
      </c>
      <c r="AM29" s="112">
        <f t="shared" si="23"/>
        <v>3.9573384773931519E-2</v>
      </c>
      <c r="AN29" s="112">
        <f>((((IF(F29="Grey",STDs!$Y$9,STDs!$Y$8))*2)*(N29-AF29))^2*0.01)/((1+(((IF(F29="Grey",STDs!$Y$9,STDs!$Y$8))*2)*(N29-AF29))*0.01))</f>
        <v>1.5136026122236878E-4</v>
      </c>
      <c r="AO29" s="112">
        <f>AJ29-AN29-IF(F29="Grey",Blanks!$M$6,Blanks!$M$5)</f>
        <v>2.1020298223604033</v>
      </c>
      <c r="AP29" s="112">
        <f t="shared" si="24"/>
        <v>9.1257391716492761E-2</v>
      </c>
      <c r="AQ29" s="231">
        <f>AO29/IF(F29="Grey",STDs!$AA$9,STDs!$AA$8)</f>
        <v>17.824160644193078</v>
      </c>
      <c r="AR29" s="231">
        <f>SQRT(((AP29/IF(F29="Grey",STDs!$AA$9,STDs!$AA$8))^2)+(((AO29*(IF(F29="Grey",STDs!$AB$9,STDs!$AB$8)))/(IF(F29="Grey",STDs!$AA$9,STDs!$AA$8))))^2)</f>
        <v>0.77871855270792845</v>
      </c>
      <c r="AS29" s="231">
        <f t="shared" si="25"/>
        <v>9.240104014615385</v>
      </c>
      <c r="AT29" s="231">
        <f t="shared" si="26"/>
        <v>0.48970135106049362</v>
      </c>
      <c r="AU29" s="302">
        <f>('Count 1 '!AR29-(AS29*EXP(Reference!$C$3*L29)))/(1-EXP(Reference!$C$3*L29))</f>
        <v>1.2137781627162554</v>
      </c>
      <c r="AV29" s="112">
        <f t="shared" si="27"/>
        <v>44.826937472045053</v>
      </c>
      <c r="AW29" s="275">
        <f>AS29-('Count 1 '!AY29*Q29)</f>
        <v>1.2137781627162525</v>
      </c>
      <c r="AX29" s="276">
        <f>SQRT(((AP29/(Q29*IF(F29="Grey",STDs!$AA$9,STDs!$AA$8)))^2)+(((AO29*Q29*IF(F29="Grey",STDs!$AB$9,STDs!$AB$8))/((Q29*IF(F29="Grey",STDs!$AA$9,STDs!$AA$8))^2))^2))</f>
        <v>5.1933296532772895</v>
      </c>
    </row>
    <row r="30" spans="1:50" ht="34">
      <c r="A30" s="101" t="str">
        <f>Samples!A30</f>
        <v>HE541-66-SWB</v>
      </c>
      <c r="B30" s="101">
        <f>Samples!B30</f>
        <v>0</v>
      </c>
      <c r="C30" s="102">
        <f>Samples!C30</f>
        <v>43731</v>
      </c>
      <c r="D30" s="103">
        <f>Samples!D30</f>
        <v>0.33333333333333331</v>
      </c>
      <c r="E30" s="103" t="str">
        <f>Samples!G30</f>
        <v>Surface water (Efficiency)</v>
      </c>
      <c r="F30" s="103"/>
      <c r="G30" s="311">
        <f>Samples!I30</f>
        <v>192.9</v>
      </c>
      <c r="H30" s="102" t="str">
        <f>Samples!T30</f>
        <v>x</v>
      </c>
      <c r="I30" s="103" t="str">
        <f>Samples!U30</f>
        <v>x</v>
      </c>
      <c r="J30" s="213">
        <f>Samples!V30</f>
        <v>0</v>
      </c>
      <c r="K30" s="102" t="e">
        <f t="shared" si="1"/>
        <v>#VALUE!</v>
      </c>
      <c r="L30" s="104" t="e">
        <f>K30-'Count 1 '!K30</f>
        <v>#VALUE!</v>
      </c>
      <c r="M30" s="104">
        <f>Samples!Z30</f>
        <v>0</v>
      </c>
      <c r="N30" s="202">
        <f>Samples!X30</f>
        <v>0</v>
      </c>
      <c r="O30" s="202">
        <f>Samples!Y30</f>
        <v>0</v>
      </c>
      <c r="P30" s="238" t="e">
        <f t="shared" si="2"/>
        <v>#VALUE!</v>
      </c>
      <c r="Q30" s="238" t="e">
        <f t="shared" si="3"/>
        <v>#VALUE!</v>
      </c>
      <c r="R30" s="105" t="e">
        <f t="shared" si="4"/>
        <v>#DIV/0!</v>
      </c>
      <c r="S30" s="221">
        <f t="shared" si="5"/>
        <v>0</v>
      </c>
      <c r="T30" s="106" t="e">
        <f t="shared" si="6"/>
        <v>#DIV/0!</v>
      </c>
      <c r="U30" s="106" t="e">
        <f t="shared" si="7"/>
        <v>#DIV/0!</v>
      </c>
      <c r="V30" s="106" t="s">
        <v>186</v>
      </c>
      <c r="W30" s="227">
        <f t="shared" si="8"/>
        <v>0</v>
      </c>
      <c r="X30" s="106" t="e">
        <f t="shared" si="9"/>
        <v>#DIV/0!</v>
      </c>
      <c r="Y30" s="106" t="e">
        <f t="shared" si="10"/>
        <v>#DIV/0!</v>
      </c>
      <c r="Z30" s="106" t="s">
        <v>186</v>
      </c>
      <c r="AA30" s="227">
        <f t="shared" si="11"/>
        <v>0</v>
      </c>
      <c r="AB30" s="106">
        <f t="shared" si="12"/>
        <v>0</v>
      </c>
      <c r="AC30" s="106" t="e">
        <f t="shared" si="13"/>
        <v>#DIV/0!</v>
      </c>
      <c r="AD30" s="106">
        <f t="shared" si="14"/>
        <v>0</v>
      </c>
      <c r="AE30" s="106" t="e">
        <f t="shared" si="15"/>
        <v>#DIV/0!</v>
      </c>
      <c r="AF30" s="106">
        <f t="shared" si="16"/>
        <v>0</v>
      </c>
      <c r="AG30" s="106" t="e">
        <f t="shared" si="17"/>
        <v>#DIV/0!</v>
      </c>
      <c r="AH30" s="106">
        <f t="shared" si="18"/>
        <v>0</v>
      </c>
      <c r="AI30" s="106" t="e">
        <f t="shared" si="19"/>
        <v>#DIV/0!</v>
      </c>
      <c r="AJ30" s="106">
        <f t="shared" si="20"/>
        <v>0</v>
      </c>
      <c r="AK30" s="106" t="e">
        <f t="shared" si="21"/>
        <v>#DIV/0!</v>
      </c>
      <c r="AL30" s="106">
        <f t="shared" si="22"/>
        <v>0</v>
      </c>
      <c r="AM30" s="106" t="e">
        <f t="shared" si="23"/>
        <v>#DIV/0!</v>
      </c>
      <c r="AN30" s="106">
        <f>((((IF(F30="Grey",STDs!$Y$9,STDs!$Y$8))*2)*(N30-AF30))^2*0.01)/((1+(((IF(F30="Grey",STDs!$Y$9,STDs!$Y$8))*2)*(N30-AF30))*0.01))</f>
        <v>0</v>
      </c>
      <c r="AO30" s="106">
        <f>AJ30-AN30-IF(F30="Grey",Blanks!$M$6,Blanks!$M$5)</f>
        <v>-1.2428571428571429E-2</v>
      </c>
      <c r="AP30" s="106" t="e">
        <f t="shared" si="24"/>
        <v>#DIV/0!</v>
      </c>
      <c r="AQ30" s="318">
        <f>AO30/IF(F30="Grey",STDs!$AA$9,STDs!$AA$8)</f>
        <v>-0.10538806412933147</v>
      </c>
      <c r="AR30" s="318" t="e">
        <f>SQRT(((AP30/IF(F30="Grey",STDs!$AA$9,STDs!$AA$8))^2)+(((AO30*(IF(F30="Grey",STDs!$AB$9,STDs!$AB$8)))/(IF(F30="Grey",STDs!$AA$9,STDs!$AA$8))))^2)</f>
        <v>#DIV/0!</v>
      </c>
      <c r="AS30" s="318">
        <f t="shared" si="25"/>
        <v>-5.4633522099186871E-2</v>
      </c>
      <c r="AT30" s="318" t="e">
        <f t="shared" si="26"/>
        <v>#DIV/0!</v>
      </c>
      <c r="AU30" s="303" t="e">
        <f>('Count 1 '!AR30-(AS30*EXP(Reference!$C$3*L30)))/(1-EXP(Reference!$C$3*L30))</f>
        <v>#VALUE!</v>
      </c>
      <c r="AV30" s="106" t="e">
        <f t="shared" si="27"/>
        <v>#VALUE!</v>
      </c>
      <c r="AW30" s="277" t="e">
        <f>AS30-('Count 1 '!AY30*Q30)</f>
        <v>#VALUE!</v>
      </c>
      <c r="AX30" s="278" t="e">
        <f>SQRT(((AP30/(Q30*IF(F30="Grey",STDs!$AA$9,STDs!$AA$8)))^2)+(((AO30*Q30*IF(F30="Grey",STDs!$AB$9,STDs!$AB$8))/((Q30*IF(F30="Grey",STDs!$AA$9,STDs!$AA$8))^2))^2))</f>
        <v>#DIV/0!</v>
      </c>
    </row>
    <row r="31" spans="1:50" ht="17">
      <c r="A31" s="113" t="str">
        <f>Samples!A31</f>
        <v>HE541-70-PW1</v>
      </c>
      <c r="B31" s="113">
        <f>Samples!B31</f>
        <v>14</v>
      </c>
      <c r="C31" s="114">
        <f>Samples!C31</f>
        <v>43731</v>
      </c>
      <c r="D31" s="115">
        <f>Samples!D31</f>
        <v>0.58333333333333337</v>
      </c>
      <c r="E31" s="115" t="str">
        <f>Samples!G31</f>
        <v>Porewater</v>
      </c>
      <c r="F31" s="115" t="str">
        <f>Samples!W31</f>
        <v>Grey</v>
      </c>
      <c r="G31" s="312">
        <f>Samples!I31</f>
        <v>0.17299999999999999</v>
      </c>
      <c r="H31" s="114">
        <f>Samples!T31</f>
        <v>43738</v>
      </c>
      <c r="I31" s="115">
        <f>Samples!U31</f>
        <v>0.58194444444444449</v>
      </c>
      <c r="J31" s="214">
        <f>Samples!V31</f>
        <v>798</v>
      </c>
      <c r="K31" s="114">
        <f t="shared" si="1"/>
        <v>43739.136111111111</v>
      </c>
      <c r="L31" s="116">
        <f>K31-'Count 1 '!K31</f>
        <v>6.8402777777810115</v>
      </c>
      <c r="M31" s="116">
        <f>Samples!Z31</f>
        <v>0.57999999999999996</v>
      </c>
      <c r="N31" s="203">
        <f>Samples!X31</f>
        <v>8.0000000000000002E-3</v>
      </c>
      <c r="O31" s="203">
        <f>Samples!Y31</f>
        <v>9.8000000000000004E-2</v>
      </c>
      <c r="P31" s="239">
        <f t="shared" si="2"/>
        <v>0.63263518797400931</v>
      </c>
      <c r="Q31" s="239">
        <f t="shared" si="3"/>
        <v>0.23921827519983654</v>
      </c>
      <c r="R31" s="117">
        <f t="shared" si="4"/>
        <v>1.1081832770072811E-2</v>
      </c>
      <c r="S31" s="222">
        <f t="shared" si="5"/>
        <v>78.204000000000008</v>
      </c>
      <c r="T31" s="118">
        <f t="shared" si="6"/>
        <v>1.1081832770072811E-2</v>
      </c>
      <c r="U31" s="118">
        <f t="shared" si="7"/>
        <v>0.22615985245046555</v>
      </c>
      <c r="V31" s="118" t="s">
        <v>186</v>
      </c>
      <c r="W31" s="228">
        <f t="shared" si="8"/>
        <v>78.204000000000008</v>
      </c>
      <c r="X31" s="118">
        <f t="shared" si="9"/>
        <v>3.1662379343065177E-3</v>
      </c>
      <c r="Y31" s="118">
        <f t="shared" si="10"/>
        <v>0.79155948357662931</v>
      </c>
      <c r="Z31" s="118" t="s">
        <v>186</v>
      </c>
      <c r="AA31" s="228">
        <f t="shared" si="11"/>
        <v>6.3840000000000003</v>
      </c>
      <c r="AB31" s="118">
        <f t="shared" si="12"/>
        <v>2.2574603621164317E-3</v>
      </c>
      <c r="AC31" s="118">
        <f t="shared" si="13"/>
        <v>1.5265758089867489E-4</v>
      </c>
      <c r="AD31" s="118">
        <f t="shared" si="14"/>
        <v>0.47399999999999998</v>
      </c>
      <c r="AE31" s="118">
        <f t="shared" si="15"/>
        <v>1.5988717826779009E-2</v>
      </c>
      <c r="AF31" s="118">
        <f t="shared" si="16"/>
        <v>2.0697223234212642E-5</v>
      </c>
      <c r="AG31" s="118">
        <f t="shared" si="17"/>
        <v>3.4598910993731675E-7</v>
      </c>
      <c r="AH31" s="118">
        <f t="shared" si="18"/>
        <v>0.47625746036211636</v>
      </c>
      <c r="AI31" s="118">
        <f t="shared" si="19"/>
        <v>1.5988717826779009E-2</v>
      </c>
      <c r="AJ31" s="118">
        <f t="shared" si="20"/>
        <v>9.5742539637883567E-2</v>
      </c>
      <c r="AK31" s="118">
        <f t="shared" si="21"/>
        <v>1.1082884186026012E-2</v>
      </c>
      <c r="AL31" s="118">
        <f t="shared" si="22"/>
        <v>7.9793027767657877E-3</v>
      </c>
      <c r="AM31" s="118">
        <f t="shared" si="23"/>
        <v>3.1662379532104135E-3</v>
      </c>
      <c r="AN31" s="118">
        <f>((((IF(F31="Grey",STDs!$Y$9,STDs!$Y$8))*2)*(N31-AF31))^2*0.01)/((1+(((IF(F31="Grey",STDs!$Y$9,STDs!$Y$8))*2)*(N31-AF31))*0.01))</f>
        <v>5.9032232603782313E-8</v>
      </c>
      <c r="AO31" s="118">
        <f>AJ31-AN31-IF(F31="Grey",Blanks!$M$6,Blanks!$M$5)</f>
        <v>7.5599623462793822E-2</v>
      </c>
      <c r="AP31" s="118">
        <f t="shared" si="24"/>
        <v>1.1082884186026012E-2</v>
      </c>
      <c r="AQ31" s="119">
        <f>AO31/IF(F31="Grey",STDs!$AA$9,STDs!$AA$8)</f>
        <v>0.59507668047382678</v>
      </c>
      <c r="AR31" s="119">
        <f>SQRT(((AP31/IF(F31="Grey",STDs!$AA$9,STDs!$AA$8))^2)+(((AO31*(IF(F31="Grey",STDs!$AB$9,STDs!$AB$8)))/(IF(F31="Grey",STDs!$AA$9,STDs!$AA$8))))^2)</f>
        <v>8.7347358241861281E-2</v>
      </c>
      <c r="AS31" s="119">
        <f t="shared" si="25"/>
        <v>343.97495981146056</v>
      </c>
      <c r="AT31" s="119">
        <f t="shared" si="26"/>
        <v>51.533552636275623</v>
      </c>
      <c r="AU31" s="304">
        <f>('Count 1 '!AR31-(AS31*EXP(Reference!$C$3*L31)))/(1-EXP(Reference!$C$3*L31))</f>
        <v>28.74197027839606</v>
      </c>
      <c r="AV31" s="118">
        <f t="shared" si="27"/>
        <v>1437.9125487971733</v>
      </c>
      <c r="AW31" s="279">
        <f>AS31-('Count 1 '!AY31*Q31)</f>
        <v>28.741970278396138</v>
      </c>
      <c r="AX31" s="280">
        <f>SQRT(((AP31/(Q31*IF(F31="Grey",STDs!$AA$9,STDs!$AA$8)))^2)+(((AO31*Q31*IF(F31="Grey",STDs!$AB$9,STDs!$AB$8))/((Q31*IF(F31="Grey",STDs!$AA$9,STDs!$AA$8))^2))^2))</f>
        <v>0.39197982412025623</v>
      </c>
    </row>
    <row r="32" spans="1:50" ht="17">
      <c r="A32" s="113" t="str">
        <f>Samples!A32</f>
        <v>HE541-70-PW2</v>
      </c>
      <c r="B32" s="113">
        <f>Samples!B32</f>
        <v>26</v>
      </c>
      <c r="C32" s="114">
        <f>Samples!C32</f>
        <v>43731</v>
      </c>
      <c r="D32" s="115">
        <f>Samples!D32</f>
        <v>0.61458333333333337</v>
      </c>
      <c r="E32" s="115" t="str">
        <f>Samples!G32</f>
        <v>Porewater</v>
      </c>
      <c r="F32" s="115" t="str">
        <f>Samples!W32</f>
        <v>Grey</v>
      </c>
      <c r="G32" s="312">
        <f>Samples!I32</f>
        <v>0.183</v>
      </c>
      <c r="H32" s="114">
        <f>Samples!T32</f>
        <v>43746</v>
      </c>
      <c r="I32" s="115">
        <f>Samples!U32</f>
        <v>0.55902777777777779</v>
      </c>
      <c r="J32" s="214">
        <f>Samples!V32</f>
        <v>833</v>
      </c>
      <c r="K32" s="114">
        <f t="shared" si="1"/>
        <v>43747.137500000004</v>
      </c>
      <c r="L32" s="116">
        <f>K32-'Count 1 '!K32</f>
        <v>14.842361111121136</v>
      </c>
      <c r="M32" s="116">
        <f>Samples!Z32</f>
        <v>0.40500000000000003</v>
      </c>
      <c r="N32" s="203">
        <f>Samples!X32</f>
        <v>4.0000000000000001E-3</v>
      </c>
      <c r="O32" s="203">
        <f>Samples!Y32</f>
        <v>3.7999999999999999E-2</v>
      </c>
      <c r="P32" s="239">
        <f t="shared" si="2"/>
        <v>0.39022812231847998</v>
      </c>
      <c r="Q32" s="239">
        <f t="shared" si="3"/>
        <v>5.2876332968730386E-2</v>
      </c>
      <c r="R32" s="117">
        <f t="shared" si="4"/>
        <v>6.7541281671966791E-3</v>
      </c>
      <c r="S32" s="222">
        <f t="shared" si="5"/>
        <v>31.654</v>
      </c>
      <c r="T32" s="118">
        <f t="shared" si="6"/>
        <v>6.7541281671966791E-3</v>
      </c>
      <c r="U32" s="118">
        <f t="shared" si="7"/>
        <v>0.35548042985245676</v>
      </c>
      <c r="V32" s="118" t="s">
        <v>186</v>
      </c>
      <c r="W32" s="228">
        <f t="shared" si="8"/>
        <v>31.654</v>
      </c>
      <c r="X32" s="118">
        <f t="shared" si="9"/>
        <v>2.1913285395639154E-3</v>
      </c>
      <c r="Y32" s="118">
        <f t="shared" si="10"/>
        <v>1.0956642697819579</v>
      </c>
      <c r="Z32" s="118" t="s">
        <v>186</v>
      </c>
      <c r="AA32" s="228">
        <f t="shared" si="11"/>
        <v>3.3319999999999999</v>
      </c>
      <c r="AB32" s="118">
        <f t="shared" si="12"/>
        <v>1.3224906410269281E-3</v>
      </c>
      <c r="AC32" s="118">
        <f t="shared" si="13"/>
        <v>7.1536694249991331E-5</v>
      </c>
      <c r="AD32" s="118">
        <f t="shared" si="14"/>
        <v>0.36300000000000004</v>
      </c>
      <c r="AE32" s="118">
        <f t="shared" si="15"/>
        <v>9.7999191510005062E-3</v>
      </c>
      <c r="AF32" s="118">
        <f t="shared" si="16"/>
        <v>1.216579694102598E-5</v>
      </c>
      <c r="AG32" s="118">
        <f t="shared" si="17"/>
        <v>1.2437349846779134E-7</v>
      </c>
      <c r="AH32" s="118">
        <f t="shared" si="18"/>
        <v>0.36432249064102695</v>
      </c>
      <c r="AI32" s="118">
        <f t="shared" si="19"/>
        <v>9.7999191510005045E-3</v>
      </c>
      <c r="AJ32" s="118">
        <f t="shared" si="20"/>
        <v>3.6677509358973071E-2</v>
      </c>
      <c r="AK32" s="118">
        <f t="shared" si="21"/>
        <v>6.7545069988522322E-3</v>
      </c>
      <c r="AL32" s="118">
        <f t="shared" si="22"/>
        <v>3.9878342030589741E-3</v>
      </c>
      <c r="AM32" s="118">
        <f t="shared" si="23"/>
        <v>2.1913285430934563E-3</v>
      </c>
      <c r="AN32" s="118">
        <f>((((IF(F32="Grey",STDs!$Y$9,STDs!$Y$8))*2)*(N32-AF32))^2*0.01)/((1+(((IF(F32="Grey",STDs!$Y$9,STDs!$Y$8))*2)*(N32-AF32))*0.01))</f>
        <v>1.4744796571239352E-8</v>
      </c>
      <c r="AO32" s="118">
        <f>AJ32-AN32-IF(F32="Grey",Blanks!$M$6,Blanks!$M$5)</f>
        <v>1.6534637471319353E-2</v>
      </c>
      <c r="AP32" s="118">
        <f t="shared" si="24"/>
        <v>6.7545069988522322E-3</v>
      </c>
      <c r="AQ32" s="119">
        <f>AO32/IF(F32="Grey",STDs!$AA$9,STDs!$AA$8)</f>
        <v>0.13015114002668673</v>
      </c>
      <c r="AR32" s="119">
        <f>SQRT(((AP32/IF(F32="Grey",STDs!$AA$9,STDs!$AA$8))^2)+(((AO32*(IF(F32="Grey",STDs!$AB$9,STDs!$AB$8)))/(IF(F32="Grey",STDs!$AA$9,STDs!$AA$8))))^2)</f>
        <v>5.3176169500436354E-2</v>
      </c>
      <c r="AS32" s="119">
        <f t="shared" si="25"/>
        <v>71.120841544637557</v>
      </c>
      <c r="AT32" s="119">
        <f t="shared" si="26"/>
        <v>29.136243023913639</v>
      </c>
      <c r="AU32" s="304">
        <f>('Count 1 '!AR32-(AS32*EXP(Reference!$C$3*L32)))/(1-EXP(Reference!$C$3*L32))</f>
        <v>16.919273086420095</v>
      </c>
      <c r="AV32" s="118">
        <f t="shared" si="27"/>
        <v>1345.0411091611907</v>
      </c>
      <c r="AW32" s="279">
        <f>AS32-('Count 1 '!AY32*Q32)</f>
        <v>16.919273086420098</v>
      </c>
      <c r="AX32" s="280">
        <f>SQRT(((AP32/(Q32*IF(F32="Grey",STDs!$AA$9,STDs!$AA$8)))^2)+(((AO32*Q32*IF(F32="Grey",STDs!$AB$9,STDs!$AB$8))/((Q32*IF(F32="Grey",STDs!$AA$9,STDs!$AA$8))^2))^2))</f>
        <v>1.0155153164163375</v>
      </c>
    </row>
    <row r="33" spans="1:50" ht="17">
      <c r="A33" s="107" t="str">
        <f>Samples!A33</f>
        <v>HE541-84-SW</v>
      </c>
      <c r="B33" s="107">
        <f>Samples!B33</f>
        <v>57</v>
      </c>
      <c r="C33" s="108">
        <f>Samples!C33</f>
        <v>43733</v>
      </c>
      <c r="D33" s="109">
        <f>Samples!D33</f>
        <v>0.33333333333333331</v>
      </c>
      <c r="E33" s="109" t="str">
        <f>Samples!G33</f>
        <v>Surface water</v>
      </c>
      <c r="F33" s="109" t="str">
        <f>Samples!W33</f>
        <v>Grey</v>
      </c>
      <c r="G33" s="310">
        <f>Samples!I33</f>
        <v>186.8</v>
      </c>
      <c r="H33" s="108">
        <f>Samples!T33</f>
        <v>43739</v>
      </c>
      <c r="I33" s="109">
        <f>Samples!U33</f>
        <v>0.47222222222222227</v>
      </c>
      <c r="J33" s="212">
        <f>Samples!V33</f>
        <v>288</v>
      </c>
      <c r="K33" s="108">
        <f t="shared" si="1"/>
        <v>43739.672222222216</v>
      </c>
      <c r="L33" s="110">
        <f>K33-'Count 1 '!K33</f>
        <v>6.023611111108039</v>
      </c>
      <c r="M33" s="110">
        <f>Samples!Z33</f>
        <v>9.6319999999999997</v>
      </c>
      <c r="N33" s="201">
        <f>Samples!X33</f>
        <v>0.57999999999999996</v>
      </c>
      <c r="O33" s="201">
        <f>Samples!Y33</f>
        <v>3.2519999999999998</v>
      </c>
      <c r="P33" s="237">
        <f t="shared" si="2"/>
        <v>0.6809451773683074</v>
      </c>
      <c r="Q33" s="237">
        <f t="shared" si="3"/>
        <v>0.30104752152563991</v>
      </c>
      <c r="R33" s="111">
        <f t="shared" si="4"/>
        <v>0.10626225419530053</v>
      </c>
      <c r="S33" s="220">
        <f t="shared" si="5"/>
        <v>936.57599999999991</v>
      </c>
      <c r="T33" s="112">
        <f t="shared" si="6"/>
        <v>0.10626225419530053</v>
      </c>
      <c r="U33" s="112">
        <f t="shared" si="7"/>
        <v>6.5351939849508336E-2</v>
      </c>
      <c r="V33" s="112" t="s">
        <v>186</v>
      </c>
      <c r="W33" s="219">
        <f t="shared" si="8"/>
        <v>936.57599999999991</v>
      </c>
      <c r="X33" s="112">
        <f t="shared" si="9"/>
        <v>4.4876373392787529E-2</v>
      </c>
      <c r="Y33" s="112">
        <f t="shared" si="10"/>
        <v>0.15474611514754322</v>
      </c>
      <c r="Z33" s="112" t="s">
        <v>186</v>
      </c>
      <c r="AA33" s="219">
        <f t="shared" si="11"/>
        <v>167.04</v>
      </c>
      <c r="AB33" s="112">
        <f t="shared" si="12"/>
        <v>0.35711252653927816</v>
      </c>
      <c r="AC33" s="112">
        <f t="shared" si="13"/>
        <v>1.9907578912888343E-2</v>
      </c>
      <c r="AD33" s="112">
        <f t="shared" si="14"/>
        <v>5.8</v>
      </c>
      <c r="AE33" s="112">
        <f t="shared" si="15"/>
        <v>0.1568350159314629</v>
      </c>
      <c r="AF33" s="112">
        <f t="shared" si="16"/>
        <v>2.7565225566490068E-3</v>
      </c>
      <c r="AG33" s="112">
        <f t="shared" si="17"/>
        <v>5.0814920815104008E-4</v>
      </c>
      <c r="AH33" s="112">
        <f t="shared" si="18"/>
        <v>6.1571125265392777</v>
      </c>
      <c r="AI33" s="112">
        <f t="shared" si="19"/>
        <v>0.1568350159314629</v>
      </c>
      <c r="AJ33" s="112">
        <f t="shared" si="20"/>
        <v>2.8948874734607215</v>
      </c>
      <c r="AK33" s="112">
        <f t="shared" si="21"/>
        <v>0.10811095395397981</v>
      </c>
      <c r="AL33" s="112">
        <f t="shared" si="22"/>
        <v>0.57724347744335092</v>
      </c>
      <c r="AM33" s="112">
        <f t="shared" si="23"/>
        <v>4.4879250266761733E-2</v>
      </c>
      <c r="AN33" s="112">
        <f>((((IF(F33="Grey",STDs!$Y$9,STDs!$Y$8))*2)*(N33-AF33))^2*0.01)/((1+(((IF(F33="Grey",STDs!$Y$9,STDs!$Y$8))*2)*(N33-AF33))*0.01))</f>
        <v>3.0840772768505324E-4</v>
      </c>
      <c r="AO33" s="112">
        <f>AJ33-AN33-IF(F33="Grey",Blanks!$M$6,Blanks!$M$5)</f>
        <v>2.8744362085901796</v>
      </c>
      <c r="AP33" s="112">
        <f t="shared" si="24"/>
        <v>0.10811095395397981</v>
      </c>
      <c r="AQ33" s="231">
        <f>AO33/IF(F33="Grey",STDs!$AA$9,STDs!$AA$8)</f>
        <v>22.625905776943981</v>
      </c>
      <c r="AR33" s="231">
        <f>SQRT(((AP33/IF(F33="Grey",STDs!$AA$9,STDs!$AA$8))^2)+(((AO33*(IF(F33="Grey",STDs!$AB$9,STDs!$AB$8)))/(IF(F33="Grey",STDs!$AA$9,STDs!$AA$8))))^2)</f>
        <v>0.86704106311479767</v>
      </c>
      <c r="AS33" s="231">
        <f t="shared" si="25"/>
        <v>12.112369259605984</v>
      </c>
      <c r="AT33" s="231">
        <f t="shared" si="26"/>
        <v>0.58947278750423915</v>
      </c>
      <c r="AU33" s="302">
        <f>('Count 1 '!AR33-(AS33*EXP(Reference!$C$3*L33)))/(1-EXP(Reference!$C$3*L33))</f>
        <v>2.4366940928061402</v>
      </c>
      <c r="AV33" s="112">
        <f t="shared" si="27"/>
        <v>40.234077325145442</v>
      </c>
      <c r="AW33" s="275">
        <f>AS33-('Count 1 '!AY33*Q33)</f>
        <v>2.4366940928061425</v>
      </c>
      <c r="AX33" s="276">
        <f>SQRT(((AP33/(Q33*IF(F33="Grey",STDs!$AA$9,STDs!$AA$8)))^2)+(((AO33*Q33*IF(F33="Grey",STDs!$AB$9,STDs!$AB$8))/((Q33*IF(F33="Grey",STDs!$AA$9,STDs!$AA$8))^2))^2))</f>
        <v>5.1813571171231647</v>
      </c>
    </row>
    <row r="34" spans="1:50" ht="34">
      <c r="A34" s="101" t="str">
        <f>Samples!A34</f>
        <v>HE541-84-SWB</v>
      </c>
      <c r="B34" s="101">
        <f>Samples!B34</f>
        <v>0</v>
      </c>
      <c r="C34" s="102">
        <f>Samples!C34</f>
        <v>43733</v>
      </c>
      <c r="D34" s="103">
        <f>Samples!D34</f>
        <v>0.33333333333333331</v>
      </c>
      <c r="E34" s="103" t="str">
        <f>Samples!G34</f>
        <v>Surface water (Efficiency)</v>
      </c>
      <c r="F34" s="103"/>
      <c r="G34" s="311">
        <f>Samples!I34</f>
        <v>186.8</v>
      </c>
      <c r="H34" s="102" t="str">
        <f>Samples!T34</f>
        <v>x</v>
      </c>
      <c r="I34" s="103" t="str">
        <f>Samples!U34</f>
        <v>x</v>
      </c>
      <c r="J34" s="213">
        <f>Samples!V34</f>
        <v>0</v>
      </c>
      <c r="K34" s="102" t="e">
        <f t="shared" si="1"/>
        <v>#VALUE!</v>
      </c>
      <c r="L34" s="104" t="e">
        <f>K34-'Count 1 '!K34</f>
        <v>#VALUE!</v>
      </c>
      <c r="M34" s="104">
        <f>Samples!Z34</f>
        <v>0</v>
      </c>
      <c r="N34" s="202">
        <f>Samples!X34</f>
        <v>0</v>
      </c>
      <c r="O34" s="202">
        <f>Samples!Y34</f>
        <v>0</v>
      </c>
      <c r="P34" s="238" t="e">
        <f t="shared" si="2"/>
        <v>#VALUE!</v>
      </c>
      <c r="Q34" s="238" t="e">
        <f t="shared" si="3"/>
        <v>#VALUE!</v>
      </c>
      <c r="R34" s="105" t="e">
        <f t="shared" si="4"/>
        <v>#DIV/0!</v>
      </c>
      <c r="S34" s="221">
        <f t="shared" si="5"/>
        <v>0</v>
      </c>
      <c r="T34" s="106" t="e">
        <f t="shared" si="6"/>
        <v>#DIV/0!</v>
      </c>
      <c r="U34" s="106" t="e">
        <f t="shared" si="7"/>
        <v>#DIV/0!</v>
      </c>
      <c r="V34" s="106" t="s">
        <v>186</v>
      </c>
      <c r="W34" s="227">
        <f t="shared" si="8"/>
        <v>0</v>
      </c>
      <c r="X34" s="106" t="e">
        <f t="shared" si="9"/>
        <v>#DIV/0!</v>
      </c>
      <c r="Y34" s="106" t="e">
        <f t="shared" si="10"/>
        <v>#DIV/0!</v>
      </c>
      <c r="Z34" s="106" t="s">
        <v>186</v>
      </c>
      <c r="AA34" s="227">
        <f t="shared" si="11"/>
        <v>0</v>
      </c>
      <c r="AB34" s="106">
        <f t="shared" si="12"/>
        <v>0</v>
      </c>
      <c r="AC34" s="106" t="e">
        <f t="shared" si="13"/>
        <v>#DIV/0!</v>
      </c>
      <c r="AD34" s="106">
        <f t="shared" si="14"/>
        <v>0</v>
      </c>
      <c r="AE34" s="106" t="e">
        <f t="shared" si="15"/>
        <v>#DIV/0!</v>
      </c>
      <c r="AF34" s="106">
        <f t="shared" si="16"/>
        <v>0</v>
      </c>
      <c r="AG34" s="106" t="e">
        <f t="shared" si="17"/>
        <v>#DIV/0!</v>
      </c>
      <c r="AH34" s="106">
        <f t="shared" si="18"/>
        <v>0</v>
      </c>
      <c r="AI34" s="106" t="e">
        <f t="shared" si="19"/>
        <v>#DIV/0!</v>
      </c>
      <c r="AJ34" s="106">
        <f t="shared" si="20"/>
        <v>0</v>
      </c>
      <c r="AK34" s="106" t="e">
        <f t="shared" si="21"/>
        <v>#DIV/0!</v>
      </c>
      <c r="AL34" s="106">
        <f t="shared" si="22"/>
        <v>0</v>
      </c>
      <c r="AM34" s="106" t="e">
        <f t="shared" si="23"/>
        <v>#DIV/0!</v>
      </c>
      <c r="AN34" s="106">
        <f>((((IF(F34="Grey",STDs!$Y$9,STDs!$Y$8))*2)*(N34-AF34))^2*0.01)/((1+(((IF(F34="Grey",STDs!$Y$9,STDs!$Y$8))*2)*(N34-AF34))*0.01))</f>
        <v>0</v>
      </c>
      <c r="AO34" s="106">
        <f>AJ34-AN34-IF(F34="Grey",Blanks!$M$6,Blanks!$M$5)</f>
        <v>-1.2428571428571429E-2</v>
      </c>
      <c r="AP34" s="106" t="e">
        <f t="shared" si="24"/>
        <v>#DIV/0!</v>
      </c>
      <c r="AQ34" s="318">
        <f>AO34/IF(F34="Grey",STDs!$AA$9,STDs!$AA$8)</f>
        <v>-0.10538806412933147</v>
      </c>
      <c r="AR34" s="318" t="e">
        <f>SQRT(((AP34/IF(F34="Grey",STDs!$AA$9,STDs!$AA$8))^2)+(((AO34*(IF(F34="Grey",STDs!$AB$9,STDs!$AB$8)))/(IF(F34="Grey",STDs!$AA$9,STDs!$AA$8))))^2)</f>
        <v>#DIV/0!</v>
      </c>
      <c r="AS34" s="318">
        <f t="shared" si="25"/>
        <v>-5.6417593216986861E-2</v>
      </c>
      <c r="AT34" s="318" t="e">
        <f t="shared" si="26"/>
        <v>#DIV/0!</v>
      </c>
      <c r="AU34" s="303" t="e">
        <f>('Count 1 '!AR34-(AS34*EXP(Reference!$C$3*L34)))/(1-EXP(Reference!$C$3*L34))</f>
        <v>#VALUE!</v>
      </c>
      <c r="AV34" s="106" t="e">
        <f t="shared" si="27"/>
        <v>#VALUE!</v>
      </c>
      <c r="AW34" s="277" t="e">
        <f>AS34-('Count 1 '!AY34*Q34)</f>
        <v>#VALUE!</v>
      </c>
      <c r="AX34" s="278" t="e">
        <f>SQRT(((AP34/(Q34*IF(F34="Grey",STDs!$AA$9,STDs!$AA$8)))^2)+(((AO34*Q34*IF(F34="Grey",STDs!$AB$9,STDs!$AB$8))/((Q34*IF(F34="Grey",STDs!$AA$9,STDs!$AA$8))^2))^2))</f>
        <v>#DIV/0!</v>
      </c>
    </row>
    <row r="35" spans="1:50" ht="17">
      <c r="A35" s="113" t="str">
        <f>Samples!A35</f>
        <v>HE541-90-PW1</v>
      </c>
      <c r="B35" s="113" t="str">
        <f>Samples!B35</f>
        <v>40/18</v>
      </c>
      <c r="C35" s="114">
        <f>Samples!C35</f>
        <v>43733</v>
      </c>
      <c r="D35" s="115">
        <f>Samples!D35</f>
        <v>0.63541666666666663</v>
      </c>
      <c r="E35" s="115" t="str">
        <f>Samples!G35</f>
        <v>Porewater</v>
      </c>
      <c r="F35" s="115" t="str">
        <f>Samples!W35</f>
        <v>Grey</v>
      </c>
      <c r="G35" s="312">
        <f>Samples!I35</f>
        <v>0.20599999999999999</v>
      </c>
      <c r="H35" s="114">
        <f>Samples!T35</f>
        <v>43745</v>
      </c>
      <c r="I35" s="115">
        <f>Samples!U35</f>
        <v>0.33263888888888887</v>
      </c>
      <c r="J35" s="214">
        <f>Samples!V35</f>
        <v>1694</v>
      </c>
      <c r="K35" s="114">
        <f t="shared" si="1"/>
        <v>43746.509027777778</v>
      </c>
      <c r="L35" s="116">
        <f>K35-'Count 1 '!K35</f>
        <v>12.213888888887595</v>
      </c>
      <c r="M35" s="116">
        <f>Samples!Z35</f>
        <v>0.627</v>
      </c>
      <c r="N35" s="203">
        <f>Samples!X35</f>
        <v>1.2999999999999999E-2</v>
      </c>
      <c r="O35" s="203">
        <f>Samples!Y35</f>
        <v>8.4000000000000005E-2</v>
      </c>
      <c r="P35" s="239">
        <f t="shared" si="2"/>
        <v>0.4582141237172444</v>
      </c>
      <c r="Q35" s="239">
        <f t="shared" si="3"/>
        <v>8.7329925217508569E-2</v>
      </c>
      <c r="R35" s="117">
        <f t="shared" si="4"/>
        <v>7.0417879021953036E-3</v>
      </c>
      <c r="S35" s="222">
        <f t="shared" si="5"/>
        <v>142.29600000000002</v>
      </c>
      <c r="T35" s="118">
        <f t="shared" si="6"/>
        <v>7.0417879021953036E-3</v>
      </c>
      <c r="U35" s="118">
        <f t="shared" si="7"/>
        <v>0.16766161671893579</v>
      </c>
      <c r="V35" s="118" t="s">
        <v>186</v>
      </c>
      <c r="W35" s="228">
        <f t="shared" si="8"/>
        <v>142.29600000000002</v>
      </c>
      <c r="X35" s="118">
        <f t="shared" si="9"/>
        <v>2.7702245464547456E-3</v>
      </c>
      <c r="Y35" s="118">
        <f t="shared" si="10"/>
        <v>0.42618839176226858</v>
      </c>
      <c r="Z35" s="118" t="s">
        <v>186</v>
      </c>
      <c r="AA35" s="228">
        <f t="shared" si="11"/>
        <v>22.021999999999998</v>
      </c>
      <c r="AB35" s="118">
        <f t="shared" si="12"/>
        <v>2.8239670252337389E-3</v>
      </c>
      <c r="AC35" s="118">
        <f t="shared" si="13"/>
        <v>1.1044646134381983E-4</v>
      </c>
      <c r="AD35" s="118">
        <f t="shared" si="14"/>
        <v>0.53</v>
      </c>
      <c r="AE35" s="118">
        <f t="shared" si="15"/>
        <v>1.0336716004456573E-2</v>
      </c>
      <c r="AF35" s="118">
        <f t="shared" si="16"/>
        <v>2.5847322212357292E-5</v>
      </c>
      <c r="AG35" s="118">
        <f t="shared" si="17"/>
        <v>2.7965747490484273E-7</v>
      </c>
      <c r="AH35" s="118">
        <f t="shared" si="18"/>
        <v>0.53282396702523371</v>
      </c>
      <c r="AI35" s="118">
        <f t="shared" si="19"/>
        <v>1.0336716004456575E-2</v>
      </c>
      <c r="AJ35" s="118">
        <f t="shared" si="20"/>
        <v>8.1176032974766263E-2</v>
      </c>
      <c r="AK35" s="118">
        <f t="shared" si="21"/>
        <v>7.0426539940797537E-3</v>
      </c>
      <c r="AL35" s="118">
        <f t="shared" si="22"/>
        <v>1.2974152677787643E-2</v>
      </c>
      <c r="AM35" s="118">
        <f t="shared" si="23"/>
        <v>2.7702245605706237E-3</v>
      </c>
      <c r="AN35" s="118">
        <f>((((IF(F35="Grey",STDs!$Y$9,STDs!$Y$8))*2)*(N35-AF35))^2*0.01)/((1+(((IF(F35="Grey",STDs!$Y$9,STDs!$Y$8))*2)*(N35-AF35))*0.01))</f>
        <v>1.560668707537699E-7</v>
      </c>
      <c r="AO35" s="118">
        <f>AJ35-AN35-IF(F35="Grey",Blanks!$M$6,Blanks!$M$5)</f>
        <v>6.103301976503836E-2</v>
      </c>
      <c r="AP35" s="118">
        <f t="shared" si="24"/>
        <v>7.0426539940797537E-3</v>
      </c>
      <c r="AQ35" s="119">
        <f>AO35/IF(F35="Grey",STDs!$AA$9,STDs!$AA$8)</f>
        <v>0.48041676846376041</v>
      </c>
      <c r="AR35" s="119">
        <f>SQRT(((AP35/IF(F35="Grey",STDs!$AA$9,STDs!$AA$8))^2)+(((AO35*(IF(F35="Grey",STDs!$AB$9,STDs!$AB$8)))/(IF(F35="Grey",STDs!$AA$9,STDs!$AA$8))))^2)</f>
        <v>5.5547755858230331E-2</v>
      </c>
      <c r="AS35" s="119">
        <f t="shared" si="25"/>
        <v>233.21202352609731</v>
      </c>
      <c r="AT35" s="119">
        <f t="shared" si="26"/>
        <v>27.857790913042031</v>
      </c>
      <c r="AU35" s="304">
        <f>('Count 1 '!AR35-(AS35*EXP(Reference!$C$3*L35)))/(1-EXP(Reference!$C$3*L35))</f>
        <v>19.570422445719366</v>
      </c>
      <c r="AV35" s="118">
        <f t="shared" si="27"/>
        <v>2670.4708946589271</v>
      </c>
      <c r="AW35" s="279">
        <f>AS35-('Count 1 '!AY35*Q35)</f>
        <v>19.570422445719373</v>
      </c>
      <c r="AX35" s="280">
        <f>SQRT(((AP35/(Q35*IF(F35="Grey",STDs!$AA$9,STDs!$AA$8)))^2)+(((AO35*Q35*IF(F35="Grey",STDs!$AB$9,STDs!$AB$8))/((Q35*IF(F35="Grey",STDs!$AA$9,STDs!$AA$8))^2))^2))</f>
        <v>0.70991117205483989</v>
      </c>
    </row>
    <row r="36" spans="1:50" ht="17">
      <c r="A36" s="113" t="str">
        <f>Samples!A36</f>
        <v>HE541-90-PW2</v>
      </c>
      <c r="B36" s="113">
        <f>Samples!B36</f>
        <v>33</v>
      </c>
      <c r="C36" s="114">
        <f>Samples!C36</f>
        <v>43733</v>
      </c>
      <c r="D36" s="115">
        <f>Samples!D36</f>
        <v>0.6875</v>
      </c>
      <c r="E36" s="115" t="str">
        <f>Samples!G36</f>
        <v>Porewater</v>
      </c>
      <c r="F36" s="115" t="str">
        <f>Samples!W36</f>
        <v>Orange</v>
      </c>
      <c r="G36" s="312">
        <f>Samples!I36</f>
        <v>0.33600000000000002</v>
      </c>
      <c r="H36" s="114">
        <f>Samples!T36</f>
        <v>43745</v>
      </c>
      <c r="I36" s="115">
        <f>Samples!U36</f>
        <v>0.33263888888888887</v>
      </c>
      <c r="J36" s="214">
        <f>Samples!V36</f>
        <v>1694</v>
      </c>
      <c r="K36" s="114">
        <f t="shared" si="1"/>
        <v>43746.509027777778</v>
      </c>
      <c r="L36" s="116">
        <f>K36-'Count 1 '!K36</f>
        <v>12.213888888887595</v>
      </c>
      <c r="M36" s="116">
        <f>Samples!Z36</f>
        <v>0.748</v>
      </c>
      <c r="N36" s="203">
        <f>Samples!X36</f>
        <v>1.2999999999999999E-2</v>
      </c>
      <c r="O36" s="203">
        <f>Samples!Y36</f>
        <v>0.1</v>
      </c>
      <c r="P36" s="239">
        <f t="shared" si="2"/>
        <v>0.45966316350810271</v>
      </c>
      <c r="Q36" s="239">
        <f t="shared" si="3"/>
        <v>8.8195590274351296E-2</v>
      </c>
      <c r="R36" s="117">
        <f t="shared" si="4"/>
        <v>7.6832204975319689E-3</v>
      </c>
      <c r="S36" s="222">
        <f t="shared" si="5"/>
        <v>169.4</v>
      </c>
      <c r="T36" s="118">
        <f t="shared" si="6"/>
        <v>7.6832204975319689E-3</v>
      </c>
      <c r="U36" s="118">
        <f t="shared" si="7"/>
        <v>0.15366440995063937</v>
      </c>
      <c r="V36" s="118" t="s">
        <v>186</v>
      </c>
      <c r="W36" s="228">
        <f t="shared" si="8"/>
        <v>169.4</v>
      </c>
      <c r="X36" s="118">
        <f t="shared" si="9"/>
        <v>2.7702245464547456E-3</v>
      </c>
      <c r="Y36" s="118">
        <f t="shared" si="10"/>
        <v>0.42618839176226858</v>
      </c>
      <c r="Z36" s="118" t="s">
        <v>186</v>
      </c>
      <c r="AA36" s="228">
        <f t="shared" si="11"/>
        <v>22.021999999999998</v>
      </c>
      <c r="AB36" s="118">
        <f t="shared" si="12"/>
        <v>4.0580184169476171E-3</v>
      </c>
      <c r="AC36" s="118">
        <f t="shared" si="13"/>
        <v>1.4377681784703237E-4</v>
      </c>
      <c r="AD36" s="118">
        <f t="shared" si="14"/>
        <v>0.63500000000000001</v>
      </c>
      <c r="AE36" s="118">
        <f t="shared" si="15"/>
        <v>1.121329115225192E-2</v>
      </c>
      <c r="AF36" s="118">
        <f t="shared" si="16"/>
        <v>3.7024336422888859E-5</v>
      </c>
      <c r="AG36" s="118">
        <f t="shared" si="17"/>
        <v>4.3548445601564581E-7</v>
      </c>
      <c r="AH36" s="118">
        <f t="shared" si="18"/>
        <v>0.63905801841694754</v>
      </c>
      <c r="AI36" s="118">
        <f t="shared" si="19"/>
        <v>1.121329115225192E-2</v>
      </c>
      <c r="AJ36" s="118">
        <f t="shared" si="20"/>
        <v>9.5941981583052394E-2</v>
      </c>
      <c r="AK36" s="118">
        <f t="shared" si="21"/>
        <v>7.684565634246715E-3</v>
      </c>
      <c r="AL36" s="118">
        <f t="shared" si="22"/>
        <v>1.296297566357711E-2</v>
      </c>
      <c r="AM36" s="118">
        <f t="shared" si="23"/>
        <v>2.770224580684229E-3</v>
      </c>
      <c r="AN36" s="118">
        <f>((((IF(F36="Grey",STDs!$Y$9,STDs!$Y$8))*2)*(N36-AF36))^2*0.01)/((1+(((IF(F36="Grey",STDs!$Y$9,STDs!$Y$8))*2)*(N36-AF36))*0.01))</f>
        <v>1.2623101641806287E-7</v>
      </c>
      <c r="AO36" s="118">
        <f>AJ36-AN36-IF(F36="Grey",Blanks!$M$6,Blanks!$M$5)</f>
        <v>8.3513283923464549E-2</v>
      </c>
      <c r="AP36" s="118">
        <f t="shared" si="24"/>
        <v>7.684565634246715E-3</v>
      </c>
      <c r="AQ36" s="119">
        <f>AO36/IF(F36="Grey",STDs!$AA$9,STDs!$AA$8)</f>
        <v>0.70815084198206935</v>
      </c>
      <c r="AR36" s="119">
        <f>SQRT(((AP36/IF(F36="Grey",STDs!$AA$9,STDs!$AA$8))^2)+(((AO36*(IF(F36="Grey",STDs!$AB$9,STDs!$AB$8)))/(IF(F36="Grey",STDs!$AA$9,STDs!$AA$8))))^2)</f>
        <v>6.5253374588770646E-2</v>
      </c>
      <c r="AS36" s="119">
        <f t="shared" si="25"/>
        <v>210.75917916133014</v>
      </c>
      <c r="AT36" s="119">
        <f t="shared" si="26"/>
        <v>20.423981640958715</v>
      </c>
      <c r="AU36" s="304">
        <f>('Count 1 '!AR36-(AS36*EXP(Reference!$C$3*L36)))/(1-EXP(Reference!$C$3*L36))</f>
        <v>93.207870753157039</v>
      </c>
      <c r="AV36" s="118">
        <f t="shared" si="27"/>
        <v>2389.6793309701598</v>
      </c>
      <c r="AW36" s="279">
        <f>AS36-('Count 1 '!AY36*Q36)</f>
        <v>93.207870753157039</v>
      </c>
      <c r="AX36" s="280">
        <f>SQRT(((AP36/(Q36*IF(F36="Grey",STDs!$AA$9,STDs!$AA$8)))^2)+(((AO36*Q36*IF(F36="Grey",STDs!$AB$9,STDs!$AB$8))/((Q36*IF(F36="Grey",STDs!$AA$9,STDs!$AA$8))^2))^2))</f>
        <v>0.81049302494496334</v>
      </c>
    </row>
    <row r="37" spans="1:50" ht="68">
      <c r="A37" s="127" t="str">
        <f>Samples!A37</f>
        <v>HE541-90-PostFlux</v>
      </c>
      <c r="B37" s="127">
        <f>Samples!B37</f>
        <v>18</v>
      </c>
      <c r="C37" s="128">
        <f>Samples!C37</f>
        <v>43734</v>
      </c>
      <c r="D37" s="129">
        <f>Samples!D37</f>
        <v>0.60416666666666663</v>
      </c>
      <c r="E37" s="129" t="str">
        <f>Samples!G37</f>
        <v>Overlying water from sed core (post O2 flux)</v>
      </c>
      <c r="F37" s="129" t="str">
        <f>Samples!W37</f>
        <v>Orange</v>
      </c>
      <c r="G37" s="314">
        <f>Samples!I37</f>
        <v>4.5999999999999996</v>
      </c>
      <c r="H37" s="128">
        <f>Samples!T37</f>
        <v>43746</v>
      </c>
      <c r="I37" s="129">
        <f>Samples!U37</f>
        <v>0.55902777777777779</v>
      </c>
      <c r="J37" s="216">
        <f>Samples!V37</f>
        <v>833</v>
      </c>
      <c r="K37" s="128">
        <f t="shared" si="1"/>
        <v>43747.137500000004</v>
      </c>
      <c r="L37" s="130">
        <f>K37-'Count 1 '!K37</f>
        <v>12.233333333337214</v>
      </c>
      <c r="M37" s="130">
        <f>Samples!Z37</f>
        <v>0.54400000000000004</v>
      </c>
      <c r="N37" s="205">
        <f>Samples!X37</f>
        <v>8.0000000000000002E-3</v>
      </c>
      <c r="O37" s="205">
        <f>Samples!Y37</f>
        <v>0.06</v>
      </c>
      <c r="P37" s="241">
        <f t="shared" si="2"/>
        <v>0.46776440987096729</v>
      </c>
      <c r="Q37" s="241">
        <f t="shared" si="3"/>
        <v>9.3143053276077761E-2</v>
      </c>
      <c r="R37" s="131">
        <f t="shared" si="4"/>
        <v>8.4869789398000651E-3</v>
      </c>
      <c r="S37" s="224">
        <f t="shared" si="5"/>
        <v>49.98</v>
      </c>
      <c r="T37" s="132">
        <f t="shared" si="6"/>
        <v>8.4869789398000651E-3</v>
      </c>
      <c r="U37" s="132">
        <f t="shared" si="7"/>
        <v>0.28289929799333552</v>
      </c>
      <c r="V37" s="132" t="s">
        <v>186</v>
      </c>
      <c r="W37" s="230">
        <f t="shared" si="8"/>
        <v>49.98</v>
      </c>
      <c r="X37" s="132">
        <f t="shared" si="9"/>
        <v>3.0990065402665169E-3</v>
      </c>
      <c r="Y37" s="132">
        <f t="shared" si="10"/>
        <v>0.77475163506662914</v>
      </c>
      <c r="Z37" s="132" t="s">
        <v>186</v>
      </c>
      <c r="AA37" s="230">
        <f t="shared" si="11"/>
        <v>6.6639999999999997</v>
      </c>
      <c r="AB37" s="132">
        <f t="shared" si="12"/>
        <v>2.2765965998151204E-3</v>
      </c>
      <c r="AC37" s="132">
        <f t="shared" si="13"/>
        <v>1.1885814131610866E-4</v>
      </c>
      <c r="AD37" s="132">
        <f t="shared" si="14"/>
        <v>0.47600000000000003</v>
      </c>
      <c r="AE37" s="132">
        <f t="shared" si="15"/>
        <v>1.2396026161066066E-2</v>
      </c>
      <c r="AF37" s="132">
        <f t="shared" si="16"/>
        <v>2.0871408768958065E-5</v>
      </c>
      <c r="AG37" s="132">
        <f t="shared" si="17"/>
        <v>2.7051322232921999E-7</v>
      </c>
      <c r="AH37" s="132">
        <f t="shared" si="18"/>
        <v>0.47827659659981514</v>
      </c>
      <c r="AI37" s="132">
        <f t="shared" si="19"/>
        <v>1.2396026161066066E-2</v>
      </c>
      <c r="AJ37" s="132">
        <f t="shared" si="20"/>
        <v>5.7723403400184878E-2</v>
      </c>
      <c r="AK37" s="132">
        <f t="shared" si="21"/>
        <v>8.4878111891327421E-3</v>
      </c>
      <c r="AL37" s="132">
        <f t="shared" si="22"/>
        <v>7.9791285912310418E-3</v>
      </c>
      <c r="AM37" s="132">
        <f t="shared" si="23"/>
        <v>3.0990065520731078E-3</v>
      </c>
      <c r="AN37" s="132">
        <f>((((IF(F37="Grey",STDs!$Y$9,STDs!$Y$8))*2)*(N37-AF37))^2*0.01)/((1+(((IF(F37="Grey",STDs!$Y$9,STDs!$Y$8))*2)*(N37-AF37))*0.01))</f>
        <v>4.7827042766897002E-8</v>
      </c>
      <c r="AO37" s="132">
        <f>AJ37-AN37-IF(F37="Grey",Blanks!$M$6,Blanks!$M$5)</f>
        <v>4.5294784144570686E-2</v>
      </c>
      <c r="AP37" s="132">
        <f t="shared" si="24"/>
        <v>8.4878111891327421E-3</v>
      </c>
      <c r="AQ37" s="320">
        <f>AO37/IF(F37="Grey",STDs!$AA$9,STDs!$AA$8)</f>
        <v>0.38407709555247921</v>
      </c>
      <c r="AR37" s="320">
        <f>SQRT(((AP37/IF(F37="Grey",STDs!$AA$9,STDs!$AA$8))^2)+(((AO37*(IF(F37="Grey",STDs!$AB$9,STDs!$AB$8)))/(IF(F37="Grey",STDs!$AA$9,STDs!$AA$8))))^2)</f>
        <v>7.1996932784961026E-2</v>
      </c>
      <c r="AS37" s="320">
        <f t="shared" si="25"/>
        <v>8.3495020772278092</v>
      </c>
      <c r="AT37" s="320">
        <f t="shared" si="26"/>
        <v>1.585067670467408</v>
      </c>
      <c r="AU37" s="306">
        <f>('Count 1 '!AR37-(AS37*EXP(Reference!$C$3*L37)))/(1-EXP(Reference!$C$3*L37))</f>
        <v>4.5388528032544366</v>
      </c>
      <c r="AV37" s="132">
        <f t="shared" si="27"/>
        <v>89.641704706412497</v>
      </c>
      <c r="AW37" s="283">
        <f>AS37-('Count 1 '!AY37*Q37)</f>
        <v>4.5388528032544375</v>
      </c>
      <c r="AX37" s="284">
        <f>SQRT(((AP37/(Q37*IF(F37="Grey",STDs!$AA$9,STDs!$AA$8)))^2)+(((AO37*Q37*IF(F37="Grey",STDs!$AB$9,STDs!$AB$8))/((Q37*IF(F37="Grey",STDs!$AA$9,STDs!$AA$8))^2))^2))</f>
        <v>0.79143033938625418</v>
      </c>
    </row>
  </sheetData>
  <mergeCells count="6">
    <mergeCell ref="X1:AA1"/>
    <mergeCell ref="C1:D1"/>
    <mergeCell ref="H1:O1"/>
    <mergeCell ref="P1:Q1"/>
    <mergeCell ref="R1:S1"/>
    <mergeCell ref="T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38"/>
  <sheetViews>
    <sheetView zoomScale="62" workbookViewId="0">
      <selection activeCell="W5" sqref="W5"/>
    </sheetView>
  </sheetViews>
  <sheetFormatPr baseColWidth="10" defaultColWidth="11.1640625" defaultRowHeight="16"/>
  <cols>
    <col min="1" max="1" width="28.6640625" style="34" customWidth="1"/>
    <col min="2" max="2" width="7.83203125" style="42" bestFit="1" customWidth="1"/>
    <col min="3" max="3" width="10.5" bestFit="1" customWidth="1"/>
    <col min="4" max="4" width="6.33203125" style="5" bestFit="1" customWidth="1"/>
    <col min="5" max="5" width="4.83203125" style="45" bestFit="1" customWidth="1"/>
    <col min="6" max="6" width="4.6640625" style="45" customWidth="1"/>
    <col min="7" max="7" width="16" style="55" customWidth="1"/>
    <col min="8" max="8" width="44.33203125" style="23" customWidth="1"/>
    <col min="9" max="9" width="7.6640625" style="25" bestFit="1" customWidth="1"/>
    <col min="10" max="10" width="13.1640625" style="61" bestFit="1" customWidth="1"/>
    <col min="11" max="11" width="12.1640625" style="42" bestFit="1" customWidth="1"/>
    <col min="12" max="12" width="8.6640625" style="39" bestFit="1" customWidth="1"/>
    <col min="13" max="13" width="8.1640625" style="39" bestFit="1" customWidth="1"/>
    <col min="14" max="14" width="7.1640625" bestFit="1" customWidth="1"/>
    <col min="15" max="15" width="6.83203125" customWidth="1"/>
    <col min="16" max="16" width="7.1640625" style="5" bestFit="1" customWidth="1"/>
    <col min="17" max="17" width="6.33203125" style="21" customWidth="1"/>
    <col min="18" max="18" width="8" style="20" customWidth="1"/>
    <col min="19" max="19" width="9.1640625" style="22" customWidth="1"/>
    <col min="20" max="20" width="9" bestFit="1" customWidth="1"/>
    <col min="21" max="21" width="6.33203125" style="5" bestFit="1" customWidth="1"/>
    <col min="22" max="22" width="14" style="40" bestFit="1" customWidth="1"/>
    <col min="23" max="23" width="8.1640625" style="9" bestFit="1" customWidth="1"/>
    <col min="24" max="24" width="6.1640625" bestFit="1" customWidth="1"/>
    <col min="25" max="25" width="6.83203125" customWidth="1"/>
    <col min="26" max="26" width="14" style="5" bestFit="1" customWidth="1"/>
    <col min="27" max="27" width="6.33203125" style="21" customWidth="1"/>
    <col min="28" max="28" width="8" style="20" customWidth="1"/>
    <col min="29" max="29" width="9.1640625" style="22" customWidth="1"/>
    <col min="30" max="30" width="8.83203125" bestFit="1" customWidth="1"/>
    <col min="31" max="31" width="8.1640625" style="5" customWidth="1"/>
    <col min="32" max="32" width="8.6640625" style="40" bestFit="1" customWidth="1"/>
    <col min="33" max="33" width="8.1640625" style="9" bestFit="1" customWidth="1"/>
    <col min="34" max="34" width="6.1640625" bestFit="1" customWidth="1"/>
    <col min="35" max="35" width="6.83203125" customWidth="1"/>
    <col min="36" max="36" width="7.1640625" style="5" bestFit="1" customWidth="1"/>
    <col min="37" max="37" width="6.33203125" style="21" customWidth="1"/>
    <col min="38" max="38" width="8" style="20" customWidth="1"/>
    <col min="39" max="39" width="9.1640625" style="22" customWidth="1"/>
    <col min="40" max="40" width="10.83203125" bestFit="1" customWidth="1"/>
    <col min="41" max="41" width="8.83203125" style="5" bestFit="1" customWidth="1"/>
    <col min="42" max="43" width="11.83203125" customWidth="1"/>
    <col min="44" max="44" width="9" bestFit="1" customWidth="1"/>
    <col min="47" max="47" width="15.5" bestFit="1" customWidth="1"/>
  </cols>
  <sheetData>
    <row r="1" spans="1:47" s="3" customFormat="1" ht="16" customHeight="1">
      <c r="A1" s="32"/>
      <c r="B1" s="42"/>
      <c r="C1" s="378" t="s">
        <v>17</v>
      </c>
      <c r="D1" s="379"/>
      <c r="E1" s="45"/>
      <c r="F1" s="45"/>
      <c r="G1" s="62"/>
      <c r="H1" s="63"/>
      <c r="I1" s="64"/>
      <c r="J1" s="381" t="s">
        <v>54</v>
      </c>
      <c r="K1" s="382"/>
      <c r="L1" s="383"/>
      <c r="M1" s="39"/>
      <c r="N1" s="378" t="s">
        <v>48</v>
      </c>
      <c r="O1" s="380"/>
      <c r="P1" s="379"/>
      <c r="Q1" s="378" t="s">
        <v>49</v>
      </c>
      <c r="R1" s="380"/>
      <c r="S1" s="379"/>
      <c r="T1" s="381" t="s">
        <v>55</v>
      </c>
      <c r="U1" s="382"/>
      <c r="V1" s="383"/>
      <c r="W1" s="39"/>
      <c r="X1" s="378" t="s">
        <v>50</v>
      </c>
      <c r="Y1" s="380"/>
      <c r="Z1" s="379"/>
      <c r="AA1" s="378" t="s">
        <v>51</v>
      </c>
      <c r="AB1" s="380"/>
      <c r="AC1" s="379"/>
      <c r="AD1" s="381" t="s">
        <v>56</v>
      </c>
      <c r="AE1" s="382"/>
      <c r="AF1" s="383"/>
      <c r="AG1" s="39"/>
      <c r="AH1" s="378" t="s">
        <v>52</v>
      </c>
      <c r="AI1" s="380"/>
      <c r="AJ1" s="379"/>
      <c r="AK1" s="378" t="s">
        <v>53</v>
      </c>
      <c r="AL1" s="380"/>
      <c r="AM1" s="379"/>
      <c r="AN1" s="378" t="s">
        <v>20</v>
      </c>
      <c r="AO1" s="379"/>
      <c r="AP1" s="61"/>
      <c r="AQ1" s="61"/>
      <c r="AR1" s="61"/>
    </row>
    <row r="2" spans="1:47" s="24" customFormat="1" ht="35" thickBot="1">
      <c r="A2" s="33" t="s">
        <v>0</v>
      </c>
      <c r="B2" s="33" t="s">
        <v>34</v>
      </c>
      <c r="C2" s="56" t="s">
        <v>1</v>
      </c>
      <c r="D2" s="33" t="s">
        <v>2</v>
      </c>
      <c r="E2" s="33" t="s">
        <v>81</v>
      </c>
      <c r="F2" s="33" t="s">
        <v>82</v>
      </c>
      <c r="G2" s="65" t="s">
        <v>4</v>
      </c>
      <c r="H2" s="66" t="s">
        <v>5</v>
      </c>
      <c r="I2" s="67" t="s">
        <v>3</v>
      </c>
      <c r="J2" s="56" t="s">
        <v>1</v>
      </c>
      <c r="K2" s="33" t="s">
        <v>2</v>
      </c>
      <c r="L2" s="33" t="s">
        <v>73</v>
      </c>
      <c r="M2" s="33" t="s">
        <v>8</v>
      </c>
      <c r="N2" s="56">
        <v>219</v>
      </c>
      <c r="O2" s="33">
        <v>220</v>
      </c>
      <c r="P2" s="33" t="s">
        <v>19</v>
      </c>
      <c r="Q2" s="68">
        <v>219</v>
      </c>
      <c r="R2" s="69">
        <v>220</v>
      </c>
      <c r="S2" s="70" t="s">
        <v>19</v>
      </c>
      <c r="T2" s="56" t="s">
        <v>1</v>
      </c>
      <c r="U2" s="33" t="s">
        <v>2</v>
      </c>
      <c r="V2" s="41" t="s">
        <v>73</v>
      </c>
      <c r="W2" s="33" t="s">
        <v>8</v>
      </c>
      <c r="X2" s="56">
        <v>219</v>
      </c>
      <c r="Y2" s="33">
        <v>220</v>
      </c>
      <c r="Z2" s="33" t="s">
        <v>19</v>
      </c>
      <c r="AA2" s="68">
        <v>219</v>
      </c>
      <c r="AB2" s="69">
        <v>220</v>
      </c>
      <c r="AC2" s="70" t="s">
        <v>19</v>
      </c>
      <c r="AD2" s="56" t="s">
        <v>1</v>
      </c>
      <c r="AE2" s="33" t="s">
        <v>2</v>
      </c>
      <c r="AF2" s="41" t="s">
        <v>73</v>
      </c>
      <c r="AG2" s="33" t="s">
        <v>8</v>
      </c>
      <c r="AH2" s="56">
        <v>219</v>
      </c>
      <c r="AI2" s="33">
        <v>220</v>
      </c>
      <c r="AJ2" s="33" t="s">
        <v>19</v>
      </c>
      <c r="AK2" s="68">
        <v>219</v>
      </c>
      <c r="AL2" s="69">
        <v>220</v>
      </c>
      <c r="AM2" s="70" t="s">
        <v>19</v>
      </c>
      <c r="AN2" s="56">
        <v>219</v>
      </c>
      <c r="AO2" s="33">
        <v>220</v>
      </c>
      <c r="AP2" s="33" t="s">
        <v>99</v>
      </c>
      <c r="AQ2" s="33" t="s">
        <v>98</v>
      </c>
      <c r="AR2" s="33" t="s">
        <v>104</v>
      </c>
    </row>
    <row r="3" spans="1:47" ht="17">
      <c r="A3" s="34" t="s">
        <v>24</v>
      </c>
      <c r="B3" s="42">
        <v>14</v>
      </c>
      <c r="C3" s="57">
        <v>43722</v>
      </c>
      <c r="D3" s="58">
        <v>0.53125</v>
      </c>
      <c r="E3" s="46"/>
      <c r="F3" s="47"/>
      <c r="G3" s="62" t="s">
        <v>6</v>
      </c>
      <c r="H3" s="63" t="s">
        <v>7</v>
      </c>
      <c r="I3" s="64">
        <v>103.1</v>
      </c>
      <c r="J3" s="57">
        <v>43722</v>
      </c>
      <c r="K3" s="58">
        <v>0.72430555555555554</v>
      </c>
      <c r="L3" s="37">
        <v>178</v>
      </c>
      <c r="M3" s="39" t="s">
        <v>9</v>
      </c>
      <c r="N3" s="61">
        <v>0.70199999999999996</v>
      </c>
      <c r="O3" s="61">
        <v>8.9580000000000002</v>
      </c>
      <c r="P3" s="42">
        <v>20.094000000000001</v>
      </c>
      <c r="Q3" s="71">
        <f>(N3/$I3)*100</f>
        <v>0.68089233753637246</v>
      </c>
      <c r="R3" s="72">
        <f>(O3/$I3)*100</f>
        <v>8.6886517943743939</v>
      </c>
      <c r="S3" s="73">
        <f>(P3/$I3)*100</f>
        <v>19.4898157129001</v>
      </c>
      <c r="T3" s="57">
        <v>43728</v>
      </c>
      <c r="U3" s="58">
        <v>0.3888888888888889</v>
      </c>
      <c r="V3" s="74">
        <v>154</v>
      </c>
      <c r="W3" s="39" t="s">
        <v>9</v>
      </c>
      <c r="X3" s="61">
        <v>0.50600000000000001</v>
      </c>
      <c r="Y3" s="61">
        <v>2.9129999999999998</v>
      </c>
      <c r="Z3" s="42">
        <v>8.1280000000000001</v>
      </c>
      <c r="AA3" s="71">
        <f>(X3/$I3)*100</f>
        <v>0.49078564500484972</v>
      </c>
      <c r="AB3" s="72">
        <f>(Y3/$I3)*100</f>
        <v>2.8254122211445196</v>
      </c>
      <c r="AC3" s="73">
        <f>(Z3/$I3)*100</f>
        <v>7.8836081474296797</v>
      </c>
      <c r="AD3" s="57">
        <v>43753</v>
      </c>
      <c r="AE3" s="58">
        <v>0.59722222222222221</v>
      </c>
      <c r="AF3" s="74">
        <v>1109</v>
      </c>
      <c r="AG3" s="39" t="s">
        <v>9</v>
      </c>
      <c r="AH3" s="61">
        <v>9.0999999999999998E-2</v>
      </c>
      <c r="AI3" s="61">
        <v>0.69499999999999995</v>
      </c>
      <c r="AJ3" s="42">
        <v>3.8130000000000002</v>
      </c>
      <c r="AK3" s="71">
        <f>(AH3/$I3)*100</f>
        <v>8.8263821532492737E-2</v>
      </c>
      <c r="AL3" s="72">
        <f>(AI3/$I3)*100</f>
        <v>0.6741028128031038</v>
      </c>
      <c r="AM3" s="73">
        <f>(AJ3/$I3)*100</f>
        <v>3.6983511154219211</v>
      </c>
      <c r="AN3" s="97"/>
      <c r="AO3" s="98"/>
      <c r="AP3" s="75">
        <f>AVERAGE(AN3:AN49)</f>
        <v>0.94566304014465785</v>
      </c>
      <c r="AQ3" s="75">
        <f>AVERAGE(AO3:AO49)</f>
        <v>0.96550599604731346</v>
      </c>
      <c r="AR3" s="61">
        <f>COUNT(AO5:AO50)</f>
        <v>6</v>
      </c>
    </row>
    <row r="4" spans="1:47" ht="17">
      <c r="A4" s="34" t="s">
        <v>10</v>
      </c>
      <c r="B4" s="42">
        <v>23</v>
      </c>
      <c r="C4" s="57">
        <v>43723</v>
      </c>
      <c r="D4" s="58">
        <v>0.34722222222222227</v>
      </c>
      <c r="E4" s="46"/>
      <c r="F4" s="47"/>
      <c r="G4" s="62" t="s">
        <v>6</v>
      </c>
      <c r="H4" s="63" t="s">
        <v>7</v>
      </c>
      <c r="I4" s="64">
        <v>188.8</v>
      </c>
      <c r="J4" s="57">
        <v>43723</v>
      </c>
      <c r="K4" s="58">
        <v>0.57013888888888886</v>
      </c>
      <c r="L4" s="37">
        <v>96</v>
      </c>
      <c r="M4" s="39" t="s">
        <v>13</v>
      </c>
      <c r="N4" s="61">
        <v>0.98899999999999999</v>
      </c>
      <c r="O4" s="61">
        <v>8.6989999999999998</v>
      </c>
      <c r="P4" s="42">
        <v>20.916</v>
      </c>
      <c r="Q4" s="71">
        <f t="shared" ref="Q4:Q5" si="0">(N4/$I4)*100</f>
        <v>0.52383474576271183</v>
      </c>
      <c r="R4" s="72">
        <f t="shared" ref="R4:R5" si="1">(O4/$I4)*100</f>
        <v>4.6075211864406773</v>
      </c>
      <c r="S4" s="73">
        <f t="shared" ref="S4:S5" si="2">(P4/$I4)*100</f>
        <v>11.078389830508474</v>
      </c>
      <c r="T4" s="57">
        <v>43729</v>
      </c>
      <c r="U4" s="58">
        <v>0.54652777777777783</v>
      </c>
      <c r="V4" s="74">
        <v>127</v>
      </c>
      <c r="W4" s="39" t="s">
        <v>13</v>
      </c>
      <c r="X4" s="61">
        <v>0.503</v>
      </c>
      <c r="Y4" s="61">
        <v>2.6179999999999999</v>
      </c>
      <c r="Z4" s="42">
        <v>8.8849999999999998</v>
      </c>
      <c r="AA4" s="71">
        <f t="shared" ref="AA4:AA5" si="3">(X4/$I4)*100</f>
        <v>0.26641949152542371</v>
      </c>
      <c r="AB4" s="72">
        <f t="shared" ref="AB4:AB5" si="4">(Y4/$I4)*100</f>
        <v>1.3866525423728813</v>
      </c>
      <c r="AC4" s="73">
        <f t="shared" ref="AC4:AC5" si="5">(Z4/$I4)*100</f>
        <v>4.7060381355932197</v>
      </c>
      <c r="AD4" s="57">
        <v>43753</v>
      </c>
      <c r="AE4" s="58">
        <v>0.59722222222222221</v>
      </c>
      <c r="AF4" s="74">
        <v>1109</v>
      </c>
      <c r="AG4" s="39" t="s">
        <v>13</v>
      </c>
      <c r="AH4" s="61">
        <v>0.105</v>
      </c>
      <c r="AI4" s="61">
        <v>1.3109999999999999</v>
      </c>
      <c r="AJ4" s="42">
        <v>6.1420000000000003</v>
      </c>
      <c r="AK4" s="71">
        <f t="shared" ref="AK4:AK5" si="6">(AH4/$I4)*100</f>
        <v>5.5614406779661008E-2</v>
      </c>
      <c r="AL4" s="72">
        <f t="shared" ref="AL4:AL5" si="7">(AI4/$I4)*100</f>
        <v>0.69438559322033888</v>
      </c>
      <c r="AM4" s="73">
        <f t="shared" ref="AM4" si="8">(AJ4/$I4)*100</f>
        <v>3.2531779661016946</v>
      </c>
      <c r="AN4" s="97"/>
      <c r="AO4" s="98"/>
      <c r="AP4" s="76">
        <f>STDEV(AN3:AN49)</f>
        <v>6.3437679834223548E-2</v>
      </c>
      <c r="AQ4" s="76">
        <f>STDEV(AO3:AO49)</f>
        <v>3.7735325886545469E-2</v>
      </c>
      <c r="AR4" s="61"/>
    </row>
    <row r="5" spans="1:47" ht="32" customHeight="1">
      <c r="A5" s="34" t="s">
        <v>11</v>
      </c>
      <c r="C5" s="57">
        <v>43723</v>
      </c>
      <c r="D5" s="58">
        <v>0.34722222222222227</v>
      </c>
      <c r="E5" s="48" t="s">
        <v>91</v>
      </c>
      <c r="F5" s="48" t="s">
        <v>91</v>
      </c>
      <c r="G5" s="77" t="s">
        <v>23</v>
      </c>
      <c r="H5" s="63" t="s">
        <v>12</v>
      </c>
      <c r="I5" s="64">
        <v>188.8</v>
      </c>
      <c r="J5" s="57">
        <v>43723</v>
      </c>
      <c r="K5" s="58">
        <v>0.57013888888888886</v>
      </c>
      <c r="L5" s="37">
        <v>96</v>
      </c>
      <c r="M5" s="39" t="s">
        <v>9</v>
      </c>
      <c r="N5" s="61">
        <v>0.01</v>
      </c>
      <c r="O5" s="61">
        <v>3.1E-2</v>
      </c>
      <c r="P5" s="42">
        <v>1.0720000000000001</v>
      </c>
      <c r="Q5" s="71">
        <f t="shared" si="0"/>
        <v>5.2966101694915252E-3</v>
      </c>
      <c r="R5" s="72">
        <f t="shared" si="1"/>
        <v>1.6419491525423727E-2</v>
      </c>
      <c r="S5" s="78">
        <f t="shared" si="2"/>
        <v>0.56779661016949146</v>
      </c>
      <c r="T5" s="50" t="s">
        <v>91</v>
      </c>
      <c r="U5" s="50" t="s">
        <v>91</v>
      </c>
      <c r="V5" s="74"/>
      <c r="W5" s="39"/>
      <c r="X5" s="61"/>
      <c r="Y5" s="61"/>
      <c r="Z5" s="42"/>
      <c r="AA5" s="71">
        <f t="shared" si="3"/>
        <v>0</v>
      </c>
      <c r="AB5" s="72">
        <f t="shared" si="4"/>
        <v>0</v>
      </c>
      <c r="AC5" s="73">
        <f t="shared" si="5"/>
        <v>0</v>
      </c>
      <c r="AD5" s="50" t="s">
        <v>91</v>
      </c>
      <c r="AE5" s="50" t="s">
        <v>91</v>
      </c>
      <c r="AF5" s="74"/>
      <c r="AG5" s="39"/>
      <c r="AH5" s="61"/>
      <c r="AI5" s="61"/>
      <c r="AJ5" s="42"/>
      <c r="AK5" s="71">
        <f t="shared" si="6"/>
        <v>0</v>
      </c>
      <c r="AL5" s="72">
        <f t="shared" si="7"/>
        <v>0</v>
      </c>
      <c r="AM5" s="73">
        <f t="shared" ref="AK5:AM8" si="9">(AJ5/$I5)*100</f>
        <v>0</v>
      </c>
      <c r="AN5" s="97">
        <f>1-(Q5/Q4)</f>
        <v>0.98988877654196161</v>
      </c>
      <c r="AO5" s="98">
        <f>1-(R5/R4)</f>
        <v>0.99643637199678126</v>
      </c>
      <c r="AP5" s="61"/>
      <c r="AQ5" s="61"/>
      <c r="AR5" s="61"/>
    </row>
    <row r="6" spans="1:47" ht="32" customHeight="1">
      <c r="A6" s="34" t="s">
        <v>14</v>
      </c>
      <c r="B6" s="42">
        <v>26</v>
      </c>
      <c r="C6" s="57">
        <v>43723</v>
      </c>
      <c r="D6" s="58">
        <v>0.57291666666666663</v>
      </c>
      <c r="E6" s="46"/>
      <c r="F6" s="47"/>
      <c r="G6" s="62" t="s">
        <v>6</v>
      </c>
      <c r="H6" s="63" t="s">
        <v>22</v>
      </c>
      <c r="I6" s="64">
        <v>178.4</v>
      </c>
      <c r="J6" s="57">
        <v>43723</v>
      </c>
      <c r="K6" s="58">
        <v>0.81388888888888899</v>
      </c>
      <c r="L6" s="38">
        <v>94</v>
      </c>
      <c r="M6" s="39" t="s">
        <v>13</v>
      </c>
      <c r="N6" s="61">
        <v>0.80600000000000005</v>
      </c>
      <c r="O6" s="61">
        <v>9.5830000000000002</v>
      </c>
      <c r="P6" s="42">
        <v>22.527000000000001</v>
      </c>
      <c r="Q6" s="71">
        <f t="shared" ref="Q6:S8" si="10">(N6/$I6)*100</f>
        <v>0.45179372197309414</v>
      </c>
      <c r="R6" s="72">
        <f t="shared" si="10"/>
        <v>5.371636771300448</v>
      </c>
      <c r="S6" s="73">
        <f t="shared" si="10"/>
        <v>12.627242152466367</v>
      </c>
      <c r="T6" s="57">
        <v>43730</v>
      </c>
      <c r="U6" s="58">
        <v>0.43055555555555558</v>
      </c>
      <c r="V6" s="74">
        <v>139</v>
      </c>
      <c r="W6" s="39" t="s">
        <v>9</v>
      </c>
      <c r="X6" s="61">
        <v>0.51</v>
      </c>
      <c r="Y6" s="61">
        <v>3.0289999999999999</v>
      </c>
      <c r="Z6" s="42">
        <v>9.1460000000000008</v>
      </c>
      <c r="AA6" s="71">
        <f>(X6/$I6)*100</f>
        <v>0.2858744394618834</v>
      </c>
      <c r="AB6" s="72">
        <f t="shared" ref="AA6:AC8" si="11">(Y6/$I6)*100</f>
        <v>1.6978699551569505</v>
      </c>
      <c r="AC6" s="73">
        <f t="shared" si="11"/>
        <v>5.126681614349776</v>
      </c>
      <c r="AD6" s="57">
        <v>43754</v>
      </c>
      <c r="AE6" s="58">
        <v>0.3888888888888889</v>
      </c>
      <c r="AF6" s="74">
        <v>271</v>
      </c>
      <c r="AG6" s="39" t="s">
        <v>9</v>
      </c>
      <c r="AH6" s="61">
        <v>9.6000000000000002E-2</v>
      </c>
      <c r="AI6" s="61">
        <v>1.069</v>
      </c>
      <c r="AJ6" s="42">
        <v>3.62</v>
      </c>
      <c r="AK6" s="71">
        <f t="shared" si="9"/>
        <v>5.3811659192825115E-2</v>
      </c>
      <c r="AL6" s="72">
        <f t="shared" si="9"/>
        <v>0.59921524663677128</v>
      </c>
      <c r="AM6" s="73">
        <f t="shared" si="9"/>
        <v>2.0291479820627805</v>
      </c>
      <c r="AN6" s="97"/>
      <c r="AO6" s="98"/>
      <c r="AP6" s="61"/>
      <c r="AQ6" s="61"/>
      <c r="AR6" s="151"/>
    </row>
    <row r="7" spans="1:47" ht="74" customHeight="1">
      <c r="A7" s="34" t="s">
        <v>15</v>
      </c>
      <c r="B7" s="42">
        <v>24</v>
      </c>
      <c r="C7" s="57">
        <v>43723</v>
      </c>
      <c r="D7" s="58">
        <v>0.65972222222222221</v>
      </c>
      <c r="E7" s="46"/>
      <c r="F7" s="47"/>
      <c r="G7" s="62" t="s">
        <v>16</v>
      </c>
      <c r="H7" s="63" t="s">
        <v>21</v>
      </c>
      <c r="I7" s="64">
        <v>0.36</v>
      </c>
      <c r="J7" s="57">
        <v>43723</v>
      </c>
      <c r="K7" s="58">
        <v>0.81388888888888899</v>
      </c>
      <c r="L7" s="38">
        <v>688</v>
      </c>
      <c r="M7" s="39" t="s">
        <v>9</v>
      </c>
      <c r="N7" s="61">
        <v>0.02</v>
      </c>
      <c r="O7" s="61">
        <v>0.45700000000000002</v>
      </c>
      <c r="P7" s="42">
        <v>1.7509999999999999</v>
      </c>
      <c r="Q7" s="71">
        <f t="shared" si="10"/>
        <v>5.5555555555555562</v>
      </c>
      <c r="R7" s="72">
        <f t="shared" si="10"/>
        <v>126.94444444444446</v>
      </c>
      <c r="S7" s="73">
        <f t="shared" si="10"/>
        <v>486.38888888888891</v>
      </c>
      <c r="T7" s="57">
        <v>43730</v>
      </c>
      <c r="U7" s="58">
        <v>0.43055555555555558</v>
      </c>
      <c r="V7" s="74">
        <v>330</v>
      </c>
      <c r="W7" s="39" t="s">
        <v>13</v>
      </c>
      <c r="X7" s="61">
        <v>3.0000000000000001E-3</v>
      </c>
      <c r="Y7" s="61">
        <v>0.106</v>
      </c>
      <c r="Z7" s="42">
        <v>1.0549999999999999</v>
      </c>
      <c r="AA7" s="71">
        <f t="shared" si="11"/>
        <v>0.83333333333333337</v>
      </c>
      <c r="AB7" s="72">
        <f t="shared" si="11"/>
        <v>29.444444444444446</v>
      </c>
      <c r="AC7" s="73">
        <f t="shared" si="11"/>
        <v>293.05555555555554</v>
      </c>
      <c r="AD7" s="57">
        <v>43754</v>
      </c>
      <c r="AE7" s="58">
        <v>0.6020833333333333</v>
      </c>
      <c r="AF7" s="74">
        <v>2482</v>
      </c>
      <c r="AG7" s="39" t="s">
        <v>9</v>
      </c>
      <c r="AH7" s="61">
        <v>2E-3</v>
      </c>
      <c r="AI7" s="61">
        <v>0.03</v>
      </c>
      <c r="AJ7" s="42">
        <v>0.61799999999999999</v>
      </c>
      <c r="AK7" s="71">
        <f t="shared" si="9"/>
        <v>0.55555555555555558</v>
      </c>
      <c r="AL7" s="72">
        <f t="shared" si="9"/>
        <v>8.3333333333333321</v>
      </c>
      <c r="AM7" s="73">
        <f t="shared" si="9"/>
        <v>171.66666666666669</v>
      </c>
      <c r="AN7" s="97"/>
      <c r="AO7" s="98"/>
      <c r="AP7" s="61"/>
      <c r="AQ7" s="61"/>
      <c r="AR7" s="61"/>
      <c r="AU7" s="49"/>
    </row>
    <row r="8" spans="1:47" ht="17">
      <c r="A8" s="34" t="s">
        <v>33</v>
      </c>
      <c r="B8" s="42">
        <v>52</v>
      </c>
      <c r="C8" s="57">
        <v>43724</v>
      </c>
      <c r="D8" s="58">
        <v>0.53819444444444442</v>
      </c>
      <c r="E8" s="46"/>
      <c r="F8" s="47"/>
      <c r="G8" s="62" t="s">
        <v>6</v>
      </c>
      <c r="H8" s="63" t="s">
        <v>7</v>
      </c>
      <c r="I8" s="64">
        <v>194.9</v>
      </c>
      <c r="J8" s="57">
        <v>43724</v>
      </c>
      <c r="K8" s="58">
        <v>0.71250000000000002</v>
      </c>
      <c r="L8" s="38">
        <v>104</v>
      </c>
      <c r="M8" s="39" t="s">
        <v>13</v>
      </c>
      <c r="N8" s="61">
        <v>0.84199999999999997</v>
      </c>
      <c r="O8" s="61">
        <v>8.4420000000000002</v>
      </c>
      <c r="P8" s="42">
        <v>19.927</v>
      </c>
      <c r="Q8" s="71">
        <f t="shared" si="10"/>
        <v>0.43201641867624418</v>
      </c>
      <c r="R8" s="72">
        <f t="shared" si="10"/>
        <v>4.3314520266803491</v>
      </c>
      <c r="S8" s="73">
        <f t="shared" si="10"/>
        <v>10.224217547460237</v>
      </c>
      <c r="T8" s="57">
        <v>43730</v>
      </c>
      <c r="U8" s="58">
        <v>0.54513888888888895</v>
      </c>
      <c r="V8" s="74">
        <v>164</v>
      </c>
      <c r="W8" s="39" t="s">
        <v>9</v>
      </c>
      <c r="X8" s="61">
        <v>0.61599999999999999</v>
      </c>
      <c r="Y8" s="61">
        <v>3.165</v>
      </c>
      <c r="Z8" s="42">
        <v>9.7799999999999994</v>
      </c>
      <c r="AA8" s="71">
        <f t="shared" si="11"/>
        <v>0.3160595177013853</v>
      </c>
      <c r="AB8" s="72">
        <f t="shared" si="11"/>
        <v>1.6239096972806566</v>
      </c>
      <c r="AC8" s="73">
        <f t="shared" si="11"/>
        <v>5.0179579271421231</v>
      </c>
      <c r="AD8" s="57">
        <v>43754</v>
      </c>
      <c r="AE8" s="58">
        <v>0.3888888888888889</v>
      </c>
      <c r="AF8" s="74">
        <v>271</v>
      </c>
      <c r="AG8" s="39" t="s">
        <v>13</v>
      </c>
      <c r="AH8" s="61">
        <v>0.14000000000000001</v>
      </c>
      <c r="AI8" s="61">
        <v>0.85899999999999999</v>
      </c>
      <c r="AJ8" s="42">
        <v>4.6959999999999997</v>
      </c>
      <c r="AK8" s="71">
        <f t="shared" si="9"/>
        <v>7.1831708568496674E-2</v>
      </c>
      <c r="AL8" s="72">
        <f t="shared" si="9"/>
        <v>0.44073884043099021</v>
      </c>
      <c r="AM8" s="73" t="s">
        <v>94</v>
      </c>
      <c r="AN8" s="97"/>
      <c r="AO8" s="98"/>
      <c r="AP8" s="61"/>
      <c r="AQ8" s="61"/>
      <c r="AR8" s="61"/>
    </row>
    <row r="9" spans="1:47" ht="55" customHeight="1">
      <c r="A9" s="34" t="s">
        <v>35</v>
      </c>
      <c r="B9" s="42">
        <v>22</v>
      </c>
      <c r="C9" s="57">
        <v>43724</v>
      </c>
      <c r="D9" s="58">
        <v>0.625</v>
      </c>
      <c r="E9" s="46"/>
      <c r="F9" s="47"/>
      <c r="G9" s="77" t="s">
        <v>38</v>
      </c>
      <c r="H9" s="63" t="s">
        <v>37</v>
      </c>
      <c r="I9" s="64">
        <v>6.8490000000000002</v>
      </c>
      <c r="J9" s="57">
        <v>43724</v>
      </c>
      <c r="K9" s="58">
        <v>0.86597222222222225</v>
      </c>
      <c r="L9" s="38">
        <v>874</v>
      </c>
      <c r="M9" s="39" t="s">
        <v>13</v>
      </c>
      <c r="N9" s="61">
        <v>3.4000000000000002E-2</v>
      </c>
      <c r="O9" s="61">
        <v>0.45800000000000002</v>
      </c>
      <c r="P9" s="42">
        <v>2.2970000000000002</v>
      </c>
      <c r="Q9" s="71">
        <f t="shared" ref="Q9" si="12">(N9/$I9)*100</f>
        <v>0.4964228354504307</v>
      </c>
      <c r="R9" s="72">
        <f t="shared" ref="R9" si="13">(O9/$I9)*100</f>
        <v>6.6871076069499198</v>
      </c>
      <c r="S9" s="73">
        <f t="shared" ref="S9:S10" si="14">(P9/$I9)*100</f>
        <v>33.537742736165868</v>
      </c>
      <c r="T9" s="57">
        <v>43730</v>
      </c>
      <c r="U9" s="58">
        <v>0.88888888888888884</v>
      </c>
      <c r="V9" s="74">
        <v>571</v>
      </c>
      <c r="W9" s="39" t="s">
        <v>13</v>
      </c>
      <c r="X9" s="61">
        <v>2.5999999999999999E-2</v>
      </c>
      <c r="Y9" s="61">
        <v>0.19900000000000001</v>
      </c>
      <c r="Z9" s="42">
        <v>1.081</v>
      </c>
      <c r="AA9" s="71">
        <f t="shared" ref="AA9" si="15">(X9/$I9)*100</f>
        <v>0.37961746240327049</v>
      </c>
      <c r="AB9" s="72">
        <f t="shared" ref="AB9" si="16">(Y9/$I9)*100</f>
        <v>2.9055336545481092</v>
      </c>
      <c r="AC9" s="73">
        <f t="shared" ref="AC9:AC14" si="17">(Z9/$I9)*100</f>
        <v>15.783326032997516</v>
      </c>
      <c r="AD9" s="57">
        <v>43754</v>
      </c>
      <c r="AE9" s="58">
        <v>0.6020833333333333</v>
      </c>
      <c r="AF9" s="74">
        <v>2482</v>
      </c>
      <c r="AG9" s="39" t="s">
        <v>13</v>
      </c>
      <c r="AH9" s="61">
        <v>6.0000000000000001E-3</v>
      </c>
      <c r="AI9" s="61">
        <v>6.2E-2</v>
      </c>
      <c r="AJ9" s="42">
        <v>1.0740000000000001</v>
      </c>
      <c r="AK9" s="71">
        <f t="shared" ref="AK9" si="18">(AH9/$I9)*100</f>
        <v>8.760402978537013E-2</v>
      </c>
      <c r="AL9" s="72">
        <f t="shared" ref="AL9" si="19">(AI9/$I9)*100</f>
        <v>0.90524164111549132</v>
      </c>
      <c r="AM9" s="73">
        <f t="shared" ref="AM9:AM14" si="20">(AJ9/$I9)*100</f>
        <v>15.681121331581252</v>
      </c>
      <c r="AN9" s="97"/>
      <c r="AO9" s="98"/>
      <c r="AP9" s="61"/>
      <c r="AQ9" s="61"/>
      <c r="AR9" s="152"/>
    </row>
    <row r="10" spans="1:47" ht="58" customHeight="1">
      <c r="A10" s="34" t="s">
        <v>36</v>
      </c>
      <c r="B10" s="42">
        <v>39</v>
      </c>
      <c r="C10" s="57">
        <v>43724</v>
      </c>
      <c r="D10" s="58">
        <v>0.55208333333333337</v>
      </c>
      <c r="E10" s="46"/>
      <c r="F10" s="47"/>
      <c r="G10" s="77" t="s">
        <v>39</v>
      </c>
      <c r="H10" s="63" t="s">
        <v>45</v>
      </c>
      <c r="I10" s="64">
        <v>4.4109999999999996</v>
      </c>
      <c r="J10" s="57">
        <v>43724</v>
      </c>
      <c r="K10" s="58">
        <v>0.86597222222222225</v>
      </c>
      <c r="L10" s="38">
        <v>626</v>
      </c>
      <c r="M10" s="39" t="s">
        <v>9</v>
      </c>
      <c r="N10" s="61">
        <v>7.0000000000000007E-2</v>
      </c>
      <c r="O10" s="61">
        <v>1.0309999999999999</v>
      </c>
      <c r="P10" s="42">
        <v>3.21</v>
      </c>
      <c r="Q10" s="71">
        <f>(N10/$I10)*100</f>
        <v>1.5869417365676721</v>
      </c>
      <c r="R10" s="72">
        <f>(O10/$I10)*100</f>
        <v>23.373384720018137</v>
      </c>
      <c r="S10" s="73">
        <f t="shared" si="14"/>
        <v>72.772613919746092</v>
      </c>
      <c r="T10" s="57">
        <v>43730</v>
      </c>
      <c r="U10" s="58">
        <v>0.88888888888888884</v>
      </c>
      <c r="V10" s="74">
        <v>571</v>
      </c>
      <c r="W10" s="39" t="s">
        <v>9</v>
      </c>
      <c r="X10" s="61">
        <v>3.1E-2</v>
      </c>
      <c r="Y10" s="61">
        <v>0.32700000000000001</v>
      </c>
      <c r="Z10" s="42">
        <v>1.877</v>
      </c>
      <c r="AA10" s="71">
        <f>(X10/$I10)*100</f>
        <v>0.70278848333711186</v>
      </c>
      <c r="AB10" s="72">
        <f>(Y10/$I10)*100</f>
        <v>7.4132849693946952</v>
      </c>
      <c r="AC10" s="73">
        <f t="shared" si="17"/>
        <v>42.552709136250286</v>
      </c>
      <c r="AD10" s="57">
        <v>43756</v>
      </c>
      <c r="AE10" s="58">
        <v>0.375</v>
      </c>
      <c r="AF10" s="74">
        <v>492</v>
      </c>
      <c r="AG10" s="39" t="s">
        <v>13</v>
      </c>
      <c r="AH10" s="61">
        <v>2E-3</v>
      </c>
      <c r="AI10" s="61">
        <v>4.7E-2</v>
      </c>
      <c r="AJ10" s="42">
        <v>0.53200000000000003</v>
      </c>
      <c r="AK10" s="71">
        <f>(AH10/$I10)*100</f>
        <v>4.5341192473362053E-2</v>
      </c>
      <c r="AL10" s="72">
        <f>(AI10/$I10)*100</f>
        <v>1.0655180231240082</v>
      </c>
      <c r="AM10" s="73">
        <f t="shared" si="20"/>
        <v>12.060757197914306</v>
      </c>
      <c r="AN10" s="97"/>
      <c r="AO10" s="98"/>
      <c r="AP10" s="61"/>
      <c r="AQ10" s="61"/>
      <c r="AR10" s="61"/>
    </row>
    <row r="11" spans="1:47" ht="15" customHeight="1">
      <c r="A11" s="34" t="s">
        <v>40</v>
      </c>
      <c r="B11" s="43">
        <v>59</v>
      </c>
      <c r="C11" s="57">
        <v>43725</v>
      </c>
      <c r="D11" s="58">
        <v>0.54166666666666663</v>
      </c>
      <c r="E11" s="46"/>
      <c r="F11" s="47"/>
      <c r="G11" s="62" t="s">
        <v>16</v>
      </c>
      <c r="H11" s="79" t="s">
        <v>44</v>
      </c>
      <c r="I11" s="64">
        <v>0.16600000000000001</v>
      </c>
      <c r="J11" s="57">
        <v>43725</v>
      </c>
      <c r="K11" s="58">
        <v>0.69374999999999998</v>
      </c>
      <c r="L11" s="38">
        <v>865</v>
      </c>
      <c r="M11" s="39" t="s">
        <v>9</v>
      </c>
      <c r="N11" s="61">
        <v>4.7E-2</v>
      </c>
      <c r="O11" s="61">
        <v>0.83399999999999996</v>
      </c>
      <c r="P11" s="42">
        <v>2.6859999999999999</v>
      </c>
      <c r="Q11" s="71">
        <f t="shared" ref="Q11:Q20" si="21">(N11/$I11)*100</f>
        <v>28.31325301204819</v>
      </c>
      <c r="R11" s="72">
        <f t="shared" ref="R11:R12" si="22">(O11/$I11)*100</f>
        <v>502.40963855421683</v>
      </c>
      <c r="S11" s="73">
        <f t="shared" ref="S11:S12" si="23">(P11/$I11)*100</f>
        <v>1618.0722891566265</v>
      </c>
      <c r="T11" s="57">
        <v>43732</v>
      </c>
      <c r="U11" s="58">
        <v>0.31319444444444444</v>
      </c>
      <c r="V11" s="99">
        <v>314</v>
      </c>
      <c r="W11" s="39" t="s">
        <v>9</v>
      </c>
      <c r="X11" s="61">
        <v>3.5000000000000003E-2</v>
      </c>
      <c r="Y11" s="61">
        <v>0.248</v>
      </c>
      <c r="Z11" s="42">
        <v>1.2070000000000001</v>
      </c>
      <c r="AA11" s="71">
        <f>(X11/$I11)*100</f>
        <v>21.084337349397593</v>
      </c>
      <c r="AB11" s="72">
        <f t="shared" ref="AB11:AB14" si="24">(Y11/$I11)*100</f>
        <v>149.39759036144576</v>
      </c>
      <c r="AC11" s="73">
        <f t="shared" si="17"/>
        <v>727.10843373493969</v>
      </c>
      <c r="AD11" s="57">
        <v>43756</v>
      </c>
      <c r="AE11" s="58">
        <v>0.375</v>
      </c>
      <c r="AF11" s="74">
        <v>492</v>
      </c>
      <c r="AG11" s="39" t="s">
        <v>9</v>
      </c>
      <c r="AH11" s="61">
        <v>8.0000000000000002E-3</v>
      </c>
      <c r="AI11" s="61">
        <v>1.7999999999999999E-2</v>
      </c>
      <c r="AJ11" s="42">
        <v>0.33300000000000002</v>
      </c>
      <c r="AK11" s="71">
        <f>(AH11/$I11)*100</f>
        <v>4.8192771084337345</v>
      </c>
      <c r="AL11" s="72">
        <f t="shared" ref="AL11:AL14" si="25">(AI11/$I11)*100</f>
        <v>10.843373493975902</v>
      </c>
      <c r="AM11" s="73">
        <f t="shared" si="20"/>
        <v>200.60240963855424</v>
      </c>
      <c r="AN11" s="97"/>
      <c r="AO11" s="98"/>
      <c r="AP11" s="61"/>
      <c r="AQ11" s="61"/>
      <c r="AR11" s="61"/>
    </row>
    <row r="12" spans="1:47" ht="15" customHeight="1">
      <c r="A12" s="34" t="s">
        <v>41</v>
      </c>
      <c r="B12" s="43">
        <v>58</v>
      </c>
      <c r="C12" s="57">
        <v>43725</v>
      </c>
      <c r="D12" s="58">
        <v>0.70833333333333337</v>
      </c>
      <c r="E12" s="46"/>
      <c r="F12" s="47"/>
      <c r="G12" s="62" t="s">
        <v>16</v>
      </c>
      <c r="H12" s="79" t="s">
        <v>44</v>
      </c>
      <c r="I12" s="64">
        <v>0.14099999999999999</v>
      </c>
      <c r="J12" s="57">
        <v>43725</v>
      </c>
      <c r="K12" s="58">
        <v>0.93541666666666667</v>
      </c>
      <c r="L12" s="38">
        <v>528</v>
      </c>
      <c r="M12" s="39" t="s">
        <v>13</v>
      </c>
      <c r="N12" s="61">
        <v>2.5999999999999999E-2</v>
      </c>
      <c r="O12" s="61">
        <v>0.63400000000000001</v>
      </c>
      <c r="P12" s="42">
        <v>2.2080000000000002</v>
      </c>
      <c r="Q12" s="71">
        <f t="shared" si="21"/>
        <v>18.439716312056738</v>
      </c>
      <c r="R12" s="72">
        <f t="shared" si="22"/>
        <v>449.64539007092196</v>
      </c>
      <c r="S12" s="73">
        <f t="shared" si="23"/>
        <v>1565.9574468085109</v>
      </c>
      <c r="T12" s="57">
        <v>43732</v>
      </c>
      <c r="U12" s="58">
        <v>0.31319444444444444</v>
      </c>
      <c r="V12" s="99">
        <v>314</v>
      </c>
      <c r="W12" s="39" t="s">
        <v>13</v>
      </c>
      <c r="X12" s="61">
        <v>1.2999999999999999E-2</v>
      </c>
      <c r="Y12" s="61">
        <v>0.222</v>
      </c>
      <c r="Z12" s="42">
        <v>1.194</v>
      </c>
      <c r="AA12" s="71">
        <f>(X12/$I12)*100</f>
        <v>9.2198581560283692</v>
      </c>
      <c r="AB12" s="72">
        <f t="shared" si="24"/>
        <v>157.44680851063833</v>
      </c>
      <c r="AC12" s="73">
        <f t="shared" si="17"/>
        <v>846.80851063829789</v>
      </c>
      <c r="AD12" s="57">
        <v>43762</v>
      </c>
      <c r="AE12" s="58"/>
      <c r="AF12" s="74"/>
      <c r="AG12" s="39" t="s">
        <v>13</v>
      </c>
      <c r="AH12" s="61"/>
      <c r="AI12" s="61"/>
      <c r="AJ12" s="42"/>
      <c r="AK12" s="71">
        <f>(AH12/$I12)*100</f>
        <v>0</v>
      </c>
      <c r="AL12" s="72">
        <f t="shared" si="25"/>
        <v>0</v>
      </c>
      <c r="AM12" s="73">
        <f t="shared" si="20"/>
        <v>0</v>
      </c>
      <c r="AN12" s="97"/>
      <c r="AO12" s="98"/>
      <c r="AP12" s="61"/>
      <c r="AQ12" s="61"/>
      <c r="AR12" s="61"/>
    </row>
    <row r="13" spans="1:47" ht="15" customHeight="1">
      <c r="A13" s="34" t="s">
        <v>42</v>
      </c>
      <c r="B13" s="43">
        <v>64</v>
      </c>
      <c r="C13" s="57">
        <v>43725</v>
      </c>
      <c r="D13" s="58">
        <v>0.75</v>
      </c>
      <c r="E13" s="46"/>
      <c r="F13" s="47"/>
      <c r="G13" s="62" t="s">
        <v>16</v>
      </c>
      <c r="H13" s="79" t="s">
        <v>44</v>
      </c>
      <c r="I13" s="64">
        <v>0.13600000000000001</v>
      </c>
      <c r="J13" s="57">
        <v>43726</v>
      </c>
      <c r="K13" s="58">
        <v>0.31944444444444448</v>
      </c>
      <c r="L13" s="38">
        <v>345</v>
      </c>
      <c r="M13" s="39" t="s">
        <v>9</v>
      </c>
      <c r="N13" s="61">
        <v>2.5999999999999999E-2</v>
      </c>
      <c r="O13" s="61">
        <v>0.53300000000000003</v>
      </c>
      <c r="P13" s="42">
        <v>1.94</v>
      </c>
      <c r="Q13" s="71">
        <f t="shared" si="21"/>
        <v>19.117647058823529</v>
      </c>
      <c r="R13" s="72">
        <f t="shared" ref="R13" si="26">(O13/$I13)*100</f>
        <v>391.91176470588232</v>
      </c>
      <c r="S13" s="73">
        <f t="shared" ref="S13" si="27">(P13/$I13)*100</f>
        <v>1426.4705882352939</v>
      </c>
      <c r="T13" s="57">
        <v>43732</v>
      </c>
      <c r="U13" s="58">
        <v>0.8930555555555556</v>
      </c>
      <c r="V13" s="74"/>
      <c r="W13" s="39" t="s">
        <v>13</v>
      </c>
      <c r="X13" s="61"/>
      <c r="Y13" s="61"/>
      <c r="Z13" s="42"/>
      <c r="AA13" s="71">
        <f>(X13/$I13)*100</f>
        <v>0</v>
      </c>
      <c r="AB13" s="72">
        <f t="shared" si="24"/>
        <v>0</v>
      </c>
      <c r="AC13" s="73">
        <f t="shared" si="17"/>
        <v>0</v>
      </c>
      <c r="AE13" s="42"/>
      <c r="AF13" s="74"/>
      <c r="AG13" s="39"/>
      <c r="AH13" s="61"/>
      <c r="AI13" s="61"/>
      <c r="AJ13" s="42"/>
      <c r="AK13" s="71">
        <f>(AH13/$I13)*100</f>
        <v>0</v>
      </c>
      <c r="AL13" s="72">
        <f t="shared" si="25"/>
        <v>0</v>
      </c>
      <c r="AM13" s="73">
        <f t="shared" si="20"/>
        <v>0</v>
      </c>
      <c r="AN13" s="97"/>
      <c r="AO13" s="98"/>
      <c r="AP13" s="61"/>
      <c r="AQ13" s="61"/>
      <c r="AR13" s="61"/>
    </row>
    <row r="14" spans="1:47" ht="43" customHeight="1">
      <c r="A14" s="34" t="s">
        <v>43</v>
      </c>
      <c r="B14" s="42">
        <v>10</v>
      </c>
      <c r="C14" s="57">
        <v>43725</v>
      </c>
      <c r="D14" s="58">
        <v>0.51041666666666663</v>
      </c>
      <c r="E14" s="46"/>
      <c r="F14" s="47"/>
      <c r="G14" s="77" t="s">
        <v>38</v>
      </c>
      <c r="H14" s="63" t="s">
        <v>46</v>
      </c>
      <c r="I14" s="64">
        <v>7.55</v>
      </c>
      <c r="J14" s="57">
        <v>43725</v>
      </c>
      <c r="K14" s="58">
        <v>0.69374999999999998</v>
      </c>
      <c r="L14" s="37">
        <v>325</v>
      </c>
      <c r="M14" s="39" t="s">
        <v>13</v>
      </c>
      <c r="N14" s="61">
        <v>0.113</v>
      </c>
      <c r="O14" s="61">
        <v>1.1559999999999999</v>
      </c>
      <c r="P14" s="42">
        <v>3.6429999999999998</v>
      </c>
      <c r="Q14" s="71">
        <f t="shared" si="21"/>
        <v>1.4966887417218544</v>
      </c>
      <c r="R14" s="72">
        <f t="shared" ref="R14" si="28">(O14/$I14)*100</f>
        <v>15.311258278145695</v>
      </c>
      <c r="S14" s="73">
        <f t="shared" ref="S14" si="29">(P14/$I14)*100</f>
        <v>48.251655629139073</v>
      </c>
      <c r="T14" s="57">
        <v>43732</v>
      </c>
      <c r="U14" s="58">
        <v>0.68333333333333324</v>
      </c>
      <c r="V14" s="74">
        <v>863</v>
      </c>
      <c r="W14" s="39" t="s">
        <v>9</v>
      </c>
      <c r="X14" s="61">
        <v>3.5000000000000003E-2</v>
      </c>
      <c r="Y14" s="61">
        <v>0.36599999999999999</v>
      </c>
      <c r="Z14" s="42">
        <v>1.6910000000000001</v>
      </c>
      <c r="AA14" s="71">
        <f>(X14/$I14)*100</f>
        <v>0.46357615894039739</v>
      </c>
      <c r="AB14" s="72">
        <f t="shared" si="24"/>
        <v>4.8476821192052979</v>
      </c>
      <c r="AC14" s="73">
        <f t="shared" si="17"/>
        <v>22.397350993377486</v>
      </c>
      <c r="AD14" s="57">
        <v>43756</v>
      </c>
      <c r="AE14" s="58">
        <v>0.7270833333333333</v>
      </c>
      <c r="AF14" s="74">
        <v>4019</v>
      </c>
      <c r="AG14" s="39" t="s">
        <v>9</v>
      </c>
      <c r="AH14" s="61">
        <v>8.0000000000000002E-3</v>
      </c>
      <c r="AI14" s="61">
        <v>7.1999999999999995E-2</v>
      </c>
      <c r="AJ14" s="42">
        <v>1.002</v>
      </c>
      <c r="AK14" s="71">
        <f>(AH14/$I14)*100</f>
        <v>0.10596026490066225</v>
      </c>
      <c r="AL14" s="72">
        <f t="shared" si="25"/>
        <v>0.95364238410596025</v>
      </c>
      <c r="AM14" s="73">
        <f t="shared" si="20"/>
        <v>13.271523178807948</v>
      </c>
      <c r="AN14" s="97"/>
      <c r="AO14" s="98"/>
      <c r="AP14" s="61"/>
      <c r="AQ14" s="61"/>
      <c r="AR14" s="61"/>
    </row>
    <row r="15" spans="1:47" ht="52" customHeight="1">
      <c r="A15" s="34" t="s">
        <v>47</v>
      </c>
      <c r="B15" s="43">
        <v>45</v>
      </c>
      <c r="C15" s="57">
        <v>43725</v>
      </c>
      <c r="D15" s="58">
        <v>0.70833333333333337</v>
      </c>
      <c r="E15" s="46"/>
      <c r="F15" s="47"/>
      <c r="G15" s="77" t="s">
        <v>39</v>
      </c>
      <c r="H15" s="63" t="s">
        <v>45</v>
      </c>
      <c r="I15" s="64">
        <v>4.6429999999999998</v>
      </c>
      <c r="J15" s="57">
        <v>43726</v>
      </c>
      <c r="K15" s="58">
        <v>0.31944444444444448</v>
      </c>
      <c r="L15" s="37">
        <v>345</v>
      </c>
      <c r="M15" s="39" t="s">
        <v>13</v>
      </c>
      <c r="N15" s="61">
        <v>7.1999999999999995E-2</v>
      </c>
      <c r="O15" s="61">
        <v>1.758</v>
      </c>
      <c r="P15" s="61">
        <v>5.125</v>
      </c>
      <c r="Q15" s="71">
        <f t="shared" si="21"/>
        <v>1.5507215162610382</v>
      </c>
      <c r="R15" s="72">
        <f t="shared" ref="R15:R17" si="30">(O15/$I15)*100</f>
        <v>37.863450355373686</v>
      </c>
      <c r="S15" s="73">
        <f t="shared" ref="S15:S17" si="31">(P15/$I15)*100</f>
        <v>110.38121903941418</v>
      </c>
      <c r="T15" s="57">
        <v>43732</v>
      </c>
      <c r="U15" s="58">
        <v>0.68333333333333324</v>
      </c>
      <c r="V15" s="82">
        <v>260</v>
      </c>
      <c r="W15" s="39" t="s">
        <v>13</v>
      </c>
      <c r="X15" s="80">
        <v>4.2000000000000003E-2</v>
      </c>
      <c r="Y15" s="80">
        <v>0.53700000000000003</v>
      </c>
      <c r="Z15" s="81">
        <v>2.0590000000000002</v>
      </c>
      <c r="AA15" s="71">
        <f t="shared" ref="AA15:AA17" si="32">(X15/$I15)*100</f>
        <v>0.90458755115227241</v>
      </c>
      <c r="AB15" s="72">
        <f>(Y15/$I15)*100</f>
        <v>11.565797975446911</v>
      </c>
      <c r="AC15" s="73">
        <f t="shared" ref="AC15:AC17" si="33">(Z15/$I15)*100</f>
        <v>44.346327805298301</v>
      </c>
      <c r="AD15" s="57">
        <v>43756</v>
      </c>
      <c r="AE15" s="58">
        <v>0.7270833333333333</v>
      </c>
      <c r="AF15" s="82">
        <v>4019</v>
      </c>
      <c r="AG15" s="39" t="s">
        <v>13</v>
      </c>
      <c r="AH15" s="80">
        <v>1.2E-2</v>
      </c>
      <c r="AI15" s="80">
        <v>5.3999999999999999E-2</v>
      </c>
      <c r="AJ15" s="81">
        <v>0.85</v>
      </c>
      <c r="AK15" s="71">
        <f t="shared" ref="AK15:AK17" si="34">(AH15/$I15)*100</f>
        <v>0.25845358604350638</v>
      </c>
      <c r="AL15" s="72">
        <f t="shared" ref="AL15:AL17" si="35">(AI15/$I15)*100</f>
        <v>1.1630411371957785</v>
      </c>
      <c r="AM15" s="73">
        <f t="shared" ref="AM15:AM17" si="36">(AJ15/$I15)*100</f>
        <v>18.307129011415032</v>
      </c>
      <c r="AN15" s="97"/>
      <c r="AO15" s="98"/>
      <c r="AP15" s="61"/>
      <c r="AQ15" s="61"/>
      <c r="AR15" s="61"/>
    </row>
    <row r="16" spans="1:47" ht="17">
      <c r="A16" s="34" t="s">
        <v>66</v>
      </c>
      <c r="B16" s="43">
        <v>13</v>
      </c>
      <c r="C16" s="57">
        <v>43727</v>
      </c>
      <c r="D16" s="58">
        <v>0.35416666666666669</v>
      </c>
      <c r="E16" s="46"/>
      <c r="F16" s="47"/>
      <c r="G16" s="62" t="s">
        <v>6</v>
      </c>
      <c r="H16" s="63" t="s">
        <v>69</v>
      </c>
      <c r="I16" s="64">
        <v>179.8</v>
      </c>
      <c r="J16" s="57">
        <v>43727</v>
      </c>
      <c r="K16" s="58">
        <v>0.62361111111111112</v>
      </c>
      <c r="L16" s="37">
        <v>188</v>
      </c>
      <c r="M16" s="39" t="s">
        <v>13</v>
      </c>
      <c r="N16" s="61">
        <v>0.44</v>
      </c>
      <c r="O16" s="61">
        <v>6.2270000000000003</v>
      </c>
      <c r="P16" s="42">
        <v>15.377000000000001</v>
      </c>
      <c r="Q16" s="71">
        <f t="shared" si="21"/>
        <v>0.24471635150166851</v>
      </c>
      <c r="R16" s="72">
        <f t="shared" si="30"/>
        <v>3.4632925472747496</v>
      </c>
      <c r="S16" s="73">
        <f t="shared" si="31"/>
        <v>8.5522803114571744</v>
      </c>
      <c r="T16" s="148">
        <v>43733</v>
      </c>
      <c r="U16" s="149">
        <v>0.67569444444444438</v>
      </c>
      <c r="V16" s="82">
        <v>185</v>
      </c>
      <c r="W16" s="39" t="s">
        <v>9</v>
      </c>
      <c r="X16" s="80">
        <v>0.216</v>
      </c>
      <c r="Y16" s="80">
        <v>2.23</v>
      </c>
      <c r="Z16" s="150">
        <v>6.7779999999999996</v>
      </c>
      <c r="AA16" s="71">
        <f t="shared" si="32"/>
        <v>0.12013348164627363</v>
      </c>
      <c r="AB16" s="72">
        <f t="shared" ref="AB16:AB17" si="37">(Y16/$I16)*100</f>
        <v>1.2402669632925472</v>
      </c>
      <c r="AC16" s="73">
        <f t="shared" si="33"/>
        <v>3.7697441601779751</v>
      </c>
      <c r="AD16" s="148">
        <v>43759</v>
      </c>
      <c r="AE16" s="149">
        <v>0.56597222222222221</v>
      </c>
      <c r="AF16" s="82">
        <v>206</v>
      </c>
      <c r="AG16" s="39" t="s">
        <v>13</v>
      </c>
      <c r="AH16" s="80">
        <v>5.8000000000000003E-2</v>
      </c>
      <c r="AI16" s="80">
        <v>0.85699999999999998</v>
      </c>
      <c r="AJ16" s="81">
        <v>3.129</v>
      </c>
      <c r="AK16" s="71">
        <f t="shared" si="34"/>
        <v>3.2258064516129031E-2</v>
      </c>
      <c r="AL16" s="72">
        <f t="shared" si="35"/>
        <v>0.47664071190211343</v>
      </c>
      <c r="AM16" s="73">
        <f t="shared" si="36"/>
        <v>1.7402669632925472</v>
      </c>
      <c r="AN16" s="97"/>
      <c r="AO16" s="98"/>
      <c r="AP16" s="61"/>
      <c r="AQ16" s="61"/>
      <c r="AR16" s="61"/>
    </row>
    <row r="17" spans="1:44" ht="32">
      <c r="A17" s="34" t="s">
        <v>67</v>
      </c>
      <c r="B17" s="43"/>
      <c r="C17" s="57">
        <v>43727</v>
      </c>
      <c r="D17" s="58">
        <v>0.35416666666666669</v>
      </c>
      <c r="E17" s="48" t="s">
        <v>91</v>
      </c>
      <c r="F17" s="48" t="s">
        <v>91</v>
      </c>
      <c r="G17" s="77" t="s">
        <v>23</v>
      </c>
      <c r="H17" s="63" t="s">
        <v>68</v>
      </c>
      <c r="I17" s="64">
        <v>179.8</v>
      </c>
      <c r="J17" s="57">
        <v>43727</v>
      </c>
      <c r="K17" s="58">
        <v>0.62361111111111112</v>
      </c>
      <c r="L17" s="37">
        <v>188</v>
      </c>
      <c r="M17" s="39" t="s">
        <v>9</v>
      </c>
      <c r="N17" s="61">
        <v>7.3999999999999996E-2</v>
      </c>
      <c r="O17" s="61">
        <v>0.65100000000000002</v>
      </c>
      <c r="P17" s="42">
        <v>2.4420000000000002</v>
      </c>
      <c r="Q17" s="71">
        <f t="shared" si="21"/>
        <v>4.1156840934371518E-2</v>
      </c>
      <c r="R17" s="72">
        <f t="shared" si="30"/>
        <v>0.36206896551724138</v>
      </c>
      <c r="S17" s="73">
        <f t="shared" si="31"/>
        <v>1.3581757508342602</v>
      </c>
      <c r="T17" s="50" t="s">
        <v>91</v>
      </c>
      <c r="U17" s="50" t="s">
        <v>91</v>
      </c>
      <c r="V17" s="100"/>
      <c r="W17" s="39"/>
      <c r="X17" s="80"/>
      <c r="Y17" s="80"/>
      <c r="Z17" s="81"/>
      <c r="AA17" s="71">
        <f t="shared" si="32"/>
        <v>0</v>
      </c>
      <c r="AB17" s="72">
        <f t="shared" si="37"/>
        <v>0</v>
      </c>
      <c r="AC17" s="73">
        <f t="shared" si="33"/>
        <v>0</v>
      </c>
      <c r="AD17" s="50" t="s">
        <v>91</v>
      </c>
      <c r="AE17" s="50" t="s">
        <v>91</v>
      </c>
      <c r="AF17" s="82"/>
      <c r="AG17" s="39"/>
      <c r="AH17" s="80"/>
      <c r="AI17" s="80"/>
      <c r="AJ17" s="81"/>
      <c r="AK17" s="71">
        <f t="shared" si="34"/>
        <v>0</v>
      </c>
      <c r="AL17" s="72">
        <f t="shared" si="35"/>
        <v>0</v>
      </c>
      <c r="AM17" s="73">
        <f t="shared" si="36"/>
        <v>0</v>
      </c>
      <c r="AN17" s="97">
        <f>1-(Q17/Q16)</f>
        <v>0.83181818181818179</v>
      </c>
      <c r="AO17" s="98">
        <f>1-(R17/R16)</f>
        <v>0.89545527541352177</v>
      </c>
      <c r="AP17" s="61"/>
      <c r="AQ17" s="61"/>
      <c r="AR17" s="61"/>
    </row>
    <row r="18" spans="1:44" ht="23" customHeight="1">
      <c r="A18" s="34" t="s">
        <v>70</v>
      </c>
      <c r="B18" s="43">
        <v>4</v>
      </c>
      <c r="C18" s="57">
        <v>43727</v>
      </c>
      <c r="D18" s="58">
        <v>0.65625</v>
      </c>
      <c r="E18" s="46"/>
      <c r="F18" s="47"/>
      <c r="G18" s="62" t="s">
        <v>16</v>
      </c>
      <c r="H18" s="79" t="s">
        <v>92</v>
      </c>
      <c r="I18" s="64">
        <v>0.20100000000000001</v>
      </c>
      <c r="J18" s="57">
        <v>43727</v>
      </c>
      <c r="K18" s="58">
        <v>0.78263888888888899</v>
      </c>
      <c r="L18" s="38">
        <v>737</v>
      </c>
      <c r="M18" s="39" t="s">
        <v>13</v>
      </c>
      <c r="N18" s="61">
        <v>3.4000000000000002E-2</v>
      </c>
      <c r="O18" s="61">
        <v>0.65600000000000003</v>
      </c>
      <c r="P18" s="42">
        <v>3.0579999999999998</v>
      </c>
      <c r="Q18" s="71">
        <f t="shared" si="21"/>
        <v>16.915422885572141</v>
      </c>
      <c r="R18" s="72">
        <f t="shared" ref="R18:R20" si="38">(O18/$I18)*100</f>
        <v>326.3681592039801</v>
      </c>
      <c r="S18" s="73">
        <f t="shared" ref="S18:S20" si="39">(P18/$I18)*100</f>
        <v>1521.3930348258705</v>
      </c>
      <c r="T18" s="148">
        <v>43733</v>
      </c>
      <c r="U18" s="149">
        <v>0.67638888888888893</v>
      </c>
      <c r="V18" s="82">
        <v>245</v>
      </c>
      <c r="W18" s="39" t="s">
        <v>13</v>
      </c>
      <c r="X18" s="80">
        <v>8.0000000000000002E-3</v>
      </c>
      <c r="Y18" s="80">
        <v>0.20399999999999999</v>
      </c>
      <c r="Z18" s="150">
        <v>1.169</v>
      </c>
      <c r="AA18" s="71">
        <f t="shared" ref="AA18:AA20" si="40">(X18/$I18)*100</f>
        <v>3.9800995024875623</v>
      </c>
      <c r="AB18" s="72">
        <f t="shared" ref="AB18:AB20" si="41">(Y18/$I18)*100</f>
        <v>101.49253731343282</v>
      </c>
      <c r="AC18" s="73">
        <f t="shared" ref="AC18:AC20" si="42">(Z18/$I18)*100</f>
        <v>581.59203980099505</v>
      </c>
      <c r="AD18" s="80"/>
      <c r="AE18" s="81"/>
      <c r="AF18" s="82"/>
      <c r="AG18" s="39"/>
      <c r="AH18" s="80"/>
      <c r="AI18" s="80"/>
      <c r="AJ18" s="81"/>
      <c r="AK18" s="71">
        <f t="shared" ref="AK18:AK20" si="43">(AH18/$I18)*100</f>
        <v>0</v>
      </c>
      <c r="AL18" s="72">
        <f t="shared" ref="AL18:AL20" si="44">(AI18/$I18)*100</f>
        <v>0</v>
      </c>
      <c r="AM18" s="73">
        <f t="shared" ref="AM18:AM20" si="45">(AJ18/$I18)*100</f>
        <v>0</v>
      </c>
      <c r="AN18" s="97"/>
      <c r="AO18" s="98"/>
      <c r="AP18" s="61"/>
      <c r="AQ18" s="61"/>
      <c r="AR18" s="61"/>
    </row>
    <row r="19" spans="1:44" ht="23" customHeight="1">
      <c r="A19" s="34" t="s">
        <v>71</v>
      </c>
      <c r="B19" s="43">
        <v>36</v>
      </c>
      <c r="C19" s="57">
        <v>43727</v>
      </c>
      <c r="D19" s="58">
        <v>0.66666666666666663</v>
      </c>
      <c r="E19" s="46"/>
      <c r="F19" s="47"/>
      <c r="G19" s="62" t="s">
        <v>16</v>
      </c>
      <c r="H19" s="79" t="s">
        <v>92</v>
      </c>
      <c r="I19" s="64">
        <v>0.151</v>
      </c>
      <c r="J19" s="57">
        <v>43727</v>
      </c>
      <c r="K19" s="58">
        <v>0.78263888888888899</v>
      </c>
      <c r="L19" s="38">
        <v>737</v>
      </c>
      <c r="M19" s="39" t="s">
        <v>9</v>
      </c>
      <c r="N19" s="61">
        <v>1.6E-2</v>
      </c>
      <c r="O19" s="61">
        <v>0.42499999999999999</v>
      </c>
      <c r="P19" s="42">
        <v>1.603</v>
      </c>
      <c r="Q19" s="71">
        <f t="shared" si="21"/>
        <v>10.596026490066226</v>
      </c>
      <c r="R19" s="72">
        <f t="shared" si="38"/>
        <v>281.45695364238412</v>
      </c>
      <c r="S19" s="73">
        <f t="shared" si="39"/>
        <v>1061.5894039735099</v>
      </c>
      <c r="T19" s="148">
        <v>43734</v>
      </c>
      <c r="U19" s="149">
        <v>0.31319444444444444</v>
      </c>
      <c r="V19" s="82">
        <v>321</v>
      </c>
      <c r="W19" s="39" t="s">
        <v>13</v>
      </c>
      <c r="X19" s="80">
        <v>1.6E-2</v>
      </c>
      <c r="Y19" s="80">
        <v>0.115</v>
      </c>
      <c r="Z19" s="81">
        <v>0.83699999999999997</v>
      </c>
      <c r="AA19" s="71">
        <f t="shared" si="40"/>
        <v>10.596026490066226</v>
      </c>
      <c r="AB19" s="72">
        <f t="shared" si="41"/>
        <v>76.158940397350989</v>
      </c>
      <c r="AC19" s="73">
        <f t="shared" si="42"/>
        <v>554.30463576158934</v>
      </c>
      <c r="AD19" s="80"/>
      <c r="AE19" s="81"/>
      <c r="AF19" s="82"/>
      <c r="AG19" s="39"/>
      <c r="AH19" s="80"/>
      <c r="AI19" s="80"/>
      <c r="AJ19" s="81"/>
      <c r="AK19" s="71">
        <f t="shared" si="43"/>
        <v>0</v>
      </c>
      <c r="AL19" s="72">
        <f t="shared" si="44"/>
        <v>0</v>
      </c>
      <c r="AM19" s="73">
        <f t="shared" si="45"/>
        <v>0</v>
      </c>
      <c r="AN19" s="97"/>
      <c r="AO19" s="98"/>
      <c r="AP19" s="61"/>
      <c r="AQ19" s="61"/>
      <c r="AR19" s="61"/>
    </row>
    <row r="20" spans="1:44" ht="23" customHeight="1">
      <c r="A20" s="34" t="s">
        <v>72</v>
      </c>
      <c r="B20" s="43">
        <v>42</v>
      </c>
      <c r="C20" s="57">
        <v>43727</v>
      </c>
      <c r="D20" s="58">
        <v>0.79166666666666663</v>
      </c>
      <c r="E20" s="46"/>
      <c r="F20" s="47"/>
      <c r="G20" s="62" t="s">
        <v>16</v>
      </c>
      <c r="H20" s="79" t="s">
        <v>92</v>
      </c>
      <c r="I20" s="64">
        <v>0.112</v>
      </c>
      <c r="J20" s="57">
        <v>43728</v>
      </c>
      <c r="K20" s="58">
        <v>0.31527777777777777</v>
      </c>
      <c r="L20" s="38">
        <v>558</v>
      </c>
      <c r="M20" s="39" t="s">
        <v>13</v>
      </c>
      <c r="N20" s="61">
        <v>1.7999999999999999E-2</v>
      </c>
      <c r="O20" s="61">
        <v>0.27900000000000003</v>
      </c>
      <c r="P20" s="42">
        <v>1.661</v>
      </c>
      <c r="Q20" s="71">
        <f t="shared" si="21"/>
        <v>16.071428571428569</v>
      </c>
      <c r="R20" s="72">
        <f t="shared" si="38"/>
        <v>249.10714285714289</v>
      </c>
      <c r="S20" s="73">
        <f t="shared" si="39"/>
        <v>1483.0357142857142</v>
      </c>
      <c r="T20" s="148">
        <v>43734</v>
      </c>
      <c r="U20" s="149">
        <v>0.7729166666666667</v>
      </c>
      <c r="V20" s="82">
        <v>746</v>
      </c>
      <c r="W20" s="39" t="s">
        <v>9</v>
      </c>
      <c r="X20" s="80">
        <v>7.0000000000000001E-3</v>
      </c>
      <c r="Y20" s="80">
        <v>0.112</v>
      </c>
      <c r="Z20" s="81">
        <v>1.075</v>
      </c>
      <c r="AA20" s="71">
        <f t="shared" si="40"/>
        <v>6.25</v>
      </c>
      <c r="AB20" s="72">
        <f t="shared" si="41"/>
        <v>100</v>
      </c>
      <c r="AC20" s="73">
        <f t="shared" si="42"/>
        <v>959.82142857142844</v>
      </c>
      <c r="AD20" s="80"/>
      <c r="AE20" s="81"/>
      <c r="AF20" s="82"/>
      <c r="AG20" s="39"/>
      <c r="AH20" s="80"/>
      <c r="AI20" s="80"/>
      <c r="AJ20" s="81"/>
      <c r="AK20" s="71">
        <f t="shared" si="43"/>
        <v>0</v>
      </c>
      <c r="AL20" s="72">
        <f t="shared" si="44"/>
        <v>0</v>
      </c>
      <c r="AM20" s="73">
        <f t="shared" si="45"/>
        <v>0</v>
      </c>
      <c r="AN20" s="97"/>
      <c r="AO20" s="98"/>
      <c r="AP20" s="61"/>
      <c r="AQ20" s="61"/>
      <c r="AR20" s="61"/>
    </row>
    <row r="21" spans="1:44" ht="55" customHeight="1">
      <c r="A21" s="34" t="s">
        <v>76</v>
      </c>
      <c r="B21" s="42">
        <v>12</v>
      </c>
      <c r="C21" s="57">
        <v>43727</v>
      </c>
      <c r="D21" s="58">
        <v>0.75</v>
      </c>
      <c r="E21" s="46"/>
      <c r="F21" s="47"/>
      <c r="G21" s="77" t="s">
        <v>38</v>
      </c>
      <c r="H21" s="63" t="s">
        <v>78</v>
      </c>
      <c r="I21" s="64">
        <v>8.3350000000000009</v>
      </c>
      <c r="J21" s="57">
        <v>43728</v>
      </c>
      <c r="K21" s="58">
        <v>0.72777777777777775</v>
      </c>
      <c r="L21" s="39">
        <v>789</v>
      </c>
      <c r="M21" s="39" t="s">
        <v>9</v>
      </c>
      <c r="N21" s="61">
        <v>2.1999999999999999E-2</v>
      </c>
      <c r="O21" s="61">
        <v>0.42099999999999999</v>
      </c>
      <c r="P21" s="42">
        <v>1.7310000000000001</v>
      </c>
      <c r="Q21" s="71">
        <f t="shared" ref="Q21:Q22" si="46">(N21/$I21)*100</f>
        <v>0.26394721055788839</v>
      </c>
      <c r="R21" s="72">
        <f t="shared" ref="R21:R27" si="47">(O21/$I21)*100</f>
        <v>5.0509898020395916</v>
      </c>
      <c r="S21" s="73">
        <f t="shared" ref="S21:S22" si="48">(P21/$I21)*100</f>
        <v>20.767846430713856</v>
      </c>
      <c r="T21" s="148">
        <v>43734</v>
      </c>
      <c r="U21" s="149">
        <v>0.31319444444444444</v>
      </c>
      <c r="V21" s="82">
        <v>321</v>
      </c>
      <c r="W21" s="39" t="s">
        <v>9</v>
      </c>
      <c r="X21" s="80">
        <v>1.9E-2</v>
      </c>
      <c r="Y21" s="80">
        <v>0.156</v>
      </c>
      <c r="Z21" s="81">
        <v>1.2010000000000001</v>
      </c>
      <c r="AA21" s="71">
        <f t="shared" ref="AA21:AA22" si="49">(X21/$I21)*100</f>
        <v>0.22795440911817633</v>
      </c>
      <c r="AB21" s="72">
        <f t="shared" ref="AB21:AB22" si="50">(Y21/$I21)*100</f>
        <v>1.8716256748650268</v>
      </c>
      <c r="AC21" s="73">
        <f t="shared" ref="AC21:AC22" si="51">(Z21/$I21)*100</f>
        <v>14.409118176364727</v>
      </c>
      <c r="AD21" s="148">
        <v>43759</v>
      </c>
      <c r="AE21" s="149">
        <v>0.71944444444444444</v>
      </c>
      <c r="AF21" s="82">
        <v>953</v>
      </c>
      <c r="AG21" s="39" t="s">
        <v>13</v>
      </c>
      <c r="AH21" s="80">
        <v>2E-3</v>
      </c>
      <c r="AI21" s="80">
        <v>7.0999999999999994E-2</v>
      </c>
      <c r="AJ21" s="81">
        <v>0.752</v>
      </c>
      <c r="AK21" s="71">
        <f t="shared" ref="AK21:AK22" si="52">(AH21/$I21)*100</f>
        <v>2.3995200959808036E-2</v>
      </c>
      <c r="AL21" s="72">
        <f t="shared" ref="AL21:AL22" si="53">(AI21/$I21)*100</f>
        <v>0.85182963407318524</v>
      </c>
      <c r="AM21" s="73">
        <f t="shared" ref="AM21:AM22" si="54">(AJ21/$I21)*100</f>
        <v>9.0221955608878215</v>
      </c>
      <c r="AN21" s="97"/>
      <c r="AO21" s="98"/>
      <c r="AP21" s="61"/>
      <c r="AQ21" s="61"/>
      <c r="AR21" s="61"/>
    </row>
    <row r="22" spans="1:44" ht="58" customHeight="1">
      <c r="A22" s="34" t="s">
        <v>79</v>
      </c>
      <c r="B22" s="42">
        <v>51</v>
      </c>
      <c r="C22" s="57">
        <v>43728</v>
      </c>
      <c r="D22" s="58">
        <v>0.79166666666666663</v>
      </c>
      <c r="E22" s="46"/>
      <c r="F22" s="47"/>
      <c r="G22" s="77" t="s">
        <v>39</v>
      </c>
      <c r="H22" s="63" t="s">
        <v>80</v>
      </c>
      <c r="I22" s="64">
        <v>3.15</v>
      </c>
      <c r="J22" s="57">
        <v>43728</v>
      </c>
      <c r="K22" s="58">
        <v>0.87847222222222221</v>
      </c>
      <c r="L22" s="39">
        <v>571</v>
      </c>
      <c r="M22" s="39" t="s">
        <v>13</v>
      </c>
      <c r="N22" s="61">
        <v>2.4E-2</v>
      </c>
      <c r="O22" s="61">
        <v>0.436</v>
      </c>
      <c r="P22" s="42">
        <v>1.9259999999999999</v>
      </c>
      <c r="Q22" s="71">
        <f t="shared" si="46"/>
        <v>0.76190476190476186</v>
      </c>
      <c r="R22" s="72">
        <f t="shared" si="47"/>
        <v>13.84126984126984</v>
      </c>
      <c r="S22" s="73">
        <f t="shared" si="48"/>
        <v>61.142857142857146</v>
      </c>
      <c r="T22" s="57">
        <v>43735</v>
      </c>
      <c r="U22" s="58">
        <v>0.31111111111111112</v>
      </c>
      <c r="V22" s="74">
        <v>663</v>
      </c>
      <c r="W22" s="39" t="s">
        <v>9</v>
      </c>
      <c r="X22" s="61">
        <v>1.2E-2</v>
      </c>
      <c r="Y22" s="61">
        <v>0.16300000000000001</v>
      </c>
      <c r="Z22" s="42">
        <v>1.0169999999999999</v>
      </c>
      <c r="AA22" s="71">
        <f t="shared" si="49"/>
        <v>0.38095238095238093</v>
      </c>
      <c r="AB22" s="72">
        <f t="shared" si="50"/>
        <v>5.1746031746031749</v>
      </c>
      <c r="AC22" s="73">
        <f t="shared" si="51"/>
        <v>32.285714285714285</v>
      </c>
      <c r="AD22" s="57">
        <v>43759</v>
      </c>
      <c r="AE22" s="58">
        <v>0.71944444444444444</v>
      </c>
      <c r="AF22" s="74">
        <v>953</v>
      </c>
      <c r="AG22" s="39" t="s">
        <v>9</v>
      </c>
      <c r="AH22" s="61">
        <v>3.0000000000000001E-3</v>
      </c>
      <c r="AI22" s="61">
        <v>4.2000000000000003E-2</v>
      </c>
      <c r="AJ22" s="42">
        <v>0.61699999999999999</v>
      </c>
      <c r="AK22" s="71">
        <f t="shared" si="52"/>
        <v>9.5238095238095233E-2</v>
      </c>
      <c r="AL22" s="72">
        <f t="shared" si="53"/>
        <v>1.3333333333333335</v>
      </c>
      <c r="AM22" s="73">
        <f t="shared" si="54"/>
        <v>19.587301587301585</v>
      </c>
      <c r="AN22" s="97"/>
      <c r="AO22" s="98"/>
      <c r="AP22" s="61"/>
      <c r="AQ22" s="83"/>
      <c r="AR22" s="83"/>
    </row>
    <row r="23" spans="1:44" ht="30">
      <c r="A23" s="34" t="s">
        <v>85</v>
      </c>
      <c r="B23" s="42">
        <v>1</v>
      </c>
      <c r="C23" s="57">
        <v>43729</v>
      </c>
      <c r="D23" s="58">
        <v>0.70833333333333337</v>
      </c>
      <c r="E23" s="46"/>
      <c r="F23" s="47"/>
      <c r="G23" s="62" t="s">
        <v>6</v>
      </c>
      <c r="H23" s="63" t="s">
        <v>93</v>
      </c>
      <c r="I23" s="64">
        <v>174</v>
      </c>
      <c r="J23" s="57">
        <v>43730</v>
      </c>
      <c r="K23" s="58">
        <v>0.375</v>
      </c>
      <c r="L23" s="39">
        <v>52</v>
      </c>
      <c r="M23" s="39" t="s">
        <v>9</v>
      </c>
      <c r="N23" s="61">
        <v>0.72299999999999998</v>
      </c>
      <c r="O23" s="61">
        <v>8.2750000000000004</v>
      </c>
      <c r="P23" s="42">
        <v>18.186</v>
      </c>
      <c r="Q23" s="71">
        <f t="shared" ref="Q23:Q26" si="55">(N23/$I23)*100</f>
        <v>0.41551724137931034</v>
      </c>
      <c r="R23" s="72">
        <f t="shared" si="47"/>
        <v>4.7557471264367814</v>
      </c>
      <c r="S23" s="73">
        <f t="shared" ref="S23:S26" si="56">(P23/$I23)*100</f>
        <v>10.451724137931034</v>
      </c>
      <c r="T23" s="57">
        <v>43735</v>
      </c>
      <c r="U23" s="58">
        <v>0.47152777777777777</v>
      </c>
      <c r="V23" s="74">
        <v>146</v>
      </c>
      <c r="W23" s="39" t="s">
        <v>13</v>
      </c>
      <c r="X23" s="61">
        <v>0.39700000000000002</v>
      </c>
      <c r="Y23" s="61">
        <v>2.7450000000000001</v>
      </c>
      <c r="Z23" s="42">
        <v>7.9619999999999997</v>
      </c>
      <c r="AA23" s="71">
        <f t="shared" ref="AA23:AA26" si="57">(X23/$I23)*100</f>
        <v>0.22816091954022988</v>
      </c>
      <c r="AB23" s="72">
        <f t="shared" ref="AB23:AB26" si="58">(Y23/$I23)*100</f>
        <v>1.5775862068965518</v>
      </c>
      <c r="AC23" s="73">
        <f t="shared" ref="AC23:AC26" si="59">(Z23/$I23)*100</f>
        <v>4.5758620689655176</v>
      </c>
      <c r="AD23" s="148">
        <v>43759</v>
      </c>
      <c r="AE23" s="58">
        <v>0.56597222222222221</v>
      </c>
      <c r="AF23" s="74">
        <v>206</v>
      </c>
      <c r="AG23" s="39" t="s">
        <v>9</v>
      </c>
      <c r="AH23" s="61">
        <v>6.8000000000000005E-2</v>
      </c>
      <c r="AI23" s="61">
        <v>0.97399999999999998</v>
      </c>
      <c r="AJ23" s="42">
        <v>3.6859999999999999</v>
      </c>
      <c r="AK23" s="71">
        <f t="shared" ref="AK23:AK26" si="60">(AH23/$I23)*100</f>
        <v>3.9080459770114942E-2</v>
      </c>
      <c r="AL23" s="72">
        <f t="shared" ref="AL23:AL26" si="61">(AI23/$I23)*100</f>
        <v>0.55977011494252871</v>
      </c>
      <c r="AM23" s="73">
        <f t="shared" ref="AM23:AM26" si="62">(AJ23/$I23)*100</f>
        <v>2.1183908045977011</v>
      </c>
      <c r="AN23" s="97"/>
      <c r="AO23" s="98"/>
      <c r="AP23" s="61"/>
      <c r="AQ23" s="61"/>
      <c r="AR23" s="61"/>
    </row>
    <row r="24" spans="1:44" ht="28" customHeight="1">
      <c r="A24" s="34" t="s">
        <v>86</v>
      </c>
      <c r="C24" s="57">
        <v>43729</v>
      </c>
      <c r="D24" s="58">
        <v>0.70833333333333337</v>
      </c>
      <c r="E24" s="48" t="s">
        <v>91</v>
      </c>
      <c r="F24" s="48" t="s">
        <v>91</v>
      </c>
      <c r="G24" s="77" t="s">
        <v>23</v>
      </c>
      <c r="H24" s="63" t="s">
        <v>87</v>
      </c>
      <c r="I24" s="64">
        <v>174</v>
      </c>
      <c r="J24" s="57">
        <v>43730</v>
      </c>
      <c r="K24" s="58">
        <v>0.375</v>
      </c>
      <c r="L24" s="39">
        <v>52</v>
      </c>
      <c r="M24" s="39" t="s">
        <v>13</v>
      </c>
      <c r="N24" s="61">
        <v>0</v>
      </c>
      <c r="O24" s="61">
        <v>7.5999999999999998E-2</v>
      </c>
      <c r="P24" s="42">
        <v>0.83799999999999997</v>
      </c>
      <c r="Q24" s="71">
        <f t="shared" si="55"/>
        <v>0</v>
      </c>
      <c r="R24" s="72">
        <f t="shared" si="47"/>
        <v>4.3678160919540229E-2</v>
      </c>
      <c r="S24" s="73">
        <f t="shared" si="56"/>
        <v>0.4816091954022988</v>
      </c>
      <c r="T24" s="50" t="s">
        <v>91</v>
      </c>
      <c r="U24" s="50" t="s">
        <v>91</v>
      </c>
      <c r="V24" s="74"/>
      <c r="W24" s="39"/>
      <c r="X24" s="61"/>
      <c r="Y24" s="61"/>
      <c r="Z24" s="42"/>
      <c r="AA24" s="71">
        <f t="shared" si="57"/>
        <v>0</v>
      </c>
      <c r="AB24" s="72">
        <f t="shared" si="58"/>
        <v>0</v>
      </c>
      <c r="AC24" s="73">
        <f t="shared" si="59"/>
        <v>0</v>
      </c>
      <c r="AD24" s="50" t="s">
        <v>91</v>
      </c>
      <c r="AE24" s="50" t="s">
        <v>91</v>
      </c>
      <c r="AF24" s="74"/>
      <c r="AG24" s="39"/>
      <c r="AH24" s="61"/>
      <c r="AI24" s="61"/>
      <c r="AJ24" s="42"/>
      <c r="AK24" s="71">
        <f t="shared" si="60"/>
        <v>0</v>
      </c>
      <c r="AL24" s="72">
        <f t="shared" si="61"/>
        <v>0</v>
      </c>
      <c r="AM24" s="73">
        <f t="shared" si="62"/>
        <v>0</v>
      </c>
      <c r="AN24" s="97">
        <f>1-(Q24/Q23)</f>
        <v>1</v>
      </c>
      <c r="AO24" s="98">
        <f>1-(R24/R23)</f>
        <v>0.99081570996978852</v>
      </c>
      <c r="AP24" s="61"/>
      <c r="AQ24" s="61"/>
      <c r="AR24" s="61"/>
    </row>
    <row r="25" spans="1:44" ht="17">
      <c r="A25" s="34" t="s">
        <v>88</v>
      </c>
      <c r="B25" s="42">
        <v>27</v>
      </c>
      <c r="C25" s="57">
        <v>43729</v>
      </c>
      <c r="D25" s="58">
        <v>0.53125</v>
      </c>
      <c r="E25" s="46"/>
      <c r="F25" s="47"/>
      <c r="G25" s="62" t="s">
        <v>16</v>
      </c>
      <c r="H25" s="79" t="s">
        <v>108</v>
      </c>
      <c r="I25" s="64">
        <v>0.27200000000000002</v>
      </c>
      <c r="J25" s="57">
        <v>43729</v>
      </c>
      <c r="K25" s="58">
        <v>0.7597222222222223</v>
      </c>
      <c r="L25" s="39">
        <v>771</v>
      </c>
      <c r="M25" s="39" t="s">
        <v>13</v>
      </c>
      <c r="N25" s="61">
        <v>1.7999999999999999E-2</v>
      </c>
      <c r="O25" s="61">
        <v>0.377</v>
      </c>
      <c r="P25" s="42">
        <v>1.9379999999999999</v>
      </c>
      <c r="Q25" s="71">
        <f t="shared" si="55"/>
        <v>6.6176470588235281</v>
      </c>
      <c r="R25" s="72">
        <f t="shared" si="47"/>
        <v>138.60294117647058</v>
      </c>
      <c r="S25" s="73">
        <f t="shared" si="56"/>
        <v>712.49999999999989</v>
      </c>
      <c r="T25" s="57">
        <v>43735</v>
      </c>
      <c r="U25" s="58">
        <v>0.78194444444444444</v>
      </c>
      <c r="V25" s="74">
        <v>806</v>
      </c>
      <c r="W25" s="39" t="s">
        <v>9</v>
      </c>
      <c r="X25" s="61">
        <v>0.01</v>
      </c>
      <c r="Y25" s="61">
        <v>0.14000000000000001</v>
      </c>
      <c r="Z25" s="42">
        <v>0.89400000000000002</v>
      </c>
      <c r="AA25" s="71">
        <f t="shared" si="57"/>
        <v>3.6764705882352944</v>
      </c>
      <c r="AB25" s="72">
        <f t="shared" si="58"/>
        <v>51.470588235294123</v>
      </c>
      <c r="AC25" s="73">
        <f t="shared" si="59"/>
        <v>328.6764705882353</v>
      </c>
      <c r="AD25" s="61"/>
      <c r="AE25" s="42"/>
      <c r="AF25" s="74"/>
      <c r="AG25" s="39"/>
      <c r="AH25" s="61"/>
      <c r="AI25" s="61"/>
      <c r="AJ25" s="42"/>
      <c r="AK25" s="71">
        <f t="shared" si="60"/>
        <v>0</v>
      </c>
      <c r="AL25" s="72">
        <f t="shared" si="61"/>
        <v>0</v>
      </c>
      <c r="AM25" s="73">
        <f t="shared" si="62"/>
        <v>0</v>
      </c>
      <c r="AN25" s="97"/>
      <c r="AO25" s="98"/>
      <c r="AP25" s="61"/>
      <c r="AQ25" s="61"/>
      <c r="AR25" s="61"/>
    </row>
    <row r="26" spans="1:44" s="54" customFormat="1" ht="17">
      <c r="A26" s="51" t="s">
        <v>89</v>
      </c>
      <c r="B26" s="43">
        <v>56</v>
      </c>
      <c r="C26" s="59">
        <v>43729</v>
      </c>
      <c r="D26" s="60">
        <v>0.5625</v>
      </c>
      <c r="E26" s="52"/>
      <c r="F26" s="47"/>
      <c r="G26" s="84" t="s">
        <v>16</v>
      </c>
      <c r="H26" s="79" t="s">
        <v>109</v>
      </c>
      <c r="I26" s="85">
        <v>0.14799999999999999</v>
      </c>
      <c r="J26" s="59">
        <v>43729</v>
      </c>
      <c r="K26" s="60">
        <v>0.7597222222222223</v>
      </c>
      <c r="L26" s="53">
        <v>771</v>
      </c>
      <c r="M26" s="53" t="s">
        <v>9</v>
      </c>
      <c r="N26" s="86">
        <v>3.0000000000000001E-3</v>
      </c>
      <c r="O26" s="86">
        <v>8.8999999999999996E-2</v>
      </c>
      <c r="P26" s="43">
        <v>0.98399999999999999</v>
      </c>
      <c r="Q26" s="71">
        <f t="shared" si="55"/>
        <v>2.0270270270270272</v>
      </c>
      <c r="R26" s="72">
        <f t="shared" si="47"/>
        <v>60.13513513513513</v>
      </c>
      <c r="S26" s="73">
        <f t="shared" si="56"/>
        <v>664.8648648648649</v>
      </c>
      <c r="T26" s="57">
        <v>43735</v>
      </c>
      <c r="U26" s="58">
        <v>0.60138888888888886</v>
      </c>
      <c r="V26" s="90">
        <v>67</v>
      </c>
      <c r="W26" s="39" t="s">
        <v>13</v>
      </c>
      <c r="X26" s="61">
        <v>1E-3</v>
      </c>
      <c r="Y26" s="61">
        <v>2.9000000000000001E-2</v>
      </c>
      <c r="Z26" s="42">
        <v>0.61799999999999999</v>
      </c>
      <c r="AA26" s="71">
        <f t="shared" si="57"/>
        <v>0.67567567567567566</v>
      </c>
      <c r="AB26" s="72">
        <f t="shared" si="58"/>
        <v>19.594594594594597</v>
      </c>
      <c r="AC26" s="73">
        <f t="shared" si="59"/>
        <v>417.56756756756755</v>
      </c>
      <c r="AD26" s="57">
        <v>43762</v>
      </c>
      <c r="AE26" s="42"/>
      <c r="AF26" s="74"/>
      <c r="AG26" s="39" t="s">
        <v>9</v>
      </c>
      <c r="AH26" s="61"/>
      <c r="AI26" s="61"/>
      <c r="AJ26" s="42"/>
      <c r="AK26" s="71">
        <f t="shared" si="60"/>
        <v>0</v>
      </c>
      <c r="AL26" s="72">
        <f t="shared" si="61"/>
        <v>0</v>
      </c>
      <c r="AM26" s="73">
        <f t="shared" si="62"/>
        <v>0</v>
      </c>
      <c r="AN26" s="97"/>
      <c r="AO26" s="98"/>
      <c r="AP26" s="86"/>
      <c r="AQ26" s="86"/>
      <c r="AR26" s="86"/>
    </row>
    <row r="27" spans="1:44" ht="55" customHeight="1">
      <c r="A27" s="34" t="s">
        <v>95</v>
      </c>
      <c r="B27" s="42">
        <v>38</v>
      </c>
      <c r="C27" s="59">
        <v>43730</v>
      </c>
      <c r="D27" s="58">
        <v>0.60416666666666663</v>
      </c>
      <c r="E27" s="52"/>
      <c r="F27" s="47"/>
      <c r="G27" s="77" t="s">
        <v>39</v>
      </c>
      <c r="H27" s="63" t="s">
        <v>128</v>
      </c>
      <c r="I27" s="64">
        <v>4.29</v>
      </c>
      <c r="J27" s="59">
        <v>43730</v>
      </c>
      <c r="K27" s="58">
        <v>0.69305555555555554</v>
      </c>
      <c r="L27" s="39">
        <v>261</v>
      </c>
      <c r="M27" s="39" t="s">
        <v>9</v>
      </c>
      <c r="N27" s="86">
        <v>6.0999999999999999E-2</v>
      </c>
      <c r="O27" s="86">
        <v>0.99099999999999999</v>
      </c>
      <c r="P27" s="42">
        <v>3.6280000000000001</v>
      </c>
      <c r="Q27" s="87">
        <f t="shared" ref="Q27:Q28" si="63">(N27/$I27)*100</f>
        <v>1.4219114219114219</v>
      </c>
      <c r="R27" s="88">
        <f t="shared" si="47"/>
        <v>23.100233100233101</v>
      </c>
      <c r="S27" s="89">
        <f t="shared" ref="S27:S28" si="64">(P27/$I27)*100</f>
        <v>84.568764568764578</v>
      </c>
      <c r="T27" s="59">
        <v>43738</v>
      </c>
      <c r="U27" s="60">
        <v>0.58124999999999993</v>
      </c>
      <c r="V27" s="90">
        <v>800</v>
      </c>
      <c r="W27" s="53" t="s">
        <v>13</v>
      </c>
      <c r="X27" s="86">
        <v>1.9E-2</v>
      </c>
      <c r="Y27" s="86">
        <v>0.17899999999999999</v>
      </c>
      <c r="Z27" s="43">
        <v>0.93300000000000005</v>
      </c>
      <c r="AA27" s="87">
        <f t="shared" ref="AA27:AA28" si="65">(X27/$I27)*100</f>
        <v>0.44289044289044283</v>
      </c>
      <c r="AB27" s="88">
        <f t="shared" ref="AB27:AB28" si="66">(Y27/$I27)*100</f>
        <v>4.1724941724941722</v>
      </c>
      <c r="AC27" s="89">
        <f t="shared" ref="AC27:AC28" si="67">(Z27/$I27)*100</f>
        <v>21.74825174825175</v>
      </c>
      <c r="AD27" s="59">
        <v>43760</v>
      </c>
      <c r="AE27" s="60">
        <v>0.66736111111111107</v>
      </c>
      <c r="AF27" s="90">
        <v>2373</v>
      </c>
      <c r="AG27" s="53" t="s">
        <v>9</v>
      </c>
      <c r="AH27" s="86">
        <v>5.0000000000000001E-3</v>
      </c>
      <c r="AI27" s="86">
        <v>5.6000000000000001E-2</v>
      </c>
      <c r="AJ27" s="43">
        <v>0.89200000000000002</v>
      </c>
      <c r="AK27" s="87">
        <f t="shared" ref="AK27:AK28" si="68">(AH27/$I27)*100</f>
        <v>0.11655011655011654</v>
      </c>
      <c r="AL27" s="88">
        <f t="shared" ref="AL27:AL28" si="69">(AI27/$I27)*100</f>
        <v>1.3053613053613053</v>
      </c>
      <c r="AM27" s="89">
        <f t="shared" ref="AM27:AM28" si="70">(AJ27/$I27)*100</f>
        <v>20.792540792540791</v>
      </c>
      <c r="AN27" s="97"/>
      <c r="AO27" s="98"/>
      <c r="AP27" s="61"/>
      <c r="AQ27" s="61"/>
      <c r="AR27" s="61"/>
    </row>
    <row r="28" spans="1:44" ht="75">
      <c r="A28" s="34" t="s">
        <v>97</v>
      </c>
      <c r="C28" s="59">
        <v>43730</v>
      </c>
      <c r="D28" s="58">
        <v>0.60416666666666663</v>
      </c>
      <c r="E28" s="48" t="s">
        <v>91</v>
      </c>
      <c r="F28" s="48" t="s">
        <v>91</v>
      </c>
      <c r="G28" s="77" t="s">
        <v>96</v>
      </c>
      <c r="H28" s="91" t="s">
        <v>113</v>
      </c>
      <c r="I28" s="64">
        <v>4.29</v>
      </c>
      <c r="J28" s="59">
        <v>43730</v>
      </c>
      <c r="K28" s="58">
        <v>0.69305555555555554</v>
      </c>
      <c r="L28" s="39">
        <v>261</v>
      </c>
      <c r="M28" s="39" t="s">
        <v>13</v>
      </c>
      <c r="N28" s="86">
        <v>4.0000000000000001E-3</v>
      </c>
      <c r="O28" s="86">
        <v>0.111</v>
      </c>
      <c r="P28" s="42">
        <v>0.93400000000000005</v>
      </c>
      <c r="Q28" s="87">
        <f t="shared" si="63"/>
        <v>9.3240093240093247E-2</v>
      </c>
      <c r="R28" s="92">
        <f>((O28-0.07159)/$I28)*100</f>
        <v>0.91864801864801859</v>
      </c>
      <c r="S28" s="89">
        <f t="shared" si="64"/>
        <v>21.771561771561775</v>
      </c>
      <c r="T28" s="50" t="s">
        <v>91</v>
      </c>
      <c r="U28" s="50" t="s">
        <v>91</v>
      </c>
      <c r="V28" s="153"/>
      <c r="W28" s="154"/>
      <c r="X28" s="86"/>
      <c r="Y28" s="86"/>
      <c r="Z28" s="43"/>
      <c r="AA28" s="87">
        <f t="shared" si="65"/>
        <v>0</v>
      </c>
      <c r="AB28" s="88">
        <f t="shared" si="66"/>
        <v>0</v>
      </c>
      <c r="AC28" s="89">
        <f t="shared" si="67"/>
        <v>0</v>
      </c>
      <c r="AD28" s="50" t="s">
        <v>91</v>
      </c>
      <c r="AE28" s="50" t="s">
        <v>91</v>
      </c>
      <c r="AF28" s="90"/>
      <c r="AG28" s="53"/>
      <c r="AH28" s="86"/>
      <c r="AI28" s="86"/>
      <c r="AJ28" s="43"/>
      <c r="AK28" s="87">
        <f t="shared" si="68"/>
        <v>0</v>
      </c>
      <c r="AL28" s="88">
        <f t="shared" si="69"/>
        <v>0</v>
      </c>
      <c r="AM28" s="89">
        <f t="shared" si="70"/>
        <v>0</v>
      </c>
      <c r="AN28" s="97">
        <f>1-(Q28/Q27)</f>
        <v>0.93442622950819676</v>
      </c>
      <c r="AO28" s="98">
        <f>1-(R28/R27)</f>
        <v>0.96023208879919275</v>
      </c>
      <c r="AP28" s="61"/>
      <c r="AQ28" s="61"/>
      <c r="AR28" s="61"/>
    </row>
    <row r="29" spans="1:44" ht="17">
      <c r="A29" s="34" t="s">
        <v>102</v>
      </c>
      <c r="B29" s="42">
        <v>46</v>
      </c>
      <c r="C29" s="57">
        <v>43731</v>
      </c>
      <c r="D29" s="58">
        <v>0.33333333333333331</v>
      </c>
      <c r="E29" s="52"/>
      <c r="F29" s="47"/>
      <c r="G29" s="62" t="s">
        <v>6</v>
      </c>
      <c r="H29" s="63" t="s">
        <v>7</v>
      </c>
      <c r="I29" s="64">
        <v>192.9</v>
      </c>
      <c r="J29" s="59">
        <v>43731</v>
      </c>
      <c r="K29" s="58">
        <v>0.58888888888888891</v>
      </c>
      <c r="L29" s="39">
        <v>79</v>
      </c>
      <c r="M29" s="39" t="s">
        <v>13</v>
      </c>
      <c r="N29" s="61">
        <v>0.88900000000000001</v>
      </c>
      <c r="O29" s="61">
        <v>10.375</v>
      </c>
      <c r="P29" s="42">
        <v>23.591999999999999</v>
      </c>
      <c r="Q29" s="87">
        <f t="shared" ref="Q29:Q32" si="71">(N29/$I29)*100</f>
        <v>0.46086054950751681</v>
      </c>
      <c r="R29" s="88">
        <f>(O29/$I29)*100</f>
        <v>5.3784344219803009</v>
      </c>
      <c r="S29" s="89">
        <f t="shared" ref="S29:S32" si="72">(P29/$I29)*100</f>
        <v>12.230171073094867</v>
      </c>
      <c r="T29" s="59">
        <v>43739</v>
      </c>
      <c r="U29" s="60">
        <v>0.47222222222222227</v>
      </c>
      <c r="V29" s="90">
        <v>288</v>
      </c>
      <c r="W29" s="9" t="s">
        <v>13</v>
      </c>
      <c r="X29" s="86">
        <v>0.45100000000000001</v>
      </c>
      <c r="Y29" s="86">
        <v>2.3460000000000001</v>
      </c>
      <c r="Z29" s="43">
        <v>7.4930000000000003</v>
      </c>
      <c r="AA29" s="87">
        <f t="shared" ref="AA29" si="73">(X29/$I29)*100</f>
        <v>0.23379989631933645</v>
      </c>
      <c r="AB29" s="88">
        <f t="shared" ref="AB29" si="74">(Y29/$I29)*100</f>
        <v>1.2161741835147744</v>
      </c>
      <c r="AC29" s="89">
        <f t="shared" ref="AC29" si="75">(Z29/$I29)*100</f>
        <v>3.8843960601347849</v>
      </c>
      <c r="AD29" s="148">
        <v>43760</v>
      </c>
      <c r="AE29" s="60">
        <v>0.39652777777777781</v>
      </c>
      <c r="AF29" s="90">
        <v>366</v>
      </c>
      <c r="AG29" s="53" t="s">
        <v>13</v>
      </c>
      <c r="AH29" s="86">
        <v>0.126</v>
      </c>
      <c r="AI29" s="86">
        <v>0.83799999999999997</v>
      </c>
      <c r="AJ29" s="43">
        <v>4.1079999999999997</v>
      </c>
      <c r="AK29" s="87">
        <f t="shared" ref="AK29" si="76">(AH29/$I29)*100</f>
        <v>6.5318818040435461E-2</v>
      </c>
      <c r="AL29" s="88">
        <f t="shared" ref="AL29" si="77">(AI29/$I29)*100</f>
        <v>0.43442198030067392</v>
      </c>
      <c r="AM29" s="89">
        <f t="shared" ref="AM29" si="78">(AJ29/$I29)*100</f>
        <v>2.1296008294453084</v>
      </c>
      <c r="AN29" s="97"/>
      <c r="AO29" s="98"/>
      <c r="AP29" s="61"/>
      <c r="AQ29" s="61"/>
      <c r="AR29" s="61"/>
    </row>
    <row r="30" spans="1:44" ht="75">
      <c r="A30" s="34" t="s">
        <v>103</v>
      </c>
      <c r="C30" s="57">
        <v>43731</v>
      </c>
      <c r="D30" s="58">
        <v>0.33333333333333331</v>
      </c>
      <c r="E30" s="48" t="s">
        <v>91</v>
      </c>
      <c r="F30" s="48" t="s">
        <v>91</v>
      </c>
      <c r="G30" s="77" t="s">
        <v>23</v>
      </c>
      <c r="H30" s="91" t="s">
        <v>112</v>
      </c>
      <c r="I30" s="64">
        <v>192.9</v>
      </c>
      <c r="J30" s="59">
        <v>43731</v>
      </c>
      <c r="K30" s="58">
        <v>0.58888888888888891</v>
      </c>
      <c r="L30" s="39">
        <v>79</v>
      </c>
      <c r="M30" s="39" t="s">
        <v>9</v>
      </c>
      <c r="N30" s="61">
        <v>6.3E-2</v>
      </c>
      <c r="O30" s="61">
        <v>0.41299999999999998</v>
      </c>
      <c r="P30" s="42">
        <v>1.7270000000000001</v>
      </c>
      <c r="Q30" s="87">
        <f t="shared" si="71"/>
        <v>3.2659409020217731E-2</v>
      </c>
      <c r="R30" s="92">
        <f>((O30-0.0064)/$I30)*100</f>
        <v>0.21078278900984962</v>
      </c>
      <c r="S30" s="89">
        <f t="shared" si="72"/>
        <v>0.89528252980819079</v>
      </c>
      <c r="T30" s="95" t="s">
        <v>91</v>
      </c>
      <c r="U30" s="95" t="s">
        <v>91</v>
      </c>
      <c r="V30" s="81"/>
      <c r="W30" s="81"/>
      <c r="X30" s="80"/>
      <c r="Y30" s="80"/>
      <c r="Z30" s="81"/>
      <c r="AA30" s="93">
        <v>0</v>
      </c>
      <c r="AB30" s="96">
        <v>0</v>
      </c>
      <c r="AC30" s="94">
        <v>0</v>
      </c>
      <c r="AD30" s="95" t="s">
        <v>91</v>
      </c>
      <c r="AE30" s="95" t="s">
        <v>91</v>
      </c>
      <c r="AF30" s="155"/>
      <c r="AG30" s="81"/>
      <c r="AH30" s="80"/>
      <c r="AI30" s="80"/>
      <c r="AJ30" s="81"/>
      <c r="AK30" s="93">
        <v>0</v>
      </c>
      <c r="AL30" s="96">
        <v>0</v>
      </c>
      <c r="AM30" s="94">
        <v>0</v>
      </c>
      <c r="AN30" s="97">
        <f>1-(Q30/Q29)</f>
        <v>0.92913385826771655</v>
      </c>
      <c r="AO30" s="98">
        <f>1-(R30/R29)</f>
        <v>0.96080963855421686</v>
      </c>
      <c r="AP30" s="61"/>
      <c r="AQ30" s="61"/>
      <c r="AR30" s="61"/>
    </row>
    <row r="31" spans="1:44" ht="17">
      <c r="A31" s="34" t="s">
        <v>105</v>
      </c>
      <c r="B31" s="42">
        <v>14</v>
      </c>
      <c r="C31" s="57">
        <v>43731</v>
      </c>
      <c r="D31" s="58">
        <v>0.58333333333333337</v>
      </c>
      <c r="E31" s="52"/>
      <c r="F31" s="47"/>
      <c r="G31" s="62" t="s">
        <v>16</v>
      </c>
      <c r="H31" s="79" t="s">
        <v>107</v>
      </c>
      <c r="I31" s="64">
        <v>0.17299999999999999</v>
      </c>
      <c r="J31" s="59">
        <v>43731</v>
      </c>
      <c r="K31" s="58">
        <v>0.66875000000000007</v>
      </c>
      <c r="L31" s="39">
        <v>903</v>
      </c>
      <c r="M31" s="39" t="s">
        <v>13</v>
      </c>
      <c r="N31" s="61">
        <v>0.02</v>
      </c>
      <c r="O31" s="61">
        <v>0.27100000000000002</v>
      </c>
      <c r="P31" s="42">
        <v>1.6160000000000001</v>
      </c>
      <c r="Q31" s="87">
        <f t="shared" si="71"/>
        <v>11.560693641618498</v>
      </c>
      <c r="R31" s="88">
        <f>(O31/$I31)*100</f>
        <v>156.64739884393066</v>
      </c>
      <c r="S31" s="89">
        <f t="shared" si="72"/>
        <v>934.10404624277476</v>
      </c>
      <c r="T31" s="59">
        <v>43738</v>
      </c>
      <c r="U31" s="58">
        <v>0.58194444444444449</v>
      </c>
      <c r="V31" s="90">
        <v>798</v>
      </c>
      <c r="W31" s="53" t="s">
        <v>9</v>
      </c>
      <c r="X31" s="86">
        <v>8.0000000000000002E-3</v>
      </c>
      <c r="Y31" s="86">
        <v>9.8000000000000004E-2</v>
      </c>
      <c r="Z31" s="43">
        <v>0.57999999999999996</v>
      </c>
      <c r="AA31" s="87">
        <f t="shared" ref="AA31:AA33" si="79">(X31/$I31)*100</f>
        <v>4.6242774566473992</v>
      </c>
      <c r="AB31" s="88">
        <f t="shared" ref="AB31:AB33" si="80">(Y31/$I31)*100</f>
        <v>56.647398843930638</v>
      </c>
      <c r="AC31" s="89">
        <f t="shared" ref="AC31:AC33" si="81">(Z31/$I31)*100</f>
        <v>335.26011560693638</v>
      </c>
      <c r="AD31" s="61"/>
      <c r="AE31" s="42"/>
      <c r="AF31" s="90"/>
      <c r="AG31" s="53"/>
      <c r="AH31" s="86"/>
      <c r="AI31" s="86"/>
      <c r="AJ31" s="43"/>
      <c r="AK31" s="87">
        <f t="shared" ref="AK31:AK33" si="82">(AH31/$I31)*100</f>
        <v>0</v>
      </c>
      <c r="AL31" s="88">
        <f t="shared" ref="AL31:AL33" si="83">(AI31/$I31)*100</f>
        <v>0</v>
      </c>
      <c r="AM31" s="89">
        <f t="shared" ref="AM31:AM33" si="84">(AJ31/$I31)*100</f>
        <v>0</v>
      </c>
      <c r="AN31" s="61"/>
      <c r="AO31" s="42"/>
      <c r="AP31" s="61"/>
      <c r="AQ31" s="61"/>
      <c r="AR31" s="61"/>
    </row>
    <row r="32" spans="1:44" ht="17">
      <c r="A32" s="34" t="s">
        <v>106</v>
      </c>
      <c r="B32" s="42">
        <v>26</v>
      </c>
      <c r="C32" s="57">
        <v>43731</v>
      </c>
      <c r="D32" s="58">
        <v>0.61458333333333337</v>
      </c>
      <c r="E32" s="52"/>
      <c r="F32" s="47"/>
      <c r="G32" s="62" t="s">
        <v>16</v>
      </c>
      <c r="H32" s="79" t="s">
        <v>107</v>
      </c>
      <c r="I32" s="64">
        <v>0.183</v>
      </c>
      <c r="J32" s="59">
        <v>43731</v>
      </c>
      <c r="K32" s="58">
        <v>0.66875000000000007</v>
      </c>
      <c r="L32" s="39">
        <v>902</v>
      </c>
      <c r="M32" s="39" t="s">
        <v>9</v>
      </c>
      <c r="N32" s="61">
        <v>1.4E-2</v>
      </c>
      <c r="O32" s="61">
        <v>0.24399999999999999</v>
      </c>
      <c r="P32" s="42">
        <v>1.274</v>
      </c>
      <c r="Q32" s="87">
        <f t="shared" si="71"/>
        <v>7.6502732240437163</v>
      </c>
      <c r="R32" s="88">
        <f>(O32/$I32)*100</f>
        <v>133.33333333333331</v>
      </c>
      <c r="S32" s="89">
        <f t="shared" si="72"/>
        <v>696.17486338797812</v>
      </c>
      <c r="T32" s="57">
        <v>43746</v>
      </c>
      <c r="U32" s="58">
        <v>0.55902777777777779</v>
      </c>
      <c r="V32" s="90">
        <v>833</v>
      </c>
      <c r="W32" s="53" t="s">
        <v>9</v>
      </c>
      <c r="X32" s="86">
        <v>4.0000000000000001E-3</v>
      </c>
      <c r="Y32" s="86">
        <v>3.7999999999999999E-2</v>
      </c>
      <c r="Z32" s="43">
        <v>0.40500000000000003</v>
      </c>
      <c r="AA32" s="87">
        <f t="shared" si="79"/>
        <v>2.1857923497267762</v>
      </c>
      <c r="AB32" s="88">
        <f t="shared" si="80"/>
        <v>20.765027322404372</v>
      </c>
      <c r="AC32" s="89">
        <f t="shared" si="81"/>
        <v>221.31147540983608</v>
      </c>
      <c r="AD32" s="61"/>
      <c r="AE32" s="42"/>
      <c r="AF32" s="90"/>
      <c r="AG32" s="53"/>
      <c r="AH32" s="86"/>
      <c r="AI32" s="86"/>
      <c r="AJ32" s="43"/>
      <c r="AK32" s="87">
        <f t="shared" si="82"/>
        <v>0</v>
      </c>
      <c r="AL32" s="88">
        <f t="shared" si="83"/>
        <v>0</v>
      </c>
      <c r="AM32" s="89">
        <f t="shared" si="84"/>
        <v>0</v>
      </c>
      <c r="AN32" s="61"/>
      <c r="AO32" s="42"/>
      <c r="AP32" s="61"/>
      <c r="AQ32" s="61"/>
      <c r="AR32" s="61"/>
    </row>
    <row r="33" spans="1:44" ht="17">
      <c r="A33" s="34" t="s">
        <v>116</v>
      </c>
      <c r="B33" s="42">
        <v>57</v>
      </c>
      <c r="C33" s="57">
        <v>43733</v>
      </c>
      <c r="D33" s="58">
        <v>0.33333333333333331</v>
      </c>
      <c r="E33" s="52"/>
      <c r="F33" s="47"/>
      <c r="G33" s="62" t="s">
        <v>6</v>
      </c>
      <c r="H33" s="63" t="s">
        <v>7</v>
      </c>
      <c r="I33" s="64">
        <v>186.8</v>
      </c>
      <c r="J33" s="59">
        <v>43733</v>
      </c>
      <c r="K33" s="58">
        <v>0.59305555555555556</v>
      </c>
      <c r="L33" s="39">
        <v>80</v>
      </c>
      <c r="M33" s="39" t="s">
        <v>9</v>
      </c>
      <c r="N33" s="61">
        <v>1.0629999999999999</v>
      </c>
      <c r="O33" s="61">
        <v>9.1010000000000009</v>
      </c>
      <c r="P33" s="42">
        <v>20.998000000000001</v>
      </c>
      <c r="Q33" s="87">
        <f t="shared" ref="Q33:Q37" si="85">(N33/$I33)*100</f>
        <v>0.56905781584582438</v>
      </c>
      <c r="R33" s="88">
        <f>(O33/$I33)*100</f>
        <v>4.8720556745182009</v>
      </c>
      <c r="S33" s="89">
        <f t="shared" ref="S33:S37" si="86">(P33/$I33)*100</f>
        <v>11.240899357601714</v>
      </c>
      <c r="T33" s="59">
        <v>43739</v>
      </c>
      <c r="U33" s="60">
        <v>0.47222222222222227</v>
      </c>
      <c r="V33" s="90">
        <v>288</v>
      </c>
      <c r="W33" s="53" t="s">
        <v>9</v>
      </c>
      <c r="X33" s="86">
        <v>0.57999999999999996</v>
      </c>
      <c r="Y33" s="86">
        <v>3.2519999999999998</v>
      </c>
      <c r="Z33" s="43">
        <v>9.6319999999999997</v>
      </c>
      <c r="AA33" s="87">
        <f t="shared" si="79"/>
        <v>0.31049250535331901</v>
      </c>
      <c r="AB33" s="88">
        <f t="shared" si="80"/>
        <v>1.7408993576017127</v>
      </c>
      <c r="AC33" s="89">
        <f t="shared" si="81"/>
        <v>5.1563169164882225</v>
      </c>
      <c r="AD33" s="148">
        <v>43760</v>
      </c>
      <c r="AE33" s="60">
        <v>0.39652777777777781</v>
      </c>
      <c r="AF33" s="90">
        <v>365</v>
      </c>
      <c r="AG33" s="53" t="s">
        <v>9</v>
      </c>
      <c r="AH33" s="86">
        <v>0.17199999999999999</v>
      </c>
      <c r="AI33" s="86">
        <v>0.95199999999999996</v>
      </c>
      <c r="AJ33" s="43">
        <v>4.4589999999999996</v>
      </c>
      <c r="AK33" s="87">
        <f t="shared" si="82"/>
        <v>9.2077087794432536E-2</v>
      </c>
      <c r="AL33" s="88">
        <f t="shared" si="83"/>
        <v>0.50963597430406848</v>
      </c>
      <c r="AM33" s="89">
        <f t="shared" si="84"/>
        <v>2.3870449678800854</v>
      </c>
      <c r="AN33" s="97"/>
      <c r="AO33" s="98"/>
      <c r="AP33" s="61"/>
      <c r="AQ33" s="61"/>
      <c r="AR33" s="61"/>
    </row>
    <row r="34" spans="1:44" ht="75">
      <c r="A34" s="34" t="s">
        <v>117</v>
      </c>
      <c r="C34" s="57">
        <v>43733</v>
      </c>
      <c r="D34" s="58">
        <v>0.33333333333333331</v>
      </c>
      <c r="E34" s="48" t="s">
        <v>91</v>
      </c>
      <c r="F34" s="48" t="s">
        <v>91</v>
      </c>
      <c r="G34" s="77" t="s">
        <v>23</v>
      </c>
      <c r="H34" s="91" t="s">
        <v>120</v>
      </c>
      <c r="I34" s="64">
        <v>186.8</v>
      </c>
      <c r="J34" s="59">
        <v>43733</v>
      </c>
      <c r="K34" s="58">
        <v>0.59305555555555556</v>
      </c>
      <c r="L34" s="39">
        <v>80</v>
      </c>
      <c r="M34" s="39" t="s">
        <v>13</v>
      </c>
      <c r="N34" s="61">
        <v>1.2E-2</v>
      </c>
      <c r="O34" s="61">
        <v>0.161</v>
      </c>
      <c r="P34" s="42">
        <v>1.0640000000000001</v>
      </c>
      <c r="Q34" s="87">
        <f t="shared" si="85"/>
        <v>6.4239828693790149E-3</v>
      </c>
      <c r="R34" s="92">
        <f>((O34-0.0635)/$I34)*100</f>
        <v>5.2194860813704502E-2</v>
      </c>
      <c r="S34" s="89">
        <f t="shared" si="86"/>
        <v>0.56959314775160597</v>
      </c>
      <c r="T34" s="95" t="s">
        <v>91</v>
      </c>
      <c r="U34" s="95" t="s">
        <v>91</v>
      </c>
      <c r="V34" s="81"/>
      <c r="W34" s="81"/>
      <c r="X34" s="80"/>
      <c r="Y34" s="80"/>
      <c r="Z34" s="81"/>
      <c r="AA34" s="93">
        <v>0</v>
      </c>
      <c r="AB34" s="96">
        <v>0</v>
      </c>
      <c r="AC34" s="94">
        <v>0</v>
      </c>
      <c r="AD34" s="95" t="s">
        <v>91</v>
      </c>
      <c r="AE34" s="95" t="s">
        <v>91</v>
      </c>
      <c r="AF34" s="155"/>
      <c r="AG34" s="81"/>
      <c r="AH34" s="80"/>
      <c r="AI34" s="80"/>
      <c r="AJ34" s="81"/>
      <c r="AK34" s="93">
        <v>0</v>
      </c>
      <c r="AL34" s="96">
        <v>0</v>
      </c>
      <c r="AM34" s="94">
        <v>0</v>
      </c>
      <c r="AN34" s="97">
        <f>1-(Q34/Q33)</f>
        <v>0.98871119473189084</v>
      </c>
      <c r="AO34" s="98">
        <f>1-(R34/R33)</f>
        <v>0.98928689155037908</v>
      </c>
      <c r="AP34" s="61"/>
      <c r="AQ34" s="61"/>
      <c r="AR34" s="61"/>
    </row>
    <row r="35" spans="1:44" ht="17">
      <c r="A35" s="34" t="s">
        <v>118</v>
      </c>
      <c r="B35" s="42" t="s">
        <v>121</v>
      </c>
      <c r="C35" s="57">
        <v>43733</v>
      </c>
      <c r="D35" s="58">
        <v>0.63541666666666663</v>
      </c>
      <c r="E35" s="52"/>
      <c r="F35" s="47"/>
      <c r="G35" s="62" t="s">
        <v>16</v>
      </c>
      <c r="H35" s="79" t="s">
        <v>122</v>
      </c>
      <c r="I35" s="64">
        <v>0.20599999999999999</v>
      </c>
      <c r="J35" s="59">
        <v>43733</v>
      </c>
      <c r="K35" s="58">
        <v>0.87222222222222223</v>
      </c>
      <c r="L35" s="39">
        <v>609</v>
      </c>
      <c r="M35" s="39" t="s">
        <v>9</v>
      </c>
      <c r="N35" s="61">
        <v>4.3999999999999997E-2</v>
      </c>
      <c r="O35" s="61">
        <v>0.623</v>
      </c>
      <c r="P35" s="42">
        <v>2.4590000000000001</v>
      </c>
      <c r="Q35" s="87">
        <f t="shared" si="85"/>
        <v>21.359223300970871</v>
      </c>
      <c r="R35" s="88">
        <f>(O35/$I35)*100</f>
        <v>302.42718446601941</v>
      </c>
      <c r="S35" s="89">
        <f t="shared" si="86"/>
        <v>1193.6893203883496</v>
      </c>
      <c r="T35" s="59">
        <v>43745</v>
      </c>
      <c r="U35" s="60">
        <v>0.33263888888888887</v>
      </c>
      <c r="V35" s="90">
        <v>1694</v>
      </c>
      <c r="W35" s="53" t="s">
        <v>9</v>
      </c>
      <c r="X35" s="86">
        <v>1.2999999999999999E-2</v>
      </c>
      <c r="Y35" s="86">
        <v>8.4000000000000005E-2</v>
      </c>
      <c r="Z35" s="43">
        <v>0.627</v>
      </c>
      <c r="AA35" s="87">
        <f t="shared" ref="AA35:AA37" si="87">(X35/$I35)*100</f>
        <v>6.3106796116504853</v>
      </c>
      <c r="AB35" s="88">
        <f t="shared" ref="AB35:AB37" si="88">(Y35/$I35)*100</f>
        <v>40.77669902912622</v>
      </c>
      <c r="AC35" s="89">
        <f t="shared" ref="AC35:AC37" si="89">(Z35/$I35)*100</f>
        <v>304.368932038835</v>
      </c>
      <c r="AD35" s="86"/>
      <c r="AE35" s="43"/>
      <c r="AF35" s="90"/>
      <c r="AG35" s="53"/>
      <c r="AH35" s="86"/>
      <c r="AI35" s="86"/>
      <c r="AJ35" s="43"/>
      <c r="AK35" s="87">
        <f t="shared" ref="AK35:AK37" si="90">(AH35/$I35)*100</f>
        <v>0</v>
      </c>
      <c r="AL35" s="88">
        <f t="shared" ref="AL35:AL37" si="91">(AI35/$I35)*100</f>
        <v>0</v>
      </c>
      <c r="AM35" s="89">
        <f t="shared" ref="AM35:AM37" si="92">(AJ35/$I35)*100</f>
        <v>0</v>
      </c>
      <c r="AN35" s="61"/>
      <c r="AO35" s="42"/>
      <c r="AP35" s="61"/>
      <c r="AQ35" s="61"/>
      <c r="AR35" s="61"/>
    </row>
    <row r="36" spans="1:44" ht="17">
      <c r="A36" s="34" t="s">
        <v>119</v>
      </c>
      <c r="B36" s="42">
        <v>33</v>
      </c>
      <c r="C36" s="57">
        <v>43733</v>
      </c>
      <c r="D36" s="58">
        <v>0.6875</v>
      </c>
      <c r="E36" s="52"/>
      <c r="F36" s="47"/>
      <c r="G36" s="62" t="s">
        <v>16</v>
      </c>
      <c r="H36" s="79" t="s">
        <v>122</v>
      </c>
      <c r="I36" s="64">
        <v>0.33600000000000002</v>
      </c>
      <c r="J36" s="59">
        <v>43733</v>
      </c>
      <c r="K36" s="58">
        <v>0.87222222222222223</v>
      </c>
      <c r="L36" s="39">
        <v>609</v>
      </c>
      <c r="M36" s="39" t="s">
        <v>13</v>
      </c>
      <c r="N36" s="61">
        <v>2.8000000000000001E-2</v>
      </c>
      <c r="O36" s="61">
        <v>0.54</v>
      </c>
      <c r="P36" s="42">
        <v>1.9690000000000001</v>
      </c>
      <c r="Q36" s="87">
        <f t="shared" si="85"/>
        <v>8.3333333333333321</v>
      </c>
      <c r="R36" s="88">
        <f>(O36/$I36)*100</f>
        <v>160.71428571428572</v>
      </c>
      <c r="S36" s="89">
        <f t="shared" si="86"/>
        <v>586.0119047619047</v>
      </c>
      <c r="T36" s="59">
        <v>43745</v>
      </c>
      <c r="U36" s="60">
        <v>0.33263888888888887</v>
      </c>
      <c r="V36" s="90">
        <v>1694</v>
      </c>
      <c r="W36" s="53" t="s">
        <v>13</v>
      </c>
      <c r="X36" s="86">
        <v>1.2999999999999999E-2</v>
      </c>
      <c r="Y36" s="86">
        <v>0.1</v>
      </c>
      <c r="Z36" s="43">
        <v>0.748</v>
      </c>
      <c r="AA36" s="87">
        <f t="shared" si="87"/>
        <v>3.8690476190476186</v>
      </c>
      <c r="AB36" s="88">
        <f t="shared" si="88"/>
        <v>29.761904761904763</v>
      </c>
      <c r="AC36" s="89">
        <f t="shared" si="89"/>
        <v>222.61904761904759</v>
      </c>
      <c r="AD36" s="86"/>
      <c r="AE36" s="43"/>
      <c r="AF36" s="90"/>
      <c r="AG36" s="53"/>
      <c r="AH36" s="86"/>
      <c r="AI36" s="86"/>
      <c r="AJ36" s="43"/>
      <c r="AK36" s="87">
        <f t="shared" si="90"/>
        <v>0</v>
      </c>
      <c r="AL36" s="88">
        <f t="shared" si="91"/>
        <v>0</v>
      </c>
      <c r="AM36" s="89">
        <f t="shared" si="92"/>
        <v>0</v>
      </c>
      <c r="AN36" s="61"/>
      <c r="AO36" s="42"/>
      <c r="AP36" s="61"/>
      <c r="AQ36" s="61"/>
      <c r="AR36" s="61"/>
    </row>
    <row r="37" spans="1:44" ht="60">
      <c r="A37" s="34" t="s">
        <v>126</v>
      </c>
      <c r="B37" s="42">
        <v>18</v>
      </c>
      <c r="C37" s="57">
        <v>43734</v>
      </c>
      <c r="D37" s="58">
        <v>0.60416666666666663</v>
      </c>
      <c r="F37" s="52"/>
      <c r="G37" s="77" t="s">
        <v>39</v>
      </c>
      <c r="H37" s="63" t="s">
        <v>127</v>
      </c>
      <c r="I37" s="64">
        <v>4.5999999999999996</v>
      </c>
      <c r="J37" s="57">
        <v>43734</v>
      </c>
      <c r="K37" s="58">
        <v>0.90416666666666667</v>
      </c>
      <c r="M37" s="39" t="s">
        <v>13</v>
      </c>
      <c r="N37" s="61">
        <v>1.7999999999999999E-2</v>
      </c>
      <c r="O37" s="61">
        <v>0.25600000000000001</v>
      </c>
      <c r="P37" s="42">
        <v>1.232</v>
      </c>
      <c r="Q37" s="71">
        <f t="shared" si="85"/>
        <v>0.39130434782608697</v>
      </c>
      <c r="R37" s="72">
        <f>(O37/$I37)*100</f>
        <v>5.5652173913043477</v>
      </c>
      <c r="S37" s="73">
        <f t="shared" si="86"/>
        <v>26.782608695652176</v>
      </c>
      <c r="T37" s="57">
        <v>43746</v>
      </c>
      <c r="U37" s="58">
        <v>0.55902777777777779</v>
      </c>
      <c r="V37" s="74">
        <v>833</v>
      </c>
      <c r="W37" s="39" t="s">
        <v>13</v>
      </c>
      <c r="X37" s="61">
        <v>8.0000000000000002E-3</v>
      </c>
      <c r="Y37" s="61">
        <v>0.06</v>
      </c>
      <c r="Z37" s="42">
        <v>0.54400000000000004</v>
      </c>
      <c r="AA37" s="71">
        <f t="shared" si="87"/>
        <v>0.17391304347826086</v>
      </c>
      <c r="AB37" s="72">
        <f t="shared" si="88"/>
        <v>1.3043478260869565</v>
      </c>
      <c r="AC37" s="73">
        <f t="shared" si="89"/>
        <v>11.82608695652174</v>
      </c>
      <c r="AD37" s="59">
        <v>43760</v>
      </c>
      <c r="AE37" s="60">
        <v>0.66736111111111107</v>
      </c>
      <c r="AF37" s="90">
        <v>2373</v>
      </c>
      <c r="AG37" s="39" t="s">
        <v>13</v>
      </c>
      <c r="AH37" s="61">
        <v>3.0000000000000001E-3</v>
      </c>
      <c r="AI37" s="61">
        <v>4.2999999999999997E-2</v>
      </c>
      <c r="AJ37" s="42">
        <v>0.79200000000000004</v>
      </c>
      <c r="AK37" s="71">
        <f t="shared" si="90"/>
        <v>6.5217391304347838E-2</v>
      </c>
      <c r="AL37" s="72">
        <f t="shared" si="91"/>
        <v>0.93478260869565222</v>
      </c>
      <c r="AM37" s="73">
        <f t="shared" si="92"/>
        <v>17.217391304347828</v>
      </c>
      <c r="AN37" s="61"/>
      <c r="AO37" s="42"/>
      <c r="AP37" s="61"/>
      <c r="AQ37" s="61"/>
      <c r="AR37" s="61"/>
    </row>
    <row r="38" spans="1:44">
      <c r="J38" s="147"/>
    </row>
  </sheetData>
  <mergeCells count="11">
    <mergeCell ref="J1:L1"/>
    <mergeCell ref="T1:V1"/>
    <mergeCell ref="AD1:AF1"/>
    <mergeCell ref="C1:D1"/>
    <mergeCell ref="N1:P1"/>
    <mergeCell ref="Q1:S1"/>
    <mergeCell ref="AN1:AO1"/>
    <mergeCell ref="AH1:AJ1"/>
    <mergeCell ref="AK1:AM1"/>
    <mergeCell ref="X1:Z1"/>
    <mergeCell ref="AA1:AC1"/>
  </mergeCells>
  <conditionalFormatting sqref="E1:F36 E38:F1048576 F37">
    <cfRule type="colorScale" priority="51">
      <colorScale>
        <cfvo type="num" val="0"/>
        <cfvo type="num" val="1"/>
        <color theme="0"/>
        <color rgb="FFFF0000"/>
      </colorScale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AR9">
    <cfRule type="colorScale" priority="49">
      <colorScale>
        <cfvo type="num" val="0"/>
        <cfvo type="num" val="1"/>
        <color theme="0"/>
        <color rgb="FFFF0000"/>
      </colorScale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T5:U5">
    <cfRule type="colorScale" priority="39">
      <colorScale>
        <cfvo type="num" val="0"/>
        <cfvo type="num" val="1"/>
        <color theme="0"/>
        <color rgb="FFFF0000"/>
      </colorScale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T17:U17">
    <cfRule type="colorScale" priority="33">
      <colorScale>
        <cfvo type="num" val="0"/>
        <cfvo type="num" val="1"/>
        <color theme="0"/>
        <color rgb="FFFF0000"/>
      </colorScale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T24:U24">
    <cfRule type="colorScale" priority="31">
      <colorScale>
        <cfvo type="num" val="0"/>
        <cfvo type="num" val="1"/>
        <color theme="0"/>
        <color rgb="FFFF0000"/>
      </colorScale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AD24:AE24">
    <cfRule type="colorScale" priority="25">
      <colorScale>
        <cfvo type="num" val="0"/>
        <cfvo type="num" val="1"/>
        <color theme="0"/>
        <color rgb="FFFF0000"/>
      </colorScale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AD5:AE5">
    <cfRule type="colorScale" priority="23">
      <colorScale>
        <cfvo type="num" val="0"/>
        <cfvo type="num" val="1"/>
        <color theme="0"/>
        <color rgb="FFFF0000"/>
      </colorScale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AD17:AE17">
    <cfRule type="colorScale" priority="21">
      <colorScale>
        <cfvo type="num" val="0"/>
        <cfvo type="num" val="1"/>
        <color theme="0"/>
        <color rgb="FFFF0000"/>
      </colorScale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T28:U28">
    <cfRule type="colorScale" priority="7">
      <colorScale>
        <cfvo type="num" val="0"/>
        <cfvo type="num" val="1"/>
        <color theme="0"/>
        <color rgb="FFFF0000"/>
      </colorScale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AD28:AE28">
    <cfRule type="colorScale" priority="5">
      <colorScale>
        <cfvo type="num" val="0"/>
        <cfvo type="num" val="1"/>
        <color theme="0"/>
        <color rgb="FFFF0000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"/>
  <sheetViews>
    <sheetView workbookViewId="0">
      <selection activeCell="M6" sqref="M6"/>
    </sheetView>
  </sheetViews>
  <sheetFormatPr baseColWidth="10" defaultColWidth="8.83203125" defaultRowHeight="16"/>
  <cols>
    <col min="1" max="1" width="10.5" bestFit="1" customWidth="1"/>
  </cols>
  <sheetData>
    <row r="1" spans="1:16">
      <c r="A1" s="384" t="s">
        <v>18</v>
      </c>
      <c r="B1" s="385"/>
      <c r="C1" s="9"/>
      <c r="D1" s="159"/>
      <c r="E1" s="386" t="s">
        <v>75</v>
      </c>
      <c r="F1" s="387"/>
      <c r="G1" s="388"/>
      <c r="H1" s="160"/>
    </row>
    <row r="2" spans="1:16" ht="17" thickBot="1">
      <c r="A2" s="7" t="s">
        <v>1</v>
      </c>
      <c r="B2" s="6" t="s">
        <v>2</v>
      </c>
      <c r="C2" s="6" t="s">
        <v>8</v>
      </c>
      <c r="D2" s="160"/>
      <c r="E2" s="197">
        <v>219</v>
      </c>
      <c r="F2" s="195">
        <v>220</v>
      </c>
      <c r="G2" s="195" t="s">
        <v>19</v>
      </c>
      <c r="H2" s="160"/>
    </row>
    <row r="3" spans="1:16" ht="20" thickBot="1">
      <c r="A3" s="1">
        <v>43722</v>
      </c>
      <c r="B3" s="8">
        <v>0.6777777777777777</v>
      </c>
      <c r="C3" s="9" t="s">
        <v>9</v>
      </c>
      <c r="D3" s="160"/>
      <c r="E3" s="198">
        <v>0</v>
      </c>
      <c r="F3" s="198">
        <v>1.7000000000000001E-2</v>
      </c>
      <c r="G3" s="196">
        <v>0.69399999999999995</v>
      </c>
      <c r="H3" s="160"/>
      <c r="K3" s="389">
        <v>223</v>
      </c>
      <c r="L3" s="390"/>
      <c r="M3" s="389">
        <v>224</v>
      </c>
      <c r="N3" s="390"/>
      <c r="O3" s="389" t="s">
        <v>19</v>
      </c>
      <c r="P3" s="390"/>
    </row>
    <row r="4" spans="1:16" ht="17" thickBot="1">
      <c r="A4" s="1">
        <v>43723</v>
      </c>
      <c r="B4" s="8">
        <v>0.83263888888888893</v>
      </c>
      <c r="C4" s="9" t="s">
        <v>9</v>
      </c>
      <c r="D4" s="160"/>
      <c r="E4" s="198">
        <v>0</v>
      </c>
      <c r="F4" s="198">
        <v>0</v>
      </c>
      <c r="G4" s="196">
        <v>1.1020000000000001</v>
      </c>
      <c r="H4" s="160"/>
      <c r="J4" s="189" t="s">
        <v>149</v>
      </c>
      <c r="K4" s="184" t="s">
        <v>147</v>
      </c>
      <c r="L4" s="185" t="s">
        <v>148</v>
      </c>
      <c r="M4" s="184" t="s">
        <v>147</v>
      </c>
      <c r="N4" s="185" t="s">
        <v>148</v>
      </c>
      <c r="O4" s="184" t="s">
        <v>147</v>
      </c>
      <c r="P4" s="185" t="s">
        <v>148</v>
      </c>
    </row>
    <row r="5" spans="1:16">
      <c r="A5" s="1">
        <v>43723</v>
      </c>
      <c r="B5" s="8">
        <v>0.80625000000000002</v>
      </c>
      <c r="C5" s="9" t="s">
        <v>9</v>
      </c>
      <c r="D5" s="160"/>
      <c r="E5" s="198">
        <v>0</v>
      </c>
      <c r="F5" s="198">
        <v>2.5000000000000001E-2</v>
      </c>
      <c r="G5" s="196">
        <v>0.72499999999999998</v>
      </c>
      <c r="H5" s="160"/>
      <c r="J5" s="186" t="s">
        <v>13</v>
      </c>
      <c r="K5" s="190">
        <f>AVERAGEIF(C:C,"=Orange",E:E)</f>
        <v>0</v>
      </c>
      <c r="L5" s="233">
        <f>COUNTIF(C:C,"=Orange")</f>
        <v>14</v>
      </c>
      <c r="M5" s="190">
        <f>AVERAGEIF(C:C,"=Orange",F:F)</f>
        <v>1.2428571428571429E-2</v>
      </c>
      <c r="N5" s="185">
        <f>COUNTIF(E:E,"=Orange")</f>
        <v>0</v>
      </c>
      <c r="O5" s="232">
        <f>AVERAGEIF(C:C,"=Orange",G:G)</f>
        <v>0.81350000000000022</v>
      </c>
      <c r="P5" s="185">
        <f>COUNTIF(G:G,"=Orange")</f>
        <v>0</v>
      </c>
    </row>
    <row r="6" spans="1:16" ht="17" thickBot="1">
      <c r="A6" s="1">
        <v>43723</v>
      </c>
      <c r="B6" s="8">
        <v>0.83263888888888893</v>
      </c>
      <c r="C6" s="9" t="s">
        <v>13</v>
      </c>
      <c r="D6" s="160"/>
      <c r="E6" s="198">
        <v>0</v>
      </c>
      <c r="F6" s="198">
        <v>0</v>
      </c>
      <c r="G6" s="196">
        <v>0.41</v>
      </c>
      <c r="H6" s="160"/>
      <c r="J6" s="187" t="s">
        <v>9</v>
      </c>
      <c r="K6" s="191">
        <f>AVERAGEIF(C:C,"=Grey",E:E)</f>
        <v>0</v>
      </c>
      <c r="L6" s="234">
        <f>COUNTIF(C:C,"=Grey")</f>
        <v>14</v>
      </c>
      <c r="M6" s="191">
        <f>AVERAGEIF(C:C,"=Grey",F:F)</f>
        <v>2.0142857142857146E-2</v>
      </c>
      <c r="N6" s="188">
        <f>COUNTIF(E:E,"=Grey")</f>
        <v>0</v>
      </c>
      <c r="O6" s="235">
        <f>AVERAGEIF(C:C,"=Grey",G:G)</f>
        <v>0.87021428571428572</v>
      </c>
      <c r="P6" s="188">
        <f>COUNTIF(G:G,"=Grey")</f>
        <v>0</v>
      </c>
    </row>
    <row r="7" spans="1:16">
      <c r="A7" s="1">
        <v>43723</v>
      </c>
      <c r="B7" s="8">
        <v>0.80625000000000002</v>
      </c>
      <c r="C7" s="9" t="s">
        <v>13</v>
      </c>
      <c r="D7" s="160"/>
      <c r="E7" s="198">
        <v>0</v>
      </c>
      <c r="F7" s="198">
        <v>2.5000000000000001E-2</v>
      </c>
      <c r="G7" s="196">
        <v>1.149</v>
      </c>
      <c r="H7" s="160"/>
    </row>
    <row r="8" spans="1:16">
      <c r="A8" s="1">
        <v>43724</v>
      </c>
      <c r="B8" s="8">
        <v>0.64930555555555558</v>
      </c>
      <c r="C8" s="9" t="s">
        <v>9</v>
      </c>
      <c r="D8" s="160"/>
      <c r="E8" s="198">
        <v>0</v>
      </c>
      <c r="F8" s="198">
        <v>2.8000000000000001E-2</v>
      </c>
      <c r="G8" s="196">
        <v>0.92200000000000004</v>
      </c>
      <c r="H8" s="160"/>
    </row>
    <row r="9" spans="1:16">
      <c r="A9" s="1">
        <v>43724</v>
      </c>
      <c r="B9" s="8">
        <v>0.64930555555555558</v>
      </c>
      <c r="C9" s="9" t="s">
        <v>13</v>
      </c>
      <c r="D9" s="160"/>
      <c r="E9" s="198">
        <v>0</v>
      </c>
      <c r="F9" s="198">
        <v>2.8000000000000001E-2</v>
      </c>
      <c r="G9" s="196">
        <v>1.341</v>
      </c>
      <c r="H9" s="160"/>
    </row>
    <row r="10" spans="1:16">
      <c r="A10" s="1">
        <v>43725</v>
      </c>
      <c r="B10" s="8">
        <v>0.62986111111111109</v>
      </c>
      <c r="C10" s="9" t="s">
        <v>9</v>
      </c>
      <c r="D10" s="160"/>
      <c r="E10" s="198">
        <v>0</v>
      </c>
      <c r="F10" s="198">
        <v>2.5999999999999999E-2</v>
      </c>
      <c r="G10" s="196">
        <v>0.86799999999999999</v>
      </c>
      <c r="H10" s="160"/>
    </row>
    <row r="11" spans="1:16">
      <c r="A11" s="1">
        <v>43725</v>
      </c>
      <c r="B11" s="8">
        <v>0.62986111111111109</v>
      </c>
      <c r="C11" s="9" t="s">
        <v>13</v>
      </c>
      <c r="D11" s="160"/>
      <c r="E11" s="198">
        <v>0</v>
      </c>
      <c r="F11" s="198">
        <v>0</v>
      </c>
      <c r="G11" s="196">
        <v>0.73699999999999999</v>
      </c>
      <c r="H11" s="160"/>
    </row>
    <row r="12" spans="1:16">
      <c r="A12" s="1">
        <v>43726</v>
      </c>
      <c r="B12" s="8">
        <v>0.63402777777777775</v>
      </c>
      <c r="C12" s="9" t="s">
        <v>9</v>
      </c>
      <c r="D12" s="160"/>
      <c r="E12" s="198">
        <v>0</v>
      </c>
      <c r="F12" s="198">
        <v>0</v>
      </c>
      <c r="G12" s="196">
        <v>0.93100000000000005</v>
      </c>
      <c r="H12" s="160"/>
    </row>
    <row r="13" spans="1:16">
      <c r="A13" s="1">
        <v>43726</v>
      </c>
      <c r="B13" s="8">
        <v>0.63402777777777775</v>
      </c>
      <c r="C13" s="9" t="s">
        <v>13</v>
      </c>
      <c r="D13" s="160"/>
      <c r="E13" s="198">
        <v>0</v>
      </c>
      <c r="F13" s="198">
        <v>2.5999999999999999E-2</v>
      </c>
      <c r="G13" s="196">
        <v>1.2669999999999999</v>
      </c>
      <c r="H13" s="160"/>
    </row>
    <row r="14" spans="1:16">
      <c r="A14" s="1">
        <v>43727</v>
      </c>
      <c r="B14" s="8">
        <v>0.33402777777777781</v>
      </c>
      <c r="C14" s="9" t="s">
        <v>9</v>
      </c>
      <c r="D14" s="160"/>
      <c r="E14" s="198">
        <v>0</v>
      </c>
      <c r="F14" s="198">
        <v>2.3E-2</v>
      </c>
      <c r="G14" s="196">
        <v>1.3169999999999999</v>
      </c>
      <c r="H14" s="160"/>
    </row>
    <row r="15" spans="1:16">
      <c r="A15" s="1">
        <v>43727</v>
      </c>
      <c r="B15" s="8">
        <v>0.33402777777777781</v>
      </c>
      <c r="C15" s="9" t="s">
        <v>13</v>
      </c>
      <c r="D15" s="160"/>
      <c r="E15" s="198">
        <v>0</v>
      </c>
      <c r="F15" s="198">
        <v>2.3E-2</v>
      </c>
      <c r="G15" s="196">
        <v>1.294</v>
      </c>
      <c r="H15" s="160"/>
    </row>
    <row r="16" spans="1:16">
      <c r="A16" s="1">
        <v>43729</v>
      </c>
      <c r="B16" s="8">
        <v>0.4826388888888889</v>
      </c>
      <c r="C16" s="9" t="s">
        <v>13</v>
      </c>
      <c r="D16" s="160"/>
      <c r="E16" s="198">
        <v>0</v>
      </c>
      <c r="F16" s="198">
        <v>2.5999999999999999E-2</v>
      </c>
      <c r="G16" s="196">
        <v>0.998</v>
      </c>
      <c r="H16" s="160"/>
    </row>
    <row r="17" spans="1:8">
      <c r="A17" s="1">
        <v>43729</v>
      </c>
      <c r="B17" s="8">
        <v>0.4826388888888889</v>
      </c>
      <c r="C17" s="9" t="s">
        <v>9</v>
      </c>
      <c r="D17" s="160"/>
      <c r="E17" s="198">
        <v>0</v>
      </c>
      <c r="F17" s="198">
        <v>1.2999999999999999E-2</v>
      </c>
      <c r="G17" s="196">
        <v>0.95899999999999996</v>
      </c>
      <c r="H17" s="160"/>
    </row>
    <row r="18" spans="1:8">
      <c r="A18" s="1">
        <v>43730</v>
      </c>
      <c r="B18" s="8">
        <v>0.31180555555555556</v>
      </c>
      <c r="C18" s="9" t="s">
        <v>9</v>
      </c>
      <c r="D18" s="160"/>
      <c r="E18" s="198">
        <v>0</v>
      </c>
      <c r="F18" s="198">
        <v>2.8000000000000001E-2</v>
      </c>
      <c r="G18" s="196">
        <v>0.78700000000000003</v>
      </c>
      <c r="H18" s="160"/>
    </row>
    <row r="19" spans="1:8">
      <c r="A19" s="1">
        <v>43730</v>
      </c>
      <c r="B19" s="8">
        <v>0.3125</v>
      </c>
      <c r="C19" s="9" t="s">
        <v>13</v>
      </c>
      <c r="D19" s="160"/>
      <c r="E19" s="198">
        <v>0</v>
      </c>
      <c r="F19" s="198">
        <v>0</v>
      </c>
      <c r="G19" s="196">
        <v>0.93899999999999995</v>
      </c>
      <c r="H19" s="160"/>
    </row>
    <row r="20" spans="1:8">
      <c r="A20" s="1">
        <v>43731</v>
      </c>
      <c r="B20" s="8">
        <v>0.47916666666666669</v>
      </c>
      <c r="C20" s="9" t="s">
        <v>9</v>
      </c>
      <c r="D20" s="160"/>
      <c r="E20" s="198">
        <v>0</v>
      </c>
      <c r="F20" s="198">
        <v>3.2000000000000001E-2</v>
      </c>
      <c r="G20" s="196">
        <v>1.407</v>
      </c>
      <c r="H20" s="160"/>
    </row>
    <row r="21" spans="1:8">
      <c r="A21" s="1">
        <v>43731</v>
      </c>
      <c r="B21" s="8">
        <v>0.47916666666666669</v>
      </c>
      <c r="C21" s="9" t="s">
        <v>13</v>
      </c>
      <c r="D21" s="160"/>
      <c r="E21" s="198">
        <v>0</v>
      </c>
      <c r="F21" s="198">
        <v>0</v>
      </c>
      <c r="G21" s="196">
        <v>0.83199999999999996</v>
      </c>
      <c r="H21" s="160"/>
    </row>
    <row r="22" spans="1:8">
      <c r="A22" s="1">
        <v>43733</v>
      </c>
      <c r="B22" s="8">
        <v>0.52013888888888882</v>
      </c>
      <c r="C22" s="9" t="s">
        <v>9</v>
      </c>
      <c r="D22" s="160"/>
      <c r="E22" s="198">
        <v>0</v>
      </c>
      <c r="F22" s="198">
        <v>3.1E-2</v>
      </c>
      <c r="G22" s="196">
        <v>1.026</v>
      </c>
      <c r="H22" s="160"/>
    </row>
    <row r="23" spans="1:8">
      <c r="A23" s="1">
        <v>43733</v>
      </c>
      <c r="B23" s="8">
        <v>0.52013888888888882</v>
      </c>
      <c r="C23" s="9" t="s">
        <v>13</v>
      </c>
      <c r="D23" s="160"/>
      <c r="E23" s="198">
        <v>0</v>
      </c>
      <c r="F23" s="198">
        <v>1.6E-2</v>
      </c>
      <c r="G23" s="196">
        <v>0.746</v>
      </c>
      <c r="H23" s="160"/>
    </row>
    <row r="24" spans="1:8">
      <c r="A24" s="1">
        <v>43735</v>
      </c>
      <c r="B24" s="8">
        <v>0.4381944444444445</v>
      </c>
      <c r="C24" s="9" t="s">
        <v>13</v>
      </c>
      <c r="D24" s="160"/>
      <c r="E24" s="198">
        <v>0</v>
      </c>
      <c r="F24" s="198">
        <v>0</v>
      </c>
      <c r="G24" s="196">
        <v>0.53700000000000003</v>
      </c>
      <c r="H24" s="160"/>
    </row>
    <row r="25" spans="1:8">
      <c r="A25" s="1">
        <v>43738</v>
      </c>
      <c r="B25" s="8">
        <v>0.5493055555555556</v>
      </c>
      <c r="C25" s="9" t="s">
        <v>9</v>
      </c>
      <c r="D25" s="160"/>
      <c r="E25" s="198">
        <v>0</v>
      </c>
      <c r="F25" s="198">
        <v>2.9000000000000001E-2</v>
      </c>
      <c r="G25" s="196">
        <v>0.46800000000000003</v>
      </c>
      <c r="H25" s="160"/>
    </row>
    <row r="26" spans="1:8">
      <c r="A26" s="1">
        <v>43738</v>
      </c>
      <c r="B26" s="8">
        <v>0.5493055555555556</v>
      </c>
      <c r="C26" s="9" t="s">
        <v>13</v>
      </c>
      <c r="D26" s="160"/>
      <c r="E26" s="198">
        <v>0</v>
      </c>
      <c r="F26" s="198">
        <v>0</v>
      </c>
      <c r="G26" s="196">
        <v>0.14599999999999999</v>
      </c>
      <c r="H26" s="160"/>
    </row>
    <row r="27" spans="1:8">
      <c r="A27" s="1">
        <v>43746</v>
      </c>
      <c r="B27" s="8">
        <v>0.52430555555555558</v>
      </c>
      <c r="C27" s="9" t="s">
        <v>9</v>
      </c>
      <c r="D27" s="160"/>
      <c r="E27" s="198">
        <v>0</v>
      </c>
      <c r="F27" s="198">
        <v>0</v>
      </c>
      <c r="G27" s="196">
        <v>0.5</v>
      </c>
      <c r="H27" s="160"/>
    </row>
    <row r="28" spans="1:8">
      <c r="A28" s="1">
        <v>43746</v>
      </c>
      <c r="B28" s="8">
        <v>0.52430555555555558</v>
      </c>
      <c r="C28" s="9" t="s">
        <v>13</v>
      </c>
      <c r="D28" s="160"/>
      <c r="E28" s="198">
        <v>0</v>
      </c>
      <c r="F28" s="198">
        <v>0</v>
      </c>
      <c r="G28" s="196">
        <v>0.42499999999999999</v>
      </c>
      <c r="H28" s="160"/>
    </row>
    <row r="29" spans="1:8">
      <c r="A29" s="1">
        <v>43756</v>
      </c>
      <c r="B29" s="8">
        <v>0.34652777777777777</v>
      </c>
      <c r="C29" s="9" t="s">
        <v>9</v>
      </c>
      <c r="D29" s="160"/>
      <c r="E29" s="198">
        <v>0</v>
      </c>
      <c r="F29" s="198">
        <v>0.03</v>
      </c>
      <c r="G29" s="196">
        <v>0.47699999999999998</v>
      </c>
      <c r="H29" s="160"/>
    </row>
    <row r="30" spans="1:8">
      <c r="A30" s="1">
        <v>43756</v>
      </c>
      <c r="B30" s="8">
        <v>0.34652777777777777</v>
      </c>
      <c r="C30" s="9" t="s">
        <v>13</v>
      </c>
      <c r="D30" s="160"/>
      <c r="E30" s="198">
        <v>0</v>
      </c>
      <c r="F30" s="198">
        <v>0.03</v>
      </c>
      <c r="G30" s="196">
        <v>0.56799999999999995</v>
      </c>
      <c r="H30" s="160"/>
    </row>
  </sheetData>
  <mergeCells count="5">
    <mergeCell ref="A1:B1"/>
    <mergeCell ref="E1:G1"/>
    <mergeCell ref="K3:L3"/>
    <mergeCell ref="M3:N3"/>
    <mergeCell ref="O3:P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8"/>
  <sheetViews>
    <sheetView zoomScale="110" zoomScaleNormal="110" workbookViewId="0">
      <selection activeCell="Y11" sqref="Y11"/>
    </sheetView>
  </sheetViews>
  <sheetFormatPr baseColWidth="10" defaultColWidth="11.1640625" defaultRowHeight="16"/>
  <cols>
    <col min="1" max="1" width="13.5" bestFit="1" customWidth="1"/>
    <col min="2" max="2" width="8.83203125" bestFit="1" customWidth="1"/>
    <col min="3" max="3" width="5.6640625" bestFit="1" customWidth="1"/>
    <col min="4" max="4" width="8.1640625" bestFit="1" customWidth="1"/>
    <col min="5" max="5" width="2.6640625" customWidth="1"/>
    <col min="6" max="8" width="6.1640625" bestFit="1" customWidth="1"/>
    <col min="9" max="9" width="2.6640625" customWidth="1"/>
    <col min="10" max="12" width="5.83203125" bestFit="1" customWidth="1"/>
    <col min="13" max="16" width="6.33203125" bestFit="1" customWidth="1"/>
    <col min="17" max="17" width="5.83203125" bestFit="1" customWidth="1"/>
    <col min="18" max="18" width="6.33203125" bestFit="1" customWidth="1"/>
    <col min="19" max="19" width="5.83203125" bestFit="1" customWidth="1"/>
    <col min="20" max="20" width="6.33203125" bestFit="1" customWidth="1"/>
    <col min="21" max="21" width="5.6640625" bestFit="1" customWidth="1"/>
    <col min="22" max="22" width="6.1640625" bestFit="1" customWidth="1"/>
    <col min="24" max="24" width="13.83203125" bestFit="1" customWidth="1"/>
    <col min="25" max="26" width="9.83203125" customWidth="1"/>
    <col min="27" max="27" width="10" customWidth="1"/>
    <col min="28" max="28" width="10.33203125" customWidth="1"/>
    <col min="29" max="29" width="11" customWidth="1"/>
    <col min="30" max="30" width="9.5" customWidth="1"/>
  </cols>
  <sheetData>
    <row r="1" spans="1:28">
      <c r="A1" s="2"/>
      <c r="B1" s="384" t="s">
        <v>18</v>
      </c>
      <c r="C1" s="385"/>
      <c r="D1" s="9"/>
      <c r="E1" s="159"/>
      <c r="F1" s="391" t="s">
        <v>138</v>
      </c>
      <c r="G1" s="392"/>
      <c r="H1" s="393"/>
      <c r="I1" s="159"/>
      <c r="J1" s="161">
        <v>220</v>
      </c>
      <c r="K1" s="161">
        <v>219</v>
      </c>
      <c r="L1" s="162">
        <v>219</v>
      </c>
      <c r="M1" s="161">
        <v>220</v>
      </c>
      <c r="N1" s="162">
        <v>220</v>
      </c>
      <c r="O1" s="161">
        <v>219</v>
      </c>
      <c r="P1" s="163">
        <v>219</v>
      </c>
      <c r="Q1" s="164" t="s">
        <v>140</v>
      </c>
      <c r="R1" s="164" t="s">
        <v>140</v>
      </c>
      <c r="S1" s="165" t="s">
        <v>140</v>
      </c>
      <c r="T1" s="165" t="s">
        <v>140</v>
      </c>
      <c r="U1" s="166" t="s">
        <v>141</v>
      </c>
      <c r="V1" s="167" t="s">
        <v>141</v>
      </c>
      <c r="Y1" s="178" t="s">
        <v>144</v>
      </c>
      <c r="Z1" s="179" t="s">
        <v>146</v>
      </c>
    </row>
    <row r="2" spans="1:28" ht="17" thickBot="1">
      <c r="A2" s="6" t="s">
        <v>0</v>
      </c>
      <c r="B2" s="7" t="s">
        <v>1</v>
      </c>
      <c r="C2" s="6" t="s">
        <v>2</v>
      </c>
      <c r="D2" s="6" t="s">
        <v>8</v>
      </c>
      <c r="E2" s="160"/>
      <c r="F2" s="14">
        <v>219</v>
      </c>
      <c r="G2" s="10">
        <v>220</v>
      </c>
      <c r="H2" s="10" t="s">
        <v>19</v>
      </c>
      <c r="I2" s="160"/>
      <c r="J2" s="168" t="s">
        <v>137</v>
      </c>
      <c r="K2" s="168" t="s">
        <v>137</v>
      </c>
      <c r="L2" s="169" t="s">
        <v>137</v>
      </c>
      <c r="M2" s="168" t="s">
        <v>142</v>
      </c>
      <c r="N2" s="169" t="s">
        <v>142</v>
      </c>
      <c r="O2" s="168" t="s">
        <v>143</v>
      </c>
      <c r="P2" s="170" t="s">
        <v>143</v>
      </c>
      <c r="Q2" s="171">
        <v>220</v>
      </c>
      <c r="R2" s="171">
        <v>219</v>
      </c>
      <c r="S2" s="172">
        <v>220</v>
      </c>
      <c r="T2" s="172">
        <v>219</v>
      </c>
      <c r="U2" s="173">
        <v>220</v>
      </c>
      <c r="V2" s="174">
        <v>219</v>
      </c>
      <c r="Y2" s="180" t="s">
        <v>145</v>
      </c>
      <c r="Z2" s="181" t="s">
        <v>145</v>
      </c>
    </row>
    <row r="3" spans="1:28" ht="17" thickBot="1">
      <c r="A3" s="5" t="s">
        <v>25</v>
      </c>
      <c r="B3" s="1">
        <v>43722</v>
      </c>
      <c r="C3" s="8">
        <v>0.40069444444444446</v>
      </c>
      <c r="D3" s="9" t="s">
        <v>13</v>
      </c>
      <c r="E3" s="160"/>
      <c r="F3" s="15">
        <v>1.3540000000000001</v>
      </c>
      <c r="G3" s="11">
        <v>0.37</v>
      </c>
      <c r="H3" s="13">
        <v>4.8330000000000002</v>
      </c>
      <c r="I3" s="160"/>
      <c r="J3" s="176">
        <f>((H3-G3-F3)^2*0.01)/(1-((H3-G3-F3)*0.01))</f>
        <v>9.9760359579321098E-2</v>
      </c>
      <c r="K3" s="176">
        <f>((H3-G3-F3)^2*0.000093)/(1-((H3-G3-F3)*0.000093))</f>
        <v>8.9918692120883757E-4</v>
      </c>
      <c r="L3" s="176">
        <f>((H3-J3-F3)^2*0.000093)/(1-((H3-J3-F3)*0.000093))</f>
        <v>1.0623250870545173E-3</v>
      </c>
      <c r="M3" s="175">
        <f>((1.6*(F3-K3))^2*0.01)/((1-(1.6*(F3-K3))*0.01))</f>
        <v>4.7907758782864858E-2</v>
      </c>
      <c r="N3" s="175">
        <f>((1.6*(F3-L3))^2*0.01)/((1-(1.6*(F3-L3))*0.01))</f>
        <v>4.7896079585111717E-2</v>
      </c>
      <c r="O3" s="176">
        <f>G3*0.0255</f>
        <v>9.4349999999999989E-3</v>
      </c>
      <c r="P3" s="192">
        <f>(G3-J3)*0.0255</f>
        <v>6.8911108307273114E-3</v>
      </c>
      <c r="Q3" s="176">
        <f>G3-J3-M3</f>
        <v>0.22233188163781403</v>
      </c>
      <c r="R3" s="176">
        <f>F3-K3-O3</f>
        <v>1.3436658130787911</v>
      </c>
      <c r="S3" s="176">
        <f>G3-J3-N3</f>
        <v>0.22234356083556717</v>
      </c>
      <c r="T3" s="192">
        <f>F3-L3-P3</f>
        <v>1.3460465640822183</v>
      </c>
      <c r="U3" s="193">
        <f>S3/$Z$3</f>
        <v>1.8375500895501419E-2</v>
      </c>
      <c r="V3" s="193">
        <f>T3/$Y$3</f>
        <v>0.13541715936440829</v>
      </c>
      <c r="Y3" s="182">
        <v>9.94</v>
      </c>
      <c r="Z3" s="183">
        <v>12.1</v>
      </c>
      <c r="AA3" t="s">
        <v>150</v>
      </c>
    </row>
    <row r="4" spans="1:28">
      <c r="A4" s="5" t="s">
        <v>27</v>
      </c>
      <c r="B4" s="1">
        <v>43723</v>
      </c>
      <c r="C4" s="8">
        <v>0.51111111111111118</v>
      </c>
      <c r="D4" s="9" t="s">
        <v>9</v>
      </c>
      <c r="E4" s="160"/>
      <c r="F4" s="15">
        <v>1.651</v>
      </c>
      <c r="G4" s="11">
        <v>0.51600000000000001</v>
      </c>
      <c r="H4" s="13">
        <v>6.157</v>
      </c>
      <c r="I4" s="160"/>
      <c r="J4" s="176">
        <f>((H4-G4-F4)^2*0.01)/(1-((H4-G4-F4)*0.01))</f>
        <v>0.16581710238516822</v>
      </c>
      <c r="K4" s="176">
        <f t="shared" ref="K4:K18" si="0">((H4-G4-F4)^2*0.000093)/(1-((H4-G4-F4)*0.000093))</f>
        <v>1.481118898789774E-3</v>
      </c>
      <c r="L4" s="176">
        <f t="shared" ref="L4:L18" si="1">((H4-J4-F4)^2*0.000093)/(1-((H4-J4-F4)*0.000093))</f>
        <v>1.7525658458185098E-3</v>
      </c>
      <c r="M4" s="175">
        <f t="shared" ref="M4:M18" si="2">((1.6*(F4-K4))^2*0.01)/((1-(1.6*(F4-K4))*0.01))</f>
        <v>7.1543560256632638E-2</v>
      </c>
      <c r="N4" s="175">
        <f t="shared" ref="N4:N18" si="3">((1.6*(F4-L4))^2*0.01)/((1-(1.6*(F4-L4))*0.01))</f>
        <v>7.1519696552534345E-2</v>
      </c>
      <c r="O4" s="176">
        <f t="shared" ref="O4:O18" si="4">G4*0.0255</f>
        <v>1.3158E-2</v>
      </c>
      <c r="P4" s="192">
        <f t="shared" ref="P4:P18" si="5">(G4-J4)*0.0255</f>
        <v>8.9296638891782094E-3</v>
      </c>
      <c r="Q4" s="176">
        <f t="shared" ref="Q4:Q18" si="6">G4-J4-M4</f>
        <v>0.27863933735819912</v>
      </c>
      <c r="R4" s="176">
        <f t="shared" ref="R4:R18" si="7">F4-K4-O4</f>
        <v>1.6363608811012103</v>
      </c>
      <c r="S4" s="176">
        <f t="shared" ref="S4:S18" si="8">G4-J4-N4</f>
        <v>0.27866320106229747</v>
      </c>
      <c r="T4" s="192">
        <f t="shared" ref="T4:T18" si="9">F4-L4-P4</f>
        <v>1.6403177702650034</v>
      </c>
      <c r="U4" s="193">
        <f t="shared" ref="U4:U18" si="10">S4/$Z$3</f>
        <v>2.3030016616718801E-2</v>
      </c>
      <c r="V4" s="193">
        <f t="shared" ref="V4:V18" si="11">T4/$Y$3</f>
        <v>0.16502190847736453</v>
      </c>
    </row>
    <row r="5" spans="1:28" ht="17" thickBot="1">
      <c r="A5" s="5" t="s">
        <v>28</v>
      </c>
      <c r="B5" s="1">
        <v>43723</v>
      </c>
      <c r="C5" s="8">
        <v>0.39027777777777778</v>
      </c>
      <c r="D5" s="9" t="s">
        <v>13</v>
      </c>
      <c r="E5" s="160"/>
      <c r="F5" s="15">
        <v>1.454</v>
      </c>
      <c r="G5" s="11">
        <v>0.26600000000000001</v>
      </c>
      <c r="H5" s="13">
        <v>4.907</v>
      </c>
      <c r="I5" s="160"/>
      <c r="J5" s="176">
        <f t="shared" ref="J5:J18" si="12">((H5-G5-F5)^2*0.01)/(1-((H5-G5-F5)*0.01))</f>
        <v>0.10491327610961339</v>
      </c>
      <c r="K5" s="176">
        <f t="shared" si="0"/>
        <v>9.4487817038579891E-4</v>
      </c>
      <c r="L5" s="176">
        <f t="shared" si="1"/>
        <v>1.0428253847881005E-3</v>
      </c>
      <c r="M5" s="175">
        <f t="shared" si="2"/>
        <v>5.5337588245606681E-2</v>
      </c>
      <c r="N5" s="175">
        <f t="shared" si="3"/>
        <v>5.5330039354842757E-2</v>
      </c>
      <c r="O5" s="176">
        <f t="shared" si="4"/>
        <v>6.783E-3</v>
      </c>
      <c r="P5" s="192">
        <f t="shared" si="5"/>
        <v>4.107711459204859E-3</v>
      </c>
      <c r="Q5" s="176">
        <f t="shared" si="6"/>
        <v>0.10574913564477996</v>
      </c>
      <c r="R5" s="176">
        <f t="shared" si="7"/>
        <v>1.4462721218296142</v>
      </c>
      <c r="S5" s="176">
        <f t="shared" si="8"/>
        <v>0.10575668453554388</v>
      </c>
      <c r="T5" s="192">
        <f t="shared" si="9"/>
        <v>1.4488494631560069</v>
      </c>
      <c r="U5" s="193">
        <f t="shared" si="10"/>
        <v>8.7402218624416435E-3</v>
      </c>
      <c r="V5" s="193">
        <f t="shared" si="11"/>
        <v>0.14575950333561438</v>
      </c>
    </row>
    <row r="6" spans="1:28" ht="20" thickBot="1">
      <c r="A6" s="5" t="s">
        <v>31</v>
      </c>
      <c r="B6" s="1">
        <v>43724</v>
      </c>
      <c r="C6" s="8">
        <v>0.62569444444444444</v>
      </c>
      <c r="D6" s="9" t="s">
        <v>13</v>
      </c>
      <c r="E6" s="160"/>
      <c r="F6" s="15">
        <v>1.371</v>
      </c>
      <c r="G6" s="11">
        <v>0.48399999999999999</v>
      </c>
      <c r="H6" s="13">
        <v>5.8440000000000003</v>
      </c>
      <c r="I6" s="160"/>
      <c r="J6" s="176">
        <f t="shared" si="12"/>
        <v>0.16573227026069934</v>
      </c>
      <c r="K6" s="176">
        <f t="shared" si="0"/>
        <v>1.4803764386100665E-3</v>
      </c>
      <c r="L6" s="176">
        <f t="shared" si="1"/>
        <v>1.7260790681700262E-3</v>
      </c>
      <c r="M6" s="175">
        <f t="shared" si="2"/>
        <v>4.9090639897346772E-2</v>
      </c>
      <c r="N6" s="175">
        <f t="shared" si="3"/>
        <v>4.9072829741795394E-2</v>
      </c>
      <c r="O6" s="176">
        <f t="shared" si="4"/>
        <v>1.2341999999999999E-2</v>
      </c>
      <c r="P6" s="192">
        <f t="shared" si="5"/>
        <v>8.1158271083521649E-3</v>
      </c>
      <c r="Q6" s="176">
        <f t="shared" si="6"/>
        <v>0.26917708984195388</v>
      </c>
      <c r="R6" s="176">
        <f t="shared" si="7"/>
        <v>1.3571776235613899</v>
      </c>
      <c r="S6" s="176">
        <f t="shared" si="8"/>
        <v>0.26919489999750523</v>
      </c>
      <c r="T6" s="192">
        <f t="shared" si="9"/>
        <v>1.3611580938234777</v>
      </c>
      <c r="U6" s="193">
        <f t="shared" si="10"/>
        <v>2.2247512396488037E-2</v>
      </c>
      <c r="V6" s="193">
        <f t="shared" si="11"/>
        <v>0.13693743398626537</v>
      </c>
      <c r="Y6" s="389">
        <v>223</v>
      </c>
      <c r="Z6" s="390"/>
      <c r="AA6" s="389">
        <v>224</v>
      </c>
      <c r="AB6" s="390"/>
    </row>
    <row r="7" spans="1:28" ht="17" thickBot="1">
      <c r="A7" s="5" t="s">
        <v>65</v>
      </c>
      <c r="B7" s="1">
        <v>43726</v>
      </c>
      <c r="C7" s="8">
        <v>0.66388888888888886</v>
      </c>
      <c r="D7" s="9" t="s">
        <v>9</v>
      </c>
      <c r="E7" s="160"/>
      <c r="F7" s="15">
        <v>1.6020000000000001</v>
      </c>
      <c r="G7" s="11">
        <v>0.39400000000000002</v>
      </c>
      <c r="H7" s="13">
        <v>5.609</v>
      </c>
      <c r="I7" s="160"/>
      <c r="J7" s="176">
        <f t="shared" si="12"/>
        <v>0.13543080498407459</v>
      </c>
      <c r="K7" s="176">
        <f t="shared" si="0"/>
        <v>1.214408569208931E-3</v>
      </c>
      <c r="L7" s="176">
        <f t="shared" si="1"/>
        <v>1.3944835590389342E-3</v>
      </c>
      <c r="M7" s="175">
        <f t="shared" si="2"/>
        <v>6.7324730793160523E-2</v>
      </c>
      <c r="N7" s="175">
        <f t="shared" si="3"/>
        <v>6.7309385677465305E-2</v>
      </c>
      <c r="O7" s="176">
        <f t="shared" si="4"/>
        <v>1.0047E-2</v>
      </c>
      <c r="P7" s="192">
        <f t="shared" si="5"/>
        <v>6.5935144729060988E-3</v>
      </c>
      <c r="Q7" s="176">
        <f t="shared" si="6"/>
        <v>0.19124446422276492</v>
      </c>
      <c r="R7" s="176">
        <f t="shared" si="7"/>
        <v>1.5907385914307912</v>
      </c>
      <c r="S7" s="176">
        <f t="shared" si="8"/>
        <v>0.19125980933846015</v>
      </c>
      <c r="T7" s="192">
        <f t="shared" si="9"/>
        <v>1.594012001968055</v>
      </c>
      <c r="U7" s="193">
        <f t="shared" si="10"/>
        <v>1.5806595813095882E-2</v>
      </c>
      <c r="V7" s="193">
        <f t="shared" si="11"/>
        <v>0.16036338047968363</v>
      </c>
      <c r="X7" s="189" t="s">
        <v>149</v>
      </c>
      <c r="Y7" s="184" t="s">
        <v>147</v>
      </c>
      <c r="Z7" s="185" t="s">
        <v>184</v>
      </c>
      <c r="AA7" s="184" t="s">
        <v>147</v>
      </c>
      <c r="AB7" s="185" t="s">
        <v>184</v>
      </c>
    </row>
    <row r="8" spans="1:28">
      <c r="A8" s="5" t="s">
        <v>63</v>
      </c>
      <c r="B8" s="1">
        <v>43726</v>
      </c>
      <c r="C8" s="8">
        <v>0.8847222222222223</v>
      </c>
      <c r="D8" s="9" t="s">
        <v>13</v>
      </c>
      <c r="E8" s="160"/>
      <c r="F8" s="15">
        <v>1.242</v>
      </c>
      <c r="G8" s="11">
        <v>0.497</v>
      </c>
      <c r="H8" s="13">
        <v>6.1040000000000001</v>
      </c>
      <c r="I8" s="160"/>
      <c r="J8" s="176">
        <f t="shared" si="12"/>
        <v>0.1992285774036702</v>
      </c>
      <c r="K8" s="176">
        <f t="shared" si="0"/>
        <v>1.7726695313328971E-3</v>
      </c>
      <c r="L8" s="176">
        <f t="shared" si="1"/>
        <v>2.0228308483645758E-3</v>
      </c>
      <c r="M8" s="175">
        <f t="shared" si="2"/>
        <v>4.0174196258654302E-2</v>
      </c>
      <c r="N8" s="175">
        <f t="shared" si="3"/>
        <v>4.0157827149696762E-2</v>
      </c>
      <c r="O8" s="176">
        <f t="shared" si="4"/>
        <v>1.2673499999999999E-2</v>
      </c>
      <c r="P8" s="192">
        <f t="shared" si="5"/>
        <v>7.5931712762064103E-3</v>
      </c>
      <c r="Q8" s="176">
        <f t="shared" si="6"/>
        <v>0.25759722633767551</v>
      </c>
      <c r="R8" s="176">
        <f t="shared" si="7"/>
        <v>1.2275538304686671</v>
      </c>
      <c r="S8" s="176">
        <f t="shared" si="8"/>
        <v>0.25761359544663309</v>
      </c>
      <c r="T8" s="192">
        <f t="shared" si="9"/>
        <v>1.232383997875429</v>
      </c>
      <c r="U8" s="193">
        <f t="shared" si="10"/>
        <v>2.1290379788977944E-2</v>
      </c>
      <c r="V8" s="193">
        <f t="shared" si="11"/>
        <v>0.12398229354883591</v>
      </c>
      <c r="X8" s="186" t="s">
        <v>13</v>
      </c>
      <c r="Y8" s="190">
        <f>AVERAGEIF(D3:D18,"=Orange",V3:V18)</f>
        <v>0.13704274632190436</v>
      </c>
      <c r="Z8" s="185">
        <f>STDEV(V3,V5:V6,V8,V10,V13,V15:V16)</f>
        <v>1.2166456484616639E-2</v>
      </c>
      <c r="AA8" s="190">
        <f>AVERAGEIF(D23:D38,"=Orange",U23:U38)</f>
        <v>0.11793148997707346</v>
      </c>
      <c r="AB8" s="185">
        <f>STDEV(U3,U5:U6,U8,U10,U13,U15:U16)</f>
        <v>4.8941643767685611E-3</v>
      </c>
    </row>
    <row r="9" spans="1:28" ht="17" thickBot="1">
      <c r="A9" s="5" t="s">
        <v>74</v>
      </c>
      <c r="B9" s="19">
        <v>43728</v>
      </c>
      <c r="C9" s="8">
        <v>0.52430555555555558</v>
      </c>
      <c r="D9" s="9" t="s">
        <v>9</v>
      </c>
      <c r="E9" s="160"/>
      <c r="F9" s="15">
        <v>1.605</v>
      </c>
      <c r="G9" s="11">
        <v>0.46200000000000002</v>
      </c>
      <c r="H9" s="13">
        <v>6.0129999999999999</v>
      </c>
      <c r="I9" s="160"/>
      <c r="J9" s="176">
        <f>((H9-G9-F9)^2*0.01)/(1-((H9-G9-F9)*0.01))</f>
        <v>0.16210585712203554</v>
      </c>
      <c r="K9" s="176">
        <f t="shared" si="0"/>
        <v>1.4486268021666054E-3</v>
      </c>
      <c r="L9" s="176">
        <f t="shared" si="1"/>
        <v>1.677230672726593E-3</v>
      </c>
      <c r="M9" s="175">
        <f t="shared" si="2"/>
        <v>6.7560642749283084E-2</v>
      </c>
      <c r="N9" s="175">
        <f t="shared" si="3"/>
        <v>6.7541127550348051E-2</v>
      </c>
      <c r="O9" s="176">
        <f t="shared" si="4"/>
        <v>1.1781E-2</v>
      </c>
      <c r="P9" s="192">
        <f t="shared" si="5"/>
        <v>7.6473006433880929E-3</v>
      </c>
      <c r="Q9" s="176">
        <f t="shared" si="6"/>
        <v>0.23233350012868137</v>
      </c>
      <c r="R9" s="176">
        <f t="shared" si="7"/>
        <v>1.5917703731978334</v>
      </c>
      <c r="S9" s="176">
        <f t="shared" si="8"/>
        <v>0.2323530153276164</v>
      </c>
      <c r="T9" s="192">
        <f t="shared" si="9"/>
        <v>1.5956754686838852</v>
      </c>
      <c r="U9" s="193">
        <f t="shared" si="10"/>
        <v>1.9202728539472431E-2</v>
      </c>
      <c r="V9" s="193">
        <f t="shared" si="11"/>
        <v>0.16053073125592407</v>
      </c>
      <c r="X9" s="187" t="s">
        <v>9</v>
      </c>
      <c r="Y9" s="191">
        <f>AVERAGEIF(D3:D18,"=Grey",V3:V18)</f>
        <v>0.15224917211578703</v>
      </c>
      <c r="Z9" s="188">
        <f>STDEV(V4,V7,V9,V11:V12,V14,V17:V18,)</f>
        <v>5.1473914670094503E-2</v>
      </c>
      <c r="AA9" s="191">
        <f>AVERAGEIF(D23:D38,"=Grey",U23:U38)</f>
        <v>0.12704181821172694</v>
      </c>
      <c r="AB9" s="188">
        <f>STDEV(U4,U7,U9,U11:U12,U14,U17:U18,)</f>
        <v>7.3400617913251913E-3</v>
      </c>
    </row>
    <row r="10" spans="1:28">
      <c r="A10" s="5" t="s">
        <v>84</v>
      </c>
      <c r="B10" s="1">
        <v>43729</v>
      </c>
      <c r="C10" s="8">
        <v>0.30486111111111108</v>
      </c>
      <c r="D10" s="9" t="s">
        <v>13</v>
      </c>
      <c r="E10" s="160"/>
      <c r="F10" s="15">
        <v>1.3069999999999999</v>
      </c>
      <c r="G10" s="11">
        <v>0.48</v>
      </c>
      <c r="H10" s="13">
        <v>5.3209999999999997</v>
      </c>
      <c r="I10" s="160"/>
      <c r="J10" s="176">
        <f t="shared" si="12"/>
        <v>0.12946692098770549</v>
      </c>
      <c r="K10" s="176">
        <f t="shared" si="0"/>
        <v>1.1618733716260651E-3</v>
      </c>
      <c r="L10" s="176">
        <f t="shared" si="1"/>
        <v>1.4038396968423098E-3</v>
      </c>
      <c r="M10" s="175">
        <f t="shared" si="2"/>
        <v>4.4584990744309994E-2</v>
      </c>
      <c r="N10" s="175">
        <f t="shared" si="3"/>
        <v>4.4568293225337986E-2</v>
      </c>
      <c r="O10" s="176">
        <f t="shared" si="4"/>
        <v>1.2239999999999999E-2</v>
      </c>
      <c r="P10" s="192">
        <f t="shared" si="5"/>
        <v>8.9385935148135077E-3</v>
      </c>
      <c r="Q10" s="176">
        <f t="shared" si="6"/>
        <v>0.30594808826798447</v>
      </c>
      <c r="R10" s="176">
        <f t="shared" si="7"/>
        <v>1.2935981266283738</v>
      </c>
      <c r="S10" s="176">
        <f t="shared" si="8"/>
        <v>0.30596478578695646</v>
      </c>
      <c r="T10" s="192">
        <f t="shared" si="9"/>
        <v>1.2966575667883442</v>
      </c>
      <c r="U10" s="193">
        <f t="shared" si="10"/>
        <v>2.528634593280632E-2</v>
      </c>
      <c r="V10" s="193">
        <f t="shared" si="11"/>
        <v>0.1304484473630125</v>
      </c>
      <c r="Y10" s="177"/>
    </row>
    <row r="11" spans="1:28">
      <c r="A11" s="5" t="s">
        <v>90</v>
      </c>
      <c r="B11" s="1">
        <v>43729</v>
      </c>
      <c r="C11" s="8">
        <v>0.55069444444444449</v>
      </c>
      <c r="D11" s="9" t="s">
        <v>9</v>
      </c>
      <c r="E11" s="160"/>
      <c r="F11" s="15">
        <v>1.474</v>
      </c>
      <c r="G11" s="11">
        <v>0.32100000000000001</v>
      </c>
      <c r="H11" s="13">
        <v>5.2119999999999997</v>
      </c>
      <c r="I11" s="160"/>
      <c r="J11" s="176">
        <f t="shared" si="12"/>
        <v>0.12088969073232347</v>
      </c>
      <c r="K11" s="176">
        <f t="shared" si="0"/>
        <v>1.0862028516283931E-3</v>
      </c>
      <c r="L11" s="176">
        <f t="shared" si="1"/>
        <v>1.2171737366205703E-3</v>
      </c>
      <c r="M11" s="175">
        <f t="shared" si="2"/>
        <v>5.6879007373710357E-2</v>
      </c>
      <c r="N11" s="175">
        <f t="shared" si="3"/>
        <v>5.6868770461185672E-2</v>
      </c>
      <c r="O11" s="176">
        <f t="shared" si="4"/>
        <v>8.1855000000000001E-3</v>
      </c>
      <c r="P11" s="192">
        <f t="shared" si="5"/>
        <v>5.1028128863257515E-3</v>
      </c>
      <c r="Q11" s="176">
        <f t="shared" si="6"/>
        <v>0.14323130189396618</v>
      </c>
      <c r="R11" s="176">
        <f t="shared" si="7"/>
        <v>1.4647282971483717</v>
      </c>
      <c r="S11" s="176">
        <f t="shared" si="8"/>
        <v>0.14324153880649088</v>
      </c>
      <c r="T11" s="192">
        <f t="shared" si="9"/>
        <v>1.4676800133770536</v>
      </c>
      <c r="U11" s="193">
        <f t="shared" si="10"/>
        <v>1.1838143703015775E-2</v>
      </c>
      <c r="V11" s="193">
        <f t="shared" si="11"/>
        <v>0.14765392488702753</v>
      </c>
    </row>
    <row r="12" spans="1:28">
      <c r="A12" s="5" t="s">
        <v>101</v>
      </c>
      <c r="B12" s="1">
        <v>43731</v>
      </c>
      <c r="C12" s="8">
        <v>0.30624999999999997</v>
      </c>
      <c r="D12" s="9" t="s">
        <v>9</v>
      </c>
      <c r="E12" s="160"/>
      <c r="F12" s="15">
        <v>1.5069999999999999</v>
      </c>
      <c r="G12" s="11">
        <v>0.44600000000000001</v>
      </c>
      <c r="H12" s="13">
        <v>5.8220000000000001</v>
      </c>
      <c r="I12" s="160"/>
      <c r="J12" s="176">
        <f t="shared" si="12"/>
        <v>0.15571627258636658</v>
      </c>
      <c r="K12" s="176">
        <f t="shared" si="0"/>
        <v>1.3926330660519281E-3</v>
      </c>
      <c r="L12" s="176">
        <f t="shared" si="1"/>
        <v>1.609489196603804E-3</v>
      </c>
      <c r="M12" s="175">
        <f t="shared" si="2"/>
        <v>5.9463919760699521E-2</v>
      </c>
      <c r="N12" s="175">
        <f t="shared" si="3"/>
        <v>5.9446580187865299E-2</v>
      </c>
      <c r="O12" s="176">
        <f t="shared" si="4"/>
        <v>1.1372999999999999E-2</v>
      </c>
      <c r="P12" s="192">
        <f t="shared" si="5"/>
        <v>7.4022350490476514E-3</v>
      </c>
      <c r="Q12" s="176">
        <f t="shared" si="6"/>
        <v>0.23081980765293386</v>
      </c>
      <c r="R12" s="176">
        <f t="shared" si="7"/>
        <v>1.494234366933948</v>
      </c>
      <c r="S12" s="176">
        <f t="shared" si="8"/>
        <v>0.23083714722576809</v>
      </c>
      <c r="T12" s="192">
        <f t="shared" si="9"/>
        <v>1.4979882757543483</v>
      </c>
      <c r="U12" s="193">
        <f t="shared" si="10"/>
        <v>1.9077450183947776E-2</v>
      </c>
      <c r="V12" s="193">
        <f t="shared" si="11"/>
        <v>0.15070304585053806</v>
      </c>
    </row>
    <row r="13" spans="1:28">
      <c r="A13" s="5" t="s">
        <v>110</v>
      </c>
      <c r="B13" s="1">
        <v>43732</v>
      </c>
      <c r="C13" s="8">
        <v>0.54583333333333328</v>
      </c>
      <c r="D13" s="9" t="s">
        <v>13</v>
      </c>
      <c r="E13" s="160"/>
      <c r="F13" s="15">
        <v>1.526</v>
      </c>
      <c r="G13" s="11">
        <v>0.44600000000000001</v>
      </c>
      <c r="H13" s="13">
        <v>5.5640000000000001</v>
      </c>
      <c r="I13" s="160"/>
      <c r="J13" s="176">
        <f t="shared" si="12"/>
        <v>0.13383188117168704</v>
      </c>
      <c r="K13" s="176">
        <f t="shared" si="0"/>
        <v>1.2003301294817345E-3</v>
      </c>
      <c r="L13" s="176">
        <f t="shared" si="1"/>
        <v>1.4180700528088239E-3</v>
      </c>
      <c r="M13" s="175">
        <f t="shared" si="2"/>
        <v>6.1008777880823518E-2</v>
      </c>
      <c r="N13" s="175">
        <f t="shared" si="3"/>
        <v>6.0991137338686288E-2</v>
      </c>
      <c r="O13" s="176">
        <f t="shared" si="4"/>
        <v>1.1372999999999999E-2</v>
      </c>
      <c r="P13" s="192">
        <f t="shared" si="5"/>
        <v>7.9602870301219795E-3</v>
      </c>
      <c r="Q13" s="176">
        <f t="shared" si="6"/>
        <v>0.25115934094748943</v>
      </c>
      <c r="R13" s="176">
        <f t="shared" si="7"/>
        <v>1.5134266698705181</v>
      </c>
      <c r="S13" s="176">
        <f t="shared" si="8"/>
        <v>0.25117698148962669</v>
      </c>
      <c r="T13" s="192">
        <f t="shared" si="9"/>
        <v>1.5166216429170691</v>
      </c>
      <c r="U13" s="193">
        <f t="shared" si="10"/>
        <v>2.0758428222283198E-2</v>
      </c>
      <c r="V13" s="193">
        <f t="shared" si="11"/>
        <v>0.15257763007213976</v>
      </c>
    </row>
    <row r="14" spans="1:28">
      <c r="A14" s="5" t="s">
        <v>115</v>
      </c>
      <c r="B14" s="1">
        <v>43733</v>
      </c>
      <c r="C14" s="8">
        <v>0.31180555555555556</v>
      </c>
      <c r="D14" s="9" t="s">
        <v>9</v>
      </c>
      <c r="E14" s="160"/>
      <c r="F14" s="15">
        <v>1.49</v>
      </c>
      <c r="G14" s="11">
        <v>0.47299999999999998</v>
      </c>
      <c r="H14" s="13">
        <v>5.3579999999999997</v>
      </c>
      <c r="I14" s="160"/>
      <c r="J14" s="176">
        <f t="shared" si="12"/>
        <v>0.11931085347549296</v>
      </c>
      <c r="K14" s="176">
        <f t="shared" si="0"/>
        <v>1.0722588746557892E-3</v>
      </c>
      <c r="L14" s="176">
        <f t="shared" si="1"/>
        <v>1.3073541198767545E-3</v>
      </c>
      <c r="M14" s="175">
        <f t="shared" si="2"/>
        <v>5.8137796598915499E-2</v>
      </c>
      <c r="N14" s="175">
        <f t="shared" si="3"/>
        <v>5.8119214683516461E-2</v>
      </c>
      <c r="O14" s="176">
        <f t="shared" si="4"/>
        <v>1.2061499999999999E-2</v>
      </c>
      <c r="P14" s="192">
        <f t="shared" si="5"/>
        <v>9.0190732363749273E-3</v>
      </c>
      <c r="Q14" s="176">
        <f t="shared" si="6"/>
        <v>0.29555134992559151</v>
      </c>
      <c r="R14" s="176">
        <f t="shared" si="7"/>
        <v>1.4768662411253441</v>
      </c>
      <c r="S14" s="176">
        <f t="shared" si="8"/>
        <v>0.29556993184099056</v>
      </c>
      <c r="T14" s="192">
        <f t="shared" si="9"/>
        <v>1.4796735726437484</v>
      </c>
      <c r="U14" s="193">
        <f t="shared" si="10"/>
        <v>2.4427267094296743E-2</v>
      </c>
      <c r="V14" s="193">
        <f t="shared" si="11"/>
        <v>0.14886052038669503</v>
      </c>
    </row>
    <row r="15" spans="1:28">
      <c r="A15" s="5" t="s">
        <v>124</v>
      </c>
      <c r="B15" s="1">
        <v>43734</v>
      </c>
      <c r="C15" s="8">
        <v>0.54861111111111105</v>
      </c>
      <c r="D15" s="9" t="s">
        <v>13</v>
      </c>
      <c r="E15" s="160"/>
      <c r="F15" s="15">
        <v>1.1990000000000001</v>
      </c>
      <c r="G15" s="11">
        <v>0.374</v>
      </c>
      <c r="H15" s="13">
        <v>4.8310000000000004</v>
      </c>
      <c r="I15" s="160"/>
      <c r="J15" s="176">
        <f t="shared" si="12"/>
        <v>0.10972032829587983</v>
      </c>
      <c r="K15" s="176">
        <f t="shared" si="0"/>
        <v>9.8745364452957111E-4</v>
      </c>
      <c r="L15" s="176">
        <f t="shared" si="1"/>
        <v>1.1541783064772462E-3</v>
      </c>
      <c r="M15" s="175">
        <f t="shared" si="2"/>
        <v>3.7460033407508482E-2</v>
      </c>
      <c r="N15" s="175">
        <f t="shared" si="3"/>
        <v>3.7449505826505212E-2</v>
      </c>
      <c r="O15" s="176">
        <f t="shared" si="4"/>
        <v>9.5369999999999986E-3</v>
      </c>
      <c r="P15" s="192">
        <f t="shared" si="5"/>
        <v>6.7391316284550629E-3</v>
      </c>
      <c r="Q15" s="176">
        <f t="shared" si="6"/>
        <v>0.22681963829661167</v>
      </c>
      <c r="R15" s="176">
        <f t="shared" si="7"/>
        <v>1.1884755463554706</v>
      </c>
      <c r="S15" s="176">
        <f t="shared" si="8"/>
        <v>0.22683016587761493</v>
      </c>
      <c r="T15" s="192">
        <f t="shared" si="9"/>
        <v>1.1911066900650678</v>
      </c>
      <c r="U15" s="193">
        <f t="shared" si="10"/>
        <v>1.8746294700629332E-2</v>
      </c>
      <c r="V15" s="193">
        <f t="shared" si="11"/>
        <v>0.11982964688783379</v>
      </c>
    </row>
    <row r="16" spans="1:28">
      <c r="A16" s="5" t="s">
        <v>133</v>
      </c>
      <c r="B16" s="1">
        <v>43753</v>
      </c>
      <c r="C16" s="8">
        <v>0.31944444444444448</v>
      </c>
      <c r="D16" s="9" t="s">
        <v>13</v>
      </c>
      <c r="E16" s="160"/>
      <c r="F16" s="15">
        <v>1.5129999999999999</v>
      </c>
      <c r="G16" s="11">
        <v>0.4</v>
      </c>
      <c r="H16" s="13">
        <v>5.4950000000000001</v>
      </c>
      <c r="I16" s="160"/>
      <c r="J16" s="176">
        <f t="shared" si="12"/>
        <v>0.1330739488477255</v>
      </c>
      <c r="K16" s="176">
        <f t="shared" si="0"/>
        <v>1.1936549695053713E-3</v>
      </c>
      <c r="L16" s="176">
        <f t="shared" si="1"/>
        <v>1.3782168853965074E-3</v>
      </c>
      <c r="M16" s="175">
        <f t="shared" si="2"/>
        <v>5.9960678627201253E-2</v>
      </c>
      <c r="N16" s="175">
        <f t="shared" si="3"/>
        <v>5.9945858066550603E-2</v>
      </c>
      <c r="O16" s="176">
        <f t="shared" si="4"/>
        <v>1.0200000000000001E-2</v>
      </c>
      <c r="P16" s="192">
        <f t="shared" si="5"/>
        <v>6.8066143043829996E-3</v>
      </c>
      <c r="Q16" s="176">
        <f t="shared" si="6"/>
        <v>0.20696537252507327</v>
      </c>
      <c r="R16" s="176">
        <f t="shared" si="7"/>
        <v>1.5016063450304946</v>
      </c>
      <c r="S16" s="176">
        <f t="shared" si="8"/>
        <v>0.20698019308572391</v>
      </c>
      <c r="T16" s="192">
        <f t="shared" si="9"/>
        <v>1.5048151688102205</v>
      </c>
      <c r="U16" s="193">
        <f t="shared" si="10"/>
        <v>1.7105801081464787E-2</v>
      </c>
      <c r="V16" s="193">
        <f t="shared" si="11"/>
        <v>0.15138985601712479</v>
      </c>
    </row>
    <row r="17" spans="1:22">
      <c r="A17" s="5" t="s">
        <v>131</v>
      </c>
      <c r="B17" s="1">
        <v>43753</v>
      </c>
      <c r="C17" s="8">
        <v>0.47013888888888888</v>
      </c>
      <c r="D17" s="9" t="s">
        <v>9</v>
      </c>
      <c r="E17" s="160"/>
      <c r="F17" s="15">
        <v>1.365</v>
      </c>
      <c r="G17" s="11">
        <v>0.313</v>
      </c>
      <c r="H17" s="13">
        <v>4.5490000000000004</v>
      </c>
      <c r="I17" s="160"/>
      <c r="J17" s="176">
        <f t="shared" si="12"/>
        <v>8.4862821608376521E-2</v>
      </c>
      <c r="K17" s="176">
        <f t="shared" si="0"/>
        <v>7.6677034298188742E-4</v>
      </c>
      <c r="L17" s="176">
        <f t="shared" si="1"/>
        <v>8.9349008779200808E-4</v>
      </c>
      <c r="M17" s="175">
        <f t="shared" si="2"/>
        <v>4.8708176001567849E-2</v>
      </c>
      <c r="N17" s="175">
        <f t="shared" si="3"/>
        <v>4.8699026752565572E-2</v>
      </c>
      <c r="O17" s="176">
        <f t="shared" si="4"/>
        <v>7.981499999999999E-3</v>
      </c>
      <c r="P17" s="192">
        <f t="shared" si="5"/>
        <v>5.8174980489863982E-3</v>
      </c>
      <c r="Q17" s="176">
        <f t="shared" si="6"/>
        <v>0.17942900239005563</v>
      </c>
      <c r="R17" s="176">
        <f t="shared" si="7"/>
        <v>1.356251729657018</v>
      </c>
      <c r="S17" s="176">
        <f t="shared" si="8"/>
        <v>0.17943815163905791</v>
      </c>
      <c r="T17" s="192">
        <f t="shared" si="9"/>
        <v>1.3582890118632216</v>
      </c>
      <c r="U17" s="193">
        <f t="shared" si="10"/>
        <v>1.482959930901305E-2</v>
      </c>
      <c r="V17" s="193">
        <f t="shared" si="11"/>
        <v>0.1366487939500223</v>
      </c>
    </row>
    <row r="18" spans="1:22">
      <c r="A18" s="5" t="s">
        <v>135</v>
      </c>
      <c r="B18" s="1">
        <v>43762</v>
      </c>
      <c r="C18" s="8">
        <v>0.32916666666666666</v>
      </c>
      <c r="D18" s="9" t="s">
        <v>9</v>
      </c>
      <c r="E18" s="160"/>
      <c r="F18" s="15">
        <v>1.482</v>
      </c>
      <c r="G18" s="11">
        <v>0.4</v>
      </c>
      <c r="H18" s="13">
        <v>4.9489999999999998</v>
      </c>
      <c r="I18" s="160"/>
      <c r="J18" s="176">
        <f t="shared" si="12"/>
        <v>9.704114181960731E-2</v>
      </c>
      <c r="K18" s="176">
        <f t="shared" si="0"/>
        <v>8.7505306926199825E-4</v>
      </c>
      <c r="L18" s="176">
        <f t="shared" si="1"/>
        <v>1.0564970243320882E-3</v>
      </c>
      <c r="M18" s="175">
        <f t="shared" si="2"/>
        <v>5.7522689010904314E-2</v>
      </c>
      <c r="N18" s="175">
        <f t="shared" si="3"/>
        <v>5.7508425332346354E-2</v>
      </c>
      <c r="O18" s="176">
        <f t="shared" si="4"/>
        <v>1.0200000000000001E-2</v>
      </c>
      <c r="P18" s="192">
        <f t="shared" si="5"/>
        <v>7.7254508836000135E-3</v>
      </c>
      <c r="Q18" s="176">
        <f t="shared" si="6"/>
        <v>0.24543616916948838</v>
      </c>
      <c r="R18" s="176">
        <f t="shared" si="7"/>
        <v>1.4709249469307379</v>
      </c>
      <c r="S18" s="176">
        <f t="shared" si="8"/>
        <v>0.24545043284804635</v>
      </c>
      <c r="T18" s="192">
        <f t="shared" si="9"/>
        <v>1.4732180520920679</v>
      </c>
      <c r="U18" s="193">
        <f t="shared" si="10"/>
        <v>2.0285159739507962E-2</v>
      </c>
      <c r="V18" s="193">
        <f t="shared" si="11"/>
        <v>0.14821107163904104</v>
      </c>
    </row>
    <row r="19" spans="1:22"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</row>
    <row r="20" spans="1:22"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</row>
    <row r="21" spans="1:22">
      <c r="E21" s="159"/>
      <c r="F21" s="391" t="s">
        <v>139</v>
      </c>
      <c r="G21" s="392"/>
      <c r="H21" s="392"/>
      <c r="I21" s="159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</row>
    <row r="22" spans="1:22">
      <c r="E22" s="160"/>
      <c r="F22" s="12">
        <v>219</v>
      </c>
      <c r="G22" s="16">
        <v>220</v>
      </c>
      <c r="H22" s="158" t="s">
        <v>19</v>
      </c>
      <c r="I22" s="160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</row>
    <row r="23" spans="1:22">
      <c r="A23" s="5" t="s">
        <v>26</v>
      </c>
      <c r="B23" s="1">
        <v>43722</v>
      </c>
      <c r="C23" s="8">
        <v>0.40069444444444446</v>
      </c>
      <c r="D23" s="9" t="s">
        <v>9</v>
      </c>
      <c r="E23" s="160"/>
      <c r="F23" s="11">
        <v>4.3999999999999997E-2</v>
      </c>
      <c r="G23" s="15">
        <v>1.665</v>
      </c>
      <c r="H23" s="157">
        <v>4.04</v>
      </c>
      <c r="I23" s="160"/>
      <c r="J23" s="176">
        <f>((H23-G23-F23)^2*0.01)/(1-((H23-G23-F23)*0.01))</f>
        <v>5.5632401273689708E-2</v>
      </c>
      <c r="K23" s="176">
        <f>((H23-G23-F23)^2*0.000093)/(1-((H23-G23-F23)*0.000093))</f>
        <v>5.0543074179249794E-4</v>
      </c>
      <c r="L23" s="176">
        <f>((H23-J23-F23)^2*0.000093)/(1-((H23-J23-F23)*0.000093))</f>
        <v>1.4444935443245221E-3</v>
      </c>
      <c r="M23" s="175">
        <f>((1.6*(F23-K23))^2*0.01)/((1-(1.6*(F23-K23))*0.01))</f>
        <v>4.8463231605035795E-5</v>
      </c>
      <c r="N23" s="175">
        <f>((1.6*(F23-L23))^2*0.01)/((1-(1.6*(F23-L23))*0.01))</f>
        <v>4.6392448986893053E-5</v>
      </c>
      <c r="O23" s="176">
        <f>G23*0.0255</f>
        <v>4.2457499999999995E-2</v>
      </c>
      <c r="P23" s="192">
        <f>(G23-J23)*0.0255</f>
        <v>4.1038873767520911E-2</v>
      </c>
      <c r="Q23" s="176">
        <f>G23-J23-M23</f>
        <v>1.6093191354947052</v>
      </c>
      <c r="R23" s="176">
        <f>F23-K23-O23</f>
        <v>1.0370692582075056E-3</v>
      </c>
      <c r="S23" s="176">
        <f>G23-J23-N23</f>
        <v>1.6093212062773234</v>
      </c>
      <c r="T23" s="192">
        <f>F23-L23-P23</f>
        <v>1.516632688154565E-3</v>
      </c>
      <c r="U23" s="193">
        <f t="shared" ref="U23:U38" si="13">S23/$Z$3</f>
        <v>0.13300175258490277</v>
      </c>
      <c r="V23" s="193">
        <f t="shared" ref="V23:V38" si="14">T23/$Y$3</f>
        <v>1.5257874126303471E-4</v>
      </c>
    </row>
    <row r="24" spans="1:22">
      <c r="A24" s="5" t="s">
        <v>29</v>
      </c>
      <c r="B24" s="1">
        <v>43723</v>
      </c>
      <c r="C24" s="8">
        <v>0.51111111111111118</v>
      </c>
      <c r="D24" s="9" t="s">
        <v>13</v>
      </c>
      <c r="E24" s="160"/>
      <c r="F24" s="11">
        <v>3.4000000000000002E-2</v>
      </c>
      <c r="G24" s="15">
        <v>1.427</v>
      </c>
      <c r="H24" s="157">
        <v>3.948</v>
      </c>
      <c r="I24" s="160"/>
      <c r="J24" s="176">
        <f t="shared" ref="J24:J38" si="15">((H24-G24-F24)^2*0.01)/(1-((H24-G24-F24)*0.01))</f>
        <v>6.3429173546091289E-2</v>
      </c>
      <c r="K24" s="176">
        <f t="shared" ref="K24:K38" si="16">((H24-G24-F24)^2*0.000093)/(1-((H24-G24-F24)*0.000093))</f>
        <v>5.7535379115370973E-4</v>
      </c>
      <c r="L24" s="176">
        <f t="shared" ref="L24:L38" si="17">((H24-J24-F24)^2*0.000093)/(1-((H24-J24-F24)*0.000093))</f>
        <v>1.379395264829364E-3</v>
      </c>
      <c r="M24" s="175">
        <f t="shared" ref="M24:M38" si="18">((1.6*(F24-K24))^2*0.01)/((1-(1.6*(F24-K24))*0.01))</f>
        <v>2.8615802108158657E-5</v>
      </c>
      <c r="N24" s="175">
        <f t="shared" ref="N24:N38" si="19">((1.6*(F24-L24))^2*0.01)/((1-(1.6*(F24-L24))*0.01))</f>
        <v>2.7255283985712356E-5</v>
      </c>
      <c r="O24" s="176">
        <f t="shared" ref="O24:O38" si="20">G24*0.0255</f>
        <v>3.6388499999999997E-2</v>
      </c>
      <c r="P24" s="192">
        <f t="shared" ref="P24:P38" si="21">(G24-J24)*0.0255</f>
        <v>3.4771056074574674E-2</v>
      </c>
      <c r="Q24" s="176">
        <f t="shared" ref="Q24:Q38" si="22">G24-J24-M24</f>
        <v>1.3635422106518007</v>
      </c>
      <c r="R24" s="176">
        <f t="shared" ref="R24:R38" si="23">F24-K24-O24</f>
        <v>-2.9638537911537075E-3</v>
      </c>
      <c r="S24" s="176">
        <f t="shared" ref="S24:S38" si="24">G24-J24-N24</f>
        <v>1.3635435711699231</v>
      </c>
      <c r="T24" s="192">
        <f t="shared" ref="T24:T38" si="25">F24-L24-P24</f>
        <v>-2.1504513394040373E-3</v>
      </c>
      <c r="U24" s="193">
        <f t="shared" si="13"/>
        <v>0.11268955133635729</v>
      </c>
      <c r="V24" s="193">
        <f t="shared" si="14"/>
        <v>-2.1634319309899773E-4</v>
      </c>
    </row>
    <row r="25" spans="1:22">
      <c r="A25" s="5" t="s">
        <v>30</v>
      </c>
      <c r="B25" s="1">
        <v>43724</v>
      </c>
      <c r="C25" s="8">
        <v>0.42083333333333334</v>
      </c>
      <c r="D25" s="9" t="s">
        <v>13</v>
      </c>
      <c r="E25" s="160"/>
      <c r="F25" s="11">
        <v>5.6000000000000001E-2</v>
      </c>
      <c r="G25" s="15">
        <v>1.5349999999999999</v>
      </c>
      <c r="H25" s="157">
        <v>4.6120000000000001</v>
      </c>
      <c r="I25" s="160"/>
      <c r="J25" s="176">
        <f t="shared" si="15"/>
        <v>9.4107394384351256E-2</v>
      </c>
      <c r="K25" s="176">
        <f t="shared" si="16"/>
        <v>8.4899754140625066E-4</v>
      </c>
      <c r="L25" s="176">
        <f t="shared" si="17"/>
        <v>1.8522577685338507E-3</v>
      </c>
      <c r="M25" s="175">
        <f t="shared" si="18"/>
        <v>7.7934577369097522E-5</v>
      </c>
      <c r="N25" s="175">
        <f t="shared" si="19"/>
        <v>7.5123720990466337E-5</v>
      </c>
      <c r="O25" s="176">
        <f t="shared" si="20"/>
        <v>3.9142499999999997E-2</v>
      </c>
      <c r="P25" s="192">
        <f t="shared" si="21"/>
        <v>3.6742761443199039E-2</v>
      </c>
      <c r="Q25" s="176">
        <f t="shared" si="22"/>
        <v>1.4408146710382794</v>
      </c>
      <c r="R25" s="176">
        <f t="shared" si="23"/>
        <v>1.6008502458593754E-2</v>
      </c>
      <c r="S25" s="176">
        <f t="shared" si="24"/>
        <v>1.4408174818946582</v>
      </c>
      <c r="T25" s="192">
        <f t="shared" si="25"/>
        <v>1.7404980788267112E-2</v>
      </c>
      <c r="U25" s="193">
        <f t="shared" si="13"/>
        <v>0.11907582494997175</v>
      </c>
      <c r="V25" s="193">
        <f t="shared" si="14"/>
        <v>1.7510041034473956E-3</v>
      </c>
    </row>
    <row r="26" spans="1:22">
      <c r="A26" s="5" t="s">
        <v>32</v>
      </c>
      <c r="B26" s="1">
        <v>43724</v>
      </c>
      <c r="C26" s="8">
        <v>0.62569444444444444</v>
      </c>
      <c r="D26" s="9" t="s">
        <v>9</v>
      </c>
      <c r="E26" s="160"/>
      <c r="F26" s="11">
        <v>6.4000000000000001E-2</v>
      </c>
      <c r="G26" s="15">
        <v>1.6220000000000001</v>
      </c>
      <c r="H26" s="157">
        <v>4.5289999999999999</v>
      </c>
      <c r="I26" s="160"/>
      <c r="J26" s="176">
        <f t="shared" si="15"/>
        <v>8.3191627983572977E-2</v>
      </c>
      <c r="K26" s="176">
        <f t="shared" si="16"/>
        <v>7.5188515468301302E-4</v>
      </c>
      <c r="L26" s="176">
        <f t="shared" si="17"/>
        <v>1.7863507011643799E-3</v>
      </c>
      <c r="M26" s="175">
        <f t="shared" si="18"/>
        <v>1.0251203429273961E-4</v>
      </c>
      <c r="N26" s="175">
        <f t="shared" si="19"/>
        <v>9.9184506954514613E-5</v>
      </c>
      <c r="O26" s="176">
        <f t="shared" si="20"/>
        <v>4.1361000000000002E-2</v>
      </c>
      <c r="P26" s="192">
        <f t="shared" si="21"/>
        <v>3.9239613486418891E-2</v>
      </c>
      <c r="Q26" s="176">
        <f t="shared" si="22"/>
        <v>1.5387058599821344</v>
      </c>
      <c r="R26" s="176">
        <f t="shared" si="23"/>
        <v>2.1887114845316989E-2</v>
      </c>
      <c r="S26" s="176">
        <f t="shared" si="24"/>
        <v>1.5387091875094727</v>
      </c>
      <c r="T26" s="192">
        <f t="shared" si="25"/>
        <v>2.2974035812416728E-2</v>
      </c>
      <c r="U26" s="193">
        <f t="shared" si="13"/>
        <v>0.12716604855450189</v>
      </c>
      <c r="V26" s="193">
        <f t="shared" si="14"/>
        <v>2.3112712084926287E-3</v>
      </c>
    </row>
    <row r="27" spans="1:22">
      <c r="A27" s="5" t="s">
        <v>62</v>
      </c>
      <c r="B27" s="19">
        <v>43726</v>
      </c>
      <c r="C27" s="8">
        <v>0.66388888888888886</v>
      </c>
      <c r="D27" s="9" t="s">
        <v>13</v>
      </c>
      <c r="E27" s="160"/>
      <c r="F27" s="11">
        <v>5.0999999999999997E-2</v>
      </c>
      <c r="G27" s="15">
        <v>1.369</v>
      </c>
      <c r="H27" s="157">
        <v>4.49</v>
      </c>
      <c r="I27" s="160"/>
      <c r="J27" s="176">
        <f t="shared" si="15"/>
        <v>9.723408645414218E-2</v>
      </c>
      <c r="K27" s="176">
        <f t="shared" si="16"/>
        <v>8.7676602546793143E-4</v>
      </c>
      <c r="L27" s="176">
        <f t="shared" si="17"/>
        <v>1.7538447809310063E-3</v>
      </c>
      <c r="M27" s="175">
        <f t="shared" si="18"/>
        <v>6.4367488659192228E-5</v>
      </c>
      <c r="N27" s="175">
        <f t="shared" si="19"/>
        <v>6.2133662882938898E-5</v>
      </c>
      <c r="O27" s="176">
        <f t="shared" si="20"/>
        <v>3.4909499999999996E-2</v>
      </c>
      <c r="P27" s="192">
        <f t="shared" si="21"/>
        <v>3.2430030795419375E-2</v>
      </c>
      <c r="Q27" s="176">
        <f t="shared" si="22"/>
        <v>1.2717015460571988</v>
      </c>
      <c r="R27" s="176">
        <f t="shared" si="23"/>
        <v>1.5213733974532066E-2</v>
      </c>
      <c r="S27" s="176">
        <f t="shared" si="24"/>
        <v>1.2717037798829749</v>
      </c>
      <c r="T27" s="192">
        <f t="shared" si="25"/>
        <v>1.6816124423649617E-2</v>
      </c>
      <c r="U27" s="193">
        <f t="shared" si="13"/>
        <v>0.10509948594074173</v>
      </c>
      <c r="V27" s="193">
        <f t="shared" si="14"/>
        <v>1.6917630204878892E-3</v>
      </c>
    </row>
    <row r="28" spans="1:22">
      <c r="A28" s="5" t="s">
        <v>64</v>
      </c>
      <c r="B28" s="19">
        <v>43726</v>
      </c>
      <c r="C28" s="8">
        <v>0.8847222222222223</v>
      </c>
      <c r="D28" s="9" t="s">
        <v>9</v>
      </c>
      <c r="E28" s="160"/>
      <c r="F28" s="11">
        <v>0.03</v>
      </c>
      <c r="G28" s="15">
        <v>1.5309999999999999</v>
      </c>
      <c r="H28" s="157">
        <v>4.2569999999999997</v>
      </c>
      <c r="I28" s="160"/>
      <c r="J28" s="176">
        <f t="shared" si="15"/>
        <v>7.4698018580942216E-2</v>
      </c>
      <c r="K28" s="176">
        <f t="shared" si="16"/>
        <v>6.761322132775707E-4</v>
      </c>
      <c r="L28" s="176">
        <f t="shared" si="17"/>
        <v>1.6040893339641271E-3</v>
      </c>
      <c r="M28" s="175">
        <f t="shared" si="18"/>
        <v>2.2023497108391864E-5</v>
      </c>
      <c r="N28" s="175">
        <f t="shared" si="19"/>
        <v>2.0651372841982974E-5</v>
      </c>
      <c r="O28" s="176">
        <f t="shared" si="20"/>
        <v>3.9040499999999999E-2</v>
      </c>
      <c r="P28" s="192">
        <f t="shared" si="21"/>
        <v>3.713570052618597E-2</v>
      </c>
      <c r="Q28" s="176">
        <f t="shared" si="22"/>
        <v>1.4562799579219492</v>
      </c>
      <c r="R28" s="176">
        <f t="shared" si="23"/>
        <v>-9.716632213277572E-3</v>
      </c>
      <c r="S28" s="176">
        <f t="shared" si="24"/>
        <v>1.4562813300462156</v>
      </c>
      <c r="T28" s="192">
        <f t="shared" si="25"/>
        <v>-8.7397898601500983E-3</v>
      </c>
      <c r="U28" s="193">
        <f t="shared" si="13"/>
        <v>0.12035382892943931</v>
      </c>
      <c r="V28" s="193">
        <f t="shared" si="14"/>
        <v>-8.7925451309357131E-4</v>
      </c>
    </row>
    <row r="29" spans="1:22">
      <c r="A29" s="5" t="s">
        <v>77</v>
      </c>
      <c r="B29" s="1">
        <v>43728</v>
      </c>
      <c r="C29" s="8">
        <v>0.72777777777777775</v>
      </c>
      <c r="D29" s="9" t="s">
        <v>13</v>
      </c>
      <c r="E29" s="160"/>
      <c r="F29" s="11">
        <v>1.4999999999999999E-2</v>
      </c>
      <c r="G29" s="15">
        <v>1.44</v>
      </c>
      <c r="H29" s="157">
        <v>4.3159999999999998</v>
      </c>
      <c r="I29" s="160"/>
      <c r="J29" s="176">
        <f t="shared" si="15"/>
        <v>8.4264003129536011E-2</v>
      </c>
      <c r="K29" s="176">
        <f t="shared" si="16"/>
        <v>7.6143745094688564E-4</v>
      </c>
      <c r="L29" s="176">
        <f t="shared" si="17"/>
        <v>1.6542689416909216E-3</v>
      </c>
      <c r="M29" s="175">
        <f t="shared" si="18"/>
        <v>5.1912412376695439E-6</v>
      </c>
      <c r="N29" s="175">
        <f t="shared" si="19"/>
        <v>4.5605523819953967E-6</v>
      </c>
      <c r="O29" s="176">
        <f t="shared" si="20"/>
        <v>3.6719999999999996E-2</v>
      </c>
      <c r="P29" s="192">
        <f t="shared" si="21"/>
        <v>3.4571267920196824E-2</v>
      </c>
      <c r="Q29" s="176">
        <f t="shared" si="22"/>
        <v>1.3557308056292261</v>
      </c>
      <c r="R29" s="176">
        <f t="shared" si="23"/>
        <v>-2.2481437450946884E-2</v>
      </c>
      <c r="S29" s="176">
        <f t="shared" si="24"/>
        <v>1.3557314363180819</v>
      </c>
      <c r="T29" s="192">
        <f t="shared" si="25"/>
        <v>-2.1225536861887745E-2</v>
      </c>
      <c r="U29" s="193">
        <f t="shared" si="13"/>
        <v>0.11204392035686628</v>
      </c>
      <c r="V29" s="193">
        <f t="shared" si="14"/>
        <v>-2.1353658814776406E-3</v>
      </c>
    </row>
    <row r="30" spans="1:22">
      <c r="A30" s="5" t="s">
        <v>83</v>
      </c>
      <c r="B30" s="1">
        <v>43729</v>
      </c>
      <c r="C30" s="8">
        <v>0.30486111111111108</v>
      </c>
      <c r="D30" s="9" t="s">
        <v>9</v>
      </c>
      <c r="E30" s="160"/>
      <c r="F30" s="11">
        <v>4.5999999999999999E-2</v>
      </c>
      <c r="G30" s="15">
        <v>1.665</v>
      </c>
      <c r="H30" s="157">
        <v>4.2789999999999999</v>
      </c>
      <c r="I30" s="160"/>
      <c r="J30" s="176">
        <f t="shared" si="15"/>
        <v>6.7684374743410797E-2</v>
      </c>
      <c r="K30" s="176">
        <f t="shared" si="16"/>
        <v>6.1344653775593301E-4</v>
      </c>
      <c r="L30" s="176">
        <f t="shared" si="17"/>
        <v>1.6141617308509883E-3</v>
      </c>
      <c r="M30" s="175">
        <f t="shared" si="18"/>
        <v>5.2772767204958731E-5</v>
      </c>
      <c r="N30" s="175">
        <f t="shared" si="19"/>
        <v>5.0470470340832013E-5</v>
      </c>
      <c r="O30" s="176">
        <f t="shared" si="20"/>
        <v>4.2457499999999995E-2</v>
      </c>
      <c r="P30" s="192">
        <f t="shared" si="21"/>
        <v>4.0731548444043024E-2</v>
      </c>
      <c r="Q30" s="176">
        <f t="shared" si="22"/>
        <v>1.5972628524893842</v>
      </c>
      <c r="R30" s="176">
        <f t="shared" si="23"/>
        <v>2.9290534622440703E-3</v>
      </c>
      <c r="S30" s="176">
        <f t="shared" si="24"/>
        <v>1.5972651547862484</v>
      </c>
      <c r="T30" s="192">
        <f t="shared" si="25"/>
        <v>3.6542898251059885E-3</v>
      </c>
      <c r="U30" s="193">
        <f t="shared" si="13"/>
        <v>0.13200538469307838</v>
      </c>
      <c r="V30" s="193">
        <f t="shared" si="14"/>
        <v>3.6763479125814775E-4</v>
      </c>
    </row>
    <row r="31" spans="1:22">
      <c r="A31" s="5" t="s">
        <v>100</v>
      </c>
      <c r="B31" s="1">
        <v>43731</v>
      </c>
      <c r="C31" s="8">
        <v>0.30624999999999997</v>
      </c>
      <c r="D31" s="9" t="s">
        <v>13</v>
      </c>
      <c r="E31" s="160"/>
      <c r="F31" s="11">
        <v>3.5999999999999997E-2</v>
      </c>
      <c r="G31" s="15">
        <v>1.512</v>
      </c>
      <c r="H31" s="157">
        <v>3.9750000000000001</v>
      </c>
      <c r="I31" s="160"/>
      <c r="J31" s="176">
        <f t="shared" si="15"/>
        <v>6.036843184077563E-2</v>
      </c>
      <c r="K31" s="176">
        <f t="shared" si="16"/>
        <v>5.4792426953480093E-4</v>
      </c>
      <c r="L31" s="176">
        <f t="shared" si="17"/>
        <v>1.3995766493836949E-3</v>
      </c>
      <c r="M31" s="175">
        <f t="shared" si="18"/>
        <v>3.2193612930583609E-5</v>
      </c>
      <c r="N31" s="175">
        <f t="shared" si="19"/>
        <v>3.0665022342753826E-5</v>
      </c>
      <c r="O31" s="176">
        <f t="shared" si="20"/>
        <v>3.8556E-2</v>
      </c>
      <c r="P31" s="192">
        <f t="shared" si="21"/>
        <v>3.7016604988060219E-2</v>
      </c>
      <c r="Q31" s="176">
        <f t="shared" si="22"/>
        <v>1.4515993745462938</v>
      </c>
      <c r="R31" s="176">
        <f t="shared" si="23"/>
        <v>-3.1039242695348052E-3</v>
      </c>
      <c r="S31" s="176">
        <f t="shared" si="24"/>
        <v>1.4516009031368817</v>
      </c>
      <c r="T31" s="192">
        <f t="shared" si="25"/>
        <v>-2.4161816374439135E-3</v>
      </c>
      <c r="U31" s="193">
        <f t="shared" si="13"/>
        <v>0.11996701678817205</v>
      </c>
      <c r="V31" s="193">
        <f t="shared" si="14"/>
        <v>-2.4307662348530318E-4</v>
      </c>
    </row>
    <row r="32" spans="1:22">
      <c r="A32" s="5" t="s">
        <v>111</v>
      </c>
      <c r="B32" s="1">
        <v>43732</v>
      </c>
      <c r="C32" s="8">
        <v>0.54583333333333328</v>
      </c>
      <c r="D32" s="9" t="s">
        <v>9</v>
      </c>
      <c r="E32" s="160"/>
      <c r="F32" s="11">
        <v>3.5000000000000003E-2</v>
      </c>
      <c r="G32" s="15">
        <v>1.7490000000000001</v>
      </c>
      <c r="H32" s="157">
        <v>4.49</v>
      </c>
      <c r="I32" s="160"/>
      <c r="J32" s="176">
        <f t="shared" si="15"/>
        <v>7.5260920508972803E-2</v>
      </c>
      <c r="K32" s="176">
        <f t="shared" si="16"/>
        <v>6.8115796685162193E-4</v>
      </c>
      <c r="L32" s="176">
        <f t="shared" si="17"/>
        <v>1.7846635611602022E-3</v>
      </c>
      <c r="M32" s="175">
        <f t="shared" si="18"/>
        <v>3.0167807901244115E-5</v>
      </c>
      <c r="N32" s="175">
        <f t="shared" si="19"/>
        <v>2.8258437329530357E-5</v>
      </c>
      <c r="O32" s="176">
        <f t="shared" si="20"/>
        <v>4.45995E-2</v>
      </c>
      <c r="P32" s="192">
        <f t="shared" si="21"/>
        <v>4.2680346527021198E-2</v>
      </c>
      <c r="Q32" s="176">
        <f t="shared" si="22"/>
        <v>1.6737089116831261</v>
      </c>
      <c r="R32" s="176">
        <f t="shared" si="23"/>
        <v>-1.0280657966851618E-2</v>
      </c>
      <c r="S32" s="176">
        <f t="shared" si="24"/>
        <v>1.673710821053698</v>
      </c>
      <c r="T32" s="192">
        <f t="shared" si="25"/>
        <v>-9.4650100881813956E-3</v>
      </c>
      <c r="U32" s="193">
        <f t="shared" si="13"/>
        <v>0.1383232083515453</v>
      </c>
      <c r="V32" s="193">
        <f t="shared" si="14"/>
        <v>-9.5221429458565356E-4</v>
      </c>
    </row>
    <row r="33" spans="1:22">
      <c r="A33" s="5" t="s">
        <v>114</v>
      </c>
      <c r="B33" s="1">
        <v>43733</v>
      </c>
      <c r="C33" s="8">
        <v>0.31180555555555556</v>
      </c>
      <c r="D33" s="9" t="s">
        <v>13</v>
      </c>
      <c r="E33" s="160"/>
      <c r="F33" s="11">
        <v>4.4999999999999998E-2</v>
      </c>
      <c r="G33" s="15">
        <v>1.587</v>
      </c>
      <c r="H33" s="157">
        <v>4.2960000000000003</v>
      </c>
      <c r="I33" s="160"/>
      <c r="J33" s="176">
        <f t="shared" si="15"/>
        <v>7.291131749815076E-2</v>
      </c>
      <c r="K33" s="176">
        <f t="shared" si="16"/>
        <v>6.6017488764876506E-4</v>
      </c>
      <c r="L33" s="176">
        <f t="shared" si="17"/>
        <v>1.6240785842378171E-3</v>
      </c>
      <c r="M33" s="175">
        <f t="shared" si="18"/>
        <v>5.0365845734107438E-5</v>
      </c>
      <c r="N33" s="175">
        <f t="shared" si="19"/>
        <v>4.8199097185888762E-5</v>
      </c>
      <c r="O33" s="176">
        <f t="shared" si="20"/>
        <v>4.0468499999999998E-2</v>
      </c>
      <c r="P33" s="192">
        <f t="shared" si="21"/>
        <v>3.8609261403797147E-2</v>
      </c>
      <c r="Q33" s="176">
        <f t="shared" si="22"/>
        <v>1.5140383166561151</v>
      </c>
      <c r="R33" s="176">
        <f t="shared" si="23"/>
        <v>3.8713251123512343E-3</v>
      </c>
      <c r="S33" s="176">
        <f t="shared" si="24"/>
        <v>1.5140404834046632</v>
      </c>
      <c r="T33" s="192">
        <f t="shared" si="25"/>
        <v>4.7666600119650321E-3</v>
      </c>
      <c r="U33" s="193">
        <f t="shared" si="13"/>
        <v>0.12512731267807134</v>
      </c>
      <c r="V33" s="193">
        <f t="shared" si="14"/>
        <v>4.7954326076106966E-4</v>
      </c>
    </row>
    <row r="34" spans="1:22">
      <c r="A34" s="5" t="s">
        <v>125</v>
      </c>
      <c r="B34" s="1">
        <v>43734</v>
      </c>
      <c r="C34" s="8">
        <v>0.54791666666666672</v>
      </c>
      <c r="D34" s="9" t="s">
        <v>9</v>
      </c>
      <c r="E34" s="160"/>
      <c r="F34" s="11">
        <v>4.7E-2</v>
      </c>
      <c r="G34" s="15">
        <v>1.625</v>
      </c>
      <c r="H34" s="157">
        <v>4.5259999999999998</v>
      </c>
      <c r="I34" s="160"/>
      <c r="J34" s="176">
        <f t="shared" si="15"/>
        <v>8.3846128507607087E-2</v>
      </c>
      <c r="K34" s="176">
        <f t="shared" si="16"/>
        <v>7.5771550236406826E-4</v>
      </c>
      <c r="L34" s="176">
        <f t="shared" si="17"/>
        <v>1.7972507375297443E-3</v>
      </c>
      <c r="M34" s="175">
        <f t="shared" si="18"/>
        <v>5.4782263326442355E-5</v>
      </c>
      <c r="N34" s="175">
        <f t="shared" si="19"/>
        <v>5.2346045609468408E-5</v>
      </c>
      <c r="O34" s="176">
        <f t="shared" si="20"/>
        <v>4.1437499999999995E-2</v>
      </c>
      <c r="P34" s="192">
        <f t="shared" si="21"/>
        <v>3.9299423723056018E-2</v>
      </c>
      <c r="Q34" s="176">
        <f t="shared" si="22"/>
        <v>1.5410990892290666</v>
      </c>
      <c r="R34" s="176">
        <f t="shared" si="23"/>
        <v>4.8047844976359388E-3</v>
      </c>
      <c r="S34" s="176">
        <f t="shared" si="24"/>
        <v>1.5411015254467835</v>
      </c>
      <c r="T34" s="192">
        <f t="shared" si="25"/>
        <v>5.9033255394142364E-3</v>
      </c>
      <c r="U34" s="193">
        <f t="shared" si="13"/>
        <v>0.12736376243361847</v>
      </c>
      <c r="V34" s="193">
        <f t="shared" si="14"/>
        <v>5.9389592951853483E-4</v>
      </c>
    </row>
    <row r="35" spans="1:22">
      <c r="A35" s="5" t="s">
        <v>129</v>
      </c>
      <c r="B35" s="1">
        <v>43734</v>
      </c>
      <c r="C35" s="8">
        <v>0.84027777777777779</v>
      </c>
      <c r="D35" s="9" t="s">
        <v>13</v>
      </c>
      <c r="E35" s="160"/>
      <c r="F35" s="11">
        <v>1.4E-2</v>
      </c>
      <c r="G35" s="15">
        <v>1.6890000000000001</v>
      </c>
      <c r="H35" s="157">
        <v>4.423</v>
      </c>
      <c r="I35" s="160"/>
      <c r="J35" s="176">
        <f t="shared" si="15"/>
        <v>7.6052631578947386E-2</v>
      </c>
      <c r="K35" s="176">
        <f t="shared" si="16"/>
        <v>6.8822529347023638E-4</v>
      </c>
      <c r="L35" s="176">
        <f t="shared" si="17"/>
        <v>1.7467261273992113E-3</v>
      </c>
      <c r="M35" s="175">
        <f t="shared" si="18"/>
        <v>4.5373720610317622E-6</v>
      </c>
      <c r="N35" s="175">
        <f t="shared" si="19"/>
        <v>3.844407352500895E-6</v>
      </c>
      <c r="O35" s="176">
        <f t="shared" si="20"/>
        <v>4.3069499999999997E-2</v>
      </c>
      <c r="P35" s="192">
        <f t="shared" si="21"/>
        <v>4.1130157894736841E-2</v>
      </c>
      <c r="Q35" s="176">
        <f t="shared" si="22"/>
        <v>1.6129428310489917</v>
      </c>
      <c r="R35" s="176">
        <f t="shared" si="23"/>
        <v>-2.9757725293470233E-2</v>
      </c>
      <c r="S35" s="176">
        <f t="shared" si="24"/>
        <v>1.6129435240137002</v>
      </c>
      <c r="T35" s="192">
        <f t="shared" si="25"/>
        <v>-2.8876884022136052E-2</v>
      </c>
      <c r="U35" s="193">
        <f t="shared" si="13"/>
        <v>0.13330111768708267</v>
      </c>
      <c r="V35" s="193">
        <f t="shared" si="14"/>
        <v>-2.9051191169150959E-3</v>
      </c>
    </row>
    <row r="36" spans="1:22">
      <c r="A36" s="5" t="s">
        <v>130</v>
      </c>
      <c r="B36" s="1">
        <v>43753</v>
      </c>
      <c r="C36" s="8">
        <v>0.47013888888888888</v>
      </c>
      <c r="D36" s="9" t="s">
        <v>13</v>
      </c>
      <c r="E36" s="160"/>
      <c r="F36" s="11">
        <v>0.04</v>
      </c>
      <c r="G36" s="15">
        <v>1.472</v>
      </c>
      <c r="H36" s="157">
        <v>4.1360000000000001</v>
      </c>
      <c r="I36" s="160"/>
      <c r="J36" s="176">
        <f t="shared" si="15"/>
        <v>7.0709168583634588E-2</v>
      </c>
      <c r="K36" s="176">
        <f t="shared" si="16"/>
        <v>6.4049626958565952E-4</v>
      </c>
      <c r="L36" s="176">
        <f t="shared" si="17"/>
        <v>1.5074401771225936E-3</v>
      </c>
      <c r="M36" s="175">
        <f t="shared" si="18"/>
        <v>3.9683756595407269E-5</v>
      </c>
      <c r="N36" s="175">
        <f t="shared" si="19"/>
        <v>3.7954310677164011E-5</v>
      </c>
      <c r="O36" s="176">
        <f t="shared" si="20"/>
        <v>3.7536E-2</v>
      </c>
      <c r="P36" s="192">
        <f t="shared" si="21"/>
        <v>3.5732916201117314E-2</v>
      </c>
      <c r="Q36" s="176">
        <f t="shared" si="22"/>
        <v>1.40125114765977</v>
      </c>
      <c r="R36" s="176">
        <f t="shared" si="23"/>
        <v>1.8235037304143442E-3</v>
      </c>
      <c r="S36" s="176">
        <f t="shared" si="24"/>
        <v>1.4012528771056882</v>
      </c>
      <c r="T36" s="192">
        <f t="shared" si="25"/>
        <v>2.7596436217600939E-3</v>
      </c>
      <c r="U36" s="193">
        <f t="shared" si="13"/>
        <v>0.11580602290129655</v>
      </c>
      <c r="V36" s="193">
        <f t="shared" si="14"/>
        <v>2.7763014303421469E-4</v>
      </c>
    </row>
    <row r="37" spans="1:22">
      <c r="A37" s="5" t="s">
        <v>132</v>
      </c>
      <c r="B37" s="1">
        <v>43753</v>
      </c>
      <c r="C37" s="8">
        <v>0.31944444444444448</v>
      </c>
      <c r="D37" s="9" t="s">
        <v>9</v>
      </c>
      <c r="E37" s="160"/>
      <c r="F37" s="11">
        <v>0.04</v>
      </c>
      <c r="G37" s="15">
        <v>1.379</v>
      </c>
      <c r="H37" s="157">
        <v>3.27</v>
      </c>
      <c r="I37" s="160"/>
      <c r="J37" s="176">
        <f t="shared" si="15"/>
        <v>3.4908160042384541E-2</v>
      </c>
      <c r="K37" s="176">
        <f t="shared" si="16"/>
        <v>3.1869155352009756E-4</v>
      </c>
      <c r="L37" s="176">
        <f t="shared" si="17"/>
        <v>9.4968309571402654E-4</v>
      </c>
      <c r="M37" s="175">
        <f t="shared" si="18"/>
        <v>4.0335528809592455E-5</v>
      </c>
      <c r="N37" s="175">
        <f t="shared" si="19"/>
        <v>3.9062544083933221E-5</v>
      </c>
      <c r="O37" s="176">
        <f t="shared" si="20"/>
        <v>3.5164499999999994E-2</v>
      </c>
      <c r="P37" s="192">
        <f t="shared" si="21"/>
        <v>3.4274341918919191E-2</v>
      </c>
      <c r="Q37" s="176">
        <f t="shared" si="22"/>
        <v>1.3440515044288057</v>
      </c>
      <c r="R37" s="176">
        <f t="shared" si="23"/>
        <v>4.5168084464799058E-3</v>
      </c>
      <c r="S37" s="176">
        <f t="shared" si="24"/>
        <v>1.3440527774135314</v>
      </c>
      <c r="T37" s="192">
        <f t="shared" si="25"/>
        <v>4.7759749853667835E-3</v>
      </c>
      <c r="U37" s="193">
        <f t="shared" si="13"/>
        <v>0.1110787419350026</v>
      </c>
      <c r="V37" s="193">
        <f t="shared" si="14"/>
        <v>4.8048038082160801E-4</v>
      </c>
    </row>
    <row r="38" spans="1:22">
      <c r="A38" s="5" t="s">
        <v>134</v>
      </c>
      <c r="B38" s="1">
        <v>43762</v>
      </c>
      <c r="C38" s="8">
        <v>0.32916666666666666</v>
      </c>
      <c r="D38" s="9" t="s">
        <v>13</v>
      </c>
      <c r="E38" s="160"/>
      <c r="F38" s="11">
        <v>6.9000000000000006E-2</v>
      </c>
      <c r="G38" s="15">
        <v>1.4870000000000001</v>
      </c>
      <c r="H38" s="157">
        <v>3.89</v>
      </c>
      <c r="I38" s="160"/>
      <c r="J38" s="176">
        <f t="shared" si="15"/>
        <v>5.5777404623922354E-2</v>
      </c>
      <c r="K38" s="176">
        <f t="shared" si="16"/>
        <v>5.0673270041341723E-4</v>
      </c>
      <c r="L38" s="176">
        <f t="shared" si="17"/>
        <v>1.3189136492469777E-3</v>
      </c>
      <c r="M38" s="175">
        <f t="shared" si="18"/>
        <v>1.2022974708481008E-4</v>
      </c>
      <c r="N38" s="175">
        <f t="shared" si="19"/>
        <v>1.1739379934815466E-4</v>
      </c>
      <c r="O38" s="176">
        <f t="shared" si="20"/>
        <v>3.7918500000000001E-2</v>
      </c>
      <c r="P38" s="192">
        <f t="shared" si="21"/>
        <v>3.649617618208998E-2</v>
      </c>
      <c r="Q38" s="176">
        <f t="shared" si="22"/>
        <v>1.431102365628993</v>
      </c>
      <c r="R38" s="176">
        <f t="shared" si="23"/>
        <v>3.0574767299586587E-2</v>
      </c>
      <c r="S38" s="176">
        <f t="shared" si="24"/>
        <v>1.4311052015767296</v>
      </c>
      <c r="T38" s="192">
        <f t="shared" si="25"/>
        <v>3.1184910168663045E-2</v>
      </c>
      <c r="U38" s="193">
        <f t="shared" si="13"/>
        <v>0.11827315715510163</v>
      </c>
      <c r="V38" s="193">
        <f t="shared" si="14"/>
        <v>3.1373149063041294E-3</v>
      </c>
    </row>
  </sheetData>
  <mergeCells count="5">
    <mergeCell ref="Y6:Z6"/>
    <mergeCell ref="AA6:AB6"/>
    <mergeCell ref="F21:H21"/>
    <mergeCell ref="B1:C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B4" sqref="B4"/>
    </sheetView>
  </sheetViews>
  <sheetFormatPr baseColWidth="10" defaultColWidth="11.1640625" defaultRowHeight="16"/>
  <cols>
    <col min="2" max="2" width="18.33203125" bestFit="1" customWidth="1"/>
    <col min="3" max="3" width="13.6640625" bestFit="1" customWidth="1"/>
    <col min="5" max="5" width="18.6640625" customWidth="1"/>
  </cols>
  <sheetData>
    <row r="1" spans="1:5" ht="34">
      <c r="B1" t="s">
        <v>57</v>
      </c>
      <c r="C1" t="s">
        <v>61</v>
      </c>
      <c r="E1" s="44" t="s">
        <v>123</v>
      </c>
    </row>
    <row r="2" spans="1:5">
      <c r="A2" t="s">
        <v>58</v>
      </c>
      <c r="B2">
        <v>11.4</v>
      </c>
      <c r="C2" s="4">
        <f>LN(2)/B2</f>
        <v>6.0802384259644321E-2</v>
      </c>
      <c r="D2" s="4"/>
      <c r="E2" s="44">
        <v>1.6932378275984212</v>
      </c>
    </row>
    <row r="3" spans="1:5">
      <c r="A3" t="s">
        <v>59</v>
      </c>
      <c r="B3">
        <v>3.66</v>
      </c>
      <c r="C3" s="325">
        <f>LN(2)/B3</f>
        <v>0.18938447556282656</v>
      </c>
      <c r="D3" s="4"/>
      <c r="E3" s="44">
        <v>1.6932378275984212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Count 1 </vt:lpstr>
      <vt:lpstr>Count 2</vt:lpstr>
      <vt:lpstr>Samples</vt:lpstr>
      <vt:lpstr>Blanks</vt:lpstr>
      <vt:lpstr>STDs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 Van Dam</cp:lastModifiedBy>
  <dcterms:created xsi:type="dcterms:W3CDTF">2019-09-14T17:54:07Z</dcterms:created>
  <dcterms:modified xsi:type="dcterms:W3CDTF">2022-06-30T18:57:40Z</dcterms:modified>
</cp:coreProperties>
</file>