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INVESTMENT BOOK\crypto\Dolomite farming\"/>
    </mc:Choice>
  </mc:AlternateContent>
  <xr:revisionPtr revIDLastSave="0" documentId="13_ncr:1_{230C52A0-568C-43E1-B286-FD55ACB22DBF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F25" i="2"/>
  <c r="G19" i="2"/>
  <c r="J2" i="2"/>
  <c r="E19" i="2"/>
  <c r="C2" i="2"/>
  <c r="A15" i="2"/>
  <c r="A11" i="2"/>
  <c r="B11" i="2" s="1"/>
  <c r="E4" i="2" s="1"/>
  <c r="H2" i="2"/>
  <c r="D2" i="2"/>
  <c r="C6" i="1"/>
  <c r="B7" i="1"/>
  <c r="A7" i="1"/>
  <c r="B2" i="1"/>
  <c r="E23" i="2" l="1"/>
  <c r="F23" i="2" s="1"/>
  <c r="I21" i="2"/>
  <c r="H19" i="2"/>
  <c r="D21" i="2"/>
  <c r="C23" i="2" s="1"/>
  <c r="J4" i="2"/>
  <c r="F2" i="2"/>
  <c r="H4" i="2"/>
  <c r="K2" i="2"/>
  <c r="L2" i="2" s="1"/>
  <c r="N2" i="2" s="1"/>
  <c r="G23" i="2" l="1"/>
  <c r="I23" i="2" s="1"/>
  <c r="I19" i="2"/>
  <c r="K4" i="2"/>
  <c r="A13" i="2" s="1"/>
  <c r="L4" i="2"/>
  <c r="M4" i="2"/>
  <c r="N4" i="2" s="1"/>
  <c r="G4" i="2"/>
  <c r="I25" i="2" l="1"/>
  <c r="B13" i="2"/>
  <c r="D13" i="2" s="1"/>
  <c r="B15" i="2"/>
  <c r="D15" i="2" s="1"/>
</calcChain>
</file>

<file path=xl/sharedStrings.xml><?xml version="1.0" encoding="utf-8"?>
<sst xmlns="http://schemas.openxmlformats.org/spreadsheetml/2006/main" count="72" uniqueCount="56">
  <si>
    <t>PT price</t>
    <phoneticPr fontId="1" type="noConversion"/>
  </si>
  <si>
    <t>YT price</t>
    <phoneticPr fontId="1" type="noConversion"/>
  </si>
  <si>
    <t>Days</t>
    <phoneticPr fontId="1" type="noConversion"/>
  </si>
  <si>
    <t>Lending rate</t>
    <phoneticPr fontId="1" type="noConversion"/>
  </si>
  <si>
    <t>Start cap</t>
    <phoneticPr fontId="1" type="noConversion"/>
  </si>
  <si>
    <t>ROI</t>
    <phoneticPr fontId="1" type="noConversion"/>
  </si>
  <si>
    <t>Depositing</t>
    <phoneticPr fontId="1" type="noConversion"/>
  </si>
  <si>
    <t>Buying YT</t>
    <phoneticPr fontId="1" type="noConversion"/>
  </si>
  <si>
    <t>oarb</t>
    <phoneticPr fontId="1" type="noConversion"/>
  </si>
  <si>
    <t xml:space="preserve"> Arb rate</t>
    <phoneticPr fontId="1" type="noConversion"/>
  </si>
  <si>
    <t>WUSDM</t>
    <phoneticPr fontId="1" type="noConversion"/>
  </si>
  <si>
    <t xml:space="preserve">yield </t>
    <phoneticPr fontId="1" type="noConversion"/>
  </si>
  <si>
    <t>lend</t>
    <phoneticPr fontId="1" type="noConversion"/>
  </si>
  <si>
    <t>TOT</t>
    <phoneticPr fontId="1" type="noConversion"/>
  </si>
  <si>
    <t>USDC YT</t>
    <phoneticPr fontId="1" type="noConversion"/>
  </si>
  <si>
    <t xml:space="preserve">USDC </t>
    <phoneticPr fontId="1" type="noConversion"/>
  </si>
  <si>
    <t xml:space="preserve">borrow </t>
    <phoneticPr fontId="1" type="noConversion"/>
  </si>
  <si>
    <t>Start CAP</t>
    <phoneticPr fontId="1" type="noConversion"/>
  </si>
  <si>
    <t>WUSDM amount</t>
    <phoneticPr fontId="1" type="noConversion"/>
  </si>
  <si>
    <t>leverage</t>
    <phoneticPr fontId="1" type="noConversion"/>
  </si>
  <si>
    <t>LTV</t>
    <phoneticPr fontId="1" type="noConversion"/>
  </si>
  <si>
    <t>bor usdc</t>
    <phoneticPr fontId="1" type="noConversion"/>
  </si>
  <si>
    <t>extra wusdm</t>
    <phoneticPr fontId="1" type="noConversion"/>
  </si>
  <si>
    <t>wusdm tot</t>
    <phoneticPr fontId="1" type="noConversion"/>
  </si>
  <si>
    <t>Yield only</t>
    <phoneticPr fontId="1" type="noConversion"/>
  </si>
  <si>
    <t>debt</t>
    <phoneticPr fontId="1" type="noConversion"/>
  </si>
  <si>
    <t>uti rate</t>
    <phoneticPr fontId="1" type="noConversion"/>
  </si>
  <si>
    <t xml:space="preserve">reserve factor </t>
    <phoneticPr fontId="1" type="noConversion"/>
  </si>
  <si>
    <t>lend needed</t>
    <phoneticPr fontId="1" type="noConversion"/>
  </si>
  <si>
    <t>YT-usdc notional</t>
    <phoneticPr fontId="1" type="noConversion"/>
  </si>
  <si>
    <t>insurrance cost</t>
    <phoneticPr fontId="1" type="noConversion"/>
  </si>
  <si>
    <t>oarb yield</t>
    <phoneticPr fontId="1" type="noConversion"/>
  </si>
  <si>
    <t>Total invest</t>
    <phoneticPr fontId="1" type="noConversion"/>
  </si>
  <si>
    <t>End-Term Yield</t>
    <phoneticPr fontId="1" type="noConversion"/>
  </si>
  <si>
    <t>APR</t>
    <phoneticPr fontId="1" type="noConversion"/>
  </si>
  <si>
    <t>YT-yield</t>
    <phoneticPr fontId="1" type="noConversion"/>
  </si>
  <si>
    <t xml:space="preserve">fee &amp; slippage </t>
    <phoneticPr fontId="1" type="noConversion"/>
  </si>
  <si>
    <t>ARB</t>
    <phoneticPr fontId="1" type="noConversion"/>
  </si>
  <si>
    <t xml:space="preserve">USDM </t>
    <phoneticPr fontId="1" type="noConversion"/>
  </si>
  <si>
    <t>Lend</t>
    <phoneticPr fontId="1" type="noConversion"/>
  </si>
  <si>
    <t>Native</t>
    <phoneticPr fontId="1" type="noConversion"/>
  </si>
  <si>
    <t>Total Yield</t>
    <phoneticPr fontId="1" type="noConversion"/>
  </si>
  <si>
    <t>Leverage</t>
    <phoneticPr fontId="1" type="noConversion"/>
  </si>
  <si>
    <t>Borrow</t>
    <phoneticPr fontId="1" type="noConversion"/>
  </si>
  <si>
    <t>Borrow USDC</t>
    <phoneticPr fontId="1" type="noConversion"/>
  </si>
  <si>
    <t>Total USDM</t>
    <phoneticPr fontId="1" type="noConversion"/>
  </si>
  <si>
    <t>Utilize</t>
    <phoneticPr fontId="1" type="noConversion"/>
  </si>
  <si>
    <t xml:space="preserve">Lend </t>
    <phoneticPr fontId="1" type="noConversion"/>
  </si>
  <si>
    <t>YT Needed</t>
    <phoneticPr fontId="1" type="noConversion"/>
  </si>
  <si>
    <t>Total APR %</t>
    <phoneticPr fontId="1" type="noConversion"/>
  </si>
  <si>
    <t xml:space="preserve">Yield </t>
    <phoneticPr fontId="1" type="noConversion"/>
  </si>
  <si>
    <t>Cost</t>
    <phoneticPr fontId="1" type="noConversion"/>
  </si>
  <si>
    <t>63D interest</t>
    <phoneticPr fontId="1" type="noConversion"/>
  </si>
  <si>
    <t>63D yield</t>
    <phoneticPr fontId="1" type="noConversion"/>
  </si>
  <si>
    <t>63D Yield</t>
    <phoneticPr fontId="1" type="noConversion"/>
  </si>
  <si>
    <t>Bought YT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</si>
</sst>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D2"/>
    </sheetView>
  </sheetViews>
  <sheetFormatPr defaultRowHeight="14.15" x14ac:dyDescent="0.35"/>
  <cols>
    <col min="1" max="1" width="10.92578125" style="1" customWidth="1"/>
    <col min="2" max="2" width="11.92578125" style="1" customWidth="1"/>
    <col min="3" max="3" width="9.140625" style="1"/>
    <col min="4" max="4" width="14.7109375" style="1" customWidth="1"/>
    <col min="5" max="16384" width="9.140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5">
      <c r="A2" s="1">
        <v>0.97319999999999995</v>
      </c>
      <c r="B2" s="1">
        <f>1-A2</f>
        <v>2.6800000000000046E-2</v>
      </c>
      <c r="C2" s="1">
        <v>67</v>
      </c>
      <c r="D2" s="1">
        <v>0.08</v>
      </c>
      <c r="E2" s="2">
        <v>1000</v>
      </c>
    </row>
    <row r="5" spans="1:5" x14ac:dyDescent="0.35">
      <c r="A5" s="1" t="s">
        <v>6</v>
      </c>
      <c r="B5" s="1" t="s">
        <v>7</v>
      </c>
    </row>
    <row r="6" spans="1:5" x14ac:dyDescent="0.35">
      <c r="A6" s="1" t="s">
        <v>5</v>
      </c>
      <c r="B6" s="1" t="s">
        <v>5</v>
      </c>
      <c r="C6" s="1">
        <f>B2*20000/0.8675</f>
        <v>617.86743515850242</v>
      </c>
    </row>
    <row r="7" spans="1:5" x14ac:dyDescent="0.35">
      <c r="A7" s="1">
        <f>E2*(D2)*C2/365</f>
        <v>14.684931506849315</v>
      </c>
      <c r="B7" s="1">
        <f>E2/B2*D2*C2/365</f>
        <v>547.94520547945115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E8C5-27F1-4889-937E-A98FC009BBD9}">
  <dimension ref="A1:N25"/>
  <sheetViews>
    <sheetView tabSelected="1" zoomScale="85" zoomScaleNormal="85" workbookViewId="0">
      <selection activeCell="G16" sqref="G16"/>
    </sheetView>
  </sheetViews>
  <sheetFormatPr defaultRowHeight="14.15" x14ac:dyDescent="0.35"/>
  <cols>
    <col min="1" max="1" width="9.2109375" style="1" customWidth="1"/>
    <col min="2" max="4" width="9.140625" style="1"/>
    <col min="5" max="5" width="9.42578125" style="1" customWidth="1"/>
    <col min="6" max="6" width="10.5" style="1" customWidth="1"/>
    <col min="7" max="7" width="12.28515625" style="1" customWidth="1"/>
    <col min="8" max="8" width="12.85546875" style="1" customWidth="1"/>
    <col min="9" max="9" width="10.28515625" style="1" customWidth="1"/>
    <col min="10" max="10" width="11.2109375" style="1" customWidth="1"/>
    <col min="11" max="11" width="14.35546875" style="1" customWidth="1"/>
    <col min="12" max="16384" width="9.140625" style="1"/>
  </cols>
  <sheetData>
    <row r="1" spans="1:14" x14ac:dyDescent="0.35">
      <c r="A1" s="1" t="s">
        <v>10</v>
      </c>
      <c r="B1" s="1" t="s">
        <v>9</v>
      </c>
      <c r="C1" s="1" t="s">
        <v>8</v>
      </c>
      <c r="D1" s="1" t="s">
        <v>11</v>
      </c>
      <c r="E1" s="1" t="s">
        <v>12</v>
      </c>
      <c r="F1" s="1" t="s">
        <v>13</v>
      </c>
      <c r="G1" s="3" t="s">
        <v>17</v>
      </c>
      <c r="H1" s="1" t="s">
        <v>18</v>
      </c>
      <c r="I1" s="1" t="s">
        <v>19</v>
      </c>
      <c r="J1" s="4" t="s">
        <v>21</v>
      </c>
      <c r="K1" s="1" t="s">
        <v>22</v>
      </c>
      <c r="L1" s="4" t="s">
        <v>23</v>
      </c>
      <c r="M1" s="1" t="s">
        <v>36</v>
      </c>
    </row>
    <row r="2" spans="1:14" x14ac:dyDescent="0.35">
      <c r="A2" s="1">
        <v>1.03914</v>
      </c>
      <c r="B2" s="1">
        <v>0.06</v>
      </c>
      <c r="C2" s="1">
        <f>B2*0.7</f>
        <v>4.1999999999999996E-2</v>
      </c>
      <c r="D2" s="1">
        <f>0.0487</f>
        <v>4.87E-2</v>
      </c>
      <c r="E2" s="1">
        <v>3.3300000000000003E-2</v>
      </c>
      <c r="F2" s="1">
        <f>SUM(B2:E2)</f>
        <v>0.184</v>
      </c>
      <c r="G2" s="3">
        <v>3500</v>
      </c>
      <c r="H2" s="1">
        <f>G2/A2</f>
        <v>3368.1698327463096</v>
      </c>
      <c r="I2" s="1">
        <v>3.5</v>
      </c>
      <c r="J2" s="4">
        <f>G2*I2</f>
        <v>12250</v>
      </c>
      <c r="K2" s="1">
        <f>J2/A2</f>
        <v>11788.594414612084</v>
      </c>
      <c r="L2" s="4">
        <f>H2+K2</f>
        <v>15156.764247358393</v>
      </c>
      <c r="M2" s="1">
        <v>2.0000000000000001E-4</v>
      </c>
      <c r="N2" s="1">
        <f>-L2*M2*2</f>
        <v>-6.0627056989433576</v>
      </c>
    </row>
    <row r="3" spans="1:14" x14ac:dyDescent="0.35">
      <c r="A3" s="1" t="s">
        <v>14</v>
      </c>
      <c r="B3" s="1" t="s">
        <v>0</v>
      </c>
      <c r="C3" s="1" t="s">
        <v>1</v>
      </c>
      <c r="D3" s="1" t="s">
        <v>2</v>
      </c>
      <c r="E3" s="1" t="s">
        <v>12</v>
      </c>
      <c r="F3" s="1" t="s">
        <v>37</v>
      </c>
      <c r="G3" s="1" t="s">
        <v>24</v>
      </c>
      <c r="H3" s="1" t="s">
        <v>25</v>
      </c>
      <c r="J3" s="4" t="s">
        <v>28</v>
      </c>
      <c r="K3" s="5" t="s">
        <v>29</v>
      </c>
      <c r="L3" s="1" t="s">
        <v>31</v>
      </c>
      <c r="M3" s="1" t="s">
        <v>35</v>
      </c>
      <c r="N3" s="1" t="s">
        <v>30</v>
      </c>
    </row>
    <row r="4" spans="1:14" x14ac:dyDescent="0.35">
      <c r="B4" s="1">
        <v>0.97299999999999998</v>
      </c>
      <c r="C4" s="1">
        <v>2.794E-2</v>
      </c>
      <c r="D4" s="1">
        <v>63</v>
      </c>
      <c r="E4" s="1">
        <f>E6*C6*B11</f>
        <v>8.0070000000000002E-2</v>
      </c>
      <c r="F4" s="1">
        <v>6.3299999999999995E-2</v>
      </c>
      <c r="G4" s="1">
        <f>L2*F2*D4/365</f>
        <v>481.36222234350271</v>
      </c>
      <c r="H4" s="1">
        <f>J2*E6*D4/365</f>
        <v>253.72602739726028</v>
      </c>
      <c r="J4" s="4">
        <f>J2/C6/B11</f>
        <v>18358.935931060321</v>
      </c>
      <c r="K4" s="5">
        <f>C4*J4</f>
        <v>512.94866991382537</v>
      </c>
      <c r="L4" s="1">
        <f>J4*F4*D4/365</f>
        <v>200.58520712185054</v>
      </c>
      <c r="M4" s="1">
        <f>L4+H4</f>
        <v>454.31123451911083</v>
      </c>
      <c r="N4" s="1">
        <f>M4-K4</f>
        <v>-58.637435394714544</v>
      </c>
    </row>
    <row r="5" spans="1:14" x14ac:dyDescent="0.35">
      <c r="A5" s="1" t="s">
        <v>15</v>
      </c>
      <c r="C5" s="1" t="s">
        <v>26</v>
      </c>
      <c r="D5" s="1" t="s">
        <v>20</v>
      </c>
      <c r="E5" s="1" t="s">
        <v>16</v>
      </c>
    </row>
    <row r="6" spans="1:14" x14ac:dyDescent="0.35">
      <c r="C6" s="1">
        <v>0.78500000000000003</v>
      </c>
      <c r="D6" s="1">
        <v>0.86950000000000005</v>
      </c>
      <c r="E6" s="1">
        <v>0.12</v>
      </c>
    </row>
    <row r="10" spans="1:14" x14ac:dyDescent="0.35">
      <c r="A10" s="1" t="s">
        <v>27</v>
      </c>
    </row>
    <row r="11" spans="1:14" x14ac:dyDescent="0.35">
      <c r="A11" s="1">
        <f>0.15</f>
        <v>0.15</v>
      </c>
      <c r="B11" s="1">
        <f>1-A11</f>
        <v>0.85</v>
      </c>
    </row>
    <row r="12" spans="1:14" x14ac:dyDescent="0.35">
      <c r="A12" s="6" t="s">
        <v>32</v>
      </c>
      <c r="B12" s="6" t="s">
        <v>33</v>
      </c>
      <c r="D12" s="6" t="s">
        <v>34</v>
      </c>
    </row>
    <row r="13" spans="1:14" x14ac:dyDescent="0.35">
      <c r="A13" s="6">
        <f>G2+K4</f>
        <v>4012.9486699138251</v>
      </c>
      <c r="B13" s="6">
        <f>M4+G4-H4+N2-K4+L4</f>
        <v>363.52126097443511</v>
      </c>
      <c r="D13" s="6">
        <f>B13/A13*365/67</f>
        <v>0.49349672314244997</v>
      </c>
    </row>
    <row r="14" spans="1:14" x14ac:dyDescent="0.35">
      <c r="A14" s="7" t="s">
        <v>32</v>
      </c>
      <c r="B14" s="7" t="s">
        <v>33</v>
      </c>
      <c r="D14" s="7" t="s">
        <v>34</v>
      </c>
    </row>
    <row r="15" spans="1:14" x14ac:dyDescent="0.35">
      <c r="A15" s="7">
        <f>G2+K6</f>
        <v>3500</v>
      </c>
      <c r="B15" s="7">
        <f>G4-H4+N2</f>
        <v>221.57348924729908</v>
      </c>
      <c r="D15" s="7">
        <f>B15/A15*365/D4</f>
        <v>0.36677697766559714</v>
      </c>
    </row>
    <row r="18" spans="1:10" x14ac:dyDescent="0.35">
      <c r="A18" s="1" t="s">
        <v>38</v>
      </c>
      <c r="B18" s="1" t="s">
        <v>39</v>
      </c>
      <c r="C18" s="1" t="s">
        <v>40</v>
      </c>
      <c r="D18" s="1" t="s">
        <v>37</v>
      </c>
      <c r="E18" s="1" t="s">
        <v>41</v>
      </c>
      <c r="F18" s="1" t="s">
        <v>42</v>
      </c>
      <c r="G18" s="6" t="s">
        <v>44</v>
      </c>
      <c r="H18" s="1" t="s">
        <v>45</v>
      </c>
      <c r="I18" s="1" t="s">
        <v>54</v>
      </c>
    </row>
    <row r="19" spans="1:10" ht="14.6" thickBot="1" x14ac:dyDescent="0.4">
      <c r="A19" s="8">
        <v>1000</v>
      </c>
      <c r="B19" s="8">
        <v>0.04</v>
      </c>
      <c r="C19" s="8">
        <v>4.8000000000000001E-2</v>
      </c>
      <c r="D19" s="8">
        <v>0.126</v>
      </c>
      <c r="E19" s="8">
        <f>SUM(B19:D19)</f>
        <v>0.214</v>
      </c>
      <c r="F19" s="8">
        <v>7</v>
      </c>
      <c r="G19" s="9">
        <f>(F19-1)*A19</f>
        <v>6000</v>
      </c>
      <c r="H19" s="8">
        <f>G19+A19</f>
        <v>7000</v>
      </c>
      <c r="I19" s="1">
        <f>H19*E19*63/365</f>
        <v>258.55890410958904</v>
      </c>
    </row>
    <row r="20" spans="1:10" x14ac:dyDescent="0.35">
      <c r="A20" s="1" t="s">
        <v>15</v>
      </c>
      <c r="B20" s="3" t="s">
        <v>43</v>
      </c>
      <c r="C20" s="3" t="s">
        <v>46</v>
      </c>
      <c r="D20" s="1" t="s">
        <v>47</v>
      </c>
      <c r="I20" s="1" t="s">
        <v>52</v>
      </c>
    </row>
    <row r="21" spans="1:10" x14ac:dyDescent="0.35">
      <c r="B21" s="3">
        <v>0.1</v>
      </c>
      <c r="C21" s="3">
        <v>1</v>
      </c>
      <c r="D21" s="1">
        <f>B21*C21*0.85</f>
        <v>8.5000000000000006E-2</v>
      </c>
      <c r="I21" s="1">
        <f>-B21*63/365*G19</f>
        <v>-103.56164383561645</v>
      </c>
    </row>
    <row r="22" spans="1:10" x14ac:dyDescent="0.35">
      <c r="A22" s="1" t="s">
        <v>1</v>
      </c>
      <c r="B22" s="1" t="s">
        <v>2</v>
      </c>
      <c r="C22" s="1" t="s">
        <v>47</v>
      </c>
      <c r="D22" s="1" t="s">
        <v>37</v>
      </c>
      <c r="E22" s="1" t="s">
        <v>48</v>
      </c>
      <c r="F22" s="1" t="s">
        <v>51</v>
      </c>
      <c r="G22" s="1" t="s">
        <v>50</v>
      </c>
      <c r="I22" s="1" t="s">
        <v>53</v>
      </c>
    </row>
    <row r="23" spans="1:10" x14ac:dyDescent="0.35">
      <c r="A23" s="1">
        <v>2.794E-2</v>
      </c>
      <c r="B23" s="1">
        <v>63</v>
      </c>
      <c r="C23" s="1">
        <f>D21</f>
        <v>8.5000000000000006E-2</v>
      </c>
      <c r="D23" s="1">
        <v>6.3299999999999995E-2</v>
      </c>
      <c r="E23" s="1">
        <f>G19/C21/0.85</f>
        <v>7058.8235294117649</v>
      </c>
      <c r="F23" s="1">
        <f>A23*E23</f>
        <v>197.2235294117647</v>
      </c>
      <c r="G23" s="1">
        <f>B23*(C23+D23)*E23/365</f>
        <v>180.68460918614016</v>
      </c>
      <c r="I23" s="1">
        <f>G23-F25</f>
        <v>-36.018030813859838</v>
      </c>
    </row>
    <row r="24" spans="1:10" x14ac:dyDescent="0.35">
      <c r="E24" s="10" t="s">
        <v>55</v>
      </c>
      <c r="F24" s="10" t="s">
        <v>51</v>
      </c>
      <c r="I24" s="1" t="s">
        <v>41</v>
      </c>
      <c r="J24" s="4" t="s">
        <v>49</v>
      </c>
    </row>
    <row r="25" spans="1:10" x14ac:dyDescent="0.35">
      <c r="E25" s="10">
        <v>7756</v>
      </c>
      <c r="F25" s="10">
        <f>A23*E25</f>
        <v>216.70264</v>
      </c>
      <c r="I25" s="1">
        <f>SUM(I23,I21,I19)</f>
        <v>118.97922946011275</v>
      </c>
      <c r="J25" s="4">
        <f>I25/A19*365/63*100</f>
        <v>68.932410718954202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冠志陈</dc:creator>
  <cp:lastModifiedBy>陈 冠志</cp:lastModifiedBy>
  <dcterms:created xsi:type="dcterms:W3CDTF">2015-06-05T18:17:20Z</dcterms:created>
  <dcterms:modified xsi:type="dcterms:W3CDTF">2024-07-27T21:23:25Z</dcterms:modified>
</cp:coreProperties>
</file>