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Utente\Documents\UNISA-MAGISTRALE\GPS\2023_ConsFinGPS_C12\1.Initiation Documents\Business case\"/>
    </mc:Choice>
  </mc:AlternateContent>
  <xr:revisionPtr revIDLastSave="0" documentId="13_ncr:1_{F4300739-9070-42F2-BA93-27F6E23E99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isi Finanziaria - Attuale" sheetId="6" r:id="rId1"/>
  </sheets>
  <definedNames>
    <definedName name="Costi_PaaS" localSheetId="0">'Analisi Finanziaria - Attuale'!$B$27</definedName>
    <definedName name="Costi_PaaS">#REF!</definedName>
    <definedName name="costo_manutenzione_correttiva" localSheetId="0">'Analisi Finanziaria - Attuale'!$B$43</definedName>
    <definedName name="costo_manutenzione_correttiva">#REF!</definedName>
    <definedName name="Costo_pubblicita_FB_al_giorno" localSheetId="0">'Analisi Finanziaria - Attuale'!$B$23</definedName>
    <definedName name="Costo_pubblicita_FB_al_giorno">#REF!</definedName>
    <definedName name="costo_spedizione_singolo" localSheetId="0">'Analisi Finanziaria - Attuale'!#REF!</definedName>
    <definedName name="costo_spedizione_singolo">#REF!</definedName>
    <definedName name="giorni_lavoro_nel_mese" localSheetId="0">'Analisi Finanziaria - Attuale'!$B$41</definedName>
    <definedName name="giorni_lavoro_nel_mese">#REF!</definedName>
    <definedName name="Guadagno_acquisti_CIA" localSheetId="0">'Analisi Finanziaria - Attuale'!$B$61</definedName>
    <definedName name="Guadagno_acquisti_CIA">#REF!</definedName>
    <definedName name="Guadagno_perc_acquisti_CIA" localSheetId="0">'Analisi Finanziaria - Attuale'!$B$60</definedName>
    <definedName name="Guadagno_perc_acquisti_CIA">#REF!</definedName>
    <definedName name="Guadagno_sped_agr" localSheetId="0">'Analisi Finanziaria - Attuale'!#REF!</definedName>
    <definedName name="Guadagno_sped_agr">#REF!</definedName>
    <definedName name="Guadagno_sped_cl" localSheetId="0">'Analisi Finanziaria - Attuale'!#REF!</definedName>
    <definedName name="Guadagno_sped_cl">#REF!</definedName>
    <definedName name="max_costo_manutenzione_evolutiva" localSheetId="0">'Analisi Finanziaria - Attuale'!$C$45</definedName>
    <definedName name="max_costo_manutenzione_evolutiva">#REF!</definedName>
    <definedName name="min_costo_manutenzione_evolutiva" localSheetId="0">'Analisi Finanziaria - Attuale'!$B$45</definedName>
    <definedName name="min_costo_manutenzione_evolutiva">#REF!</definedName>
    <definedName name="Num_abb_1a" localSheetId="0">'Analisi Finanziaria - Attuale'!$B$78</definedName>
    <definedName name="Num_abb_1a">#REF!</definedName>
    <definedName name="Num_abb_2a" localSheetId="0">'Analisi Finanziaria - Attuale'!$B$79</definedName>
    <definedName name="Num_abb_2a">#REF!</definedName>
    <definedName name="Num_abb_3a" localSheetId="0">'Analisi Finanziaria - Attuale'!$B$80</definedName>
    <definedName name="Num_abb_3a">#REF!</definedName>
    <definedName name="Num_abb_4a" localSheetId="0">'Analisi Finanziaria - Attuale'!#REF!</definedName>
    <definedName name="Num_abb_4a">#REF!</definedName>
    <definedName name="Num_abb_4m" localSheetId="0">'Analisi Finanziaria - Attuale'!$B$77</definedName>
    <definedName name="Num_abb_4m">#REF!</definedName>
    <definedName name="Num_abb_5a" localSheetId="0">'Analisi Finanziaria - Attuale'!#REF!</definedName>
    <definedName name="Num_abb_5a">#REF!</definedName>
    <definedName name="Num_acquisti_1a_cl" localSheetId="0">'Analisi Finanziaria - Attuale'!$B$71</definedName>
    <definedName name="Num_acquisti_1a_cl">#REF!</definedName>
    <definedName name="Num_acquisti_2a_cl" localSheetId="0">'Analisi Finanziaria - Attuale'!$B$72</definedName>
    <definedName name="Num_acquisti_2a_cl">#REF!</definedName>
    <definedName name="Num_acquisti_3a_cl" localSheetId="0">'Analisi Finanziaria - Attuale'!$B$73</definedName>
    <definedName name="Num_acquisti_3a_cl">#REF!</definedName>
    <definedName name="Num_acquisti_4a_cl" localSheetId="0">'Analisi Finanziaria - Attuale'!#REF!</definedName>
    <definedName name="Num_acquisti_4a_cl">#REF!</definedName>
    <definedName name="Num_acquisti_4m_cl" localSheetId="0">'Analisi Finanziaria - Attuale'!$B$70</definedName>
    <definedName name="Num_acquisti_4m_cl">#REF!</definedName>
    <definedName name="Num_acquisti_5a_cl" localSheetId="0">'Analisi Finanziaria - Attuale'!#REF!</definedName>
    <definedName name="Num_acquisti_5a_cl">#REF!</definedName>
    <definedName name="num_correzioni_annui" localSheetId="0">'Analisi Finanziaria - Attuale'!$B$44</definedName>
    <definedName name="num_correzioni_annui">#REF!</definedName>
    <definedName name="num_evoluzioni_annui" localSheetId="0">'Analisi Finanziaria - Attuale'!$B$46</definedName>
    <definedName name="num_evoluzioni_annui">#REF!</definedName>
    <definedName name="Num_medio_acquisti_abb" localSheetId="0">'Analisi Finanziaria - Attuale'!$B$81</definedName>
    <definedName name="Num_medio_acquisti_abb">#REF!</definedName>
    <definedName name="num_pm" localSheetId="0">'Analisi Finanziaria - Attuale'!$B$36</definedName>
    <definedName name="num_pm">#REF!</definedName>
    <definedName name="num_sviluppatori" localSheetId="0">'Analisi Finanziaria - Attuale'!$B$34</definedName>
    <definedName name="num_sviluppatori">#REF!</definedName>
    <definedName name="Numero_dipendenti_senior" localSheetId="0">'Analisi Finanziaria - Attuale'!$B$35</definedName>
    <definedName name="Numero_dipendenti_senior">#REF!</definedName>
    <definedName name="ore_lavoro_per_giorno" localSheetId="0">'Analisi Finanziaria - Attuale'!$B$39</definedName>
    <definedName name="ore_lavoro_per_giorno">#REF!</definedName>
    <definedName name="ore_lavoro_per_settimana" localSheetId="0">'Analisi Finanziaria - Attuale'!$B$40</definedName>
    <definedName name="ore_lavoro_per_settimana">#REF!</definedName>
    <definedName name="ore_manutenzione_pm_settimanali" localSheetId="0">'Analisi Finanziaria - Attuale'!$B$48</definedName>
    <definedName name="ore_manutenzione_pm_settimanali">#REF!</definedName>
    <definedName name="pm_ore_sviluppo" localSheetId="0">'Analisi Finanziaria - Attuale'!$B$38</definedName>
    <definedName name="pm_ore_sviluppo">#REF!</definedName>
    <definedName name="Prezzo_abbonamento" localSheetId="0">'Analisi Finanziaria - Attuale'!$B$83</definedName>
    <definedName name="Prezzo_abbonamento">#REF!</definedName>
    <definedName name="Salario_dipendente_all_ora" localSheetId="0">'Analisi Finanziaria - Attuale'!$B$24</definedName>
    <definedName name="Salario_dipendente_all_ora">#REF!</definedName>
    <definedName name="Salario_dipendente_all_ora_senior" localSheetId="0">'Analisi Finanziaria - Attuale'!$B$25</definedName>
    <definedName name="Salario_dipendente_all_ora_senior">#REF!</definedName>
    <definedName name="Salario_PM_all_ora" localSheetId="0">'Analisi Finanziaria - Attuale'!$B$26</definedName>
    <definedName name="Salario_PM_all_ora">#REF!</definedName>
    <definedName name="Spesa_media" localSheetId="0">'Analisi Finanziaria - Attuale'!$B$59</definedName>
    <definedName name="Spesa_media">#REF!</definedName>
    <definedName name="SSL_per_year" localSheetId="0">'Analisi Finanziaria - Attuale'!$B$28</definedName>
    <definedName name="SSL_per_year">#REF!</definedName>
    <definedName name="Tempi_Sviluppo" localSheetId="0">'Analisi Finanziaria - Attuale'!$B$31</definedName>
    <definedName name="Tempi_Svilupp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6" l="1"/>
  <c r="B53" i="6"/>
  <c r="B50" i="6"/>
  <c r="B55" i="6"/>
  <c r="B51" i="6"/>
  <c r="B52" i="6"/>
  <c r="B54" i="6"/>
  <c r="B34" i="6"/>
  <c r="E13" i="6"/>
  <c r="C67" i="6"/>
  <c r="B80" i="6" s="1"/>
  <c r="B73" i="6" s="1"/>
  <c r="C66" i="6"/>
  <c r="B79" i="6" s="1"/>
  <c r="B72" i="6" s="1"/>
  <c r="C65" i="6"/>
  <c r="B78" i="6" s="1"/>
  <c r="B71" i="6" s="1"/>
  <c r="C64" i="6"/>
  <c r="B77" i="6" s="1"/>
  <c r="B70" i="6" s="1"/>
  <c r="B61" i="6"/>
  <c r="B12" i="6" s="1"/>
  <c r="B40" i="6"/>
  <c r="D13" i="6"/>
  <c r="C13" i="6"/>
  <c r="B13" i="6"/>
  <c r="E9" i="6"/>
  <c r="D9" i="6"/>
  <c r="C9" i="6"/>
  <c r="B9" i="6"/>
  <c r="C10" i="6" l="1"/>
  <c r="B85" i="6"/>
  <c r="C12" i="6"/>
  <c r="C14" i="6" s="1"/>
  <c r="B14" i="6"/>
  <c r="D12" i="6"/>
  <c r="D14" i="6" s="1"/>
  <c r="E12" i="6"/>
  <c r="E14" i="6" s="1"/>
  <c r="D8" i="6"/>
  <c r="D10" i="6" s="1"/>
  <c r="E8" i="6"/>
  <c r="E10" i="6" s="1"/>
  <c r="B56" i="6"/>
  <c r="B8" i="6" l="1"/>
  <c r="B10" i="6"/>
  <c r="F10" i="6" s="1"/>
  <c r="F16" i="6" s="1"/>
  <c r="E16" i="6"/>
  <c r="C16" i="6"/>
  <c r="F14" i="6"/>
  <c r="D16" i="6"/>
  <c r="B19" i="6" l="1"/>
  <c r="B16" i="6"/>
  <c r="B17" i="6" s="1"/>
  <c r="C17" i="6" s="1"/>
  <c r="D17" i="6" s="1"/>
  <c r="E17" i="6" s="1"/>
</calcChain>
</file>

<file path=xl/sharedStrings.xml><?xml version="1.0" encoding="utf-8"?>
<sst xmlns="http://schemas.openxmlformats.org/spreadsheetml/2006/main" count="70" uniqueCount="68">
  <si>
    <t>Created by: Daniele Donia, Vincent Milione</t>
  </si>
  <si>
    <t>Date: 12/12/23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</si>
  <si>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</si>
  <si>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</si>
  <si>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</si>
  <si>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</si>
  <si>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</si>
  <si>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</si>
  <si>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</si>
  <si>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</si>
  <si>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</si>
  <si>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</si>
  <si>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</si>
  <si>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</si>
  <si>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</si>
  <si>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Assumptions</t>
  </si>
  <si>
    <t>Costo campagne pubblicitarie FB (45 euro al giorno)</t>
  </si>
  <si>
    <t>Salario PM all'ora</t>
  </si>
  <si>
    <t>Costi PaaS</t>
  </si>
  <si>
    <t>SSL (per year)</t>
  </si>
  <si>
    <t>Numero dipendenti junior</t>
  </si>
  <si>
    <t>Numero dipendenti senior</t>
  </si>
  <si>
    <t>numero Project Manager</t>
  </si>
  <si>
    <t>PM ore sviluppo</t>
  </si>
  <si>
    <t>Orario lavorativo giornata</t>
  </si>
  <si>
    <t xml:space="preserve">Orario lavorativo settimanale </t>
  </si>
  <si>
    <t>Giorni lavorativi mensili</t>
  </si>
  <si>
    <t>Numero interventi all'anno</t>
  </si>
  <si>
    <t>PM ore Manutenzione (a settimana)</t>
  </si>
  <si>
    <t>Costi totali risorse umane manutenzione</t>
  </si>
  <si>
    <t>Costi totali risorse umane sviluppo</t>
  </si>
  <si>
    <t>Costi totali hardware</t>
  </si>
  <si>
    <t>Revenues</t>
  </si>
  <si>
    <t>Spesa acquisto medio di prodotti sostenibili</t>
  </si>
  <si>
    <t>Guadagno percentuale acquisti</t>
  </si>
  <si>
    <t>Guadagno acquisti</t>
  </si>
  <si>
    <t>Numero famiglie acquirenti</t>
  </si>
  <si>
    <t>Tasso conversione 2 mesi</t>
  </si>
  <si>
    <t>Tasso conversione 1 anno</t>
  </si>
  <si>
    <t>Tasso conversione 2 anno</t>
  </si>
  <si>
    <t>Tasso conversione 3 anno</t>
  </si>
  <si>
    <t>Acquisti 2 mesi utenti normali</t>
  </si>
  <si>
    <t>Acquisti 1 anno utenti normali</t>
  </si>
  <si>
    <t>Acquisti 2 anno utenti normali</t>
  </si>
  <si>
    <t>Acquisti 3 anno utenti normali</t>
  </si>
  <si>
    <t>Tasso di iscrizione a programmi di fidelizzazione</t>
  </si>
  <si>
    <t>Abbonamenti 2 mesi</t>
  </si>
  <si>
    <t>Abbonamenti 1 anno</t>
  </si>
  <si>
    <t>Abbonamenti 2 anno</t>
  </si>
  <si>
    <t>Abbonamenti 3 anno</t>
  </si>
  <si>
    <t>Prezzo medio abbonamento</t>
  </si>
  <si>
    <t>Aggressione percentuale aquisti</t>
  </si>
  <si>
    <t>Costo Manutenzione evolutiva (min/max ore)</t>
  </si>
  <si>
    <t>Costo Manutenzione correttiva (ore)</t>
  </si>
  <si>
    <t>Mesi Sviluppo</t>
  </si>
  <si>
    <t>Mesi Training</t>
  </si>
  <si>
    <t>Financial Analysis for GreenBridge</t>
  </si>
  <si>
    <t>Payback in Year 2</t>
  </si>
  <si>
    <t>Fondi di contigenza sviluppo</t>
  </si>
  <si>
    <t>Salario staff junior all'ora</t>
  </si>
  <si>
    <t>Salario staff senior all'ora</t>
  </si>
  <si>
    <t>Numero Junior sviluppatori</t>
  </si>
  <si>
    <t>Numero medio acquisti abbonati</t>
  </si>
  <si>
    <t>Numero acquisti utenti nornali</t>
  </si>
  <si>
    <t>Costi totali di sviluppo e training</t>
  </si>
  <si>
    <t>Tool di Comunicazione - slack (al mese)</t>
  </si>
  <si>
    <t>Costi totali tool di communicazione</t>
  </si>
  <si>
    <t>Costi totali training sviluppatori jr + trainer sr (due mesi)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</si>
</sst>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0" fontId="5" fillId="0" borderId="0" xfId="0" applyNumberFormat="1" applyFont="1"/>
    <xf numFmtId="37" fontId="5" fillId="0" borderId="0" xfId="1" applyNumberFormat="1" applyFont="1"/>
    <xf numFmtId="0" fontId="5" fillId="0" borderId="0" xfId="2" applyNumberFormat="1" applyFont="1"/>
    <xf numFmtId="0" fontId="5" fillId="0" borderId="0" xfId="0" applyFont="1"/>
    <xf numFmtId="3" fontId="5" fillId="0" borderId="0" xfId="0" applyNumberFormat="1" applyFont="1"/>
    <xf numFmtId="0" fontId="1" fillId="0" borderId="0" xfId="0" applyFont="1"/>
    <xf numFmtId="166" fontId="1" fillId="0" borderId="0" xfId="0" applyNumberFormat="1" applyFont="1"/>
    <xf numFmtId="0" fontId="6" fillId="0" borderId="0" xfId="0" applyFont="1"/>
    <xf numFmtId="9" fontId="0" fillId="0" borderId="0" xfId="0" applyNumberFormat="1"/>
    <xf numFmtId="17" fontId="1" fillId="0" borderId="0" xfId="0" applyNumberFormat="1" applyFont="1"/>
    <xf numFmtId="1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wrapText="1"/>
    </xf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85725</xdr:rowOff>
    </xdr:from>
    <xdr:to>
      <xdr:col>6</xdr:col>
      <xdr:colOff>276225</xdr:colOff>
      <xdr:row>15</xdr:row>
      <xdr:rowOff>85725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9F19A620-A031-4D2B-9BF2-4AC78C0E5891}"/>
            </a:ext>
          </a:extLst>
        </xdr:cNvPr>
        <xdr:cNvSpPr>
          <a:spLocks noChangeShapeType="1"/>
        </xdr:cNvSpPr>
      </xdr:nvSpPr>
      <xdr:spPr bwMode="auto">
        <a:xfrm flipH="1">
          <a:off x="12858750" y="2781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640292</xdr:colOff>
      <xdr:row>17</xdr:row>
      <xdr:rowOff>4234</xdr:rowOff>
    </xdr:from>
    <xdr:to>
      <xdr:col>3</xdr:col>
      <xdr:colOff>640292</xdr:colOff>
      <xdr:row>18</xdr:row>
      <xdr:rowOff>135467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B2BDAB25-F5EC-48D7-9910-DEA55B4B4B60}"/>
            </a:ext>
            <a:ext uri="{147F2762-F138-4A5C-976F-8EAC2B608ADB}">
              <a16:predDERef xmlns:a16="http://schemas.microsoft.com/office/drawing/2014/main" pred="{9F19A620-A031-4D2B-9BF2-4AC78C0E5891}"/>
            </a:ext>
          </a:extLst>
        </xdr:cNvPr>
        <xdr:cNvSpPr>
          <a:spLocks noChangeShapeType="1"/>
        </xdr:cNvSpPr>
      </xdr:nvSpPr>
      <xdr:spPr bwMode="auto">
        <a:xfrm flipV="1">
          <a:off x="8844492" y="3119967"/>
          <a:ext cx="0" cy="3005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18</xdr:row>
      <xdr:rowOff>85725</xdr:rowOff>
    </xdr:from>
    <xdr:to>
      <xdr:col>0</xdr:col>
      <xdr:colOff>2371725</xdr:colOff>
      <xdr:row>18</xdr:row>
      <xdr:rowOff>85725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75A6B43-466C-462A-A08B-CEA249038322}"/>
            </a:ext>
            <a:ext uri="{147F2762-F138-4A5C-976F-8EAC2B608ADB}">
              <a16:predDERef xmlns:a16="http://schemas.microsoft.com/office/drawing/2014/main" pred="{B2BDAB25-F5EC-48D7-9910-DEA55B4B4B60}"/>
            </a:ext>
          </a:extLst>
        </xdr:cNvPr>
        <xdr:cNvSpPr>
          <a:spLocks noChangeShapeType="1"/>
        </xdr:cNvSpPr>
      </xdr:nvSpPr>
      <xdr:spPr bwMode="auto">
        <a:xfrm>
          <a:off x="352425" y="3267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4FF0-30A6-46C6-AE61-EB3C7F4CD361}">
  <dimension ref="A1:G85"/>
  <sheetViews>
    <sheetView tabSelected="1" topLeftCell="A73" zoomScale="90" zoomScaleNormal="90" workbookViewId="0">
      <selection activeCell="C8" sqref="C8"/>
    </sheetView>
  </sheetViews>
  <sheetFormatPr defaultRowHeight="13.2" x14ac:dyDescent="0.25"/>
  <cols>
    <col min="1" max="1" width="47.44140625" customWidth="1"/>
    <col min="2" max="2" width="55.88671875" customWidth="1"/>
    <col min="3" max="3" width="16.6640625" bestFit="1" customWidth="1"/>
    <col min="4" max="4" width="18.5546875" customWidth="1"/>
    <col min="5" max="5" width="14.6640625" customWidth="1"/>
    <col min="6" max="6" width="15.5546875" customWidth="1"/>
  </cols>
  <sheetData>
    <row r="1" spans="1:7" ht="22.8" x14ac:dyDescent="0.4">
      <c r="A1" s="27" t="s">
        <v>56</v>
      </c>
      <c r="B1" s="27"/>
      <c r="C1" s="27"/>
      <c r="D1" s="27"/>
      <c r="E1" s="27"/>
      <c r="F1" s="27"/>
      <c r="G1" s="27"/>
    </row>
    <row r="2" spans="1:7" ht="22.8" x14ac:dyDescent="0.4">
      <c r="A2" s="12" t="s">
        <v>0</v>
      </c>
      <c r="B2" s="12"/>
      <c r="C2" s="12" t="s">
        <v>1</v>
      </c>
      <c r="D2" s="11"/>
      <c r="E2" s="11"/>
      <c r="F2" s="11"/>
      <c r="G2" s="11"/>
    </row>
    <row r="3" spans="1:7" x14ac:dyDescent="0.25">
      <c r="A3" s="10"/>
      <c r="B3" s="10"/>
      <c r="C3" s="10"/>
      <c r="D3" s="10"/>
      <c r="E3" s="10"/>
      <c r="F3" s="10"/>
      <c r="G3" s="10"/>
    </row>
    <row r="4" spans="1:7" x14ac:dyDescent="0.25">
      <c r="A4" s="2" t="s">
        <v>2</v>
      </c>
      <c r="B4" s="13">
        <v>0.06</v>
      </c>
    </row>
    <row r="5" spans="1:7" x14ac:dyDescent="0.25">
      <c r="A5" s="2"/>
      <c r="B5" s="8"/>
    </row>
    <row r="6" spans="1:7" x14ac:dyDescent="0.25">
      <c r="A6" t="s">
        <v>3</v>
      </c>
      <c r="D6" s="2" t="s">
        <v>4</v>
      </c>
      <c r="F6" s="2"/>
    </row>
    <row r="7" spans="1:7" x14ac:dyDescent="0.25">
      <c r="B7" s="15">
        <v>0</v>
      </c>
      <c r="C7" s="16">
        <v>1</v>
      </c>
      <c r="D7" s="16">
        <v>2</v>
      </c>
      <c r="E7" s="16">
        <v>3</v>
      </c>
      <c r="F7" s="2" t="s">
        <v>5</v>
      </c>
    </row>
    <row r="8" spans="1:7" x14ac:dyDescent="0.25">
      <c r="A8" t="s">
        <v>6</v>
      </c>
      <c r="B8" s="17">
        <f>B52+(12-B31-B32)*(B23)+1/(12-B31)*B54+B50+B56+B51+B55</f>
        <v>196197</v>
      </c>
      <c r="C8" s="17">
        <f>B52+12*B23+B54</f>
        <v>37405</v>
      </c>
      <c r="D8" s="17">
        <f>B52+12*B23+B54</f>
        <v>37405</v>
      </c>
      <c r="E8" s="17">
        <f>B52+12*B23+B54</f>
        <v>37405</v>
      </c>
    </row>
    <row r="9" spans="1:7" x14ac:dyDescent="0.25">
      <c r="A9" t="s">
        <v>7</v>
      </c>
      <c r="B9" s="9">
        <f>ROUND(1/(1+$B$4)^B$7,2)</f>
        <v>1</v>
      </c>
      <c r="C9" s="9">
        <f>ROUND(1/(1+$B$4)^C$7,2)</f>
        <v>0.94</v>
      </c>
      <c r="D9" s="9">
        <f>ROUND(1/(1+$B$4)^D$7,2)</f>
        <v>0.89</v>
      </c>
      <c r="E9" s="9">
        <f>ROUND(1/(1+$B$4)^E$7,2)</f>
        <v>0.84</v>
      </c>
    </row>
    <row r="10" spans="1:7" x14ac:dyDescent="0.25">
      <c r="A10" s="2" t="s">
        <v>8</v>
      </c>
      <c r="B10" s="3">
        <f>B8*B9</f>
        <v>196197</v>
      </c>
      <c r="C10" s="3">
        <f>C8*C9</f>
        <v>35160.699999999997</v>
      </c>
      <c r="D10" s="3">
        <f>D8*D9</f>
        <v>33290.449999999997</v>
      </c>
      <c r="E10" s="3">
        <f>E8*E9</f>
        <v>31420.199999999997</v>
      </c>
      <c r="F10" s="4">
        <f>SUM(B10:E10)</f>
        <v>296068.35000000003</v>
      </c>
    </row>
    <row r="12" spans="1:7" x14ac:dyDescent="0.25">
      <c r="A12" t="s">
        <v>9</v>
      </c>
      <c r="B12" s="14">
        <f>Guadagno_acquisti_CIA*Num_abb_4m*Num_medio_acquisti_abb+Guadagno_acquisti_CIA*(Num_acquisti_4m_cl-Num_abb_4m)+Num_abb_4m*Prezzo_abbonamento</f>
        <v>1238</v>
      </c>
      <c r="C12" s="14">
        <f>Guadagno_acquisti_CIA*Num_abb_1a*Num_medio_acquisti_abb+Guadagno_acquisti_CIA*(Num_acquisti_1a_cl-Num_abb_1a)+Num_abb_1a*Prezzo_abbonamento</f>
        <v>123800</v>
      </c>
      <c r="D12" s="14">
        <f>Guadagno_acquisti_CIA*Num_abb_2a*Num_medio_acquisti_abb+Guadagno_acquisti_CIA*(Num_acquisti_2a_cl-Num_abb_2a)+Num_abb_2a*Prezzo_abbonamento</f>
        <v>247600</v>
      </c>
      <c r="E12" s="14">
        <f>Guadagno_acquisti_CIA*Num_abb_3a*Num_medio_acquisti_abb+Guadagno_acquisti_CIA*(Num_acquisti_3a_cl-Num_abb_3a)+Num_abb_3a*Prezzo_abbonamento</f>
        <v>371400</v>
      </c>
    </row>
    <row r="13" spans="1:7" x14ac:dyDescent="0.25">
      <c r="A13" t="s">
        <v>7</v>
      </c>
      <c r="B13" s="9">
        <f t="shared" ref="B13:E13" si="0">ROUND(1/(1+$B$4)^B$7,2)</f>
        <v>1</v>
      </c>
      <c r="C13" s="9">
        <f t="shared" si="0"/>
        <v>0.94</v>
      </c>
      <c r="D13" s="9">
        <f t="shared" si="0"/>
        <v>0.89</v>
      </c>
      <c r="E13" s="9">
        <f t="shared" si="0"/>
        <v>0.84</v>
      </c>
    </row>
    <row r="14" spans="1:7" x14ac:dyDescent="0.25">
      <c r="A14" s="2" t="s">
        <v>10</v>
      </c>
      <c r="B14" s="5">
        <f t="shared" ref="B14:E14" si="1">B12*B13</f>
        <v>1238</v>
      </c>
      <c r="C14" s="3">
        <f t="shared" si="1"/>
        <v>116372</v>
      </c>
      <c r="D14" s="3">
        <f t="shared" si="1"/>
        <v>220364</v>
      </c>
      <c r="E14" s="3">
        <f t="shared" si="1"/>
        <v>311976</v>
      </c>
      <c r="F14" s="3">
        <f>SUM(B14:E14)</f>
        <v>649950</v>
      </c>
    </row>
    <row r="16" spans="1:7" x14ac:dyDescent="0.25">
      <c r="A16" t="s">
        <v>11</v>
      </c>
      <c r="B16" s="1">
        <f>B14-B10</f>
        <v>-194959</v>
      </c>
      <c r="C16" s="1">
        <f>C14-C10</f>
        <v>81211.3</v>
      </c>
      <c r="D16" s="1">
        <f>D14-D10</f>
        <v>187073.55</v>
      </c>
      <c r="E16" s="1">
        <f>E14-E10</f>
        <v>280555.8</v>
      </c>
      <c r="F16" s="4">
        <f>F14-F10</f>
        <v>353881.64999999997</v>
      </c>
      <c r="G16" s="6" t="s">
        <v>12</v>
      </c>
    </row>
    <row r="17" spans="1:5" x14ac:dyDescent="0.25">
      <c r="A17" t="s">
        <v>13</v>
      </c>
      <c r="B17" s="1">
        <f>B16</f>
        <v>-194959</v>
      </c>
      <c r="C17" s="1">
        <f>B17+C16</f>
        <v>-113747.7</v>
      </c>
      <c r="D17" s="1">
        <f>C17+D16</f>
        <v>73325.849999999991</v>
      </c>
      <c r="E17" s="19">
        <f>D17+E16</f>
        <v>353881.64999999997</v>
      </c>
    </row>
    <row r="19" spans="1:5" x14ac:dyDescent="0.25">
      <c r="A19" s="2" t="s">
        <v>14</v>
      </c>
      <c r="B19" s="7">
        <f>(F14-F10)/F10</f>
        <v>1.195270112458829</v>
      </c>
    </row>
    <row r="20" spans="1:5" x14ac:dyDescent="0.25">
      <c r="B20" s="28" t="s">
        <v>57</v>
      </c>
      <c r="C20" s="28"/>
      <c r="D20" s="28"/>
    </row>
    <row r="21" spans="1:5" x14ac:dyDescent="0.25">
      <c r="A21" s="2" t="s">
        <v>15</v>
      </c>
    </row>
    <row r="22" spans="1:5" x14ac:dyDescent="0.25">
      <c r="A22" s="2"/>
    </row>
    <row r="23" spans="1:5" x14ac:dyDescent="0.25">
      <c r="A23" s="18" t="s">
        <v>16</v>
      </c>
      <c r="B23">
        <v>1350</v>
      </c>
    </row>
    <row r="24" spans="1:5" x14ac:dyDescent="0.25">
      <c r="A24" s="18" t="s">
        <v>59</v>
      </c>
      <c r="B24">
        <v>16</v>
      </c>
    </row>
    <row r="25" spans="1:5" x14ac:dyDescent="0.25">
      <c r="A25" s="18" t="s">
        <v>60</v>
      </c>
      <c r="B25">
        <v>20</v>
      </c>
    </row>
    <row r="26" spans="1:5" x14ac:dyDescent="0.25">
      <c r="A26" s="18" t="s">
        <v>17</v>
      </c>
      <c r="B26">
        <v>20</v>
      </c>
    </row>
    <row r="27" spans="1:5" x14ac:dyDescent="0.25">
      <c r="A27" s="18" t="s">
        <v>18</v>
      </c>
      <c r="B27" s="18">
        <v>500</v>
      </c>
      <c r="C27" s="18"/>
    </row>
    <row r="28" spans="1:5" x14ac:dyDescent="0.25">
      <c r="A28" s="18" t="s">
        <v>19</v>
      </c>
      <c r="B28">
        <v>5</v>
      </c>
    </row>
    <row r="29" spans="1:5" x14ac:dyDescent="0.25">
      <c r="A29" s="18" t="s">
        <v>65</v>
      </c>
      <c r="B29" s="18">
        <v>8.25</v>
      </c>
    </row>
    <row r="31" spans="1:5" x14ac:dyDescent="0.25">
      <c r="A31" s="20" t="s">
        <v>54</v>
      </c>
      <c r="B31">
        <v>8</v>
      </c>
    </row>
    <row r="32" spans="1:5" x14ac:dyDescent="0.25">
      <c r="A32" s="20" t="s">
        <v>55</v>
      </c>
      <c r="B32">
        <v>2</v>
      </c>
    </row>
    <row r="33" spans="1:3" x14ac:dyDescent="0.25">
      <c r="A33" s="20" t="s">
        <v>61</v>
      </c>
      <c r="B33">
        <v>3</v>
      </c>
    </row>
    <row r="34" spans="1:3" x14ac:dyDescent="0.25">
      <c r="A34" s="18" t="s">
        <v>20</v>
      </c>
      <c r="B34" s="18">
        <f>2+B33</f>
        <v>5</v>
      </c>
    </row>
    <row r="35" spans="1:3" x14ac:dyDescent="0.25">
      <c r="A35" s="18" t="s">
        <v>21</v>
      </c>
      <c r="B35">
        <v>2</v>
      </c>
    </row>
    <row r="36" spans="1:3" x14ac:dyDescent="0.25">
      <c r="A36" s="18" t="s">
        <v>22</v>
      </c>
      <c r="B36">
        <v>1</v>
      </c>
    </row>
    <row r="37" spans="1:3" x14ac:dyDescent="0.25">
      <c r="A37" s="18"/>
    </row>
    <row r="38" spans="1:3" x14ac:dyDescent="0.25">
      <c r="A38" s="18" t="s">
        <v>23</v>
      </c>
      <c r="B38">
        <v>6.4</v>
      </c>
    </row>
    <row r="39" spans="1:3" x14ac:dyDescent="0.25">
      <c r="A39" s="18" t="s">
        <v>24</v>
      </c>
      <c r="B39">
        <v>6.4</v>
      </c>
    </row>
    <row r="40" spans="1:3" x14ac:dyDescent="0.25">
      <c r="A40" s="18" t="s">
        <v>25</v>
      </c>
      <c r="B40">
        <f>B39*5</f>
        <v>32</v>
      </c>
    </row>
    <row r="41" spans="1:3" x14ac:dyDescent="0.25">
      <c r="A41" s="18" t="s">
        <v>26</v>
      </c>
      <c r="B41">
        <v>20</v>
      </c>
    </row>
    <row r="43" spans="1:3" x14ac:dyDescent="0.25">
      <c r="A43" s="18" t="s">
        <v>53</v>
      </c>
      <c r="B43">
        <v>50</v>
      </c>
    </row>
    <row r="44" spans="1:3" x14ac:dyDescent="0.25">
      <c r="A44" s="18" t="s">
        <v>27</v>
      </c>
      <c r="B44">
        <v>3</v>
      </c>
    </row>
    <row r="45" spans="1:3" x14ac:dyDescent="0.25">
      <c r="A45" s="18" t="s">
        <v>52</v>
      </c>
      <c r="B45">
        <v>40</v>
      </c>
      <c r="C45">
        <v>160</v>
      </c>
    </row>
    <row r="46" spans="1:3" x14ac:dyDescent="0.25">
      <c r="A46" t="s">
        <v>27</v>
      </c>
      <c r="B46">
        <v>2</v>
      </c>
    </row>
    <row r="48" spans="1:3" x14ac:dyDescent="0.25">
      <c r="A48" t="s">
        <v>28</v>
      </c>
      <c r="B48">
        <v>10</v>
      </c>
    </row>
    <row r="50" spans="1:3" x14ac:dyDescent="0.25">
      <c r="A50" s="18" t="s">
        <v>30</v>
      </c>
      <c r="B50">
        <f>Tempi_Sviluppo*giorni_lavoro_nel_mese*((Salario_dipendente_all_ora*num_sviluppatori*ore_lavoro_per_giorno)+ (Salario_PM_all_ora*pm_ore_sviluppo)+(Salario_dipendente_all_ora_senior*pm_ore_sviluppo*Numero_dipendenti_senior))</f>
        <v>143360</v>
      </c>
    </row>
    <row r="51" spans="1:3" x14ac:dyDescent="0.25">
      <c r="A51" s="18" t="s">
        <v>67</v>
      </c>
      <c r="B51">
        <f>ore_lavoro_per_giorno*B33*Salario_dipendente_all_ora*40+ore_lavoro_per_giorno*Salario_dipendente_all_ora_senior*40</f>
        <v>17408</v>
      </c>
    </row>
    <row r="52" spans="1:3" x14ac:dyDescent="0.25">
      <c r="A52" t="s">
        <v>31</v>
      </c>
      <c r="B52">
        <f>12*Costi_PaaS+SSL_per_year</f>
        <v>6005</v>
      </c>
    </row>
    <row r="53" spans="1:3" x14ac:dyDescent="0.25">
      <c r="A53" s="18" t="s">
        <v>64</v>
      </c>
      <c r="B53">
        <f>B52+B50+B51+B56</f>
        <v>189037</v>
      </c>
    </row>
    <row r="54" spans="1:3" x14ac:dyDescent="0.25">
      <c r="A54" s="18" t="s">
        <v>29</v>
      </c>
      <c r="B54">
        <f>(costo_manutenzione_correttiva*num_correzioni_annui+AVERAGE(min_costo_manutenzione_evolutiva,max_costo_manutenzione_evolutiva)*num_evoluzioni_annui)*Salario_dipendente_all_ora+12*(ore_manutenzione_pm_settimanali*4)*Salario_PM_all_ora</f>
        <v>15200</v>
      </c>
    </row>
    <row r="55" spans="1:3" x14ac:dyDescent="0.25">
      <c r="A55" s="18" t="s">
        <v>66</v>
      </c>
      <c r="B55">
        <f>B29*8*10</f>
        <v>660</v>
      </c>
    </row>
    <row r="56" spans="1:3" x14ac:dyDescent="0.25">
      <c r="A56" s="18" t="s">
        <v>58</v>
      </c>
      <c r="B56">
        <f>15%*(B50+(4/12)*B54)</f>
        <v>22263.999999999996</v>
      </c>
    </row>
    <row r="58" spans="1:3" x14ac:dyDescent="0.25">
      <c r="A58" t="s">
        <v>32</v>
      </c>
    </row>
    <row r="59" spans="1:3" x14ac:dyDescent="0.25">
      <c r="A59" s="18" t="s">
        <v>33</v>
      </c>
      <c r="B59">
        <v>38</v>
      </c>
    </row>
    <row r="60" spans="1:3" x14ac:dyDescent="0.25">
      <c r="A60" t="s">
        <v>34</v>
      </c>
      <c r="B60" s="23">
        <v>2</v>
      </c>
    </row>
    <row r="61" spans="1:3" x14ac:dyDescent="0.25">
      <c r="A61" t="s">
        <v>35</v>
      </c>
      <c r="B61">
        <f>B59*(B60/100)</f>
        <v>0.76</v>
      </c>
    </row>
    <row r="63" spans="1:3" x14ac:dyDescent="0.25">
      <c r="A63" s="18" t="s">
        <v>36</v>
      </c>
      <c r="B63">
        <v>10000000</v>
      </c>
    </row>
    <row r="64" spans="1:3" x14ac:dyDescent="0.25">
      <c r="A64" s="18" t="s">
        <v>37</v>
      </c>
      <c r="B64" s="24">
        <v>1E-4</v>
      </c>
      <c r="C64">
        <f>B63*B64</f>
        <v>1000</v>
      </c>
    </row>
    <row r="65" spans="1:3" x14ac:dyDescent="0.25">
      <c r="A65" t="s">
        <v>38</v>
      </c>
      <c r="B65" s="21">
        <v>0.01</v>
      </c>
      <c r="C65">
        <f>B63*B65</f>
        <v>100000</v>
      </c>
    </row>
    <row r="66" spans="1:3" x14ac:dyDescent="0.25">
      <c r="A66" t="s">
        <v>39</v>
      </c>
      <c r="B66" s="21">
        <v>0.02</v>
      </c>
      <c r="C66">
        <f>B63*B66</f>
        <v>200000</v>
      </c>
    </row>
    <row r="67" spans="1:3" x14ac:dyDescent="0.25">
      <c r="A67" t="s">
        <v>40</v>
      </c>
      <c r="B67" s="21">
        <v>0.03</v>
      </c>
      <c r="C67">
        <f>B63*B67</f>
        <v>300000</v>
      </c>
    </row>
    <row r="69" spans="1:3" x14ac:dyDescent="0.25">
      <c r="B69" s="25"/>
    </row>
    <row r="70" spans="1:3" x14ac:dyDescent="0.25">
      <c r="A70" s="18" t="s">
        <v>41</v>
      </c>
      <c r="B70" s="25">
        <f>B63*B64-B77</f>
        <v>950</v>
      </c>
    </row>
    <row r="71" spans="1:3" x14ac:dyDescent="0.25">
      <c r="A71" t="s">
        <v>42</v>
      </c>
      <c r="B71" s="25">
        <f>B63*B65-B78</f>
        <v>95000</v>
      </c>
    </row>
    <row r="72" spans="1:3" x14ac:dyDescent="0.25">
      <c r="A72" t="s">
        <v>43</v>
      </c>
      <c r="B72" s="25">
        <f>B63*B66-B79</f>
        <v>190000</v>
      </c>
    </row>
    <row r="73" spans="1:3" x14ac:dyDescent="0.25">
      <c r="A73" t="s">
        <v>44</v>
      </c>
      <c r="B73" s="25">
        <f>B63*B67-B80</f>
        <v>285000</v>
      </c>
    </row>
    <row r="74" spans="1:3" x14ac:dyDescent="0.25">
      <c r="A74" s="18" t="s">
        <v>63</v>
      </c>
      <c r="B74" s="25">
        <v>1</v>
      </c>
    </row>
    <row r="75" spans="1:3" x14ac:dyDescent="0.25">
      <c r="B75" s="25"/>
    </row>
    <row r="76" spans="1:3" x14ac:dyDescent="0.25">
      <c r="A76" t="s">
        <v>45</v>
      </c>
      <c r="B76" s="23">
        <v>5</v>
      </c>
    </row>
    <row r="77" spans="1:3" x14ac:dyDescent="0.25">
      <c r="A77" s="18" t="s">
        <v>46</v>
      </c>
      <c r="B77" s="23">
        <f>C64*B76/100</f>
        <v>50</v>
      </c>
    </row>
    <row r="78" spans="1:3" x14ac:dyDescent="0.25">
      <c r="A78" t="s">
        <v>47</v>
      </c>
      <c r="B78" s="23">
        <f>C65*B76/100</f>
        <v>5000</v>
      </c>
    </row>
    <row r="79" spans="1:3" x14ac:dyDescent="0.25">
      <c r="A79" t="s">
        <v>48</v>
      </c>
      <c r="B79" s="23">
        <f>C66*B76/100</f>
        <v>10000</v>
      </c>
    </row>
    <row r="80" spans="1:3" x14ac:dyDescent="0.25">
      <c r="A80" t="s">
        <v>49</v>
      </c>
      <c r="B80" s="23">
        <f>C67*B76/100</f>
        <v>15000</v>
      </c>
    </row>
    <row r="81" spans="1:3" x14ac:dyDescent="0.25">
      <c r="A81" s="18" t="s">
        <v>62</v>
      </c>
      <c r="B81" s="25">
        <v>8</v>
      </c>
    </row>
    <row r="82" spans="1:3" x14ac:dyDescent="0.25">
      <c r="B82" s="21"/>
    </row>
    <row r="83" spans="1:3" x14ac:dyDescent="0.25">
      <c r="A83" s="18" t="s">
        <v>50</v>
      </c>
      <c r="B83" s="18">
        <v>5</v>
      </c>
      <c r="C83" s="26"/>
    </row>
    <row r="84" spans="1:3" x14ac:dyDescent="0.25">
      <c r="A84" s="18"/>
      <c r="B84" s="18"/>
      <c r="C84" s="22"/>
    </row>
    <row r="85" spans="1:3" x14ac:dyDescent="0.25">
      <c r="A85" t="s">
        <v>51</v>
      </c>
      <c r="B85">
        <f>B61*(B77+B78+B79+B80)+B61*(B70+B71+B72+B73)</f>
        <v>456760</v>
      </c>
    </row>
  </sheetData>
  <mergeCells count="2">
    <mergeCell ref="A1:G1"/>
    <mergeCell ref="B20:D20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33</vt:i4>
      </vt:variant>
    </vt:vector>
  </HeadingPairs>
  <TitlesOfParts>
    <vt:vector size="34" baseType="lpstr">
      <vt:lpstr>Analisi Finanziaria - Attuale</vt:lpstr>
      <vt:lpstr>'Analisi Finanziaria - Attuale'!Costi_PaaS</vt:lpstr>
      <vt:lpstr>'Analisi Finanziaria - Attuale'!costo_manutenzione_correttiva</vt:lpstr>
      <vt:lpstr>'Analisi Finanziaria - Attuale'!Costo_pubblicita_FB_al_giorno</vt:lpstr>
      <vt:lpstr>'Analisi Finanziaria - Attuale'!giorni_lavoro_nel_mese</vt:lpstr>
      <vt:lpstr>'Analisi Finanziaria - Attuale'!Guadagno_acquisti_CIA</vt:lpstr>
      <vt:lpstr>'Analisi Finanziaria - Attuale'!Guadagno_perc_acquisti_CIA</vt:lpstr>
      <vt:lpstr>'Analisi Finanziaria - Attuale'!max_costo_manutenzione_evolutiva</vt:lpstr>
      <vt:lpstr>'Analisi Finanziaria - Attuale'!min_costo_manutenzione_evolutiva</vt:lpstr>
      <vt:lpstr>'Analisi Finanziaria - Attuale'!Num_abb_1a</vt:lpstr>
      <vt:lpstr>'Analisi Finanziaria - Attuale'!Num_abb_2a</vt:lpstr>
      <vt:lpstr>'Analisi Finanziaria - Attuale'!Num_abb_3a</vt:lpstr>
      <vt:lpstr>'Analisi Finanziaria - Attuale'!Num_abb_4m</vt:lpstr>
      <vt:lpstr>'Analisi Finanziaria - Attuale'!Num_acquisti_1a_cl</vt:lpstr>
      <vt:lpstr>'Analisi Finanziaria - Attuale'!Num_acquisti_2a_cl</vt:lpstr>
      <vt:lpstr>'Analisi Finanziaria - Attuale'!Num_acquisti_3a_cl</vt:lpstr>
      <vt:lpstr>'Analisi Finanziaria - Attuale'!Num_acquisti_4m_cl</vt:lpstr>
      <vt:lpstr>'Analisi Finanziaria - Attuale'!num_correzioni_annui</vt:lpstr>
      <vt:lpstr>'Analisi Finanziaria - Attuale'!num_evoluzioni_annui</vt:lpstr>
      <vt:lpstr>'Analisi Finanziaria - Attuale'!Num_medio_acquisti_abb</vt:lpstr>
      <vt:lpstr>'Analisi Finanziaria - Attuale'!num_pm</vt:lpstr>
      <vt:lpstr>'Analisi Finanziaria - Attuale'!num_sviluppatori</vt:lpstr>
      <vt:lpstr>'Analisi Finanziaria - Attuale'!Numero_dipendenti_senior</vt:lpstr>
      <vt:lpstr>'Analisi Finanziaria - Attuale'!ore_lavoro_per_giorno</vt:lpstr>
      <vt:lpstr>'Analisi Finanziaria - Attuale'!ore_lavoro_per_settimana</vt:lpstr>
      <vt:lpstr>'Analisi Finanziaria - Attuale'!ore_manutenzione_pm_settimanali</vt:lpstr>
      <vt:lpstr>'Analisi Finanziaria - Attuale'!pm_ore_sviluppo</vt:lpstr>
      <vt:lpstr>'Analisi Finanziaria - Attuale'!Prezzo_abbonamento</vt:lpstr>
      <vt:lpstr>'Analisi Finanziaria - Attuale'!Salario_dipendente_all_ora</vt:lpstr>
      <vt:lpstr>'Analisi Finanziaria - Attuale'!Salario_dipendente_all_ora_senior</vt:lpstr>
      <vt:lpstr>'Analisi Finanziaria - Attuale'!Salario_PM_all_ora</vt:lpstr>
      <vt:lpstr>'Analisi Finanziaria - Attuale'!Spesa_media</vt:lpstr>
      <vt:lpstr>'Analisi Finanziaria - Attuale'!SSL_per_year</vt:lpstr>
      <vt:lpstr>'Analisi Finanziaria - Attuale'!Tempi_Sviluppo</vt:lpstr>
    </vt:vector>
  </TitlesOfParts>
  <Manager/>
  <Company>Augsburg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Utente</cp:lastModifiedBy>
  <cp:revision/>
  <dcterms:created xsi:type="dcterms:W3CDTF">2003-02-20T16:30:31Z</dcterms:created>
  <dcterms:modified xsi:type="dcterms:W3CDTF">2024-02-07T12:39:32Z</dcterms:modified>
  <cp:category/>
  <cp:contentStatus/>
</cp:coreProperties>
</file>