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alle\Materias\IngSoftware\Agosto2020\"/>
    </mc:Choice>
  </mc:AlternateContent>
  <xr:revisionPtr revIDLastSave="0" documentId="13_ncr:1_{2777D915-7054-483F-A719-BC04075EB151}" xr6:coauthVersionLast="45" xr6:coauthVersionMax="45" xr10:uidLastSave="{00000000-0000-0000-0000-000000000000}"/>
  <bookViews>
    <workbookView xWindow="-120" yWindow="-120" windowWidth="20730" windowHeight="11760" firstSheet="1" activeTab="6" xr2:uid="{C3E76B47-A8AF-4E44-B1F0-ECE6DF6EAF9E}"/>
  </bookViews>
  <sheets>
    <sheet name="Costos Indirectos" sheetId="1" r:id="rId1"/>
    <sheet name="Hw&amp;SW" sheetId="2" r:id="rId2"/>
    <sheet name="Sueldos" sheetId="3" r:id="rId3"/>
    <sheet name="Otros" sheetId="5" r:id="rId4"/>
    <sheet name="TotalProyecto" sheetId="4" r:id="rId5"/>
    <sheet name="UUCP" sheetId="6" r:id="rId6"/>
    <sheet name="DistribuciónEsfuerzo" sheetId="7" r:id="rId7"/>
  </sheets>
  <externalReferences>
    <externalReference r:id="rId8"/>
  </externalReferences>
  <definedNames>
    <definedName name="EF">UUCP!$E$44</definedName>
    <definedName name="estimacionEsfuerzo">'[1]Método de Estimación Puntos CU'!$E$50</definedName>
    <definedName name="TAW">UUCP!$E$7</definedName>
    <definedName name="TBF">UUCP!$E$13</definedName>
    <definedName name="TCF">UUCP!$E$32</definedName>
    <definedName name="UUCP">UUCP!$E$15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B22" i="7"/>
  <c r="C21" i="7"/>
  <c r="B21" i="7"/>
  <c r="C20" i="7"/>
  <c r="C19" i="7"/>
  <c r="B20" i="7"/>
  <c r="B19" i="7"/>
  <c r="E27" i="7"/>
  <c r="G27" i="7" s="1"/>
  <c r="I27" i="7" s="1"/>
  <c r="K27" i="7" s="1"/>
  <c r="E32" i="6" l="1"/>
  <c r="C8" i="3" l="1"/>
  <c r="C7" i="3"/>
  <c r="C5" i="3"/>
  <c r="C4" i="3"/>
  <c r="B7" i="7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2" i="6"/>
  <c r="E11" i="6"/>
  <c r="E10" i="6"/>
  <c r="E6" i="6"/>
  <c r="E5" i="6"/>
  <c r="E4" i="6"/>
  <c r="E7" i="6" s="1"/>
  <c r="E13" i="6" l="1"/>
  <c r="E15" i="6" s="1"/>
  <c r="E31" i="6"/>
  <c r="B23" i="7"/>
  <c r="G43" i="6"/>
  <c r="E43" i="6"/>
  <c r="E44" i="6" s="1"/>
  <c r="E46" i="6" l="1"/>
  <c r="E48" i="6" s="1"/>
  <c r="E50" i="6" s="1"/>
  <c r="C7" i="7" s="1"/>
  <c r="E10" i="7" l="1"/>
  <c r="G10" i="7" s="1"/>
  <c r="I10" i="7" s="1"/>
  <c r="C5" i="7"/>
  <c r="E6" i="7"/>
  <c r="G6" i="7" s="1"/>
  <c r="I6" i="7" s="1"/>
  <c r="E4" i="7"/>
  <c r="G4" i="7" s="1"/>
  <c r="I4" i="7" s="1"/>
  <c r="E8" i="7"/>
  <c r="G8" i="7" s="1"/>
  <c r="I8" i="7" s="1"/>
  <c r="E3" i="7"/>
  <c r="G3" i="7" s="1"/>
  <c r="I3" i="7" s="1"/>
  <c r="E9" i="7"/>
  <c r="G9" i="7" s="1"/>
  <c r="I9" i="7" s="1"/>
  <c r="E7" i="7"/>
  <c r="G7" i="7" s="1"/>
  <c r="I7" i="7" s="1"/>
  <c r="E5" i="7"/>
  <c r="G5" i="7" s="1"/>
  <c r="I5" i="7" s="1"/>
  <c r="C4" i="7"/>
  <c r="C6" i="7"/>
  <c r="C3" i="7"/>
  <c r="E15" i="7" s="1"/>
  <c r="G15" i="7" s="1"/>
  <c r="I15" i="7" s="1"/>
  <c r="K15" i="7" s="1"/>
  <c r="E5" i="5"/>
  <c r="E4" i="5"/>
  <c r="E10" i="5" s="1"/>
  <c r="C7" i="4" s="1"/>
  <c r="E19" i="7" l="1"/>
  <c r="G19" i="7" s="1"/>
  <c r="I19" i="7" s="1"/>
  <c r="K19" i="7" s="1"/>
  <c r="E17" i="7"/>
  <c r="G17" i="7" s="1"/>
  <c r="I17" i="7" s="1"/>
  <c r="E18" i="7"/>
  <c r="G18" i="7" s="1"/>
  <c r="I18" i="7" s="1"/>
  <c r="K18" i="7" s="1"/>
  <c r="E16" i="7"/>
  <c r="E21" i="7"/>
  <c r="G21" i="7" s="1"/>
  <c r="I21" i="7" s="1"/>
  <c r="K21" i="7" s="1"/>
  <c r="E20" i="7"/>
  <c r="G20" i="7" s="1"/>
  <c r="I20" i="7" s="1"/>
  <c r="K20" i="7" s="1"/>
  <c r="E22" i="7"/>
  <c r="G22" i="7" s="1"/>
  <c r="I22" i="7" s="1"/>
  <c r="K22" i="7" s="1"/>
  <c r="E23" i="7"/>
  <c r="G23" i="7" s="1"/>
  <c r="I23" i="7" s="1"/>
  <c r="K23" i="7" s="1"/>
  <c r="E56" i="7"/>
  <c r="G56" i="7" s="1"/>
  <c r="I56" i="7" s="1"/>
  <c r="K56" i="7" s="1"/>
  <c r="E52" i="7"/>
  <c r="G52" i="7" s="1"/>
  <c r="I52" i="7" s="1"/>
  <c r="K52" i="7" s="1"/>
  <c r="E50" i="7"/>
  <c r="G50" i="7" s="1"/>
  <c r="I50" i="7" s="1"/>
  <c r="K50" i="7" s="1"/>
  <c r="B14" i="7" s="1"/>
  <c r="E57" i="7"/>
  <c r="G57" i="7" s="1"/>
  <c r="I57" i="7" s="1"/>
  <c r="K57" i="7" s="1"/>
  <c r="E55" i="7"/>
  <c r="G55" i="7" s="1"/>
  <c r="I55" i="7" s="1"/>
  <c r="K55" i="7" s="1"/>
  <c r="E53" i="7"/>
  <c r="G53" i="7" s="1"/>
  <c r="I53" i="7" s="1"/>
  <c r="E51" i="7"/>
  <c r="G51" i="7" s="1"/>
  <c r="I51" i="7" s="1"/>
  <c r="K51" i="7" s="1"/>
  <c r="E54" i="7"/>
  <c r="G54" i="7" s="1"/>
  <c r="I54" i="7" s="1"/>
  <c r="K54" i="7" s="1"/>
  <c r="E34" i="7"/>
  <c r="G34" i="7" s="1"/>
  <c r="I34" i="7" s="1"/>
  <c r="K34" i="7" s="1"/>
  <c r="E32" i="7"/>
  <c r="G32" i="7" s="1"/>
  <c r="I32" i="7" s="1"/>
  <c r="K32" i="7" s="1"/>
  <c r="E30" i="7"/>
  <c r="G30" i="7" s="1"/>
  <c r="I30" i="7" s="1"/>
  <c r="K30" i="7" s="1"/>
  <c r="E28" i="7"/>
  <c r="G28" i="7" s="1"/>
  <c r="I28" i="7" s="1"/>
  <c r="K28" i="7" s="1"/>
  <c r="B12" i="7" s="1"/>
  <c r="E35" i="7"/>
  <c r="G35" i="7" s="1"/>
  <c r="I35" i="7" s="1"/>
  <c r="K35" i="7" s="1"/>
  <c r="E33" i="7"/>
  <c r="G33" i="7" s="1"/>
  <c r="I33" i="7" s="1"/>
  <c r="K33" i="7" s="1"/>
  <c r="E31" i="7"/>
  <c r="G31" i="7" s="1"/>
  <c r="I31" i="7" s="1"/>
  <c r="K31" i="7" s="1"/>
  <c r="E29" i="7"/>
  <c r="G29" i="7" s="1"/>
  <c r="I29" i="7" s="1"/>
  <c r="E40" i="7"/>
  <c r="G40" i="7" s="1"/>
  <c r="I40" i="7" s="1"/>
  <c r="K40" i="7" s="1"/>
  <c r="E42" i="7"/>
  <c r="G42" i="7" s="1"/>
  <c r="I42" i="7" s="1"/>
  <c r="K42" i="7" s="1"/>
  <c r="E44" i="7"/>
  <c r="G44" i="7" s="1"/>
  <c r="E46" i="7"/>
  <c r="G46" i="7" s="1"/>
  <c r="E39" i="7"/>
  <c r="G39" i="7" s="1"/>
  <c r="E41" i="7"/>
  <c r="G41" i="7" s="1"/>
  <c r="I41" i="7" s="1"/>
  <c r="E43" i="7"/>
  <c r="G43" i="7" s="1"/>
  <c r="E45" i="7"/>
  <c r="G45" i="7" s="1"/>
  <c r="C9" i="2"/>
  <c r="C8" i="2"/>
  <c r="E8" i="2" s="1"/>
  <c r="D7" i="2"/>
  <c r="E7" i="2" s="1"/>
  <c r="E6" i="2"/>
  <c r="E5" i="2"/>
  <c r="E4" i="2"/>
  <c r="E3" i="2"/>
  <c r="D10" i="1"/>
  <c r="D19" i="1" s="1"/>
  <c r="E19" i="1" s="1"/>
  <c r="C4" i="4" s="1"/>
  <c r="E9" i="1"/>
  <c r="E6" i="1"/>
  <c r="E5" i="1"/>
  <c r="C19" i="1"/>
  <c r="D9" i="1"/>
  <c r="D8" i="1"/>
  <c r="E8" i="1" s="1"/>
  <c r="D7" i="1"/>
  <c r="E7" i="1" s="1"/>
  <c r="D6" i="1"/>
  <c r="D5" i="1"/>
  <c r="D4" i="1"/>
  <c r="E4" i="1" s="1"/>
  <c r="I45" i="7" l="1"/>
  <c r="K45" i="7" s="1"/>
  <c r="I43" i="7"/>
  <c r="K43" i="7" s="1"/>
  <c r="I44" i="7"/>
  <c r="K44" i="7" s="1"/>
  <c r="I39" i="7"/>
  <c r="K39" i="7" s="1"/>
  <c r="B13" i="7" s="1"/>
  <c r="I46" i="7"/>
  <c r="K46" i="7" s="1"/>
  <c r="K29" i="7"/>
  <c r="K41" i="7"/>
  <c r="K53" i="7"/>
  <c r="K17" i="7"/>
  <c r="E9" i="2"/>
  <c r="E16" i="2" s="1"/>
  <c r="C5" i="4" s="1"/>
  <c r="E10" i="1"/>
  <c r="C23" i="7" l="1"/>
  <c r="E10" i="4" s="1"/>
  <c r="G16" i="7" l="1"/>
  <c r="I16" i="7" s="1"/>
  <c r="K16" i="7" s="1"/>
  <c r="B11" i="7" s="1"/>
  <c r="B15" i="7" s="1"/>
  <c r="F18" i="3" s="1"/>
  <c r="C6" i="4" s="1"/>
  <c r="C8" i="4" s="1"/>
  <c r="C9" i="4" s="1"/>
  <c r="C10" i="4" s="1"/>
</calcChain>
</file>

<file path=xl/sharedStrings.xml><?xml version="1.0" encoding="utf-8"?>
<sst xmlns="http://schemas.openxmlformats.org/spreadsheetml/2006/main" count="225" uniqueCount="143">
  <si>
    <t>Descripción</t>
  </si>
  <si>
    <t>Anual</t>
  </si>
  <si>
    <t>Mensual</t>
  </si>
  <si>
    <t>Renta</t>
  </si>
  <si>
    <t>Luz</t>
  </si>
  <si>
    <t>Agua</t>
  </si>
  <si>
    <t>Limpieza</t>
  </si>
  <si>
    <t>Papelería</t>
  </si>
  <si>
    <t>Varios</t>
  </si>
  <si>
    <t>Caja</t>
  </si>
  <si>
    <t>Total</t>
  </si>
  <si>
    <t>Empleados</t>
  </si>
  <si>
    <t>Costo/empleado</t>
  </si>
  <si>
    <t>Costos</t>
  </si>
  <si>
    <t>Número</t>
  </si>
  <si>
    <t>Costo Unitario</t>
  </si>
  <si>
    <t>Costo por proyecto</t>
  </si>
  <si>
    <t>Número de meses de duración</t>
  </si>
  <si>
    <t>Laptop Pavilion HP</t>
  </si>
  <si>
    <t>Apple - MacBook Pro de 13" - Core i5 - Iris Plus 655 - Memoria de 8GB - SSD de 256GB</t>
  </si>
  <si>
    <t>Infraestructura</t>
  </si>
  <si>
    <t>Laptop Dell</t>
  </si>
  <si>
    <t>Dell - Laptop INSPIRON 5584 I5 de 15.6" - Core i5 - GeForce MX130 - Memoria 8GB</t>
  </si>
  <si>
    <t>Ofiice 365</t>
  </si>
  <si>
    <t>Visual Studio</t>
  </si>
  <si>
    <t>Amazon Cloud</t>
  </si>
  <si>
    <t>Empleados proyecto</t>
  </si>
  <si>
    <t>Totales</t>
  </si>
  <si>
    <t>Indirectos</t>
  </si>
  <si>
    <t>Descripciòn</t>
  </si>
  <si>
    <t>Total Proyecto</t>
  </si>
  <si>
    <t>Costo</t>
  </si>
  <si>
    <t>Sueldos</t>
  </si>
  <si>
    <t>Analista</t>
  </si>
  <si>
    <t>Diseñador</t>
  </si>
  <si>
    <t>Arquitecto SW</t>
  </si>
  <si>
    <t>Programador</t>
  </si>
  <si>
    <t>Tester</t>
  </si>
  <si>
    <t>Puesto</t>
  </si>
  <si>
    <t>Dirección Proyecto</t>
  </si>
  <si>
    <t>Scrum Master</t>
  </si>
  <si>
    <t>Implementador</t>
  </si>
  <si>
    <t>Change Management</t>
  </si>
  <si>
    <t>DBA</t>
  </si>
  <si>
    <t>Recursos Proyecto</t>
  </si>
  <si>
    <t>Total Mensual</t>
  </si>
  <si>
    <t>Tiempo a Utilizar</t>
  </si>
  <si>
    <t>Resumen Costos</t>
  </si>
  <si>
    <t>Otros Costos</t>
  </si>
  <si>
    <t>Nùmero</t>
  </si>
  <si>
    <t>Viaje 1</t>
  </si>
  <si>
    <t>Viaje 2</t>
  </si>
  <si>
    <t>Otros</t>
  </si>
  <si>
    <t>ESTIMACIÓN DE ESFUERZO</t>
  </si>
  <si>
    <t>Factor de Peso Actores</t>
  </si>
  <si>
    <t>Peso</t>
  </si>
  <si>
    <t>Valor ponderado</t>
  </si>
  <si>
    <t>Comentario</t>
  </si>
  <si>
    <t>Simple</t>
  </si>
  <si>
    <t>API Programa</t>
  </si>
  <si>
    <t>Intermedio</t>
  </si>
  <si>
    <t>WS</t>
  </si>
  <si>
    <t>Complejo</t>
  </si>
  <si>
    <t>Humano con GUI</t>
  </si>
  <si>
    <t>Peso Total Actores</t>
  </si>
  <si>
    <t>Factor de Peso Casos de Uso (Basado en el número de transacciones en el CU)</t>
  </si>
  <si>
    <t>3 ó menos escenarios</t>
  </si>
  <si>
    <t>4 a 7 escenarios</t>
  </si>
  <si>
    <t>más de 7 escenarios</t>
  </si>
  <si>
    <t>Factores Basados en Transacciones</t>
  </si>
  <si>
    <t>Puntos de CU No Ajustados</t>
  </si>
  <si>
    <t>Factores de Peso Técnicos</t>
  </si>
  <si>
    <t>Escala de asignación</t>
  </si>
  <si>
    <t>Razón</t>
  </si>
  <si>
    <t>T1  Sistema Distribuido</t>
  </si>
  <si>
    <t>0=no importante  5=esencial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</si>
  <si>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</si>
  <si>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</si>
  <si>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</si>
  <si>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</si>
  <si>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</si>
  <si>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</si>
  <si>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</si>
  <si>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</si>
  <si>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</si>
  <si>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</si>
  <si>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</si>
  <si>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</si>
  <si>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</si>
  <si>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Factor de Complejidad Técnica (TCF)</t>
  </si>
  <si>
    <t>Factores de Peso Ambientales del Equipo</t>
  </si>
  <si>
    <t>Escala de 0 a 5</t>
  </si>
  <si>
    <t>Experiencia/Estabilidad</t>
  </si>
  <si>
    <t>F1 Familiaridad con un Proceso Definido (RUP)</t>
  </si>
  <si>
    <t>0 = sin experiencia, 3=media, 5=experto</t>
  </si>
  <si>
    <t>F2 Experiencia en el Dominio de Aplicación</t>
  </si>
  <si>
    <t>F3 Experiencia en Orientación a Objetos</t>
  </si>
  <si>
    <t>F4 Capacidad de Liderazgo de Analistas</t>
  </si>
  <si>
    <t>F5 Motivación</t>
  </si>
  <si>
    <t>0=sin, 3=media, 5=alta</t>
  </si>
  <si>
    <t>F6 Requerimientos Estables</t>
  </si>
  <si>
    <t>0=extremadamente inestable, 5=no cambian</t>
  </si>
  <si>
    <t>F7 Miembros a Tiempo Parcial</t>
  </si>
  <si>
    <t>0=tiempo parcial, 5=tiempo completo</t>
  </si>
  <si>
    <t>F8 Dificultad del Lenguaje de Programación</t>
  </si>
  <si>
    <t>0=fácil, 3=medio,5=difícil</t>
  </si>
  <si>
    <t>-1</t>
  </si>
  <si>
    <t>Factores Ambientales</t>
  </si>
  <si>
    <t>EFactor</t>
  </si>
  <si>
    <t>1.4 + (-0.03*Factor Ambiental)</t>
  </si>
  <si>
    <t>Puntos de Casos de Uso Ajustados</t>
  </si>
  <si>
    <t>Horas Persona por Punto de Caso de Uso</t>
  </si>
  <si>
    <t xml:space="preserve">Horas Persona Estimación Inicial </t>
  </si>
  <si>
    <t>Factor de Ajuste de Contingencia</t>
  </si>
  <si>
    <t>**Entre 0-100%</t>
  </si>
  <si>
    <t>Horas Persona Estimadas en el Proyecto</t>
  </si>
  <si>
    <t>Distribución de esfuerzo</t>
  </si>
  <si>
    <t>Etapa</t>
  </si>
  <si>
    <t>Ponderación</t>
  </si>
  <si>
    <t>Horas Hombre</t>
  </si>
  <si>
    <t>Horas Hombre Totales</t>
  </si>
  <si>
    <t>Horas Mes</t>
  </si>
  <si>
    <t>Meses</t>
  </si>
  <si>
    <t>Personas En Equipo</t>
  </si>
  <si>
    <t>Total Meses</t>
  </si>
  <si>
    <t>Análisis</t>
  </si>
  <si>
    <t>Diseño</t>
  </si>
  <si>
    <t>Programación</t>
  </si>
  <si>
    <t>Test</t>
  </si>
  <si>
    <t xml:space="preserve">Costo </t>
  </si>
  <si>
    <t>Sueldo</t>
  </si>
  <si>
    <t>Costo Analista</t>
  </si>
  <si>
    <t>Costo Total</t>
  </si>
  <si>
    <t>Pruebas</t>
  </si>
  <si>
    <t>Recursos</t>
  </si>
  <si>
    <t>Tiempo</t>
  </si>
  <si>
    <t>Costo Diseñador</t>
  </si>
  <si>
    <t>Costo Programador</t>
  </si>
  <si>
    <t>Costo Pruebas</t>
  </si>
  <si>
    <t>Ganancia</t>
  </si>
  <si>
    <t>Total Propuesto</t>
  </si>
  <si>
    <t>%</t>
  </si>
  <si>
    <r>
      <rPr>
        <b/>
        <sz val="10"/>
        <color rgb="FFFF0000"/>
        <rFont val="Arial"/>
        <family val="2"/>
      </rPr>
      <t>.06 + (.01</t>
    </r>
    <r>
      <rPr>
        <b/>
        <sz val="10"/>
        <rFont val="Arial"/>
        <family val="2"/>
      </rPr>
      <t>*Factor Técnico)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</si>
</sst>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164" fontId="0" fillId="0" borderId="0" xfId="1" applyFont="1"/>
    <xf numFmtId="0" fontId="0" fillId="2" borderId="0" xfId="0" applyFill="1"/>
    <xf numFmtId="164" fontId="0" fillId="2" borderId="0" xfId="1" applyFont="1" applyFill="1"/>
    <xf numFmtId="0" fontId="0" fillId="0" borderId="1" xfId="0" applyBorder="1"/>
    <xf numFmtId="164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164" fontId="0" fillId="3" borderId="1" xfId="1" applyFont="1" applyFill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1" applyFont="1" applyFill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/>
    <xf numFmtId="0" fontId="4" fillId="4" borderId="3" xfId="0" applyFont="1" applyFill="1" applyBorder="1" applyAlignment="1">
      <alignment wrapText="1"/>
    </xf>
    <xf numFmtId="49" fontId="4" fillId="4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wrapText="1"/>
    </xf>
    <xf numFmtId="0" fontId="4" fillId="4" borderId="4" xfId="0" applyFont="1" applyFill="1" applyBorder="1"/>
    <xf numFmtId="0" fontId="4" fillId="4" borderId="5" xfId="0" applyFont="1" applyFill="1" applyBorder="1" applyAlignment="1">
      <alignment wrapText="1"/>
    </xf>
    <xf numFmtId="0" fontId="4" fillId="0" borderId="0" xfId="0" applyFont="1"/>
    <xf numFmtId="0" fontId="3" fillId="0" borderId="6" xfId="0" applyFont="1" applyBorder="1" applyAlignment="1">
      <alignment wrapText="1"/>
    </xf>
    <xf numFmtId="49" fontId="3" fillId="0" borderId="7" xfId="0" applyNumberFormat="1" applyFont="1" applyBorder="1" applyAlignment="1">
      <alignment wrapText="1"/>
    </xf>
    <xf numFmtId="0" fontId="3" fillId="6" borderId="7" xfId="0" applyFont="1" applyFill="1" applyBorder="1" applyAlignment="1">
      <alignment horizontal="right"/>
    </xf>
    <xf numFmtId="0" fontId="3" fillId="3" borderId="7" xfId="0" applyFont="1" applyFill="1" applyBorder="1" applyAlignment="1" applyProtection="1">
      <alignment wrapText="1"/>
      <protection locked="0"/>
    </xf>
    <xf numFmtId="0" fontId="3" fillId="6" borderId="7" xfId="0" applyFont="1" applyFill="1" applyBorder="1"/>
    <xf numFmtId="0" fontId="3" fillId="3" borderId="8" xfId="0" applyFont="1" applyFill="1" applyBorder="1" applyAlignment="1" applyProtection="1">
      <alignment wrapText="1"/>
      <protection locked="0"/>
    </xf>
    <xf numFmtId="0" fontId="3" fillId="0" borderId="9" xfId="0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 applyProtection="1">
      <alignment wrapText="1"/>
      <protection locked="0"/>
    </xf>
    <xf numFmtId="0" fontId="3" fillId="6" borderId="1" xfId="0" applyFont="1" applyFill="1" applyBorder="1"/>
    <xf numFmtId="0" fontId="3" fillId="3" borderId="10" xfId="0" applyFont="1" applyFill="1" applyBorder="1" applyAlignment="1" applyProtection="1">
      <alignment wrapText="1"/>
      <protection locked="0"/>
    </xf>
    <xf numFmtId="0" fontId="3" fillId="0" borderId="11" xfId="0" applyFont="1" applyBorder="1" applyAlignment="1">
      <alignment wrapText="1"/>
    </xf>
    <xf numFmtId="49" fontId="3" fillId="0" borderId="12" xfId="0" applyNumberFormat="1" applyFont="1" applyBorder="1" applyAlignment="1">
      <alignment wrapText="1"/>
    </xf>
    <xf numFmtId="0" fontId="3" fillId="6" borderId="12" xfId="0" applyFont="1" applyFill="1" applyBorder="1" applyAlignment="1">
      <alignment horizontal="right"/>
    </xf>
    <xf numFmtId="0" fontId="3" fillId="3" borderId="12" xfId="0" applyFont="1" applyFill="1" applyBorder="1" applyAlignment="1" applyProtection="1">
      <alignment wrapText="1"/>
      <protection locked="0"/>
    </xf>
    <xf numFmtId="0" fontId="5" fillId="6" borderId="12" xfId="0" applyFont="1" applyFill="1" applyBorder="1"/>
    <xf numFmtId="0" fontId="3" fillId="3" borderId="13" xfId="0" applyFont="1" applyFill="1" applyBorder="1" applyAlignment="1" applyProtection="1">
      <alignment wrapText="1"/>
      <protection locked="0"/>
    </xf>
    <xf numFmtId="0" fontId="4" fillId="4" borderId="4" xfId="0" applyFont="1" applyFill="1" applyBorder="1" applyAlignment="1" applyProtection="1">
      <alignment wrapText="1"/>
      <protection locked="0"/>
    </xf>
    <xf numFmtId="0" fontId="4" fillId="4" borderId="5" xfId="0" applyFont="1" applyFill="1" applyBorder="1" applyAlignment="1" applyProtection="1">
      <alignment wrapText="1"/>
      <protection locked="0"/>
    </xf>
    <xf numFmtId="49" fontId="4" fillId="4" borderId="15" xfId="0" applyNumberFormat="1" applyFont="1" applyFill="1" applyBorder="1" applyAlignment="1">
      <alignment wrapText="1"/>
    </xf>
    <xf numFmtId="0" fontId="4" fillId="4" borderId="15" xfId="0" applyFont="1" applyFill="1" applyBorder="1" applyAlignment="1">
      <alignment horizontal="right"/>
    </xf>
    <xf numFmtId="0" fontId="4" fillId="4" borderId="15" xfId="0" applyFont="1" applyFill="1" applyBorder="1" applyAlignment="1" applyProtection="1">
      <alignment wrapText="1"/>
      <protection locked="0"/>
    </xf>
    <xf numFmtId="49" fontId="3" fillId="6" borderId="7" xfId="0" applyNumberFormat="1" applyFont="1" applyFill="1" applyBorder="1" applyAlignment="1">
      <alignment horizontal="right" wrapText="1"/>
    </xf>
    <xf numFmtId="49" fontId="3" fillId="6" borderId="1" xfId="0" applyNumberFormat="1" applyFont="1" applyFill="1" applyBorder="1" applyAlignment="1">
      <alignment horizontal="right" wrapText="1"/>
    </xf>
    <xf numFmtId="49" fontId="3" fillId="6" borderId="12" xfId="0" applyNumberFormat="1" applyFont="1" applyFill="1" applyBorder="1" applyAlignment="1">
      <alignment horizontal="right" wrapText="1"/>
    </xf>
    <xf numFmtId="0" fontId="4" fillId="4" borderId="17" xfId="0" applyFont="1" applyFill="1" applyBorder="1" applyAlignment="1">
      <alignment wrapText="1"/>
    </xf>
    <xf numFmtId="49" fontId="4" fillId="4" borderId="18" xfId="0" applyNumberFormat="1" applyFont="1" applyFill="1" applyBorder="1" applyAlignment="1">
      <alignment wrapText="1"/>
    </xf>
    <xf numFmtId="0" fontId="4" fillId="4" borderId="18" xfId="0" applyFont="1" applyFill="1" applyBorder="1" applyAlignment="1">
      <alignment horizontal="right"/>
    </xf>
    <xf numFmtId="0" fontId="4" fillId="4" borderId="18" xfId="0" applyFont="1" applyFill="1" applyBorder="1" applyAlignment="1" applyProtection="1">
      <alignment wrapText="1"/>
      <protection locked="0"/>
    </xf>
    <xf numFmtId="0" fontId="3" fillId="0" borderId="7" xfId="0" applyFont="1" applyBorder="1" applyAlignment="1">
      <alignment wrapText="1"/>
    </xf>
    <xf numFmtId="0" fontId="0" fillId="0" borderId="7" xfId="0" applyBorder="1"/>
    <xf numFmtId="0" fontId="3" fillId="0" borderId="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5" fillId="0" borderId="12" xfId="0" applyFont="1" applyBorder="1"/>
    <xf numFmtId="0" fontId="4" fillId="4" borderId="5" xfId="0" applyFont="1" applyFill="1" applyBorder="1"/>
    <xf numFmtId="0" fontId="3" fillId="4" borderId="20" xfId="0" applyFont="1" applyFill="1" applyBorder="1" applyAlignment="1">
      <alignment wrapText="1"/>
    </xf>
    <xf numFmtId="49" fontId="3" fillId="4" borderId="21" xfId="0" applyNumberFormat="1" applyFont="1" applyFill="1" applyBorder="1" applyAlignment="1">
      <alignment wrapText="1"/>
    </xf>
    <xf numFmtId="0" fontId="3" fillId="4" borderId="21" xfId="0" applyFont="1" applyFill="1" applyBorder="1" applyAlignment="1">
      <alignment horizontal="right"/>
    </xf>
    <xf numFmtId="0" fontId="3" fillId="4" borderId="21" xfId="0" applyFont="1" applyFill="1" applyBorder="1" applyAlignment="1" applyProtection="1">
      <alignment wrapText="1"/>
      <protection locked="0"/>
    </xf>
    <xf numFmtId="0" fontId="3" fillId="4" borderId="22" xfId="0" applyFont="1" applyFill="1" applyBorder="1" applyAlignment="1" applyProtection="1">
      <alignment wrapText="1"/>
      <protection locked="0"/>
    </xf>
    <xf numFmtId="0" fontId="3" fillId="4" borderId="23" xfId="0" applyFont="1" applyFill="1" applyBorder="1" applyAlignment="1">
      <alignment wrapText="1"/>
    </xf>
    <xf numFmtId="49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 applyProtection="1">
      <alignment wrapText="1"/>
      <protection locked="0"/>
    </xf>
    <xf numFmtId="0" fontId="3" fillId="4" borderId="0" xfId="0" applyFont="1" applyFill="1"/>
    <xf numFmtId="0" fontId="3" fillId="4" borderId="24" xfId="0" applyFont="1" applyFill="1" applyBorder="1" applyAlignment="1" applyProtection="1">
      <alignment wrapText="1"/>
      <protection locked="0"/>
    </xf>
    <xf numFmtId="9" fontId="3" fillId="4" borderId="0" xfId="0" applyNumberFormat="1" applyFont="1" applyFill="1"/>
    <xf numFmtId="0" fontId="3" fillId="4" borderId="25" xfId="0" applyFont="1" applyFill="1" applyBorder="1" applyAlignment="1">
      <alignment wrapText="1"/>
    </xf>
    <xf numFmtId="49" fontId="3" fillId="4" borderId="26" xfId="0" applyNumberFormat="1" applyFont="1" applyFill="1" applyBorder="1" applyAlignment="1">
      <alignment wrapText="1"/>
    </xf>
    <xf numFmtId="0" fontId="3" fillId="4" borderId="26" xfId="0" applyFont="1" applyFill="1" applyBorder="1" applyAlignment="1">
      <alignment horizontal="right"/>
    </xf>
    <xf numFmtId="0" fontId="3" fillId="4" borderId="26" xfId="0" applyFont="1" applyFill="1" applyBorder="1" applyAlignment="1" applyProtection="1">
      <alignment wrapText="1"/>
      <protection locked="0"/>
    </xf>
    <xf numFmtId="0" fontId="3" fillId="4" borderId="27" xfId="0" applyFont="1" applyFill="1" applyBorder="1" applyAlignment="1" applyProtection="1">
      <alignment wrapText="1"/>
      <protection locked="0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 applyProtection="1">
      <alignment wrapText="1"/>
      <protection locked="0"/>
    </xf>
    <xf numFmtId="0" fontId="3" fillId="4" borderId="1" xfId="0" applyFont="1" applyFill="1" applyBorder="1"/>
    <xf numFmtId="4" fontId="3" fillId="4" borderId="1" xfId="0" applyNumberFormat="1" applyFont="1" applyFill="1" applyBorder="1"/>
    <xf numFmtId="9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4" fontId="3" fillId="0" borderId="1" xfId="0" applyNumberFormat="1" applyFont="1" applyBorder="1"/>
    <xf numFmtId="3" fontId="0" fillId="0" borderId="1" xfId="0" applyNumberFormat="1" applyBorder="1"/>
    <xf numFmtId="3" fontId="3" fillId="0" borderId="1" xfId="0" applyNumberFormat="1" applyFont="1" applyBorder="1"/>
    <xf numFmtId="0" fontId="0" fillId="7" borderId="1" xfId="0" applyFill="1" applyBorder="1"/>
    <xf numFmtId="0" fontId="4" fillId="7" borderId="14" xfId="0" applyFont="1" applyFill="1" applyBorder="1" applyAlignment="1">
      <alignment wrapText="1"/>
    </xf>
    <xf numFmtId="0" fontId="4" fillId="7" borderId="15" xfId="0" applyFont="1" applyFill="1" applyBorder="1"/>
    <xf numFmtId="0" fontId="4" fillId="7" borderId="4" xfId="0" applyFont="1" applyFill="1" applyBorder="1"/>
    <xf numFmtId="0" fontId="4" fillId="7" borderId="18" xfId="0" applyFont="1" applyFill="1" applyBorder="1"/>
    <xf numFmtId="0" fontId="4" fillId="8" borderId="4" xfId="0" applyFont="1" applyFill="1" applyBorder="1" applyAlignment="1" applyProtection="1">
      <alignment wrapText="1"/>
      <protection locked="0"/>
    </xf>
    <xf numFmtId="0" fontId="4" fillId="8" borderId="19" xfId="0" applyFont="1" applyFill="1" applyBorder="1" applyAlignment="1" applyProtection="1">
      <alignment wrapText="1"/>
      <protection locked="0"/>
    </xf>
    <xf numFmtId="0" fontId="4" fillId="8" borderId="16" xfId="0" applyFont="1" applyFill="1" applyBorder="1" applyAlignment="1" applyProtection="1">
      <alignment wrapText="1"/>
      <protection locked="0"/>
    </xf>
    <xf numFmtId="0" fontId="3" fillId="8" borderId="21" xfId="0" applyFont="1" applyFill="1" applyBorder="1"/>
    <xf numFmtId="4" fontId="3" fillId="7" borderId="26" xfId="0" applyNumberFormat="1" applyFont="1" applyFill="1" applyBorder="1"/>
    <xf numFmtId="4" fontId="0" fillId="7" borderId="1" xfId="0" applyNumberFormat="1" applyFill="1" applyBorder="1"/>
    <xf numFmtId="3" fontId="0" fillId="7" borderId="1" xfId="0" applyNumberFormat="1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3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TiempoC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 de Estimación Puntos CU"/>
      <sheetName val="Distribución de esfuerzo"/>
    </sheetNames>
    <sheetDataSet>
      <sheetData sheetId="0">
        <row r="50">
          <cell r="E50">
            <v>4399.2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ED5F-1E09-4B35-9E73-6B0C8A1754FA}">
  <dimension ref="B1:I19"/>
  <sheetViews>
    <sheetView workbookViewId="0">
      <selection activeCell="E4" sqref="E4"/>
    </sheetView>
  </sheetViews>
  <sheetFormatPr baseColWidth="10" defaultRowHeight="15" x14ac:dyDescent="0.25"/>
  <cols>
    <col min="3" max="3" width="12.5703125" style="1" bestFit="1" customWidth="1"/>
    <col min="4" max="4" width="11.5703125" style="1" bestFit="1" customWidth="1"/>
    <col min="5" max="5" width="17.42578125" style="1" bestFit="1" customWidth="1"/>
  </cols>
  <sheetData>
    <row r="1" spans="2:9" x14ac:dyDescent="0.25">
      <c r="B1" s="104" t="s">
        <v>13</v>
      </c>
      <c r="C1" s="104"/>
      <c r="D1" s="104"/>
      <c r="E1" s="104"/>
    </row>
    <row r="2" spans="2:9" x14ac:dyDescent="0.25">
      <c r="B2" s="2" t="s">
        <v>0</v>
      </c>
      <c r="C2" s="3" t="s">
        <v>1</v>
      </c>
      <c r="D2" s="3" t="s">
        <v>2</v>
      </c>
      <c r="E2" s="3" t="s">
        <v>12</v>
      </c>
      <c r="H2" s="6" t="s">
        <v>11</v>
      </c>
      <c r="I2" s="4">
        <v>16</v>
      </c>
    </row>
    <row r="3" spans="2:9" x14ac:dyDescent="0.25">
      <c r="B3" s="7"/>
      <c r="C3" s="8"/>
      <c r="D3" s="8"/>
      <c r="E3" s="8"/>
    </row>
    <row r="4" spans="2:9" x14ac:dyDescent="0.25">
      <c r="B4" s="7" t="s">
        <v>3</v>
      </c>
      <c r="C4" s="8">
        <v>250000</v>
      </c>
      <c r="D4" s="8">
        <f t="shared" ref="D4:D10" si="0">+C4/12</f>
        <v>20833.333333333332</v>
      </c>
      <c r="E4" s="8">
        <f>+D4/$I$2</f>
        <v>1302.0833333333333</v>
      </c>
    </row>
    <row r="5" spans="2:9" x14ac:dyDescent="0.25">
      <c r="B5" s="7" t="s">
        <v>4</v>
      </c>
      <c r="C5" s="8">
        <v>36000</v>
      </c>
      <c r="D5" s="8">
        <f t="shared" si="0"/>
        <v>3000</v>
      </c>
      <c r="E5" s="8">
        <f t="shared" ref="E5:E19" si="1">+D5/$I$2</f>
        <v>187.5</v>
      </c>
    </row>
    <row r="6" spans="2:9" x14ac:dyDescent="0.25">
      <c r="B6" s="7" t="s">
        <v>5</v>
      </c>
      <c r="C6" s="8">
        <v>12000</v>
      </c>
      <c r="D6" s="8">
        <f t="shared" si="0"/>
        <v>1000</v>
      </c>
      <c r="E6" s="8">
        <f t="shared" si="1"/>
        <v>62.5</v>
      </c>
    </row>
    <row r="7" spans="2:9" x14ac:dyDescent="0.25">
      <c r="B7" s="7" t="s">
        <v>6</v>
      </c>
      <c r="C7" s="8">
        <v>55000</v>
      </c>
      <c r="D7" s="8">
        <f t="shared" si="0"/>
        <v>4583.333333333333</v>
      </c>
      <c r="E7" s="8">
        <f t="shared" si="1"/>
        <v>286.45833333333331</v>
      </c>
    </row>
    <row r="8" spans="2:9" x14ac:dyDescent="0.25">
      <c r="B8" s="7" t="s">
        <v>7</v>
      </c>
      <c r="C8" s="8">
        <v>18000</v>
      </c>
      <c r="D8" s="8">
        <f t="shared" si="0"/>
        <v>1500</v>
      </c>
      <c r="E8" s="8">
        <f t="shared" si="1"/>
        <v>93.75</v>
      </c>
    </row>
    <row r="9" spans="2:9" x14ac:dyDescent="0.25">
      <c r="B9" s="7" t="s">
        <v>8</v>
      </c>
      <c r="C9" s="8">
        <v>24000</v>
      </c>
      <c r="D9" s="8">
        <f t="shared" si="0"/>
        <v>2000</v>
      </c>
      <c r="E9" s="8">
        <f t="shared" si="1"/>
        <v>125</v>
      </c>
    </row>
    <row r="10" spans="2:9" x14ac:dyDescent="0.25">
      <c r="B10" s="7" t="s">
        <v>9</v>
      </c>
      <c r="C10" s="8">
        <v>12000</v>
      </c>
      <c r="D10" s="8">
        <f t="shared" si="0"/>
        <v>1000</v>
      </c>
      <c r="E10" s="8">
        <f t="shared" si="1"/>
        <v>62.5</v>
      </c>
    </row>
    <row r="11" spans="2:9" x14ac:dyDescent="0.25">
      <c r="B11" s="7"/>
      <c r="C11" s="8"/>
      <c r="D11" s="8"/>
      <c r="E11" s="8"/>
    </row>
    <row r="12" spans="2:9" x14ac:dyDescent="0.25">
      <c r="B12" s="7"/>
      <c r="C12" s="8"/>
      <c r="D12" s="8"/>
      <c r="E12" s="8"/>
    </row>
    <row r="13" spans="2:9" x14ac:dyDescent="0.25">
      <c r="B13" s="7"/>
      <c r="C13" s="8"/>
      <c r="D13" s="8"/>
      <c r="E13" s="8"/>
    </row>
    <row r="14" spans="2:9" x14ac:dyDescent="0.25">
      <c r="B14" s="7"/>
      <c r="C14" s="8"/>
      <c r="D14" s="8"/>
      <c r="E14" s="8"/>
    </row>
    <row r="15" spans="2:9" x14ac:dyDescent="0.25">
      <c r="B15" s="7"/>
      <c r="C15" s="8"/>
      <c r="D15" s="8"/>
      <c r="E15" s="8"/>
    </row>
    <row r="16" spans="2:9" x14ac:dyDescent="0.25">
      <c r="B16" s="7"/>
      <c r="C16" s="8"/>
      <c r="D16" s="8"/>
      <c r="E16" s="8"/>
    </row>
    <row r="17" spans="2:5" x14ac:dyDescent="0.25">
      <c r="B17" s="7"/>
      <c r="C17" s="8"/>
      <c r="D17" s="8"/>
      <c r="E17" s="8"/>
    </row>
    <row r="18" spans="2:5" x14ac:dyDescent="0.25">
      <c r="B18" s="7"/>
      <c r="C18" s="8"/>
      <c r="D18" s="8"/>
      <c r="E18" s="8"/>
    </row>
    <row r="19" spans="2:5" x14ac:dyDescent="0.25">
      <c r="B19" s="7" t="s">
        <v>10</v>
      </c>
      <c r="C19" s="8">
        <f>SUM(C4:C18)</f>
        <v>407000</v>
      </c>
      <c r="D19" s="8">
        <f>SUM(D4:D18)</f>
        <v>33916.666666666664</v>
      </c>
      <c r="E19" s="8">
        <f t="shared" si="1"/>
        <v>2119.7916666666665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43E1-16F1-437A-B606-38318B70C1D0}">
  <dimension ref="B1:J16"/>
  <sheetViews>
    <sheetView workbookViewId="0">
      <selection activeCell="A7" sqref="A7"/>
    </sheetView>
  </sheetViews>
  <sheetFormatPr baseColWidth="10" defaultRowHeight="15" x14ac:dyDescent="0.25"/>
  <cols>
    <col min="2" max="2" width="44.5703125" style="9" customWidth="1"/>
    <col min="4" max="4" width="11.42578125" style="1"/>
    <col min="5" max="5" width="17.85546875" style="1" bestFit="1" customWidth="1"/>
    <col min="9" max="9" width="28.42578125" bestFit="1" customWidth="1"/>
  </cols>
  <sheetData>
    <row r="1" spans="2:10" x14ac:dyDescent="0.25">
      <c r="B1" s="105" t="s">
        <v>20</v>
      </c>
      <c r="C1" s="105"/>
      <c r="D1" s="105"/>
      <c r="E1" s="105"/>
    </row>
    <row r="2" spans="2:10" x14ac:dyDescent="0.25">
      <c r="B2" s="11" t="s">
        <v>0</v>
      </c>
      <c r="C2" s="10" t="s">
        <v>14</v>
      </c>
      <c r="D2" s="12" t="s">
        <v>15</v>
      </c>
      <c r="E2" s="12" t="s">
        <v>16</v>
      </c>
      <c r="I2" s="10" t="s">
        <v>17</v>
      </c>
      <c r="J2" s="4">
        <v>12</v>
      </c>
    </row>
    <row r="3" spans="2:10" x14ac:dyDescent="0.25">
      <c r="B3" s="13" t="s">
        <v>18</v>
      </c>
      <c r="C3" s="4">
        <v>4</v>
      </c>
      <c r="D3" s="5">
        <v>18000</v>
      </c>
      <c r="E3" s="5">
        <f>+D3/$J$2</f>
        <v>1500</v>
      </c>
      <c r="I3" s="10" t="s">
        <v>26</v>
      </c>
      <c r="J3" s="4">
        <v>6</v>
      </c>
    </row>
    <row r="4" spans="2:10" ht="30" x14ac:dyDescent="0.25">
      <c r="B4" s="13" t="s">
        <v>19</v>
      </c>
      <c r="C4" s="4">
        <v>1</v>
      </c>
      <c r="D4" s="5">
        <v>39000</v>
      </c>
      <c r="E4" s="5">
        <f t="shared" ref="E4:E6" si="0">+D4/$J$2</f>
        <v>3250</v>
      </c>
    </row>
    <row r="5" spans="2:10" x14ac:dyDescent="0.25">
      <c r="B5" s="13" t="s">
        <v>21</v>
      </c>
      <c r="C5" s="4"/>
      <c r="D5" s="5"/>
      <c r="E5" s="5">
        <f t="shared" si="0"/>
        <v>0</v>
      </c>
    </row>
    <row r="6" spans="2:10" ht="30" x14ac:dyDescent="0.25">
      <c r="B6" s="13" t="s">
        <v>22</v>
      </c>
      <c r="C6" s="4">
        <v>3</v>
      </c>
      <c r="D6" s="5">
        <v>22000</v>
      </c>
      <c r="E6" s="5">
        <f t="shared" si="0"/>
        <v>1833.3333333333333</v>
      </c>
    </row>
    <row r="7" spans="2:10" x14ac:dyDescent="0.25">
      <c r="B7" s="13" t="s">
        <v>25</v>
      </c>
      <c r="C7" s="4">
        <v>1</v>
      </c>
      <c r="D7" s="5">
        <f>500*20</f>
        <v>10000</v>
      </c>
      <c r="E7" s="5">
        <f>+D7*$J$2</f>
        <v>120000</v>
      </c>
    </row>
    <row r="8" spans="2:10" x14ac:dyDescent="0.25">
      <c r="B8" s="13" t="s">
        <v>23</v>
      </c>
      <c r="C8" s="4">
        <f>+$J$3</f>
        <v>6</v>
      </c>
      <c r="D8" s="5">
        <v>980</v>
      </c>
      <c r="E8" s="5">
        <f>+D8*$C$8/$J$2</f>
        <v>490</v>
      </c>
    </row>
    <row r="9" spans="2:10" x14ac:dyDescent="0.25">
      <c r="B9" s="13" t="s">
        <v>24</v>
      </c>
      <c r="C9" s="4">
        <f>+$J$3</f>
        <v>6</v>
      </c>
      <c r="D9" s="5">
        <v>1199</v>
      </c>
      <c r="E9" s="5">
        <f>+D9*$C$8/$J$2</f>
        <v>599.5</v>
      </c>
    </row>
    <row r="10" spans="2:10" x14ac:dyDescent="0.25">
      <c r="B10" s="13"/>
      <c r="C10" s="4"/>
      <c r="D10" s="5"/>
      <c r="E10" s="5"/>
    </row>
    <row r="11" spans="2:10" x14ac:dyDescent="0.25">
      <c r="B11" s="13"/>
      <c r="C11" s="4"/>
      <c r="D11" s="5"/>
      <c r="E11" s="5"/>
    </row>
    <row r="12" spans="2:10" x14ac:dyDescent="0.25">
      <c r="B12" s="13"/>
      <c r="C12" s="4"/>
      <c r="D12" s="5"/>
      <c r="E12" s="5"/>
    </row>
    <row r="13" spans="2:10" x14ac:dyDescent="0.25">
      <c r="B13" s="13"/>
      <c r="C13" s="4"/>
      <c r="D13" s="5"/>
      <c r="E13" s="5"/>
    </row>
    <row r="14" spans="2:10" x14ac:dyDescent="0.25">
      <c r="B14" s="13"/>
      <c r="C14" s="4"/>
      <c r="D14" s="5"/>
      <c r="E14" s="5"/>
    </row>
    <row r="15" spans="2:10" x14ac:dyDescent="0.25">
      <c r="B15" s="13"/>
      <c r="C15" s="4"/>
      <c r="D15" s="5"/>
      <c r="E15" s="5"/>
    </row>
    <row r="16" spans="2:10" x14ac:dyDescent="0.25">
      <c r="B16" s="13" t="s">
        <v>27</v>
      </c>
      <c r="C16" s="4"/>
      <c r="D16" s="5"/>
      <c r="E16" s="5">
        <f>SUM(E3:E15)</f>
        <v>127672.83333333333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90B2-DE76-49B8-82FC-1DA457D90CB6}">
  <dimension ref="B2:G18"/>
  <sheetViews>
    <sheetView workbookViewId="0">
      <selection activeCell="C7" sqref="C7"/>
    </sheetView>
  </sheetViews>
  <sheetFormatPr baseColWidth="10" defaultRowHeight="15" x14ac:dyDescent="0.25"/>
  <cols>
    <col min="2" max="2" width="19.85546875" bestFit="1" customWidth="1"/>
    <col min="3" max="3" width="11.42578125" style="1"/>
    <col min="4" max="4" width="17.28515625" bestFit="1" customWidth="1"/>
    <col min="5" max="5" width="13.42578125" bestFit="1" customWidth="1"/>
    <col min="6" max="6" width="14.140625" bestFit="1" customWidth="1"/>
    <col min="7" max="7" width="15.85546875" bestFit="1" customWidth="1"/>
  </cols>
  <sheetData>
    <row r="2" spans="2:7" x14ac:dyDescent="0.25">
      <c r="B2" s="106" t="s">
        <v>32</v>
      </c>
      <c r="C2" s="107"/>
      <c r="D2" s="107"/>
      <c r="E2" s="107"/>
      <c r="F2" s="107"/>
      <c r="G2" s="107"/>
    </row>
    <row r="3" spans="2:7" x14ac:dyDescent="0.25">
      <c r="B3" s="10" t="s">
        <v>38</v>
      </c>
      <c r="C3" s="12" t="s">
        <v>2</v>
      </c>
      <c r="D3" s="10" t="s">
        <v>44</v>
      </c>
      <c r="E3" s="10" t="s">
        <v>45</v>
      </c>
      <c r="F3" s="10" t="s">
        <v>30</v>
      </c>
      <c r="G3" s="10" t="s">
        <v>46</v>
      </c>
    </row>
    <row r="4" spans="2:7" x14ac:dyDescent="0.25">
      <c r="B4" s="4" t="s">
        <v>33</v>
      </c>
      <c r="C4" s="5">
        <f>+DistribuciónEsfuerzo!J16</f>
        <v>25000</v>
      </c>
      <c r="D4" s="90"/>
      <c r="E4" s="14"/>
      <c r="F4" s="14"/>
      <c r="G4" s="15"/>
    </row>
    <row r="5" spans="2:7" x14ac:dyDescent="0.25">
      <c r="B5" s="4" t="s">
        <v>34</v>
      </c>
      <c r="C5" s="5">
        <f>+DistribuciónEsfuerzo!J28</f>
        <v>30000</v>
      </c>
      <c r="D5" s="90"/>
      <c r="E5" s="14"/>
      <c r="F5" s="14"/>
      <c r="G5" s="15"/>
    </row>
    <row r="6" spans="2:7" x14ac:dyDescent="0.25">
      <c r="B6" s="4" t="s">
        <v>35</v>
      </c>
      <c r="C6" s="5">
        <v>35000</v>
      </c>
      <c r="D6" s="4"/>
      <c r="E6" s="14"/>
      <c r="F6" s="14"/>
      <c r="G6" s="15"/>
    </row>
    <row r="7" spans="2:7" x14ac:dyDescent="0.25">
      <c r="B7" s="4" t="s">
        <v>36</v>
      </c>
      <c r="C7" s="5">
        <f>+DistribuciónEsfuerzo!J39</f>
        <v>40000</v>
      </c>
      <c r="D7" s="90"/>
      <c r="E7" s="14"/>
      <c r="F7" s="14"/>
      <c r="G7" s="15"/>
    </row>
    <row r="8" spans="2:7" x14ac:dyDescent="0.25">
      <c r="B8" s="4" t="s">
        <v>37</v>
      </c>
      <c r="C8" s="5">
        <f>+DistribuciónEsfuerzo!J50</f>
        <v>20000</v>
      </c>
      <c r="D8" s="90"/>
      <c r="E8" s="14"/>
      <c r="F8" s="14"/>
      <c r="G8" s="15"/>
    </row>
    <row r="9" spans="2:7" x14ac:dyDescent="0.25">
      <c r="B9" s="4" t="s">
        <v>39</v>
      </c>
      <c r="C9" s="5">
        <v>33000</v>
      </c>
      <c r="D9" s="4"/>
      <c r="E9" s="14"/>
      <c r="F9" s="14"/>
      <c r="G9" s="15"/>
    </row>
    <row r="10" spans="2:7" x14ac:dyDescent="0.25">
      <c r="B10" s="4" t="s">
        <v>40</v>
      </c>
      <c r="C10" s="5">
        <v>32000</v>
      </c>
      <c r="D10" s="4"/>
      <c r="E10" s="14"/>
      <c r="F10" s="14"/>
      <c r="G10" s="15"/>
    </row>
    <row r="11" spans="2:7" x14ac:dyDescent="0.25">
      <c r="B11" s="4" t="s">
        <v>41</v>
      </c>
      <c r="C11" s="5">
        <v>15000</v>
      </c>
      <c r="D11" s="4"/>
      <c r="E11" s="14"/>
      <c r="F11" s="14"/>
      <c r="G11" s="15"/>
    </row>
    <row r="12" spans="2:7" x14ac:dyDescent="0.25">
      <c r="B12" s="4" t="s">
        <v>42</v>
      </c>
      <c r="C12" s="5">
        <v>20000</v>
      </c>
      <c r="D12" s="4"/>
      <c r="E12" s="14"/>
      <c r="F12" s="14"/>
      <c r="G12" s="15"/>
    </row>
    <row r="13" spans="2:7" x14ac:dyDescent="0.25">
      <c r="B13" s="4" t="s">
        <v>43</v>
      </c>
      <c r="C13" s="5">
        <v>30000</v>
      </c>
      <c r="D13" s="4"/>
      <c r="E13" s="14"/>
      <c r="F13" s="14"/>
      <c r="G13" s="15"/>
    </row>
    <row r="14" spans="2:7" x14ac:dyDescent="0.25">
      <c r="B14" s="4"/>
      <c r="C14" s="5"/>
      <c r="D14" s="4"/>
      <c r="E14" s="4"/>
      <c r="F14" s="4"/>
      <c r="G14" s="15"/>
    </row>
    <row r="15" spans="2:7" x14ac:dyDescent="0.25">
      <c r="B15" s="4"/>
      <c r="C15" s="5"/>
      <c r="D15" s="4"/>
      <c r="E15" s="4"/>
      <c r="F15" s="4"/>
      <c r="G15" s="15"/>
    </row>
    <row r="16" spans="2:7" x14ac:dyDescent="0.25">
      <c r="B16" s="4"/>
      <c r="C16" s="5"/>
      <c r="D16" s="4"/>
      <c r="E16" s="4"/>
      <c r="F16" s="4"/>
      <c r="G16" s="15"/>
    </row>
    <row r="17" spans="2:7" x14ac:dyDescent="0.25">
      <c r="B17" s="4"/>
      <c r="C17" s="5"/>
      <c r="D17" s="4"/>
      <c r="E17" s="4"/>
      <c r="F17" s="4"/>
      <c r="G17" s="15"/>
    </row>
    <row r="18" spans="2:7" x14ac:dyDescent="0.25">
      <c r="B18" s="4" t="s">
        <v>27</v>
      </c>
      <c r="C18" s="5"/>
      <c r="D18" s="4"/>
      <c r="E18" s="14"/>
      <c r="F18" s="14">
        <f>+DistribuciónEsfuerzo!B15</f>
        <v>178370.63749999995</v>
      </c>
      <c r="G18" s="14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E9D0-3A9D-402F-AA71-73ABA43DB2A5}">
  <dimension ref="B2:E10"/>
  <sheetViews>
    <sheetView workbookViewId="0">
      <selection activeCell="C4" sqref="C4"/>
    </sheetView>
  </sheetViews>
  <sheetFormatPr baseColWidth="10" defaultRowHeight="15" x14ac:dyDescent="0.25"/>
  <cols>
    <col min="4" max="5" width="11.42578125" style="1"/>
  </cols>
  <sheetData>
    <row r="2" spans="2:5" x14ac:dyDescent="0.25">
      <c r="B2" s="104" t="s">
        <v>48</v>
      </c>
      <c r="C2" s="104"/>
      <c r="D2" s="104"/>
      <c r="E2" s="104"/>
    </row>
    <row r="3" spans="2:5" x14ac:dyDescent="0.25">
      <c r="B3" s="10" t="s">
        <v>0</v>
      </c>
      <c r="C3" s="10" t="s">
        <v>49</v>
      </c>
      <c r="D3" s="12" t="s">
        <v>31</v>
      </c>
      <c r="E3" s="12" t="s">
        <v>10</v>
      </c>
    </row>
    <row r="4" spans="2:5" x14ac:dyDescent="0.25">
      <c r="B4" s="4" t="s">
        <v>50</v>
      </c>
      <c r="C4" s="4">
        <v>0</v>
      </c>
      <c r="D4" s="5">
        <v>1200</v>
      </c>
      <c r="E4" s="5">
        <f>+D4*C4</f>
        <v>0</v>
      </c>
    </row>
    <row r="5" spans="2:5" x14ac:dyDescent="0.25">
      <c r="B5" s="4" t="s">
        <v>51</v>
      </c>
      <c r="C5" s="4">
        <v>0</v>
      </c>
      <c r="D5" s="5">
        <v>1200</v>
      </c>
      <c r="E5" s="5">
        <f>+D5*C5</f>
        <v>0</v>
      </c>
    </row>
    <row r="6" spans="2:5" x14ac:dyDescent="0.25">
      <c r="B6" s="4"/>
      <c r="C6" s="4"/>
      <c r="D6" s="5"/>
      <c r="E6" s="5"/>
    </row>
    <row r="7" spans="2:5" x14ac:dyDescent="0.25">
      <c r="B7" s="4"/>
      <c r="C7" s="4"/>
      <c r="D7" s="5"/>
      <c r="E7" s="5"/>
    </row>
    <row r="8" spans="2:5" x14ac:dyDescent="0.25">
      <c r="B8" s="4"/>
      <c r="C8" s="4"/>
      <c r="D8" s="5"/>
      <c r="E8" s="5"/>
    </row>
    <row r="9" spans="2:5" x14ac:dyDescent="0.25">
      <c r="B9" s="4"/>
      <c r="C9" s="4"/>
      <c r="D9" s="5"/>
      <c r="E9" s="5"/>
    </row>
    <row r="10" spans="2:5" x14ac:dyDescent="0.25">
      <c r="B10" s="4" t="s">
        <v>27</v>
      </c>
      <c r="C10" s="4"/>
      <c r="D10" s="5"/>
      <c r="E10" s="5">
        <f>SUM(E4:E9)</f>
        <v>0</v>
      </c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7CA8-17CB-45B8-9111-EE345086BF05}">
  <dimension ref="B2:E10"/>
  <sheetViews>
    <sheetView workbookViewId="0">
      <selection activeCell="E16" sqref="E16"/>
    </sheetView>
  </sheetViews>
  <sheetFormatPr baseColWidth="10" defaultRowHeight="15" x14ac:dyDescent="0.25"/>
  <cols>
    <col min="2" max="2" width="15.5703125" bestFit="1" customWidth="1"/>
    <col min="3" max="3" width="19.85546875" style="1" customWidth="1"/>
  </cols>
  <sheetData>
    <row r="2" spans="2:5" x14ac:dyDescent="0.25">
      <c r="B2" s="108" t="s">
        <v>47</v>
      </c>
      <c r="C2" s="108"/>
    </row>
    <row r="3" spans="2:5" x14ac:dyDescent="0.25">
      <c r="B3" s="10" t="s">
        <v>29</v>
      </c>
      <c r="C3" s="12" t="s">
        <v>31</v>
      </c>
      <c r="D3" s="12" t="s">
        <v>141</v>
      </c>
      <c r="E3" s="12" t="s">
        <v>135</v>
      </c>
    </row>
    <row r="4" spans="2:5" x14ac:dyDescent="0.25">
      <c r="B4" s="4" t="s">
        <v>28</v>
      </c>
      <c r="C4" s="5">
        <f>+'Costos Indirectos'!E19*'Hw&amp;SW'!J3*'Hw&amp;SW'!J2</f>
        <v>152625</v>
      </c>
    </row>
    <row r="5" spans="2:5" x14ac:dyDescent="0.25">
      <c r="B5" s="4" t="s">
        <v>20</v>
      </c>
      <c r="C5" s="5">
        <f>+'Hw&amp;SW'!E16</f>
        <v>127672.83333333333</v>
      </c>
    </row>
    <row r="6" spans="2:5" x14ac:dyDescent="0.25">
      <c r="B6" s="4" t="s">
        <v>32</v>
      </c>
      <c r="C6" s="5">
        <f>+Sueldos!F18</f>
        <v>178370.63749999995</v>
      </c>
    </row>
    <row r="7" spans="2:5" x14ac:dyDescent="0.25">
      <c r="B7" s="4" t="s">
        <v>52</v>
      </c>
      <c r="C7" s="5">
        <f>+Otros!E10</f>
        <v>0</v>
      </c>
    </row>
    <row r="8" spans="2:5" x14ac:dyDescent="0.25">
      <c r="B8" s="4" t="s">
        <v>30</v>
      </c>
      <c r="C8" s="5">
        <f>SUM(C4:C6)</f>
        <v>458668.47083333327</v>
      </c>
    </row>
    <row r="9" spans="2:5" x14ac:dyDescent="0.25">
      <c r="B9" s="4" t="s">
        <v>139</v>
      </c>
      <c r="C9" s="5">
        <f>+D9*C8</f>
        <v>137600.54124999998</v>
      </c>
      <c r="D9" s="4">
        <v>0.3</v>
      </c>
      <c r="E9" s="4"/>
    </row>
    <row r="10" spans="2:5" x14ac:dyDescent="0.25">
      <c r="B10" s="4" t="s">
        <v>140</v>
      </c>
      <c r="C10" s="5">
        <f>+C9+C8</f>
        <v>596269.01208333322</v>
      </c>
      <c r="D10" s="4"/>
      <c r="E10" s="90">
        <f>+DistribuciónEsfuerzo!C23</f>
        <v>4.2749987499999991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B98B-832E-468D-83F7-DDE161EBD68B}">
  <dimension ref="A1:G50"/>
  <sheetViews>
    <sheetView topLeftCell="A37" workbookViewId="0">
      <selection activeCell="E48" sqref="E48"/>
    </sheetView>
  </sheetViews>
  <sheetFormatPr baseColWidth="10" defaultRowHeight="15" x14ac:dyDescent="0.25"/>
  <cols>
    <col min="1" max="1" width="46.5703125" style="9" customWidth="1"/>
    <col min="2" max="2" width="39.42578125" style="81" customWidth="1"/>
    <col min="3" max="3" width="10.42578125" style="82" customWidth="1"/>
    <col min="4" max="4" width="15.5703125" style="83" customWidth="1"/>
    <col min="5" max="5" width="15.5703125" customWidth="1"/>
    <col min="6" max="6" width="26.85546875" style="83" customWidth="1"/>
    <col min="7" max="7" width="12" customWidth="1"/>
  </cols>
  <sheetData>
    <row r="1" spans="1:6" ht="25.5" customHeight="1" x14ac:dyDescent="0.25">
      <c r="A1" s="109" t="s">
        <v>53</v>
      </c>
      <c r="B1" s="109"/>
      <c r="C1" s="109"/>
      <c r="D1" s="109"/>
      <c r="E1" s="109"/>
      <c r="F1" s="109"/>
    </row>
    <row r="2" spans="1:6" ht="15.75" thickBot="1" x14ac:dyDescent="0.3">
      <c r="A2" s="16"/>
      <c r="B2" s="17"/>
      <c r="C2" s="18"/>
      <c r="D2" s="19"/>
      <c r="E2" s="20"/>
      <c r="F2" s="19"/>
    </row>
    <row r="3" spans="1:6" s="27" customFormat="1" ht="13.5" thickBot="1" x14ac:dyDescent="0.25">
      <c r="A3" s="21" t="s">
        <v>54</v>
      </c>
      <c r="B3" s="22" t="s">
        <v>0</v>
      </c>
      <c r="C3" s="23" t="s">
        <v>55</v>
      </c>
      <c r="D3" s="24" t="s">
        <v>14</v>
      </c>
      <c r="E3" s="25" t="s">
        <v>56</v>
      </c>
      <c r="F3" s="26" t="s">
        <v>57</v>
      </c>
    </row>
    <row r="4" spans="1:6" x14ac:dyDescent="0.25">
      <c r="A4" s="28" t="s">
        <v>58</v>
      </c>
      <c r="B4" s="29" t="s">
        <v>59</v>
      </c>
      <c r="C4" s="30">
        <v>1</v>
      </c>
      <c r="D4" s="31">
        <v>0</v>
      </c>
      <c r="E4" s="32">
        <f>C4*D4</f>
        <v>0</v>
      </c>
      <c r="F4" s="33"/>
    </row>
    <row r="5" spans="1:6" x14ac:dyDescent="0.25">
      <c r="A5" s="34" t="s">
        <v>60</v>
      </c>
      <c r="B5" s="35" t="s">
        <v>61</v>
      </c>
      <c r="C5" s="36">
        <v>2</v>
      </c>
      <c r="D5" s="37">
        <v>0</v>
      </c>
      <c r="E5" s="38">
        <f>C5*D5</f>
        <v>0</v>
      </c>
      <c r="F5" s="39"/>
    </row>
    <row r="6" spans="1:6" ht="15.75" thickBot="1" x14ac:dyDescent="0.3">
      <c r="A6" s="40" t="s">
        <v>62</v>
      </c>
      <c r="B6" s="41" t="s">
        <v>63</v>
      </c>
      <c r="C6" s="42">
        <v>3</v>
      </c>
      <c r="D6" s="43">
        <v>5</v>
      </c>
      <c r="E6" s="44">
        <f>C6*D6</f>
        <v>15</v>
      </c>
      <c r="F6" s="45"/>
    </row>
    <row r="7" spans="1:6" ht="15.75" thickBot="1" x14ac:dyDescent="0.3">
      <c r="A7" s="21" t="s">
        <v>64</v>
      </c>
      <c r="B7" s="22"/>
      <c r="C7" s="23"/>
      <c r="D7" s="46"/>
      <c r="E7" s="25">
        <f>SUM(E4:E6)</f>
        <v>15</v>
      </c>
      <c r="F7" s="47"/>
    </row>
    <row r="8" spans="1:6" ht="15.75" thickBot="1" x14ac:dyDescent="0.3">
      <c r="A8" s="16"/>
      <c r="B8" s="17"/>
      <c r="C8" s="18"/>
      <c r="D8" s="19"/>
      <c r="E8" s="20"/>
      <c r="F8" s="19"/>
    </row>
    <row r="9" spans="1:6" s="27" customFormat="1" ht="26.25" thickBot="1" x14ac:dyDescent="0.25">
      <c r="A9" s="21" t="s">
        <v>65</v>
      </c>
      <c r="B9" s="22"/>
      <c r="C9" s="23" t="s">
        <v>55</v>
      </c>
      <c r="D9" s="24" t="s">
        <v>14</v>
      </c>
      <c r="E9" s="25" t="s">
        <v>56</v>
      </c>
      <c r="F9" s="26" t="s">
        <v>57</v>
      </c>
    </row>
    <row r="10" spans="1:6" x14ac:dyDescent="0.25">
      <c r="A10" s="28" t="s">
        <v>58</v>
      </c>
      <c r="B10" s="29" t="s">
        <v>66</v>
      </c>
      <c r="C10" s="30">
        <v>5</v>
      </c>
      <c r="D10" s="31">
        <v>0</v>
      </c>
      <c r="E10" s="32">
        <f>C10*D10</f>
        <v>0</v>
      </c>
      <c r="F10" s="33"/>
    </row>
    <row r="11" spans="1:6" x14ac:dyDescent="0.25">
      <c r="A11" s="34" t="s">
        <v>60</v>
      </c>
      <c r="B11" s="35" t="s">
        <v>67</v>
      </c>
      <c r="C11" s="36">
        <v>10</v>
      </c>
      <c r="D11" s="37">
        <v>2</v>
      </c>
      <c r="E11" s="38">
        <f>C11*D11</f>
        <v>20</v>
      </c>
      <c r="F11" s="39"/>
    </row>
    <row r="12" spans="1:6" ht="15.75" thickBot="1" x14ac:dyDescent="0.3">
      <c r="A12" s="40" t="s">
        <v>62</v>
      </c>
      <c r="B12" s="41" t="s">
        <v>68</v>
      </c>
      <c r="C12" s="42">
        <v>15</v>
      </c>
      <c r="D12" s="43">
        <v>3</v>
      </c>
      <c r="E12" s="44">
        <f>C12*D12</f>
        <v>45</v>
      </c>
      <c r="F12" s="45"/>
    </row>
    <row r="13" spans="1:6" ht="15.75" thickBot="1" x14ac:dyDescent="0.3">
      <c r="A13" s="21" t="s">
        <v>69</v>
      </c>
      <c r="B13" s="22"/>
      <c r="C13" s="23"/>
      <c r="D13" s="46"/>
      <c r="E13" s="25">
        <f>SUM(E10:E12)</f>
        <v>65</v>
      </c>
      <c r="F13" s="47"/>
    </row>
    <row r="14" spans="1:6" ht="15.75" thickBot="1" x14ac:dyDescent="0.3">
      <c r="A14" s="16"/>
      <c r="B14" s="17"/>
      <c r="C14" s="18"/>
      <c r="D14" s="19"/>
      <c r="E14" s="20"/>
      <c r="F14" s="19"/>
    </row>
    <row r="15" spans="1:6" ht="15.75" thickBot="1" x14ac:dyDescent="0.3">
      <c r="A15" s="93" t="s">
        <v>70</v>
      </c>
      <c r="B15" s="48"/>
      <c r="C15" s="49"/>
      <c r="D15" s="50"/>
      <c r="E15" s="94">
        <f>TAW+TBF</f>
        <v>80</v>
      </c>
      <c r="F15" s="99"/>
    </row>
    <row r="16" spans="1:6" ht="15.75" thickBot="1" x14ac:dyDescent="0.3">
      <c r="A16" s="16"/>
      <c r="B16" s="17"/>
      <c r="C16" s="18"/>
      <c r="D16" s="19"/>
      <c r="E16" s="20"/>
      <c r="F16" s="19"/>
    </row>
    <row r="17" spans="1:6" s="27" customFormat="1" ht="13.5" thickBot="1" x14ac:dyDescent="0.25">
      <c r="A17" s="21" t="s">
        <v>71</v>
      </c>
      <c r="B17" s="22" t="s">
        <v>72</v>
      </c>
      <c r="C17" s="23" t="s">
        <v>55</v>
      </c>
      <c r="D17" s="24" t="s">
        <v>14</v>
      </c>
      <c r="E17" s="25" t="s">
        <v>56</v>
      </c>
      <c r="F17" s="26" t="s">
        <v>73</v>
      </c>
    </row>
    <row r="18" spans="1:6" x14ac:dyDescent="0.25">
      <c r="A18" s="28" t="s">
        <v>74</v>
      </c>
      <c r="B18" s="29" t="s">
        <v>75</v>
      </c>
      <c r="C18" s="51">
        <v>2</v>
      </c>
      <c r="D18" s="31">
        <v>2</v>
      </c>
      <c r="E18" s="32">
        <f t="shared" ref="E18:E30" si="0">C18*D18</f>
        <v>4</v>
      </c>
      <c r="F18" s="33"/>
    </row>
    <row r="19" spans="1:6" x14ac:dyDescent="0.25">
      <c r="A19" s="34" t="s">
        <v>76</v>
      </c>
      <c r="B19" s="35" t="s">
        <v>75</v>
      </c>
      <c r="C19" s="52">
        <v>1</v>
      </c>
      <c r="D19" s="37">
        <v>5</v>
      </c>
      <c r="E19" s="38">
        <f t="shared" si="0"/>
        <v>5</v>
      </c>
      <c r="F19" s="39"/>
    </row>
    <row r="20" spans="1:6" x14ac:dyDescent="0.25">
      <c r="A20" s="34" t="s">
        <v>77</v>
      </c>
      <c r="B20" s="35" t="s">
        <v>75</v>
      </c>
      <c r="C20" s="52">
        <v>1</v>
      </c>
      <c r="D20" s="37">
        <v>3</v>
      </c>
      <c r="E20" s="38">
        <f t="shared" si="0"/>
        <v>3</v>
      </c>
      <c r="F20" s="39"/>
    </row>
    <row r="21" spans="1:6" x14ac:dyDescent="0.25">
      <c r="A21" s="34" t="s">
        <v>78</v>
      </c>
      <c r="B21" s="35" t="s">
        <v>75</v>
      </c>
      <c r="C21" s="52">
        <v>1</v>
      </c>
      <c r="D21" s="37">
        <v>0</v>
      </c>
      <c r="E21" s="38">
        <f t="shared" si="0"/>
        <v>0</v>
      </c>
      <c r="F21" s="39"/>
    </row>
    <row r="22" spans="1:6" x14ac:dyDescent="0.25">
      <c r="A22" s="34" t="s">
        <v>79</v>
      </c>
      <c r="B22" s="35" t="s">
        <v>75</v>
      </c>
      <c r="C22" s="52">
        <v>1</v>
      </c>
      <c r="D22" s="37">
        <v>5</v>
      </c>
      <c r="E22" s="38">
        <f t="shared" si="0"/>
        <v>5</v>
      </c>
      <c r="F22" s="39"/>
    </row>
    <row r="23" spans="1:6" x14ac:dyDescent="0.25">
      <c r="A23" s="34" t="s">
        <v>80</v>
      </c>
      <c r="B23" s="35" t="s">
        <v>75</v>
      </c>
      <c r="C23" s="52">
        <v>0.5</v>
      </c>
      <c r="D23" s="37">
        <v>0</v>
      </c>
      <c r="E23" s="38">
        <f t="shared" si="0"/>
        <v>0</v>
      </c>
      <c r="F23" s="39"/>
    </row>
    <row r="24" spans="1:6" x14ac:dyDescent="0.25">
      <c r="A24" s="34" t="s">
        <v>81</v>
      </c>
      <c r="B24" s="35" t="s">
        <v>75</v>
      </c>
      <c r="C24" s="52">
        <v>0.5</v>
      </c>
      <c r="D24" s="37">
        <v>5</v>
      </c>
      <c r="E24" s="38">
        <f t="shared" si="0"/>
        <v>2.5</v>
      </c>
      <c r="F24" s="39"/>
    </row>
    <row r="25" spans="1:6" x14ac:dyDescent="0.25">
      <c r="A25" s="34" t="s">
        <v>82</v>
      </c>
      <c r="B25" s="35" t="s">
        <v>75</v>
      </c>
      <c r="C25" s="52">
        <v>2</v>
      </c>
      <c r="D25" s="37">
        <v>0</v>
      </c>
      <c r="E25" s="38">
        <f t="shared" si="0"/>
        <v>0</v>
      </c>
      <c r="F25" s="39"/>
    </row>
    <row r="26" spans="1:6" x14ac:dyDescent="0.25">
      <c r="A26" s="34" t="s">
        <v>83</v>
      </c>
      <c r="B26" s="35" t="s">
        <v>75</v>
      </c>
      <c r="C26" s="52">
        <v>1</v>
      </c>
      <c r="D26" s="37">
        <v>5</v>
      </c>
      <c r="E26" s="38">
        <f t="shared" si="0"/>
        <v>5</v>
      </c>
      <c r="F26" s="39"/>
    </row>
    <row r="27" spans="1:6" x14ac:dyDescent="0.25">
      <c r="A27" s="34" t="s">
        <v>84</v>
      </c>
      <c r="B27" s="35" t="s">
        <v>75</v>
      </c>
      <c r="C27" s="52">
        <v>1</v>
      </c>
      <c r="D27" s="37">
        <v>5</v>
      </c>
      <c r="E27" s="38">
        <f t="shared" si="0"/>
        <v>5</v>
      </c>
      <c r="F27" s="39"/>
    </row>
    <row r="28" spans="1:6" x14ac:dyDescent="0.25">
      <c r="A28" s="34" t="s">
        <v>85</v>
      </c>
      <c r="B28" s="35" t="s">
        <v>75</v>
      </c>
      <c r="C28" s="52">
        <v>1</v>
      </c>
      <c r="D28" s="37">
        <v>0</v>
      </c>
      <c r="E28" s="38">
        <f t="shared" si="0"/>
        <v>0</v>
      </c>
      <c r="F28" s="39"/>
    </row>
    <row r="29" spans="1:6" x14ac:dyDescent="0.25">
      <c r="A29" s="34" t="s">
        <v>86</v>
      </c>
      <c r="B29" s="35" t="s">
        <v>75</v>
      </c>
      <c r="C29" s="52">
        <v>1</v>
      </c>
      <c r="D29" s="37">
        <v>0</v>
      </c>
      <c r="E29" s="38">
        <f t="shared" si="0"/>
        <v>0</v>
      </c>
      <c r="F29" s="39"/>
    </row>
    <row r="30" spans="1:6" ht="27" thickBot="1" x14ac:dyDescent="0.3">
      <c r="A30" s="40" t="s">
        <v>87</v>
      </c>
      <c r="B30" s="41" t="s">
        <v>75</v>
      </c>
      <c r="C30" s="53">
        <v>1</v>
      </c>
      <c r="D30" s="43">
        <v>0</v>
      </c>
      <c r="E30" s="44">
        <f t="shared" si="0"/>
        <v>0</v>
      </c>
      <c r="F30" s="45"/>
    </row>
    <row r="31" spans="1:6" ht="15.75" thickBot="1" x14ac:dyDescent="0.3">
      <c r="A31" s="21" t="s">
        <v>88</v>
      </c>
      <c r="B31" s="22"/>
      <c r="C31" s="23"/>
      <c r="D31" s="46"/>
      <c r="E31" s="95">
        <f>SUM(E18:E30)</f>
        <v>29.5</v>
      </c>
      <c r="F31" s="47"/>
    </row>
    <row r="32" spans="1:6" ht="15.75" thickBot="1" x14ac:dyDescent="0.3">
      <c r="A32" s="54" t="s">
        <v>89</v>
      </c>
      <c r="B32" s="55" t="s">
        <v>142</v>
      </c>
      <c r="C32" s="56"/>
      <c r="D32" s="57"/>
      <c r="E32" s="96">
        <f>0.06+(0.01*E31)</f>
        <v>0.35499999999999998</v>
      </c>
      <c r="F32" s="98"/>
    </row>
    <row r="33" spans="1:7" ht="15.75" thickBot="1" x14ac:dyDescent="0.3">
      <c r="A33" s="16"/>
      <c r="B33" s="17"/>
      <c r="C33" s="18"/>
      <c r="D33" s="19"/>
      <c r="E33" s="20"/>
      <c r="F33" s="19"/>
    </row>
    <row r="34" spans="1:7" s="27" customFormat="1" ht="26.25" thickBot="1" x14ac:dyDescent="0.25">
      <c r="A34" s="21" t="s">
        <v>90</v>
      </c>
      <c r="B34" s="22" t="s">
        <v>91</v>
      </c>
      <c r="C34" s="23" t="s">
        <v>55</v>
      </c>
      <c r="D34" s="24" t="s">
        <v>14</v>
      </c>
      <c r="E34" s="25" t="s">
        <v>56</v>
      </c>
      <c r="F34" s="24" t="s">
        <v>73</v>
      </c>
      <c r="G34" s="26" t="s">
        <v>92</v>
      </c>
    </row>
    <row r="35" spans="1:7" x14ac:dyDescent="0.25">
      <c r="A35" s="58" t="s">
        <v>93</v>
      </c>
      <c r="B35" s="29" t="s">
        <v>94</v>
      </c>
      <c r="C35" s="51">
        <v>1.5</v>
      </c>
      <c r="D35" s="31">
        <v>1</v>
      </c>
      <c r="E35" s="32">
        <f t="shared" ref="E35:E42" si="1">C35*D35</f>
        <v>1.5</v>
      </c>
      <c r="F35" s="31"/>
      <c r="G35" s="59">
        <f t="shared" ref="G35:G40" si="2">IF(E35&lt;3,1,0)</f>
        <v>1</v>
      </c>
    </row>
    <row r="36" spans="1:7" x14ac:dyDescent="0.25">
      <c r="A36" s="60" t="s">
        <v>95</v>
      </c>
      <c r="B36" s="35" t="s">
        <v>94</v>
      </c>
      <c r="C36" s="52">
        <v>0.5</v>
      </c>
      <c r="D36" s="37">
        <v>4</v>
      </c>
      <c r="E36" s="38">
        <f t="shared" si="1"/>
        <v>2</v>
      </c>
      <c r="F36" s="37"/>
      <c r="G36" s="4">
        <f t="shared" si="2"/>
        <v>1</v>
      </c>
    </row>
    <row r="37" spans="1:7" x14ac:dyDescent="0.25">
      <c r="A37" s="60" t="s">
        <v>96</v>
      </c>
      <c r="B37" s="35" t="s">
        <v>94</v>
      </c>
      <c r="C37" s="52">
        <v>1</v>
      </c>
      <c r="D37" s="37">
        <v>5</v>
      </c>
      <c r="E37" s="38">
        <f t="shared" si="1"/>
        <v>5</v>
      </c>
      <c r="F37" s="37"/>
      <c r="G37" s="4">
        <f t="shared" si="2"/>
        <v>0</v>
      </c>
    </row>
    <row r="38" spans="1:7" x14ac:dyDescent="0.25">
      <c r="A38" s="60" t="s">
        <v>97</v>
      </c>
      <c r="B38" s="35" t="s">
        <v>94</v>
      </c>
      <c r="C38" s="52">
        <v>0.5</v>
      </c>
      <c r="D38" s="37">
        <v>4</v>
      </c>
      <c r="E38" s="38">
        <f t="shared" si="1"/>
        <v>2</v>
      </c>
      <c r="F38" s="37"/>
      <c r="G38" s="4">
        <f t="shared" si="2"/>
        <v>1</v>
      </c>
    </row>
    <row r="39" spans="1:7" x14ac:dyDescent="0.25">
      <c r="A39" s="60" t="s">
        <v>98</v>
      </c>
      <c r="B39" s="35" t="s">
        <v>99</v>
      </c>
      <c r="C39" s="52">
        <v>1</v>
      </c>
      <c r="D39" s="37">
        <v>5</v>
      </c>
      <c r="E39" s="38">
        <f t="shared" si="1"/>
        <v>5</v>
      </c>
      <c r="F39" s="37"/>
      <c r="G39" s="4">
        <f t="shared" si="2"/>
        <v>0</v>
      </c>
    </row>
    <row r="40" spans="1:7" x14ac:dyDescent="0.25">
      <c r="A40" s="60" t="s">
        <v>100</v>
      </c>
      <c r="B40" s="35" t="s">
        <v>101</v>
      </c>
      <c r="C40" s="52">
        <v>2</v>
      </c>
      <c r="D40" s="37">
        <v>5</v>
      </c>
      <c r="E40" s="38">
        <f t="shared" si="1"/>
        <v>10</v>
      </c>
      <c r="F40" s="37"/>
      <c r="G40" s="4">
        <f t="shared" si="2"/>
        <v>0</v>
      </c>
    </row>
    <row r="41" spans="1:7" x14ac:dyDescent="0.25">
      <c r="A41" s="60" t="s">
        <v>102</v>
      </c>
      <c r="B41" s="35" t="s">
        <v>103</v>
      </c>
      <c r="C41" s="52">
        <v>-1</v>
      </c>
      <c r="D41" s="37">
        <v>1</v>
      </c>
      <c r="E41" s="38">
        <f t="shared" si="1"/>
        <v>-1</v>
      </c>
      <c r="F41" s="37"/>
      <c r="G41" s="4">
        <f>IF(E41&gt;3,1,0)</f>
        <v>0</v>
      </c>
    </row>
    <row r="42" spans="1:7" ht="15.75" thickBot="1" x14ac:dyDescent="0.3">
      <c r="A42" s="61" t="s">
        <v>104</v>
      </c>
      <c r="B42" s="41" t="s">
        <v>105</v>
      </c>
      <c r="C42" s="53" t="s">
        <v>106</v>
      </c>
      <c r="D42" s="43">
        <v>3</v>
      </c>
      <c r="E42" s="44">
        <f t="shared" si="1"/>
        <v>-3</v>
      </c>
      <c r="F42" s="43"/>
      <c r="G42" s="62">
        <f>IF(E42&gt;3,1,0)</f>
        <v>0</v>
      </c>
    </row>
    <row r="43" spans="1:7" ht="15.75" thickBot="1" x14ac:dyDescent="0.3">
      <c r="A43" s="21" t="s">
        <v>107</v>
      </c>
      <c r="B43" s="22"/>
      <c r="C43" s="23"/>
      <c r="D43" s="46"/>
      <c r="E43" s="95">
        <f>SUM(E35:E42)</f>
        <v>21.5</v>
      </c>
      <c r="F43" s="46"/>
      <c r="G43" s="63">
        <f>SUM(G35:G42)</f>
        <v>3</v>
      </c>
    </row>
    <row r="44" spans="1:7" ht="15.75" thickBot="1" x14ac:dyDescent="0.3">
      <c r="A44" s="21" t="s">
        <v>108</v>
      </c>
      <c r="B44" s="22" t="s">
        <v>109</v>
      </c>
      <c r="C44" s="23"/>
      <c r="D44" s="46"/>
      <c r="E44" s="95">
        <f>1.4 + (-0.03*E43)</f>
        <v>0.75499999999999989</v>
      </c>
      <c r="F44" s="97"/>
      <c r="G44" s="63"/>
    </row>
    <row r="45" spans="1:7" ht="15.75" thickBot="1" x14ac:dyDescent="0.3">
      <c r="A45" s="16"/>
      <c r="B45" s="17"/>
      <c r="C45" s="18"/>
      <c r="D45" s="19"/>
      <c r="E45" s="20"/>
      <c r="F45" s="19"/>
    </row>
    <row r="46" spans="1:7" x14ac:dyDescent="0.25">
      <c r="A46" s="64" t="s">
        <v>110</v>
      </c>
      <c r="B46" s="65"/>
      <c r="C46" s="66"/>
      <c r="D46" s="67"/>
      <c r="E46" s="100">
        <f>UUCP * TCF *EF</f>
        <v>21.441999999999997</v>
      </c>
      <c r="F46" s="68"/>
    </row>
    <row r="47" spans="1:7" x14ac:dyDescent="0.25">
      <c r="A47" s="69" t="s">
        <v>111</v>
      </c>
      <c r="B47" s="70"/>
      <c r="C47" s="71"/>
      <c r="D47" s="72"/>
      <c r="E47" s="73">
        <v>40</v>
      </c>
      <c r="F47" s="74"/>
    </row>
    <row r="48" spans="1:7" ht="15.75" thickBot="1" x14ac:dyDescent="0.3">
      <c r="A48" s="69" t="s">
        <v>112</v>
      </c>
      <c r="B48" s="70"/>
      <c r="C48" s="71"/>
      <c r="D48" s="72"/>
      <c r="E48" s="101">
        <f>E46*E47</f>
        <v>857.67999999999984</v>
      </c>
      <c r="F48" s="74"/>
    </row>
    <row r="49" spans="1:6" x14ac:dyDescent="0.25">
      <c r="A49" s="69" t="s">
        <v>113</v>
      </c>
      <c r="B49" s="70"/>
      <c r="C49" s="71"/>
      <c r="D49" s="72"/>
      <c r="E49" s="75">
        <v>0.1</v>
      </c>
      <c r="F49" s="74" t="s">
        <v>114</v>
      </c>
    </row>
    <row r="50" spans="1:6" ht="15.75" thickBot="1" x14ac:dyDescent="0.3">
      <c r="A50" s="76" t="s">
        <v>115</v>
      </c>
      <c r="B50" s="77"/>
      <c r="C50" s="78"/>
      <c r="D50" s="79"/>
      <c r="E50" s="101">
        <f>E48*(1+E49)</f>
        <v>943.44799999999987</v>
      </c>
      <c r="F50" s="80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2FAB-66A4-47D1-8FD6-DDF9874C1A2A}">
  <dimension ref="A1:K57"/>
  <sheetViews>
    <sheetView tabSelected="1" workbookViewId="0">
      <selection sqref="A1:C1"/>
    </sheetView>
  </sheetViews>
  <sheetFormatPr baseColWidth="10" defaultRowHeight="15" x14ac:dyDescent="0.25"/>
  <cols>
    <col min="1" max="1" width="20.42578125" bestFit="1" customWidth="1"/>
    <col min="2" max="2" width="11.7109375" bestFit="1" customWidth="1"/>
    <col min="3" max="3" width="13.5703125" style="88" customWidth="1"/>
    <col min="5" max="5" width="19.5703125" bestFit="1" customWidth="1"/>
    <col min="8" max="8" width="18.140625" bestFit="1" customWidth="1"/>
    <col min="10" max="10" width="17.140625" bestFit="1" customWidth="1"/>
  </cols>
  <sheetData>
    <row r="1" spans="1:11" x14ac:dyDescent="0.25">
      <c r="A1" s="110" t="s">
        <v>116</v>
      </c>
      <c r="B1" s="111"/>
      <c r="C1" s="111"/>
    </row>
    <row r="2" spans="1:11" x14ac:dyDescent="0.25">
      <c r="A2" s="84" t="s">
        <v>117</v>
      </c>
      <c r="B2" s="10" t="s">
        <v>118</v>
      </c>
      <c r="C2" s="85" t="s">
        <v>119</v>
      </c>
      <c r="E2" s="84" t="s">
        <v>120</v>
      </c>
      <c r="F2" s="84" t="s">
        <v>121</v>
      </c>
      <c r="G2" s="84" t="s">
        <v>122</v>
      </c>
      <c r="H2" s="84" t="s">
        <v>123</v>
      </c>
      <c r="I2" s="84" t="s">
        <v>124</v>
      </c>
    </row>
    <row r="3" spans="1:11" x14ac:dyDescent="0.25">
      <c r="A3" s="4" t="s">
        <v>125</v>
      </c>
      <c r="B3" s="86">
        <v>0.25</v>
      </c>
      <c r="C3" s="87">
        <f>+C7*B3</f>
        <v>235.86199999999997</v>
      </c>
      <c r="E3" s="87">
        <f t="shared" ref="E3:E10" si="0">+$C$7</f>
        <v>943.44799999999987</v>
      </c>
      <c r="F3" s="4">
        <v>160</v>
      </c>
      <c r="G3" s="4">
        <f t="shared" ref="G3:G10" si="1">+E3/F3</f>
        <v>5.8965499999999995</v>
      </c>
      <c r="H3" s="4">
        <v>2</v>
      </c>
      <c r="I3" s="4">
        <f t="shared" ref="I3:I10" si="2">+G3/H3</f>
        <v>2.9482749999999998</v>
      </c>
    </row>
    <row r="4" spans="1:11" x14ac:dyDescent="0.25">
      <c r="A4" s="4" t="s">
        <v>126</v>
      </c>
      <c r="B4" s="86">
        <v>0.2</v>
      </c>
      <c r="C4" s="87">
        <f>+C7*B4</f>
        <v>188.68959999999998</v>
      </c>
      <c r="E4" s="87">
        <f t="shared" si="0"/>
        <v>943.44799999999987</v>
      </c>
      <c r="F4" s="4">
        <v>160</v>
      </c>
      <c r="G4" s="4">
        <f t="shared" si="1"/>
        <v>5.8965499999999995</v>
      </c>
      <c r="H4" s="4">
        <v>3</v>
      </c>
      <c r="I4" s="4">
        <f t="shared" si="2"/>
        <v>1.9655166666666666</v>
      </c>
    </row>
    <row r="5" spans="1:11" x14ac:dyDescent="0.25">
      <c r="A5" s="4" t="s">
        <v>127</v>
      </c>
      <c r="B5" s="86">
        <v>0.35</v>
      </c>
      <c r="C5" s="87">
        <f>+C7*B5</f>
        <v>330.20679999999993</v>
      </c>
      <c r="E5" s="87">
        <f t="shared" si="0"/>
        <v>943.44799999999987</v>
      </c>
      <c r="F5" s="4">
        <v>160</v>
      </c>
      <c r="G5" s="4">
        <f t="shared" si="1"/>
        <v>5.8965499999999995</v>
      </c>
      <c r="H5" s="4">
        <v>4</v>
      </c>
      <c r="I5" s="4">
        <f t="shared" si="2"/>
        <v>1.4741374999999999</v>
      </c>
    </row>
    <row r="6" spans="1:11" x14ac:dyDescent="0.25">
      <c r="A6" s="4" t="s">
        <v>128</v>
      </c>
      <c r="B6" s="86">
        <v>0.2</v>
      </c>
      <c r="C6" s="87">
        <f>+C7*B6</f>
        <v>188.68959999999998</v>
      </c>
      <c r="E6" s="87">
        <f t="shared" si="0"/>
        <v>943.44799999999987</v>
      </c>
      <c r="F6" s="4">
        <v>160</v>
      </c>
      <c r="G6" s="4">
        <f t="shared" si="1"/>
        <v>5.8965499999999995</v>
      </c>
      <c r="H6" s="4">
        <v>5</v>
      </c>
      <c r="I6" s="4">
        <f t="shared" si="2"/>
        <v>1.1793099999999999</v>
      </c>
    </row>
    <row r="7" spans="1:11" x14ac:dyDescent="0.25">
      <c r="A7" s="4" t="s">
        <v>10</v>
      </c>
      <c r="B7" s="86">
        <f>SUM(B3:B6)</f>
        <v>1</v>
      </c>
      <c r="C7" s="102">
        <f>+UUCP!E50</f>
        <v>943.44799999999987</v>
      </c>
      <c r="E7" s="87">
        <f t="shared" si="0"/>
        <v>943.44799999999987</v>
      </c>
      <c r="F7" s="4">
        <v>160</v>
      </c>
      <c r="G7" s="4">
        <f t="shared" si="1"/>
        <v>5.8965499999999995</v>
      </c>
      <c r="H7" s="4">
        <v>6</v>
      </c>
      <c r="I7" s="4">
        <f t="shared" si="2"/>
        <v>0.98275833333333329</v>
      </c>
    </row>
    <row r="8" spans="1:11" x14ac:dyDescent="0.25">
      <c r="E8" s="87">
        <f t="shared" si="0"/>
        <v>943.44799999999987</v>
      </c>
      <c r="F8" s="4">
        <v>160</v>
      </c>
      <c r="G8" s="4">
        <f t="shared" si="1"/>
        <v>5.8965499999999995</v>
      </c>
      <c r="H8" s="4">
        <v>7</v>
      </c>
      <c r="I8" s="4">
        <f t="shared" si="2"/>
        <v>0.84236428571428568</v>
      </c>
    </row>
    <row r="9" spans="1:11" x14ac:dyDescent="0.25">
      <c r="A9" s="20" t="s">
        <v>129</v>
      </c>
      <c r="E9" s="87">
        <f t="shared" si="0"/>
        <v>943.44799999999987</v>
      </c>
      <c r="F9" s="4">
        <v>160</v>
      </c>
      <c r="G9" s="4">
        <f t="shared" si="1"/>
        <v>5.8965499999999995</v>
      </c>
      <c r="H9" s="4">
        <v>8</v>
      </c>
      <c r="I9" s="4">
        <f t="shared" si="2"/>
        <v>0.73706874999999994</v>
      </c>
    </row>
    <row r="10" spans="1:11" x14ac:dyDescent="0.25">
      <c r="A10" s="73" t="s">
        <v>117</v>
      </c>
      <c r="B10" s="73" t="s">
        <v>130</v>
      </c>
      <c r="E10" s="87">
        <f t="shared" si="0"/>
        <v>943.44799999999987</v>
      </c>
      <c r="F10" s="4">
        <v>160</v>
      </c>
      <c r="G10" s="4">
        <f t="shared" si="1"/>
        <v>5.8965499999999995</v>
      </c>
      <c r="H10" s="4">
        <v>9</v>
      </c>
      <c r="I10" s="4">
        <f t="shared" si="2"/>
        <v>0.65517222222222216</v>
      </c>
    </row>
    <row r="11" spans="1:11" x14ac:dyDescent="0.25">
      <c r="A11" s="4" t="s">
        <v>125</v>
      </c>
      <c r="B11" s="87">
        <f>+K16</f>
        <v>36853.4375</v>
      </c>
    </row>
    <row r="12" spans="1:11" x14ac:dyDescent="0.25">
      <c r="A12" s="4" t="s">
        <v>126</v>
      </c>
      <c r="B12" s="87">
        <f>+K28</f>
        <v>35379.299999999996</v>
      </c>
    </row>
    <row r="13" spans="1:11" x14ac:dyDescent="0.25">
      <c r="A13" s="4" t="s">
        <v>127</v>
      </c>
      <c r="B13" s="89">
        <f>+K39</f>
        <v>82551.699999999983</v>
      </c>
      <c r="E13" s="110" t="s">
        <v>125</v>
      </c>
      <c r="F13" s="110"/>
      <c r="G13" s="110"/>
      <c r="H13" s="110"/>
      <c r="I13" s="110"/>
      <c r="J13" s="110"/>
      <c r="K13" s="110"/>
    </row>
    <row r="14" spans="1:11" x14ac:dyDescent="0.25">
      <c r="A14" s="4" t="s">
        <v>128</v>
      </c>
      <c r="B14" s="87">
        <f>+K50</f>
        <v>23586.199999999997</v>
      </c>
      <c r="E14" s="84" t="s">
        <v>120</v>
      </c>
      <c r="F14" s="84" t="s">
        <v>121</v>
      </c>
      <c r="G14" s="84" t="s">
        <v>122</v>
      </c>
      <c r="H14" s="84" t="s">
        <v>123</v>
      </c>
      <c r="I14" s="84" t="s">
        <v>124</v>
      </c>
      <c r="J14" s="84" t="s">
        <v>131</v>
      </c>
      <c r="K14" s="84" t="s">
        <v>132</v>
      </c>
    </row>
    <row r="15" spans="1:11" x14ac:dyDescent="0.25">
      <c r="A15" s="4" t="s">
        <v>10</v>
      </c>
      <c r="B15" s="102">
        <f>SUM(B11:B14)</f>
        <v>178370.63749999995</v>
      </c>
      <c r="E15" s="87">
        <f>+$C$3</f>
        <v>235.86199999999997</v>
      </c>
      <c r="F15" s="87">
        <v>160</v>
      </c>
      <c r="G15" s="4">
        <f t="shared" ref="G15" si="3">+E15/F15</f>
        <v>1.4741374999999999</v>
      </c>
      <c r="H15" s="92">
        <v>1</v>
      </c>
      <c r="I15" s="4">
        <f t="shared" ref="I15" si="4">+G15/H15</f>
        <v>1.4741374999999999</v>
      </c>
      <c r="J15" s="87">
        <v>25000</v>
      </c>
      <c r="K15" s="87">
        <f>+J15*H15*I15</f>
        <v>36853.4375</v>
      </c>
    </row>
    <row r="16" spans="1:11" x14ac:dyDescent="0.25">
      <c r="E16" s="87">
        <f>+$C$3</f>
        <v>235.86199999999997</v>
      </c>
      <c r="F16" s="87">
        <v>160</v>
      </c>
      <c r="G16" s="4">
        <f t="shared" ref="G16:G23" si="5">+E16/F16</f>
        <v>1.4741374999999999</v>
      </c>
      <c r="H16" s="4">
        <v>2</v>
      </c>
      <c r="I16" s="4">
        <f t="shared" ref="I16:I23" si="6">+G16/H16</f>
        <v>0.73706874999999994</v>
      </c>
      <c r="J16" s="87">
        <v>25000</v>
      </c>
      <c r="K16" s="87">
        <f>+J16*H16*I16</f>
        <v>36853.4375</v>
      </c>
    </row>
    <row r="17" spans="1:11" x14ac:dyDescent="0.25">
      <c r="A17" s="20" t="s">
        <v>134</v>
      </c>
      <c r="E17" s="87">
        <f t="shared" ref="E17:E23" si="7">+$C$3</f>
        <v>235.86199999999997</v>
      </c>
      <c r="F17" s="87">
        <v>160</v>
      </c>
      <c r="G17" s="4">
        <f t="shared" si="5"/>
        <v>1.4741374999999999</v>
      </c>
      <c r="H17" s="7">
        <v>3</v>
      </c>
      <c r="I17" s="7">
        <f t="shared" si="6"/>
        <v>0.49137916666666664</v>
      </c>
      <c r="J17" s="87">
        <v>25000</v>
      </c>
      <c r="K17" s="87">
        <f t="shared" ref="K17:K23" si="8">+J17*H17*I17</f>
        <v>36853.4375</v>
      </c>
    </row>
    <row r="18" spans="1:11" x14ac:dyDescent="0.25">
      <c r="A18" s="73" t="s">
        <v>117</v>
      </c>
      <c r="B18" s="73" t="s">
        <v>14</v>
      </c>
      <c r="C18" s="73" t="s">
        <v>135</v>
      </c>
      <c r="E18" s="87">
        <f t="shared" si="7"/>
        <v>235.86199999999997</v>
      </c>
      <c r="F18" s="87">
        <v>160</v>
      </c>
      <c r="G18" s="4">
        <f t="shared" si="5"/>
        <v>1.4741374999999999</v>
      </c>
      <c r="H18" s="7">
        <v>4</v>
      </c>
      <c r="I18" s="4">
        <f t="shared" si="6"/>
        <v>0.36853437499999997</v>
      </c>
      <c r="J18" s="87">
        <v>25000</v>
      </c>
      <c r="K18" s="87">
        <f t="shared" si="8"/>
        <v>36853.4375</v>
      </c>
    </row>
    <row r="19" spans="1:11" x14ac:dyDescent="0.25">
      <c r="A19" s="4" t="s">
        <v>125</v>
      </c>
      <c r="B19" s="90">
        <f>+H15</f>
        <v>1</v>
      </c>
      <c r="C19" s="87">
        <f>+I15</f>
        <v>1.4741374999999999</v>
      </c>
      <c r="E19" s="87">
        <f t="shared" si="7"/>
        <v>235.86199999999997</v>
      </c>
      <c r="F19" s="87">
        <v>160</v>
      </c>
      <c r="G19" s="4">
        <f t="shared" si="5"/>
        <v>1.4741374999999999</v>
      </c>
      <c r="H19" s="4">
        <v>5</v>
      </c>
      <c r="I19" s="4">
        <f t="shared" si="6"/>
        <v>0.29482749999999996</v>
      </c>
      <c r="J19" s="87">
        <v>25000</v>
      </c>
      <c r="K19" s="87">
        <f t="shared" si="8"/>
        <v>36853.437499999993</v>
      </c>
    </row>
    <row r="20" spans="1:11" x14ac:dyDescent="0.25">
      <c r="A20" s="4" t="s">
        <v>126</v>
      </c>
      <c r="B20" s="90">
        <f>+H27</f>
        <v>1</v>
      </c>
      <c r="C20" s="87">
        <f>+I27</f>
        <v>1.1793099999999999</v>
      </c>
      <c r="E20" s="87">
        <f t="shared" si="7"/>
        <v>235.86199999999997</v>
      </c>
      <c r="F20" s="87">
        <v>160</v>
      </c>
      <c r="G20" s="4">
        <f t="shared" si="5"/>
        <v>1.4741374999999999</v>
      </c>
      <c r="H20" s="4">
        <v>6</v>
      </c>
      <c r="I20" s="4">
        <f t="shared" si="6"/>
        <v>0.24568958333333332</v>
      </c>
      <c r="J20" s="87">
        <v>25000</v>
      </c>
      <c r="K20" s="87">
        <f t="shared" si="8"/>
        <v>36853.4375</v>
      </c>
    </row>
    <row r="21" spans="1:11" x14ac:dyDescent="0.25">
      <c r="A21" s="4" t="s">
        <v>127</v>
      </c>
      <c r="B21" s="91">
        <f>+H39</f>
        <v>2</v>
      </c>
      <c r="C21" s="89">
        <f>+I39</f>
        <v>1.0318962499999997</v>
      </c>
      <c r="E21" s="87">
        <f t="shared" si="7"/>
        <v>235.86199999999997</v>
      </c>
      <c r="F21" s="87">
        <v>160</v>
      </c>
      <c r="G21" s="4">
        <f t="shared" si="5"/>
        <v>1.4741374999999999</v>
      </c>
      <c r="H21" s="4">
        <v>7</v>
      </c>
      <c r="I21" s="4">
        <f t="shared" si="6"/>
        <v>0.21059107142857142</v>
      </c>
      <c r="J21" s="87">
        <v>25000</v>
      </c>
      <c r="K21" s="87">
        <f t="shared" si="8"/>
        <v>36853.4375</v>
      </c>
    </row>
    <row r="22" spans="1:11" x14ac:dyDescent="0.25">
      <c r="A22" s="4" t="s">
        <v>128</v>
      </c>
      <c r="B22" s="90">
        <f>+H50</f>
        <v>2</v>
      </c>
      <c r="C22" s="87">
        <f>+I50</f>
        <v>0.58965499999999993</v>
      </c>
      <c r="E22" s="87">
        <f t="shared" si="7"/>
        <v>235.86199999999997</v>
      </c>
      <c r="F22" s="87">
        <v>160</v>
      </c>
      <c r="G22" s="4">
        <f t="shared" si="5"/>
        <v>1.4741374999999999</v>
      </c>
      <c r="H22" s="4">
        <v>8</v>
      </c>
      <c r="I22" s="4">
        <f t="shared" si="6"/>
        <v>0.18426718749999998</v>
      </c>
      <c r="J22" s="87">
        <v>25000</v>
      </c>
      <c r="K22" s="87">
        <f t="shared" si="8"/>
        <v>36853.4375</v>
      </c>
    </row>
    <row r="23" spans="1:11" x14ac:dyDescent="0.25">
      <c r="A23" s="4" t="s">
        <v>10</v>
      </c>
      <c r="B23" s="103">
        <f>SUM(B19:B22)</f>
        <v>6</v>
      </c>
      <c r="C23" s="102">
        <f>SUM(C19:C22)</f>
        <v>4.2749987499999991</v>
      </c>
      <c r="E23" s="87">
        <f t="shared" si="7"/>
        <v>235.86199999999997</v>
      </c>
      <c r="F23" s="87">
        <v>160</v>
      </c>
      <c r="G23" s="4">
        <f t="shared" si="5"/>
        <v>1.4741374999999999</v>
      </c>
      <c r="H23" s="4">
        <v>9</v>
      </c>
      <c r="I23" s="4">
        <f t="shared" si="6"/>
        <v>0.16379305555555554</v>
      </c>
      <c r="J23" s="87">
        <v>25000</v>
      </c>
      <c r="K23" s="87">
        <f t="shared" si="8"/>
        <v>36853.437499999993</v>
      </c>
    </row>
    <row r="25" spans="1:11" x14ac:dyDescent="0.25">
      <c r="E25" s="112" t="s">
        <v>126</v>
      </c>
      <c r="F25" s="112"/>
      <c r="G25" s="112"/>
      <c r="H25" s="112"/>
      <c r="I25" s="112"/>
      <c r="J25" s="112"/>
      <c r="K25" s="112"/>
    </row>
    <row r="26" spans="1:11" x14ac:dyDescent="0.25">
      <c r="E26" s="84" t="s">
        <v>120</v>
      </c>
      <c r="F26" s="84" t="s">
        <v>121</v>
      </c>
      <c r="G26" s="84" t="s">
        <v>122</v>
      </c>
      <c r="H26" s="84" t="s">
        <v>123</v>
      </c>
      <c r="I26" s="84" t="s">
        <v>124</v>
      </c>
      <c r="J26" s="84" t="s">
        <v>136</v>
      </c>
      <c r="K26" s="84" t="s">
        <v>132</v>
      </c>
    </row>
    <row r="27" spans="1:11" x14ac:dyDescent="0.25">
      <c r="E27" s="87">
        <f>+$C$4</f>
        <v>188.68959999999998</v>
      </c>
      <c r="F27" s="87">
        <v>160</v>
      </c>
      <c r="G27" s="4">
        <f t="shared" ref="G27" si="9">+E27/F27</f>
        <v>1.1793099999999999</v>
      </c>
      <c r="H27" s="92">
        <v>1</v>
      </c>
      <c r="I27" s="4">
        <f t="shared" ref="I27" si="10">+G27/H27</f>
        <v>1.1793099999999999</v>
      </c>
      <c r="J27" s="87">
        <v>30000</v>
      </c>
      <c r="K27" s="87">
        <f>+J27*H27*I27</f>
        <v>35379.299999999996</v>
      </c>
    </row>
    <row r="28" spans="1:11" x14ac:dyDescent="0.25">
      <c r="E28" s="87">
        <f>+$C$4</f>
        <v>188.68959999999998</v>
      </c>
      <c r="F28" s="87">
        <v>160</v>
      </c>
      <c r="G28" s="4">
        <f t="shared" ref="G28:G35" si="11">+E28/F28</f>
        <v>1.1793099999999999</v>
      </c>
      <c r="H28" s="4">
        <v>2</v>
      </c>
      <c r="I28" s="4">
        <f t="shared" ref="I28:I35" si="12">+G28/H28</f>
        <v>0.58965499999999993</v>
      </c>
      <c r="J28" s="87">
        <v>30000</v>
      </c>
      <c r="K28" s="87">
        <f>+J28*H28*I28</f>
        <v>35379.299999999996</v>
      </c>
    </row>
    <row r="29" spans="1:11" x14ac:dyDescent="0.25">
      <c r="E29" s="87">
        <f t="shared" ref="E29:E35" si="13">+$C$4</f>
        <v>188.68959999999998</v>
      </c>
      <c r="F29" s="87">
        <v>160</v>
      </c>
      <c r="G29" s="4">
        <f t="shared" si="11"/>
        <v>1.1793099999999999</v>
      </c>
      <c r="H29" s="7">
        <v>3</v>
      </c>
      <c r="I29" s="7">
        <f t="shared" si="12"/>
        <v>0.3931033333333333</v>
      </c>
      <c r="J29" s="87">
        <v>30000</v>
      </c>
      <c r="K29" s="87">
        <f t="shared" ref="K29:K35" si="14">+J29*H29*I29</f>
        <v>35379.299999999996</v>
      </c>
    </row>
    <row r="30" spans="1:11" x14ac:dyDescent="0.25">
      <c r="E30" s="87">
        <f t="shared" si="13"/>
        <v>188.68959999999998</v>
      </c>
      <c r="F30" s="87">
        <v>160</v>
      </c>
      <c r="G30" s="4">
        <f t="shared" si="11"/>
        <v>1.1793099999999999</v>
      </c>
      <c r="H30" s="4">
        <v>4</v>
      </c>
      <c r="I30" s="4">
        <f t="shared" si="12"/>
        <v>0.29482749999999996</v>
      </c>
      <c r="J30" s="87">
        <v>30000</v>
      </c>
      <c r="K30" s="87">
        <f t="shared" si="14"/>
        <v>35379.299999999996</v>
      </c>
    </row>
    <row r="31" spans="1:11" x14ac:dyDescent="0.25">
      <c r="E31" s="87">
        <f t="shared" si="13"/>
        <v>188.68959999999998</v>
      </c>
      <c r="F31" s="87">
        <v>160</v>
      </c>
      <c r="G31" s="4">
        <f t="shared" si="11"/>
        <v>1.1793099999999999</v>
      </c>
      <c r="H31" s="4">
        <v>5</v>
      </c>
      <c r="I31" s="4">
        <f t="shared" si="12"/>
        <v>0.23586199999999996</v>
      </c>
      <c r="J31" s="87">
        <v>30000</v>
      </c>
      <c r="K31" s="87">
        <f t="shared" si="14"/>
        <v>35379.299999999996</v>
      </c>
    </row>
    <row r="32" spans="1:11" x14ac:dyDescent="0.25">
      <c r="E32" s="87">
        <f t="shared" si="13"/>
        <v>188.68959999999998</v>
      </c>
      <c r="F32" s="87">
        <v>160</v>
      </c>
      <c r="G32" s="4">
        <f t="shared" si="11"/>
        <v>1.1793099999999999</v>
      </c>
      <c r="H32" s="4">
        <v>6</v>
      </c>
      <c r="I32" s="4">
        <f t="shared" si="12"/>
        <v>0.19655166666666665</v>
      </c>
      <c r="J32" s="87">
        <v>30000</v>
      </c>
      <c r="K32" s="87">
        <f t="shared" si="14"/>
        <v>35379.299999999996</v>
      </c>
    </row>
    <row r="33" spans="5:11" x14ac:dyDescent="0.25">
      <c r="E33" s="87">
        <f t="shared" si="13"/>
        <v>188.68959999999998</v>
      </c>
      <c r="F33" s="87">
        <v>160</v>
      </c>
      <c r="G33" s="4">
        <f t="shared" si="11"/>
        <v>1.1793099999999999</v>
      </c>
      <c r="H33" s="4">
        <v>7</v>
      </c>
      <c r="I33" s="4">
        <f t="shared" si="12"/>
        <v>0.16847285714285712</v>
      </c>
      <c r="J33" s="87">
        <v>30000</v>
      </c>
      <c r="K33" s="87">
        <f t="shared" si="14"/>
        <v>35379.299999999996</v>
      </c>
    </row>
    <row r="34" spans="5:11" x14ac:dyDescent="0.25">
      <c r="E34" s="87">
        <f t="shared" si="13"/>
        <v>188.68959999999998</v>
      </c>
      <c r="F34" s="87">
        <v>160</v>
      </c>
      <c r="G34" s="4">
        <f t="shared" si="11"/>
        <v>1.1793099999999999</v>
      </c>
      <c r="H34" s="4">
        <v>8</v>
      </c>
      <c r="I34" s="4">
        <f t="shared" si="12"/>
        <v>0.14741374999999998</v>
      </c>
      <c r="J34" s="87">
        <v>30000</v>
      </c>
      <c r="K34" s="87">
        <f t="shared" si="14"/>
        <v>35379.299999999996</v>
      </c>
    </row>
    <row r="35" spans="5:11" x14ac:dyDescent="0.25">
      <c r="E35" s="87">
        <f t="shared" si="13"/>
        <v>188.68959999999998</v>
      </c>
      <c r="F35" s="87">
        <v>160</v>
      </c>
      <c r="G35" s="4">
        <f t="shared" si="11"/>
        <v>1.1793099999999999</v>
      </c>
      <c r="H35" s="4">
        <v>9</v>
      </c>
      <c r="I35" s="4">
        <f t="shared" si="12"/>
        <v>0.13103444444444443</v>
      </c>
      <c r="J35" s="87">
        <v>30000</v>
      </c>
      <c r="K35" s="87">
        <f t="shared" si="14"/>
        <v>35379.299999999996</v>
      </c>
    </row>
    <row r="37" spans="5:11" x14ac:dyDescent="0.25">
      <c r="E37" s="112" t="s">
        <v>127</v>
      </c>
      <c r="F37" s="112"/>
      <c r="G37" s="112"/>
      <c r="H37" s="112"/>
      <c r="I37" s="112"/>
      <c r="J37" s="112"/>
      <c r="K37" s="112"/>
    </row>
    <row r="38" spans="5:11" x14ac:dyDescent="0.25">
      <c r="E38" s="84" t="s">
        <v>120</v>
      </c>
      <c r="F38" s="84" t="s">
        <v>121</v>
      </c>
      <c r="G38" s="84" t="s">
        <v>122</v>
      </c>
      <c r="H38" s="84" t="s">
        <v>123</v>
      </c>
      <c r="I38" s="84" t="s">
        <v>124</v>
      </c>
      <c r="J38" s="84" t="s">
        <v>137</v>
      </c>
      <c r="K38" s="84" t="s">
        <v>132</v>
      </c>
    </row>
    <row r="39" spans="5:11" x14ac:dyDescent="0.25">
      <c r="E39" s="87">
        <f>+$C$5</f>
        <v>330.20679999999993</v>
      </c>
      <c r="F39" s="87">
        <v>160</v>
      </c>
      <c r="G39" s="4">
        <f t="shared" ref="G39:G46" si="15">+E39/F39</f>
        <v>2.0637924999999995</v>
      </c>
      <c r="H39" s="92">
        <v>2</v>
      </c>
      <c r="I39" s="4">
        <f t="shared" ref="I39:I46" si="16">+G39/H39</f>
        <v>1.0318962499999997</v>
      </c>
      <c r="J39" s="87">
        <v>40000</v>
      </c>
      <c r="K39" s="87">
        <f>+J39*H39*I39</f>
        <v>82551.699999999983</v>
      </c>
    </row>
    <row r="40" spans="5:11" x14ac:dyDescent="0.25">
      <c r="E40" s="87">
        <f t="shared" ref="E40:E46" si="17">+$C$5</f>
        <v>330.20679999999993</v>
      </c>
      <c r="F40" s="87">
        <v>160</v>
      </c>
      <c r="G40" s="4">
        <f t="shared" si="15"/>
        <v>2.0637924999999995</v>
      </c>
      <c r="H40" s="4">
        <v>3</v>
      </c>
      <c r="I40" s="4">
        <f t="shared" si="16"/>
        <v>0.68793083333333316</v>
      </c>
      <c r="J40" s="87">
        <v>40000</v>
      </c>
      <c r="K40" s="87">
        <f t="shared" ref="K40:K46" si="18">+J40*H40*I40</f>
        <v>82551.699999999983</v>
      </c>
    </row>
    <row r="41" spans="5:11" x14ac:dyDescent="0.25">
      <c r="E41" s="87">
        <f t="shared" si="17"/>
        <v>330.20679999999993</v>
      </c>
      <c r="F41" s="87">
        <v>160</v>
      </c>
      <c r="G41" s="4">
        <f t="shared" si="15"/>
        <v>2.0637924999999995</v>
      </c>
      <c r="H41" s="7">
        <v>4</v>
      </c>
      <c r="I41" s="7">
        <f t="shared" si="16"/>
        <v>0.51594812499999987</v>
      </c>
      <c r="J41" s="87">
        <v>40000</v>
      </c>
      <c r="K41" s="87">
        <f t="shared" si="18"/>
        <v>82551.699999999983</v>
      </c>
    </row>
    <row r="42" spans="5:11" x14ac:dyDescent="0.25">
      <c r="E42" s="87">
        <f t="shared" si="17"/>
        <v>330.20679999999993</v>
      </c>
      <c r="F42" s="87">
        <v>160</v>
      </c>
      <c r="G42" s="4">
        <f t="shared" si="15"/>
        <v>2.0637924999999995</v>
      </c>
      <c r="H42" s="4">
        <v>5</v>
      </c>
      <c r="I42" s="4">
        <f t="shared" si="16"/>
        <v>0.41275849999999992</v>
      </c>
      <c r="J42" s="87">
        <v>40000</v>
      </c>
      <c r="K42" s="87">
        <f t="shared" si="18"/>
        <v>82551.699999999983</v>
      </c>
    </row>
    <row r="43" spans="5:11" x14ac:dyDescent="0.25">
      <c r="E43" s="87">
        <f t="shared" si="17"/>
        <v>330.20679999999993</v>
      </c>
      <c r="F43" s="87">
        <v>160</v>
      </c>
      <c r="G43" s="4">
        <f t="shared" si="15"/>
        <v>2.0637924999999995</v>
      </c>
      <c r="H43" s="4">
        <v>6</v>
      </c>
      <c r="I43" s="4">
        <f t="shared" si="16"/>
        <v>0.34396541666666658</v>
      </c>
      <c r="J43" s="87">
        <v>40000</v>
      </c>
      <c r="K43" s="87">
        <f t="shared" si="18"/>
        <v>82551.699999999983</v>
      </c>
    </row>
    <row r="44" spans="5:11" x14ac:dyDescent="0.25">
      <c r="E44" s="87">
        <f t="shared" si="17"/>
        <v>330.20679999999993</v>
      </c>
      <c r="F44" s="87">
        <v>160</v>
      </c>
      <c r="G44" s="4">
        <f t="shared" si="15"/>
        <v>2.0637924999999995</v>
      </c>
      <c r="H44" s="4">
        <v>7</v>
      </c>
      <c r="I44" s="4">
        <f t="shared" si="16"/>
        <v>0.29482749999999991</v>
      </c>
      <c r="J44" s="87">
        <v>40000</v>
      </c>
      <c r="K44" s="87">
        <f t="shared" si="18"/>
        <v>82551.699999999968</v>
      </c>
    </row>
    <row r="45" spans="5:11" x14ac:dyDescent="0.25">
      <c r="E45" s="87">
        <f t="shared" si="17"/>
        <v>330.20679999999993</v>
      </c>
      <c r="F45" s="87">
        <v>160</v>
      </c>
      <c r="G45" s="4">
        <f t="shared" si="15"/>
        <v>2.0637924999999995</v>
      </c>
      <c r="H45" s="4">
        <v>8</v>
      </c>
      <c r="I45" s="4">
        <f t="shared" si="16"/>
        <v>0.25797406249999993</v>
      </c>
      <c r="J45" s="87">
        <v>40000</v>
      </c>
      <c r="K45" s="87">
        <f t="shared" si="18"/>
        <v>82551.699999999983</v>
      </c>
    </row>
    <row r="46" spans="5:11" x14ac:dyDescent="0.25">
      <c r="E46" s="87">
        <f t="shared" si="17"/>
        <v>330.20679999999993</v>
      </c>
      <c r="F46" s="87">
        <v>160</v>
      </c>
      <c r="G46" s="4">
        <f t="shared" si="15"/>
        <v>2.0637924999999995</v>
      </c>
      <c r="H46" s="4">
        <v>9</v>
      </c>
      <c r="I46" s="4">
        <f t="shared" si="16"/>
        <v>0.22931027777777771</v>
      </c>
      <c r="J46" s="87">
        <v>40000</v>
      </c>
      <c r="K46" s="87">
        <f t="shared" si="18"/>
        <v>82551.699999999983</v>
      </c>
    </row>
    <row r="48" spans="5:11" x14ac:dyDescent="0.25">
      <c r="E48" s="112" t="s">
        <v>133</v>
      </c>
      <c r="F48" s="112"/>
      <c r="G48" s="112"/>
      <c r="H48" s="112"/>
      <c r="I48" s="112"/>
      <c r="J48" s="112"/>
      <c r="K48" s="112"/>
    </row>
    <row r="49" spans="5:11" x14ac:dyDescent="0.25">
      <c r="E49" s="84" t="s">
        <v>120</v>
      </c>
      <c r="F49" s="84" t="s">
        <v>121</v>
      </c>
      <c r="G49" s="84" t="s">
        <v>122</v>
      </c>
      <c r="H49" s="84" t="s">
        <v>123</v>
      </c>
      <c r="I49" s="84" t="s">
        <v>124</v>
      </c>
      <c r="J49" s="84" t="s">
        <v>138</v>
      </c>
      <c r="K49" s="84" t="s">
        <v>132</v>
      </c>
    </row>
    <row r="50" spans="5:11" x14ac:dyDescent="0.25">
      <c r="E50" s="87">
        <f>+$C$6</f>
        <v>188.68959999999998</v>
      </c>
      <c r="F50" s="4">
        <v>160</v>
      </c>
      <c r="G50" s="4">
        <f t="shared" ref="G50:G57" si="19">+E50/F50</f>
        <v>1.1793099999999999</v>
      </c>
      <c r="H50" s="92">
        <v>2</v>
      </c>
      <c r="I50" s="4">
        <f t="shared" ref="I50:I57" si="20">+G50/H50</f>
        <v>0.58965499999999993</v>
      </c>
      <c r="J50" s="87">
        <v>20000</v>
      </c>
      <c r="K50" s="87">
        <f>+J50*H50*I50</f>
        <v>23586.199999999997</v>
      </c>
    </row>
    <row r="51" spans="5:11" x14ac:dyDescent="0.25">
      <c r="E51" s="87">
        <f t="shared" ref="E51:E57" si="21">+$C$6</f>
        <v>188.68959999999998</v>
      </c>
      <c r="F51" s="4">
        <v>160</v>
      </c>
      <c r="G51" s="4">
        <f t="shared" si="19"/>
        <v>1.1793099999999999</v>
      </c>
      <c r="H51" s="4">
        <v>3</v>
      </c>
      <c r="I51" s="4">
        <f t="shared" si="20"/>
        <v>0.3931033333333333</v>
      </c>
      <c r="J51" s="87">
        <v>20000</v>
      </c>
      <c r="K51" s="87">
        <f t="shared" ref="K51:K57" si="22">+J51*H51*I51</f>
        <v>23586.199999999997</v>
      </c>
    </row>
    <row r="52" spans="5:11" x14ac:dyDescent="0.25">
      <c r="E52" s="87">
        <f t="shared" si="21"/>
        <v>188.68959999999998</v>
      </c>
      <c r="F52" s="4">
        <v>160</v>
      </c>
      <c r="G52" s="4">
        <f t="shared" si="19"/>
        <v>1.1793099999999999</v>
      </c>
      <c r="H52" s="4">
        <v>4</v>
      </c>
      <c r="I52" s="4">
        <f t="shared" si="20"/>
        <v>0.29482749999999996</v>
      </c>
      <c r="J52" s="87">
        <v>20000</v>
      </c>
      <c r="K52" s="87">
        <f t="shared" si="22"/>
        <v>23586.199999999997</v>
      </c>
    </row>
    <row r="53" spans="5:11" x14ac:dyDescent="0.25">
      <c r="E53" s="87">
        <f t="shared" si="21"/>
        <v>188.68959999999998</v>
      </c>
      <c r="F53" s="4">
        <v>160</v>
      </c>
      <c r="G53" s="4">
        <f t="shared" si="19"/>
        <v>1.1793099999999999</v>
      </c>
      <c r="H53" s="7">
        <v>5</v>
      </c>
      <c r="I53" s="7">
        <f t="shared" si="20"/>
        <v>0.23586199999999996</v>
      </c>
      <c r="J53" s="87">
        <v>20000</v>
      </c>
      <c r="K53" s="87">
        <f t="shared" si="22"/>
        <v>23586.199999999997</v>
      </c>
    </row>
    <row r="54" spans="5:11" x14ac:dyDescent="0.25">
      <c r="E54" s="87">
        <f t="shared" si="21"/>
        <v>188.68959999999998</v>
      </c>
      <c r="F54" s="4">
        <v>160</v>
      </c>
      <c r="G54" s="4">
        <f t="shared" si="19"/>
        <v>1.1793099999999999</v>
      </c>
      <c r="H54" s="4">
        <v>6</v>
      </c>
      <c r="I54" s="4">
        <f t="shared" si="20"/>
        <v>0.19655166666666665</v>
      </c>
      <c r="J54" s="87">
        <v>20000</v>
      </c>
      <c r="K54" s="87">
        <f t="shared" si="22"/>
        <v>23586.199999999997</v>
      </c>
    </row>
    <row r="55" spans="5:11" x14ac:dyDescent="0.25">
      <c r="E55" s="87">
        <f t="shared" si="21"/>
        <v>188.68959999999998</v>
      </c>
      <c r="F55" s="4">
        <v>160</v>
      </c>
      <c r="G55" s="4">
        <f t="shared" si="19"/>
        <v>1.1793099999999999</v>
      </c>
      <c r="H55" s="4">
        <v>7</v>
      </c>
      <c r="I55" s="4">
        <f t="shared" si="20"/>
        <v>0.16847285714285712</v>
      </c>
      <c r="J55" s="87">
        <v>20000</v>
      </c>
      <c r="K55" s="87">
        <f t="shared" si="22"/>
        <v>23586.199999999997</v>
      </c>
    </row>
    <row r="56" spans="5:11" x14ac:dyDescent="0.25">
      <c r="E56" s="87">
        <f t="shared" si="21"/>
        <v>188.68959999999998</v>
      </c>
      <c r="F56" s="4">
        <v>160</v>
      </c>
      <c r="G56" s="4">
        <f t="shared" si="19"/>
        <v>1.1793099999999999</v>
      </c>
      <c r="H56" s="4">
        <v>8</v>
      </c>
      <c r="I56" s="4">
        <f t="shared" si="20"/>
        <v>0.14741374999999998</v>
      </c>
      <c r="J56" s="87">
        <v>20000</v>
      </c>
      <c r="K56" s="87">
        <f t="shared" si="22"/>
        <v>23586.199999999997</v>
      </c>
    </row>
    <row r="57" spans="5:11" x14ac:dyDescent="0.25">
      <c r="E57" s="87">
        <f t="shared" si="21"/>
        <v>188.68959999999998</v>
      </c>
      <c r="F57" s="4">
        <v>160</v>
      </c>
      <c r="G57" s="4">
        <f t="shared" si="19"/>
        <v>1.1793099999999999</v>
      </c>
      <c r="H57" s="4">
        <v>9</v>
      </c>
      <c r="I57" s="4">
        <f t="shared" si="20"/>
        <v>0.13103444444444443</v>
      </c>
      <c r="J57" s="87">
        <v>20000</v>
      </c>
      <c r="K57" s="87">
        <f t="shared" si="22"/>
        <v>23586.199999999997</v>
      </c>
    </row>
  </sheetData>
  <mergeCells count="5">
    <mergeCell ref="A1:C1"/>
    <mergeCell ref="E13:K13"/>
    <mergeCell ref="E25:K25"/>
    <mergeCell ref="E37:K37"/>
    <mergeCell ref="E48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Costos Indirectos</vt:lpstr>
      <vt:lpstr>Hw&amp;SW</vt:lpstr>
      <vt:lpstr>Sueldos</vt:lpstr>
      <vt:lpstr>Otros</vt:lpstr>
      <vt:lpstr>TotalProyecto</vt:lpstr>
      <vt:lpstr>UUCP</vt:lpstr>
      <vt:lpstr>DistribuciónEsfuerzo</vt:lpstr>
      <vt:lpstr>EF</vt:lpstr>
      <vt:lpstr>TAW</vt:lpstr>
      <vt:lpstr>TBF</vt:lpstr>
      <vt:lpstr>TCF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Jsilva</dc:creator>
  <cp:lastModifiedBy>Jsilva</cp:lastModifiedBy>
  <dcterms:created xsi:type="dcterms:W3CDTF">2019-08-18T21:32:48Z</dcterms:created>
  <dcterms:modified xsi:type="dcterms:W3CDTF">2020-10-02T17:12:40Z</dcterms:modified>
</cp:coreProperties>
</file>