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775" activeTab="3"/>
  </bookViews>
  <sheets>
    <sheet name="loan payment" sheetId="1" r:id="rId1"/>
    <sheet name="Database" sheetId="2" r:id="rId2"/>
    <sheet name="Payment" sheetId="4" r:id="rId3"/>
    <sheet name="Dashboard 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5" l="1"/>
  <c r="L14" i="5"/>
  <c r="L11" i="5"/>
  <c r="I11" i="5"/>
  <c r="L8" i="5" s="1"/>
  <c r="I8" i="5"/>
  <c r="F14" i="5"/>
  <c r="E14" i="5"/>
  <c r="D14" i="5"/>
  <c r="F11" i="5"/>
  <c r="E11" i="5"/>
  <c r="D11" i="5"/>
  <c r="F8" i="5"/>
  <c r="E8" i="5"/>
  <c r="D8" i="5"/>
  <c r="H2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2" i="2"/>
  <c r="M31" i="2"/>
  <c r="M32" i="2"/>
  <c r="M33" i="2"/>
  <c r="M34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2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2" i="2"/>
  <c r="L12" i="1"/>
  <c r="H12" i="1"/>
  <c r="H13" i="1" s="1"/>
  <c r="H15" i="1" s="1"/>
  <c r="L8" i="1"/>
  <c r="L13" i="1" s="1"/>
  <c r="L15" i="1" s="1"/>
</calcChain>
</file>

<file path=xl/sharedStrings.xml><?xml version="1.0" encoding="utf-8"?>
<sst xmlns="http://schemas.openxmlformats.org/spreadsheetml/2006/main" count="163" uniqueCount="71">
  <si>
    <t>Annual Rate</t>
  </si>
  <si>
    <t>Number of Years</t>
  </si>
  <si>
    <t>Number of Payments</t>
  </si>
  <si>
    <t>Loan Amount</t>
  </si>
  <si>
    <t>Monthly Payment</t>
  </si>
  <si>
    <t>Total Cost</t>
  </si>
  <si>
    <t>Total Interest</t>
  </si>
  <si>
    <t>S/n</t>
  </si>
  <si>
    <t>Customer Name</t>
  </si>
  <si>
    <t>DoB</t>
  </si>
  <si>
    <t>Gender</t>
  </si>
  <si>
    <t>BVN</t>
  </si>
  <si>
    <t>Account Number</t>
  </si>
  <si>
    <t>Bank Name</t>
  </si>
  <si>
    <t>Annual Rate(%)</t>
  </si>
  <si>
    <t>Loan Duration(Years)</t>
  </si>
  <si>
    <t xml:space="preserve">ADERENI PRAISE-EL </t>
  </si>
  <si>
    <t>Male</t>
  </si>
  <si>
    <t>UBA</t>
  </si>
  <si>
    <t xml:space="preserve">AGWANIRU PRECIOUS </t>
  </si>
  <si>
    <t>Female</t>
  </si>
  <si>
    <t>FIRST BANK</t>
  </si>
  <si>
    <t xml:space="preserve">AYO-KADEBA FOLABOMI </t>
  </si>
  <si>
    <t>ZENITH</t>
  </si>
  <si>
    <t>CHUKWUEMEKA PRINCE SAMUEL</t>
  </si>
  <si>
    <t>FCMB</t>
  </si>
  <si>
    <t xml:space="preserve">EHOIDA EMMANUEL </t>
  </si>
  <si>
    <t>ACCESS</t>
  </si>
  <si>
    <t>EZE FRANKLIN CHIDERA</t>
  </si>
  <si>
    <t>DIAMOND</t>
  </si>
  <si>
    <t xml:space="preserve">FAPOHUNDA OLUWAPONMILE </t>
  </si>
  <si>
    <t xml:space="preserve">GBARANWI NUBARI </t>
  </si>
  <si>
    <t>IROEGBULE OMASIRICHI SONIA</t>
  </si>
  <si>
    <t xml:space="preserve">IYALLA GABRIEL </t>
  </si>
  <si>
    <t>MUSTAFA ERIOLUWA JOHN</t>
  </si>
  <si>
    <t xml:space="preserve">ODIASE EMMANUEL </t>
  </si>
  <si>
    <t>OGUNLEYE ADEYEMI MICHAEL</t>
  </si>
  <si>
    <t>OKPALUBA CHIBUZOR NNAYELUGO</t>
  </si>
  <si>
    <t xml:space="preserve">OLUGASA TOLULOPE </t>
  </si>
  <si>
    <t>OSADOLA INIOLUWA JESUTOFUNMI</t>
  </si>
  <si>
    <t>OYAFEMI DORCAS TOLUWANI</t>
  </si>
  <si>
    <t xml:space="preserve">SEGUN-OLUBIMO CHARISA </t>
  </si>
  <si>
    <t xml:space="preserve">ADEYEMI OGOOLUWA </t>
  </si>
  <si>
    <t xml:space="preserve">AKINFAWA DAVID </t>
  </si>
  <si>
    <t xml:space="preserve">DARAMOLA DARASIMI </t>
  </si>
  <si>
    <t xml:space="preserve">ERO-PHILIPS VICTOR </t>
  </si>
  <si>
    <t xml:space="preserve">HASSAN JOSHUA </t>
  </si>
  <si>
    <t xml:space="preserve">IDACHABA SAMUEL </t>
  </si>
  <si>
    <t xml:space="preserve">JUBRIL OLAYEMI </t>
  </si>
  <si>
    <t xml:space="preserve">NDIMKAOLA KAMSOYO </t>
  </si>
  <si>
    <t xml:space="preserve">NWAFOR CHIOMA </t>
  </si>
  <si>
    <t xml:space="preserve">NWOKOLO BASIL </t>
  </si>
  <si>
    <t xml:space="preserve">OKOLO KAYLA </t>
  </si>
  <si>
    <t xml:space="preserve">ONAOLAPO ABIGAIL </t>
  </si>
  <si>
    <t>Grace Israel</t>
  </si>
  <si>
    <t>Omobu Michael</t>
  </si>
  <si>
    <t>Awesome Emmanuel</t>
  </si>
  <si>
    <t>Monthly Payments</t>
  </si>
  <si>
    <t>TOTAL AMOUNTS</t>
  </si>
  <si>
    <t>Total Amount Paid</t>
  </si>
  <si>
    <t>Total Amount Left</t>
  </si>
  <si>
    <t>Loan Date</t>
  </si>
  <si>
    <t>Due Date</t>
  </si>
  <si>
    <t>Amount</t>
  </si>
  <si>
    <t>Date</t>
  </si>
  <si>
    <t>DOB</t>
  </si>
  <si>
    <t>Total Amount</t>
  </si>
  <si>
    <t>Annual Rate (%)</t>
  </si>
  <si>
    <t>Loan Duration (Years)</t>
  </si>
  <si>
    <t>Number of Payment</t>
  </si>
  <si>
    <t>Today's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</si>
</sst>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F800]dddd\,\ mmmm\ dd\,\ yyyy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0"/>
      <name val="Times New Roman"/>
      <family val="1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0" xfId="0" applyNumberFormat="1"/>
    <xf numFmtId="8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Fill="1" applyBorder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3" borderId="0" xfId="0" applyFont="1" applyFill="1"/>
    <xf numFmtId="0" fontId="4" fillId="4" borderId="0" xfId="0" applyFont="1" applyFill="1"/>
    <xf numFmtId="0" fontId="7" fillId="3" borderId="0" xfId="0" applyFont="1" applyFill="1" applyAlignment="1">
      <alignment horizontal="center"/>
    </xf>
    <xf numFmtId="44" fontId="7" fillId="3" borderId="0" xfId="1" applyFont="1" applyFill="1" applyAlignment="1">
      <alignment horizontal="center"/>
    </xf>
    <xf numFmtId="165" fontId="7" fillId="3" borderId="0" xfId="2" applyNumberFormat="1" applyFont="1" applyFill="1" applyAlignment="1">
      <alignment horizontal="center"/>
    </xf>
    <xf numFmtId="14" fontId="7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44" fontId="7" fillId="3" borderId="0" xfId="0" applyNumberFormat="1" applyFont="1" applyFill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19049</xdr:rowOff>
    </xdr:from>
    <xdr:to>
      <xdr:col>12</xdr:col>
      <xdr:colOff>323850</xdr:colOff>
      <xdr:row>4</xdr:row>
      <xdr:rowOff>9524</xdr:rowOff>
    </xdr:to>
    <xdr:sp macro="" textlink="">
      <xdr:nvSpPr>
        <xdr:cNvPr id="2" name="Rounded Rectangle 1"/>
        <xdr:cNvSpPr/>
      </xdr:nvSpPr>
      <xdr:spPr>
        <a:xfrm>
          <a:off x="3105150" y="209549"/>
          <a:ext cx="6210300" cy="5619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latin typeface="Times New Roman" panose="02020603050405020304" pitchFamily="18" charset="0"/>
              <a:cs typeface="Times New Roman" panose="02020603050405020304" pitchFamily="18" charset="0"/>
            </a:rPr>
            <a:t>LOAN PAYMENT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12</xdr:col>
      <xdr:colOff>28575</xdr:colOff>
      <xdr:row>4</xdr:row>
      <xdr:rowOff>171450</xdr:rowOff>
    </xdr:to>
    <xdr:sp macro="" textlink="">
      <xdr:nvSpPr>
        <xdr:cNvPr id="2" name="Rounded Rectangle 1"/>
        <xdr:cNvSpPr/>
      </xdr:nvSpPr>
      <xdr:spPr>
        <a:xfrm>
          <a:off x="1" y="0"/>
          <a:ext cx="12325349" cy="933450"/>
        </a:xfrm>
        <a:prstGeom prst="roundRect">
          <a:avLst/>
        </a:prstGeom>
        <a:solidFill>
          <a:schemeClr val="tx1"/>
        </a:solidFill>
        <a:ln w="762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>
              <a:solidFill>
                <a:schemeClr val="bg1"/>
              </a:solidFill>
              <a:latin typeface="Arial Black" panose="020B0A04020102020204" pitchFamily="34" charset="0"/>
            </a:rPr>
            <a:t>LOAN</a:t>
          </a:r>
          <a:r>
            <a:rPr lang="en-US" sz="3600" b="1" baseline="0">
              <a:solidFill>
                <a:schemeClr val="bg1"/>
              </a:solidFill>
              <a:latin typeface="Arial Black" panose="020B0A04020102020204" pitchFamily="34" charset="0"/>
            </a:rPr>
            <a:t> MANAGEMENT SYSTEM</a:t>
          </a:r>
          <a:endParaRPr lang="en-US" sz="3600" b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G6:L15"/>
  <sheetViews>
    <sheetView workbookViewId="0">
      <selection activeCell="G13" sqref="G13"/>
    </sheetView>
  </sheetViews>
  <sheetFormatPr defaultRowHeight="15" x14ac:dyDescent="0.25"/>
  <cols>
    <col min="7" max="7" width="20" bestFit="1" customWidth="1"/>
    <col min="8" max="8" width="10.85546875" bestFit="1" customWidth="1"/>
    <col min="11" max="11" width="20" bestFit="1" customWidth="1"/>
    <col min="12" max="12" width="10.85546875" bestFit="1" customWidth="1"/>
  </cols>
  <sheetData>
    <row r="6" spans="7:12" x14ac:dyDescent="0.25">
      <c r="G6" t="s">
        <v>0</v>
      </c>
      <c r="H6" s="1">
        <v>0.05</v>
      </c>
      <c r="K6" t="s">
        <v>0</v>
      </c>
      <c r="L6" s="2">
        <v>0.01</v>
      </c>
    </row>
    <row r="7" spans="7:12" x14ac:dyDescent="0.25">
      <c r="G7" t="s">
        <v>1</v>
      </c>
      <c r="H7">
        <v>10</v>
      </c>
      <c r="K7" t="s">
        <v>1</v>
      </c>
      <c r="L7" s="3">
        <v>2</v>
      </c>
    </row>
    <row r="8" spans="7:12" x14ac:dyDescent="0.25">
      <c r="G8" t="s">
        <v>2</v>
      </c>
      <c r="H8">
        <v>120</v>
      </c>
      <c r="K8" t="s">
        <v>2</v>
      </c>
      <c r="L8" s="3">
        <f>12*L7</f>
        <v>24</v>
      </c>
    </row>
    <row r="9" spans="7:12" x14ac:dyDescent="0.25">
      <c r="G9" t="s">
        <v>3</v>
      </c>
      <c r="H9">
        <v>20000</v>
      </c>
      <c r="K9" t="s">
        <v>3</v>
      </c>
      <c r="L9" s="3">
        <v>30000</v>
      </c>
    </row>
    <row r="10" spans="7:12" x14ac:dyDescent="0.25">
      <c r="L10" s="4"/>
    </row>
    <row r="11" spans="7:12" x14ac:dyDescent="0.25">
      <c r="L11" s="4"/>
    </row>
    <row r="12" spans="7:12" x14ac:dyDescent="0.25">
      <c r="G12" t="s">
        <v>4</v>
      </c>
      <c r="H12" s="5">
        <f>PMT(H6/12,H8,-H9)</f>
        <v>212.13103047815048</v>
      </c>
      <c r="K12" t="s">
        <v>4</v>
      </c>
      <c r="L12" s="6">
        <f>IF(L9="","",PMT(L6/L8,L8,-L9))</f>
        <v>1256.5208130657227</v>
      </c>
    </row>
    <row r="13" spans="7:12" x14ac:dyDescent="0.25">
      <c r="G13" t="s">
        <v>5</v>
      </c>
      <c r="H13" s="5">
        <f>H12*H8</f>
        <v>25455.723657378057</v>
      </c>
      <c r="K13" t="s">
        <v>5</v>
      </c>
      <c r="L13" s="6">
        <f>L12*L8</f>
        <v>30156.499513577342</v>
      </c>
    </row>
    <row r="14" spans="7:12" x14ac:dyDescent="0.25">
      <c r="L14" s="4"/>
    </row>
    <row r="15" spans="7:12" x14ac:dyDescent="0.25">
      <c r="G15" t="s">
        <v>6</v>
      </c>
      <c r="H15" s="5">
        <f>H13-H9</f>
        <v>5455.7236573780574</v>
      </c>
      <c r="K15" t="s">
        <v>6</v>
      </c>
      <c r="L15" s="6">
        <f>L13-L9</f>
        <v>156.49951357734244</v>
      </c>
    </row>
  </sheetData>
  <sheetProtection algorithmName="SHA-512" hashValue="10nB09dJaeMYV4hgCUJclscVzg1AzRX6I9xg/S44ohtToarhRIDBGMYxioqFf0TiXPIergEUrN1lWQYjtXl+bw==" saltValue="m8yVBvEgFtytThsz+fAXwQ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4"/>
  <sheetViews>
    <sheetView topLeftCell="G1" workbookViewId="0">
      <pane ySplit="1" topLeftCell="A2" activePane="bottomLeft" state="frozen"/>
      <selection activeCell="G1" sqref="G1"/>
      <selection pane="bottomLeft" activeCell="L1" sqref="L1"/>
    </sheetView>
  </sheetViews>
  <sheetFormatPr defaultRowHeight="15" x14ac:dyDescent="0.25"/>
  <cols>
    <col min="2" max="2" width="32.85546875" bestFit="1" customWidth="1"/>
    <col min="3" max="3" width="13.42578125" customWidth="1"/>
    <col min="4" max="4" width="13.42578125" style="12" customWidth="1"/>
    <col min="5" max="5" width="18.42578125" style="4" customWidth="1"/>
    <col min="6" max="6" width="15.28515625" customWidth="1"/>
    <col min="7" max="7" width="15" style="12" customWidth="1"/>
    <col min="8" max="8" width="16.28515625" style="12" customWidth="1"/>
    <col min="9" max="9" width="15.140625" customWidth="1"/>
    <col min="10" max="10" width="19.7109375" bestFit="1" customWidth="1"/>
    <col min="11" max="11" width="20.140625" bestFit="1" customWidth="1"/>
    <col min="12" max="12" width="17.85546875" bestFit="1" customWidth="1"/>
    <col min="13" max="13" width="16.28515625" bestFit="1" customWidth="1"/>
    <col min="14" max="14" width="17.5703125" bestFit="1" customWidth="1"/>
    <col min="15" max="15" width="17" bestFit="1" customWidth="1"/>
    <col min="16" max="16" width="13.140625" style="15" customWidth="1"/>
    <col min="17" max="17" width="13.28515625" customWidth="1"/>
  </cols>
  <sheetData>
    <row r="1" spans="1:17" x14ac:dyDescent="0.25">
      <c r="A1" t="s">
        <v>7</v>
      </c>
      <c r="B1" t="s">
        <v>8</v>
      </c>
      <c r="C1" t="s">
        <v>9</v>
      </c>
      <c r="D1" s="12" t="s">
        <v>10</v>
      </c>
      <c r="E1" s="4" t="s">
        <v>11</v>
      </c>
      <c r="F1" t="s">
        <v>12</v>
      </c>
      <c r="G1" s="12" t="s">
        <v>13</v>
      </c>
      <c r="H1" s="12" t="s">
        <v>3</v>
      </c>
      <c r="I1" s="1" t="s">
        <v>14</v>
      </c>
      <c r="J1" s="7" t="s">
        <v>15</v>
      </c>
      <c r="K1" t="s">
        <v>2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 spans="1:17" x14ac:dyDescent="0.25">
      <c r="A2" s="4">
        <v>1</v>
      </c>
      <c r="B2" s="8" t="s">
        <v>16</v>
      </c>
      <c r="C2" s="9">
        <v>23775</v>
      </c>
      <c r="D2" s="12" t="s">
        <v>17</v>
      </c>
      <c r="E2" s="4">
        <v>1234567893</v>
      </c>
      <c r="F2" s="4">
        <v>9014497812</v>
      </c>
      <c r="G2" s="12" t="s">
        <v>18</v>
      </c>
      <c r="H2" s="12">
        <v>50000</v>
      </c>
      <c r="I2" s="2">
        <v>1.0999999999999999E-2</v>
      </c>
      <c r="J2" s="10">
        <v>1</v>
      </c>
      <c r="K2" s="12">
        <f>IF(J2= " ","",(J2*12))</f>
        <v>12</v>
      </c>
      <c r="L2" s="14">
        <f>IF(K2="","",PMT(I2/12,K2,-H2))</f>
        <v>4191.5347584857564</v>
      </c>
      <c r="M2" s="14">
        <f>IF(K2="","",(K2*L2))</f>
        <v>50298.41710182908</v>
      </c>
      <c r="P2" s="15">
        <v>44562</v>
      </c>
      <c r="Q2" s="16">
        <f>IF(P2="","",(P2+365*J2))</f>
        <v>44927</v>
      </c>
    </row>
    <row r="3" spans="1:17" x14ac:dyDescent="0.25">
      <c r="A3" s="4">
        <v>2</v>
      </c>
      <c r="B3" s="8" t="s">
        <v>19</v>
      </c>
      <c r="C3" s="9">
        <v>24506</v>
      </c>
      <c r="D3" s="12" t="s">
        <v>20</v>
      </c>
      <c r="E3" s="4">
        <v>2345986452</v>
      </c>
      <c r="F3" s="4">
        <v>1012591637</v>
      </c>
      <c r="G3" s="12" t="s">
        <v>21</v>
      </c>
      <c r="H3" s="12">
        <v>45000</v>
      </c>
      <c r="I3" s="2">
        <v>1.2E-2</v>
      </c>
      <c r="J3" s="10">
        <v>2</v>
      </c>
      <c r="K3" s="12">
        <f t="shared" ref="K3:K34" si="0">IF(J3= " ","",(J3*12))</f>
        <v>24</v>
      </c>
      <c r="L3" s="14">
        <f t="shared" ref="L3:L34" si="1">IF(K3="","",PMT(I3/12,K3,-H3))</f>
        <v>1898.5272979953593</v>
      </c>
      <c r="M3" s="14">
        <f t="shared" ref="M3:M34" si="2">IF(K3="","",(K3*L3))</f>
        <v>45564.655151888626</v>
      </c>
      <c r="P3" s="15">
        <v>44572</v>
      </c>
      <c r="Q3" s="16">
        <f t="shared" ref="Q3:Q34" si="3">IF(P3="","",(P3+365*J3))</f>
        <v>45302</v>
      </c>
    </row>
    <row r="4" spans="1:17" x14ac:dyDescent="0.25">
      <c r="A4" s="4">
        <v>3</v>
      </c>
      <c r="B4" s="8" t="s">
        <v>22</v>
      </c>
      <c r="C4" s="9">
        <v>25237</v>
      </c>
      <c r="D4" s="12" t="s">
        <v>17</v>
      </c>
      <c r="E4" s="4">
        <v>3457405012</v>
      </c>
      <c r="F4" s="4">
        <v>1123733493</v>
      </c>
      <c r="G4" s="12" t="s">
        <v>23</v>
      </c>
      <c r="H4" s="12">
        <v>55000</v>
      </c>
      <c r="I4" s="2">
        <v>1.4E-2</v>
      </c>
      <c r="J4" s="10">
        <v>3</v>
      </c>
      <c r="K4" s="12">
        <f t="shared" si="0"/>
        <v>36</v>
      </c>
      <c r="L4" s="14">
        <f t="shared" si="1"/>
        <v>1560.9765874634761</v>
      </c>
      <c r="M4" s="14">
        <f t="shared" si="2"/>
        <v>56195.157148685139</v>
      </c>
      <c r="P4" s="15">
        <v>44573</v>
      </c>
      <c r="Q4" s="16">
        <f t="shared" si="3"/>
        <v>45668</v>
      </c>
    </row>
    <row r="5" spans="1:17" x14ac:dyDescent="0.25">
      <c r="A5" s="4">
        <v>4</v>
      </c>
      <c r="B5" s="8" t="s">
        <v>24</v>
      </c>
      <c r="C5" s="9">
        <v>25968</v>
      </c>
      <c r="D5" s="12" t="s">
        <v>20</v>
      </c>
      <c r="E5" s="4">
        <v>4568823571</v>
      </c>
      <c r="F5" s="4">
        <v>1234875349</v>
      </c>
      <c r="G5" s="12" t="s">
        <v>25</v>
      </c>
      <c r="H5" s="12">
        <v>40000</v>
      </c>
      <c r="I5" s="2">
        <v>1.53333333333333E-2</v>
      </c>
      <c r="J5" s="10">
        <v>1</v>
      </c>
      <c r="K5" s="12">
        <f t="shared" si="0"/>
        <v>12</v>
      </c>
      <c r="L5" s="14">
        <f t="shared" si="1"/>
        <v>3361.0833319729022</v>
      </c>
      <c r="M5" s="14">
        <f t="shared" si="2"/>
        <v>40332.999983674825</v>
      </c>
      <c r="P5" s="15">
        <v>44574</v>
      </c>
      <c r="Q5" s="16">
        <f t="shared" si="3"/>
        <v>44939</v>
      </c>
    </row>
    <row r="6" spans="1:17" x14ac:dyDescent="0.25">
      <c r="A6" s="4">
        <v>5</v>
      </c>
      <c r="B6" s="8" t="s">
        <v>26</v>
      </c>
      <c r="C6" s="9">
        <v>26699</v>
      </c>
      <c r="D6" s="12" t="s">
        <v>17</v>
      </c>
      <c r="E6" s="4">
        <v>5680242138</v>
      </c>
      <c r="F6" s="4">
        <v>1346017205</v>
      </c>
      <c r="G6" s="12" t="s">
        <v>27</v>
      </c>
      <c r="H6" s="12">
        <v>90000</v>
      </c>
      <c r="I6" s="2">
        <v>1.6833333333333301E-2</v>
      </c>
      <c r="J6" s="10">
        <v>2</v>
      </c>
      <c r="K6" s="12">
        <f t="shared" si="0"/>
        <v>24</v>
      </c>
      <c r="L6" s="14">
        <f t="shared" si="1"/>
        <v>3816.1085403424577</v>
      </c>
      <c r="M6" s="14">
        <f t="shared" si="2"/>
        <v>91586.604968218977</v>
      </c>
      <c r="P6" s="15">
        <v>44575</v>
      </c>
      <c r="Q6" s="16">
        <f t="shared" si="3"/>
        <v>45305</v>
      </c>
    </row>
    <row r="7" spans="1:17" x14ac:dyDescent="0.25">
      <c r="A7" s="4">
        <v>6</v>
      </c>
      <c r="B7" s="8" t="s">
        <v>28</v>
      </c>
      <c r="C7" s="9">
        <v>27430</v>
      </c>
      <c r="D7" s="12" t="s">
        <v>20</v>
      </c>
      <c r="E7" s="4">
        <v>6791660693</v>
      </c>
      <c r="F7" s="4">
        <v>1457159061</v>
      </c>
      <c r="G7" s="12" t="s">
        <v>29</v>
      </c>
      <c r="H7" s="12">
        <v>78500</v>
      </c>
      <c r="I7" s="2">
        <v>1.8333333333333299E-2</v>
      </c>
      <c r="J7" s="10">
        <v>3</v>
      </c>
      <c r="K7" s="12">
        <f t="shared" si="0"/>
        <v>36</v>
      </c>
      <c r="L7" s="14">
        <f t="shared" si="1"/>
        <v>2242.7353462770398</v>
      </c>
      <c r="M7" s="14">
        <f t="shared" si="2"/>
        <v>80738.472465973435</v>
      </c>
      <c r="P7" s="15">
        <v>44576</v>
      </c>
      <c r="Q7" s="16">
        <f t="shared" si="3"/>
        <v>45671</v>
      </c>
    </row>
    <row r="8" spans="1:17" x14ac:dyDescent="0.25">
      <c r="A8" s="4">
        <v>7</v>
      </c>
      <c r="B8" s="8" t="s">
        <v>30</v>
      </c>
      <c r="C8" s="9">
        <v>28161</v>
      </c>
      <c r="D8" s="12" t="s">
        <v>17</v>
      </c>
      <c r="E8" s="4">
        <v>7903079255</v>
      </c>
      <c r="F8" s="4">
        <v>1568300917</v>
      </c>
      <c r="G8" s="12" t="s">
        <v>18</v>
      </c>
      <c r="H8" s="12">
        <v>86000</v>
      </c>
      <c r="I8" s="2">
        <v>1.98333333333333E-2</v>
      </c>
      <c r="J8" s="10">
        <v>1</v>
      </c>
      <c r="K8" s="12">
        <f t="shared" si="0"/>
        <v>12</v>
      </c>
      <c r="L8" s="14">
        <f t="shared" si="1"/>
        <v>7243.8916632805822</v>
      </c>
      <c r="M8" s="14">
        <f t="shared" si="2"/>
        <v>86926.69995936699</v>
      </c>
      <c r="P8" s="15">
        <v>44577</v>
      </c>
      <c r="Q8" s="16">
        <f t="shared" si="3"/>
        <v>44942</v>
      </c>
    </row>
    <row r="9" spans="1:17" x14ac:dyDescent="0.25">
      <c r="A9" s="4">
        <v>8</v>
      </c>
      <c r="B9" s="8" t="s">
        <v>31</v>
      </c>
      <c r="C9" s="9">
        <v>28892</v>
      </c>
      <c r="D9" s="12" t="s">
        <v>20</v>
      </c>
      <c r="E9" s="4">
        <v>9014497812</v>
      </c>
      <c r="F9" s="4">
        <v>1679442773</v>
      </c>
      <c r="G9" s="12" t="s">
        <v>21</v>
      </c>
      <c r="H9" s="12">
        <v>93500</v>
      </c>
      <c r="I9" s="2">
        <v>2.1333333333333301E-2</v>
      </c>
      <c r="J9" s="10">
        <v>2</v>
      </c>
      <c r="K9" s="12">
        <f t="shared" si="0"/>
        <v>24</v>
      </c>
      <c r="L9" s="14">
        <f t="shared" si="1"/>
        <v>3982.9968519952508</v>
      </c>
      <c r="M9" s="14">
        <f t="shared" si="2"/>
        <v>95591.92444788602</v>
      </c>
      <c r="P9" s="15">
        <v>44578</v>
      </c>
      <c r="Q9" s="16">
        <f t="shared" si="3"/>
        <v>45308</v>
      </c>
    </row>
    <row r="10" spans="1:17" x14ac:dyDescent="0.25">
      <c r="A10" s="4">
        <v>9</v>
      </c>
      <c r="B10" s="8" t="s">
        <v>32</v>
      </c>
      <c r="C10" s="9">
        <v>29623</v>
      </c>
      <c r="D10" s="12" t="s">
        <v>17</v>
      </c>
      <c r="E10" s="4">
        <v>1012591637</v>
      </c>
      <c r="F10" s="4">
        <v>1790584629</v>
      </c>
      <c r="G10" s="12" t="s">
        <v>23</v>
      </c>
      <c r="H10" s="12">
        <v>101000</v>
      </c>
      <c r="I10" s="2">
        <v>2.2833333333333299E-2</v>
      </c>
      <c r="J10" s="10">
        <v>3</v>
      </c>
      <c r="K10" s="12">
        <f t="shared" si="0"/>
        <v>36</v>
      </c>
      <c r="L10" s="14">
        <f t="shared" si="1"/>
        <v>2905.4100647981895</v>
      </c>
      <c r="M10" s="14">
        <f t="shared" si="2"/>
        <v>104594.76233273483</v>
      </c>
      <c r="P10" s="15">
        <v>44579</v>
      </c>
      <c r="Q10" s="16">
        <f t="shared" si="3"/>
        <v>45674</v>
      </c>
    </row>
    <row r="11" spans="1:17" x14ac:dyDescent="0.25">
      <c r="A11" s="4">
        <v>10</v>
      </c>
      <c r="B11" s="8" t="s">
        <v>33</v>
      </c>
      <c r="C11" s="9">
        <v>30354</v>
      </c>
      <c r="D11" s="12" t="s">
        <v>20</v>
      </c>
      <c r="E11" s="4">
        <v>1123733493</v>
      </c>
      <c r="F11" s="4">
        <v>1901726485</v>
      </c>
      <c r="G11" s="12" t="s">
        <v>25</v>
      </c>
      <c r="H11" s="12">
        <v>108500</v>
      </c>
      <c r="I11" s="2">
        <v>2.4333333333333301E-2</v>
      </c>
      <c r="J11" s="10">
        <v>1</v>
      </c>
      <c r="K11" s="12">
        <f t="shared" si="0"/>
        <v>12</v>
      </c>
      <c r="L11" s="14">
        <f t="shared" si="1"/>
        <v>9161.2834445895551</v>
      </c>
      <c r="M11" s="14">
        <f t="shared" si="2"/>
        <v>109935.40133507465</v>
      </c>
      <c r="P11" s="15">
        <v>44580</v>
      </c>
      <c r="Q11" s="16">
        <f t="shared" si="3"/>
        <v>44945</v>
      </c>
    </row>
    <row r="12" spans="1:17" x14ac:dyDescent="0.25">
      <c r="A12" s="4">
        <v>11</v>
      </c>
      <c r="B12" s="8" t="s">
        <v>34</v>
      </c>
      <c r="C12" s="9">
        <v>31085</v>
      </c>
      <c r="D12" s="12" t="s">
        <v>17</v>
      </c>
      <c r="E12" s="4">
        <v>1234875349</v>
      </c>
      <c r="F12" s="4">
        <v>2012868341</v>
      </c>
      <c r="G12" s="12" t="s">
        <v>27</v>
      </c>
      <c r="H12" s="12">
        <v>116000</v>
      </c>
      <c r="I12" s="2">
        <v>2.5833333333333298E-2</v>
      </c>
      <c r="J12" s="10">
        <v>2</v>
      </c>
      <c r="K12" s="12">
        <f t="shared" si="0"/>
        <v>24</v>
      </c>
      <c r="L12" s="14">
        <f t="shared" si="1"/>
        <v>4964.4691156477302</v>
      </c>
      <c r="M12" s="14">
        <f t="shared" si="2"/>
        <v>119147.25877554552</v>
      </c>
      <c r="P12" s="15">
        <v>44581</v>
      </c>
      <c r="Q12" s="16">
        <f t="shared" si="3"/>
        <v>45311</v>
      </c>
    </row>
    <row r="13" spans="1:17" x14ac:dyDescent="0.25">
      <c r="A13" s="4">
        <v>12</v>
      </c>
      <c r="B13" s="8" t="s">
        <v>35</v>
      </c>
      <c r="C13" s="9">
        <v>31816</v>
      </c>
      <c r="D13" s="12" t="s">
        <v>20</v>
      </c>
      <c r="E13" s="4">
        <v>1346017205</v>
      </c>
      <c r="F13" s="4">
        <v>2124010197</v>
      </c>
      <c r="G13" s="12" t="s">
        <v>29</v>
      </c>
      <c r="H13" s="12">
        <v>123500</v>
      </c>
      <c r="I13" s="2">
        <v>2.73333333333333E-2</v>
      </c>
      <c r="J13" s="10">
        <v>3</v>
      </c>
      <c r="K13" s="12">
        <f t="shared" si="0"/>
        <v>36</v>
      </c>
      <c r="L13" s="14">
        <f t="shared" si="1"/>
        <v>3577.0337274654989</v>
      </c>
      <c r="M13" s="14">
        <f t="shared" si="2"/>
        <v>128773.21418875796</v>
      </c>
      <c r="P13" s="15">
        <v>44582</v>
      </c>
      <c r="Q13" s="16">
        <f t="shared" si="3"/>
        <v>45677</v>
      </c>
    </row>
    <row r="14" spans="1:17" x14ac:dyDescent="0.25">
      <c r="A14" s="4">
        <v>13</v>
      </c>
      <c r="B14" s="8" t="s">
        <v>36</v>
      </c>
      <c r="C14" s="9">
        <v>32547</v>
      </c>
      <c r="D14" s="12" t="s">
        <v>17</v>
      </c>
      <c r="E14" s="4">
        <v>1457159061</v>
      </c>
      <c r="F14" s="4">
        <v>2235152053</v>
      </c>
      <c r="G14" s="12" t="s">
        <v>18</v>
      </c>
      <c r="H14" s="12">
        <v>131000</v>
      </c>
      <c r="I14" s="2">
        <v>2.8833333333333301E-2</v>
      </c>
      <c r="J14" s="10">
        <v>1</v>
      </c>
      <c r="K14" s="12">
        <f t="shared" si="0"/>
        <v>12</v>
      </c>
      <c r="L14" s="14">
        <f t="shared" si="1"/>
        <v>11087.913917380914</v>
      </c>
      <c r="M14" s="14">
        <f t="shared" si="2"/>
        <v>133054.96700857097</v>
      </c>
      <c r="P14" s="15">
        <v>44583</v>
      </c>
      <c r="Q14" s="16">
        <f t="shared" si="3"/>
        <v>44948</v>
      </c>
    </row>
    <row r="15" spans="1:17" x14ac:dyDescent="0.25">
      <c r="A15" s="4">
        <v>14</v>
      </c>
      <c r="B15" s="8" t="s">
        <v>37</v>
      </c>
      <c r="C15" s="9">
        <v>33278</v>
      </c>
      <c r="D15" s="12" t="s">
        <v>20</v>
      </c>
      <c r="E15" s="4">
        <v>1568300917</v>
      </c>
      <c r="F15" s="4">
        <v>1234567893</v>
      </c>
      <c r="G15" s="12" t="s">
        <v>21</v>
      </c>
      <c r="H15" s="12">
        <v>138500</v>
      </c>
      <c r="I15" s="2">
        <v>3.0333333333333299E-2</v>
      </c>
      <c r="J15" s="10">
        <v>2</v>
      </c>
      <c r="K15" s="12">
        <f t="shared" si="0"/>
        <v>24</v>
      </c>
      <c r="L15" s="14">
        <f t="shared" si="1"/>
        <v>5954.9401622138203</v>
      </c>
      <c r="M15" s="14">
        <f t="shared" si="2"/>
        <v>142918.56389313168</v>
      </c>
      <c r="P15" s="15">
        <v>44584</v>
      </c>
      <c r="Q15" s="16">
        <f t="shared" si="3"/>
        <v>45314</v>
      </c>
    </row>
    <row r="16" spans="1:17" x14ac:dyDescent="0.25">
      <c r="A16" s="4">
        <v>15</v>
      </c>
      <c r="B16" s="8" t="s">
        <v>38</v>
      </c>
      <c r="C16" s="9">
        <v>34009</v>
      </c>
      <c r="D16" s="12" t="s">
        <v>17</v>
      </c>
      <c r="E16" s="4">
        <v>1679442773</v>
      </c>
      <c r="F16" s="4">
        <v>2345986452</v>
      </c>
      <c r="G16" s="12" t="s">
        <v>23</v>
      </c>
      <c r="H16" s="12">
        <v>146000</v>
      </c>
      <c r="I16" s="2">
        <v>3.1833333333333297E-2</v>
      </c>
      <c r="J16" s="10">
        <v>3</v>
      </c>
      <c r="K16" s="12">
        <f t="shared" si="0"/>
        <v>36</v>
      </c>
      <c r="L16" s="14">
        <f t="shared" si="1"/>
        <v>4257.6629610143964</v>
      </c>
      <c r="M16" s="14">
        <f t="shared" si="2"/>
        <v>153275.86659651826</v>
      </c>
      <c r="P16" s="15">
        <v>44585</v>
      </c>
      <c r="Q16" s="16">
        <f t="shared" si="3"/>
        <v>45680</v>
      </c>
    </row>
    <row r="17" spans="1:17" x14ac:dyDescent="0.25">
      <c r="A17" s="4">
        <v>16</v>
      </c>
      <c r="B17" s="8" t="s">
        <v>39</v>
      </c>
      <c r="C17" s="9">
        <v>34740</v>
      </c>
      <c r="D17" s="12" t="s">
        <v>20</v>
      </c>
      <c r="E17" s="4">
        <v>1790584629</v>
      </c>
      <c r="F17" s="4">
        <v>3457405012</v>
      </c>
      <c r="G17" s="12" t="s">
        <v>25</v>
      </c>
      <c r="H17" s="12">
        <v>153500</v>
      </c>
      <c r="I17" s="2">
        <v>3.3333333333333298E-2</v>
      </c>
      <c r="J17" s="10">
        <v>1</v>
      </c>
      <c r="K17" s="12">
        <f t="shared" si="0"/>
        <v>12</v>
      </c>
      <c r="L17" s="14">
        <f t="shared" si="1"/>
        <v>13023.801850883661</v>
      </c>
      <c r="M17" s="14">
        <f t="shared" si="2"/>
        <v>156285.62221060393</v>
      </c>
      <c r="P17" s="15">
        <v>44586</v>
      </c>
      <c r="Q17" s="16">
        <f t="shared" si="3"/>
        <v>44951</v>
      </c>
    </row>
    <row r="18" spans="1:17" x14ac:dyDescent="0.25">
      <c r="A18" s="4">
        <v>17</v>
      </c>
      <c r="B18" s="8" t="s">
        <v>40</v>
      </c>
      <c r="C18" s="9">
        <v>35471</v>
      </c>
      <c r="D18" s="12" t="s">
        <v>17</v>
      </c>
      <c r="E18" s="4">
        <v>1901726485</v>
      </c>
      <c r="F18" s="4">
        <v>4568823571</v>
      </c>
      <c r="G18" s="12" t="s">
        <v>27</v>
      </c>
      <c r="H18" s="12">
        <v>161000</v>
      </c>
      <c r="I18" s="2">
        <v>3.48333333333333E-2</v>
      </c>
      <c r="J18" s="10">
        <v>2</v>
      </c>
      <c r="K18" s="12">
        <f t="shared" si="0"/>
        <v>24</v>
      </c>
      <c r="L18" s="14">
        <f t="shared" si="1"/>
        <v>6954.4477027442163</v>
      </c>
      <c r="M18" s="14">
        <f t="shared" si="2"/>
        <v>166906.7448658612</v>
      </c>
      <c r="P18" s="15">
        <v>44587</v>
      </c>
      <c r="Q18" s="16">
        <f t="shared" si="3"/>
        <v>45317</v>
      </c>
    </row>
    <row r="19" spans="1:17" x14ac:dyDescent="0.25">
      <c r="A19" s="4">
        <v>18</v>
      </c>
      <c r="B19" s="8" t="s">
        <v>41</v>
      </c>
      <c r="C19" s="9">
        <v>36202</v>
      </c>
      <c r="D19" s="12" t="s">
        <v>20</v>
      </c>
      <c r="E19" s="4">
        <v>2012868341</v>
      </c>
      <c r="F19" s="4">
        <v>5680242138</v>
      </c>
      <c r="G19" s="12" t="s">
        <v>29</v>
      </c>
      <c r="H19" s="12">
        <v>168500</v>
      </c>
      <c r="I19" s="2">
        <v>3.6333333333333301E-2</v>
      </c>
      <c r="J19" s="10">
        <v>3</v>
      </c>
      <c r="K19" s="12">
        <f t="shared" si="0"/>
        <v>36</v>
      </c>
      <c r="L19" s="14">
        <f t="shared" si="1"/>
        <v>4947.3543294359333</v>
      </c>
      <c r="M19" s="14">
        <f t="shared" si="2"/>
        <v>178104.7558596936</v>
      </c>
      <c r="P19" s="15">
        <v>44588</v>
      </c>
      <c r="Q19" s="16">
        <f t="shared" si="3"/>
        <v>45683</v>
      </c>
    </row>
    <row r="20" spans="1:17" x14ac:dyDescent="0.25">
      <c r="A20" s="4">
        <v>19</v>
      </c>
      <c r="B20" s="8" t="s">
        <v>42</v>
      </c>
      <c r="C20" s="9">
        <v>36933</v>
      </c>
      <c r="D20" s="12" t="s">
        <v>17</v>
      </c>
      <c r="E20" s="4">
        <v>2124010197</v>
      </c>
      <c r="F20" s="4">
        <v>6791660693</v>
      </c>
      <c r="G20" s="12" t="s">
        <v>18</v>
      </c>
      <c r="H20" s="12">
        <v>176000</v>
      </c>
      <c r="I20" s="2">
        <v>3.7833333333333302E-2</v>
      </c>
      <c r="J20" s="10">
        <v>1</v>
      </c>
      <c r="K20" s="12">
        <f t="shared" si="0"/>
        <v>12</v>
      </c>
      <c r="L20" s="14">
        <f>IF(K20="","",PMT(I20/12,K20,-H20))</f>
        <v>14968.965999500666</v>
      </c>
      <c r="M20" s="14">
        <f t="shared" si="2"/>
        <v>179627.59199400799</v>
      </c>
      <c r="P20" s="15">
        <v>44589</v>
      </c>
      <c r="Q20" s="16">
        <f t="shared" si="3"/>
        <v>44954</v>
      </c>
    </row>
    <row r="21" spans="1:17" x14ac:dyDescent="0.25">
      <c r="A21" s="4">
        <v>20</v>
      </c>
      <c r="B21" s="8" t="s">
        <v>43</v>
      </c>
      <c r="C21" s="9">
        <v>37664</v>
      </c>
      <c r="D21" s="12" t="s">
        <v>20</v>
      </c>
      <c r="E21" s="4">
        <v>2235152053</v>
      </c>
      <c r="F21" s="4">
        <v>7903079255</v>
      </c>
      <c r="G21" s="12" t="s">
        <v>21</v>
      </c>
      <c r="H21" s="12">
        <v>183500</v>
      </c>
      <c r="I21" s="2">
        <v>3.9333333333333297E-2</v>
      </c>
      <c r="J21" s="10">
        <v>2</v>
      </c>
      <c r="K21" s="12">
        <f t="shared" si="0"/>
        <v>24</v>
      </c>
      <c r="L21" s="14">
        <f t="shared" si="1"/>
        <v>7963.0294133867064</v>
      </c>
      <c r="M21" s="14">
        <f t="shared" si="2"/>
        <v>191112.70592128095</v>
      </c>
      <c r="P21" s="15">
        <v>44590</v>
      </c>
      <c r="Q21" s="16">
        <f t="shared" si="3"/>
        <v>45320</v>
      </c>
    </row>
    <row r="22" spans="1:17" x14ac:dyDescent="0.25">
      <c r="A22" s="4">
        <v>21</v>
      </c>
      <c r="B22" s="8" t="s">
        <v>44</v>
      </c>
      <c r="C22" s="9">
        <v>38395</v>
      </c>
      <c r="D22" s="12" t="s">
        <v>17</v>
      </c>
      <c r="E22" s="4">
        <v>2346293909</v>
      </c>
      <c r="F22" s="4">
        <v>9014497812</v>
      </c>
      <c r="G22" s="12" t="s">
        <v>23</v>
      </c>
      <c r="H22" s="12">
        <v>191000</v>
      </c>
      <c r="I22" s="2">
        <v>4.0833333333333298E-2</v>
      </c>
      <c r="J22" s="10">
        <v>3</v>
      </c>
      <c r="K22" s="12">
        <f t="shared" si="0"/>
        <v>36</v>
      </c>
      <c r="L22" s="14">
        <f t="shared" si="1"/>
        <v>5646.1643306576998</v>
      </c>
      <c r="M22" s="14">
        <f t="shared" si="2"/>
        <v>203261.9159036772</v>
      </c>
      <c r="P22" s="15">
        <v>44591</v>
      </c>
      <c r="Q22" s="16">
        <f t="shared" si="3"/>
        <v>45686</v>
      </c>
    </row>
    <row r="23" spans="1:17" x14ac:dyDescent="0.25">
      <c r="A23" s="4">
        <v>22</v>
      </c>
      <c r="B23" s="8" t="s">
        <v>45</v>
      </c>
      <c r="C23" s="9">
        <v>39126</v>
      </c>
      <c r="D23" s="12" t="s">
        <v>20</v>
      </c>
      <c r="E23" s="4">
        <v>2457435765</v>
      </c>
      <c r="F23" s="4">
        <v>1012591637</v>
      </c>
      <c r="G23" s="12" t="s">
        <v>25</v>
      </c>
      <c r="H23" s="12">
        <v>198500</v>
      </c>
      <c r="I23" s="2">
        <v>4.2333333333333299E-2</v>
      </c>
      <c r="J23" s="10">
        <v>1</v>
      </c>
      <c r="K23" s="12">
        <f t="shared" si="0"/>
        <v>12</v>
      </c>
      <c r="L23" s="14">
        <f t="shared" si="1"/>
        <v>16923.425102700985</v>
      </c>
      <c r="M23" s="14">
        <f t="shared" si="2"/>
        <v>203081.10123241181</v>
      </c>
      <c r="P23" s="15">
        <v>44592</v>
      </c>
      <c r="Q23" s="16">
        <f t="shared" si="3"/>
        <v>44957</v>
      </c>
    </row>
    <row r="24" spans="1:17" x14ac:dyDescent="0.25">
      <c r="A24" s="4">
        <v>23</v>
      </c>
      <c r="B24" s="8" t="s">
        <v>46</v>
      </c>
      <c r="C24" s="9">
        <v>23775</v>
      </c>
      <c r="D24" s="12" t="s">
        <v>17</v>
      </c>
      <c r="E24" s="4">
        <v>2568577621</v>
      </c>
      <c r="F24" s="4">
        <v>1123733493</v>
      </c>
      <c r="G24" s="12" t="s">
        <v>27</v>
      </c>
      <c r="H24" s="12">
        <v>206000</v>
      </c>
      <c r="I24" s="2">
        <v>4.3833333333333301E-2</v>
      </c>
      <c r="J24" s="10">
        <v>2</v>
      </c>
      <c r="K24" s="12">
        <f t="shared" si="0"/>
        <v>24</v>
      </c>
      <c r="L24" s="14">
        <f t="shared" si="1"/>
        <v>8980.7229344226889</v>
      </c>
      <c r="M24" s="14">
        <f t="shared" si="2"/>
        <v>215537.35042614455</v>
      </c>
      <c r="P24" s="15">
        <v>44593</v>
      </c>
      <c r="Q24" s="16">
        <f t="shared" si="3"/>
        <v>45323</v>
      </c>
    </row>
    <row r="25" spans="1:17" x14ac:dyDescent="0.25">
      <c r="A25" s="4">
        <v>24</v>
      </c>
      <c r="B25" s="8" t="s">
        <v>47</v>
      </c>
      <c r="C25" s="9">
        <v>24506</v>
      </c>
      <c r="D25" s="12" t="s">
        <v>20</v>
      </c>
      <c r="E25" s="4">
        <v>2679719477</v>
      </c>
      <c r="F25" s="4">
        <v>1234875349</v>
      </c>
      <c r="G25" s="12" t="s">
        <v>29</v>
      </c>
      <c r="H25" s="12">
        <v>213500</v>
      </c>
      <c r="I25" s="2">
        <v>4.5333333333333302E-2</v>
      </c>
      <c r="J25" s="10">
        <v>3</v>
      </c>
      <c r="K25" s="12">
        <f t="shared" si="0"/>
        <v>36</v>
      </c>
      <c r="L25" s="14">
        <f t="shared" si="1"/>
        <v>6354.1493932403764</v>
      </c>
      <c r="M25" s="14">
        <f t="shared" si="2"/>
        <v>228749.37815665355</v>
      </c>
      <c r="P25" s="15">
        <v>44594</v>
      </c>
      <c r="Q25" s="16">
        <f t="shared" si="3"/>
        <v>45689</v>
      </c>
    </row>
    <row r="26" spans="1:17" x14ac:dyDescent="0.25">
      <c r="A26" s="4">
        <v>25</v>
      </c>
      <c r="B26" s="8" t="s">
        <v>48</v>
      </c>
      <c r="C26" s="9">
        <v>25237</v>
      </c>
      <c r="D26" s="12" t="s">
        <v>17</v>
      </c>
      <c r="E26" s="4">
        <v>2790861333</v>
      </c>
      <c r="F26" s="4">
        <v>1346017205</v>
      </c>
      <c r="G26" s="12" t="s">
        <v>18</v>
      </c>
      <c r="H26" s="12">
        <v>221000</v>
      </c>
      <c r="I26" s="2">
        <v>4.6833333333333303E-2</v>
      </c>
      <c r="J26" s="10">
        <v>1</v>
      </c>
      <c r="K26" s="12">
        <f t="shared" si="0"/>
        <v>12</v>
      </c>
      <c r="L26" s="14">
        <f t="shared" si="1"/>
        <v>18887.197884912566</v>
      </c>
      <c r="M26" s="14">
        <f t="shared" si="2"/>
        <v>226646.37461895079</v>
      </c>
      <c r="P26" s="15">
        <v>44595</v>
      </c>
      <c r="Q26" s="16">
        <f t="shared" si="3"/>
        <v>44960</v>
      </c>
    </row>
    <row r="27" spans="1:17" x14ac:dyDescent="0.25">
      <c r="A27" s="4">
        <v>26</v>
      </c>
      <c r="B27" s="8" t="s">
        <v>49</v>
      </c>
      <c r="C27" s="9">
        <v>25968</v>
      </c>
      <c r="D27" s="12" t="s">
        <v>20</v>
      </c>
      <c r="E27" s="4">
        <v>2902003189</v>
      </c>
      <c r="F27" s="4">
        <v>1457159061</v>
      </c>
      <c r="G27" s="12" t="s">
        <v>21</v>
      </c>
      <c r="H27" s="12">
        <v>228500</v>
      </c>
      <c r="I27" s="2">
        <v>4.8333333333333298E-2</v>
      </c>
      <c r="J27" s="10">
        <v>2</v>
      </c>
      <c r="K27" s="12">
        <f t="shared" si="0"/>
        <v>24</v>
      </c>
      <c r="L27" s="14">
        <f t="shared" si="1"/>
        <v>10007.565869307593</v>
      </c>
      <c r="M27" s="14">
        <f t="shared" si="2"/>
        <v>240181.58086338223</v>
      </c>
      <c r="P27" s="15">
        <v>44596</v>
      </c>
      <c r="Q27" s="16">
        <f t="shared" si="3"/>
        <v>45326</v>
      </c>
    </row>
    <row r="28" spans="1:17" x14ac:dyDescent="0.25">
      <c r="A28" s="4">
        <v>27</v>
      </c>
      <c r="B28" s="8" t="s">
        <v>50</v>
      </c>
      <c r="C28" s="9">
        <v>26699</v>
      </c>
      <c r="D28" s="12" t="s">
        <v>17</v>
      </c>
      <c r="E28" s="4">
        <v>3013145045</v>
      </c>
      <c r="F28" s="4">
        <v>1568300917</v>
      </c>
      <c r="G28" s="12" t="s">
        <v>23</v>
      </c>
      <c r="H28" s="12">
        <v>236000</v>
      </c>
      <c r="I28" s="2">
        <v>4.9833333333333299E-2</v>
      </c>
      <c r="J28" s="10">
        <v>3</v>
      </c>
      <c r="K28" s="12">
        <f t="shared" si="0"/>
        <v>36</v>
      </c>
      <c r="L28" s="14">
        <f t="shared" si="1"/>
        <v>7071.3658730904463</v>
      </c>
      <c r="M28" s="14">
        <f t="shared" si="2"/>
        <v>254569.17143125605</v>
      </c>
      <c r="P28" s="15">
        <v>44597</v>
      </c>
      <c r="Q28" s="16">
        <f t="shared" si="3"/>
        <v>45692</v>
      </c>
    </row>
    <row r="29" spans="1:17" x14ac:dyDescent="0.25">
      <c r="A29" s="4">
        <v>28</v>
      </c>
      <c r="B29" s="8" t="s">
        <v>51</v>
      </c>
      <c r="C29" s="9">
        <v>27430</v>
      </c>
      <c r="D29" s="12" t="s">
        <v>20</v>
      </c>
      <c r="E29" s="4">
        <v>3124286901</v>
      </c>
      <c r="F29" s="4">
        <v>1679442773</v>
      </c>
      <c r="G29" s="12" t="s">
        <v>25</v>
      </c>
      <c r="H29" s="12">
        <v>243500</v>
      </c>
      <c r="I29" s="2">
        <v>5.13333333333333E-2</v>
      </c>
      <c r="J29" s="10">
        <v>1</v>
      </c>
      <c r="K29" s="12">
        <f t="shared" si="0"/>
        <v>12</v>
      </c>
      <c r="L29" s="14">
        <f t="shared" si="1"/>
        <v>20860.303055415392</v>
      </c>
      <c r="M29" s="14">
        <f t="shared" si="2"/>
        <v>250323.63666498469</v>
      </c>
      <c r="P29" s="15">
        <v>44598</v>
      </c>
      <c r="Q29" s="16">
        <f t="shared" si="3"/>
        <v>44963</v>
      </c>
    </row>
    <row r="30" spans="1:17" x14ac:dyDescent="0.25">
      <c r="A30" s="4">
        <v>29</v>
      </c>
      <c r="B30" s="8" t="s">
        <v>52</v>
      </c>
      <c r="C30" s="9">
        <v>28161</v>
      </c>
      <c r="D30" s="12" t="s">
        <v>17</v>
      </c>
      <c r="E30" s="4">
        <v>3235428757</v>
      </c>
      <c r="F30" s="4">
        <v>1790584629</v>
      </c>
      <c r="G30" s="12" t="s">
        <v>27</v>
      </c>
      <c r="H30" s="12">
        <v>251000</v>
      </c>
      <c r="I30" s="2">
        <v>5.2833333333333302E-2</v>
      </c>
      <c r="J30" s="10">
        <v>2</v>
      </c>
      <c r="K30" s="12">
        <f t="shared" si="0"/>
        <v>24</v>
      </c>
      <c r="L30" s="14">
        <f t="shared" si="1"/>
        <v>11043.595783715358</v>
      </c>
      <c r="M30" s="14">
        <f t="shared" si="2"/>
        <v>265046.29880916863</v>
      </c>
      <c r="P30" s="15">
        <v>44599</v>
      </c>
      <c r="Q30" s="16">
        <f t="shared" si="3"/>
        <v>45329</v>
      </c>
    </row>
    <row r="31" spans="1:17" x14ac:dyDescent="0.25">
      <c r="A31" s="4">
        <v>30</v>
      </c>
      <c r="B31" s="8" t="s">
        <v>53</v>
      </c>
      <c r="C31" s="9">
        <v>28892</v>
      </c>
      <c r="D31" s="12" t="s">
        <v>20</v>
      </c>
      <c r="E31" s="4">
        <v>3346570613</v>
      </c>
      <c r="F31" s="4">
        <v>1901726485</v>
      </c>
      <c r="G31" s="12" t="s">
        <v>29</v>
      </c>
      <c r="H31" s="12">
        <v>258500</v>
      </c>
      <c r="I31" s="2">
        <v>5.4333333333333303E-2</v>
      </c>
      <c r="J31" s="10">
        <v>3</v>
      </c>
      <c r="K31" s="12">
        <f t="shared" si="0"/>
        <v>36</v>
      </c>
      <c r="L31" s="14">
        <f t="shared" si="1"/>
        <v>7797.8700501896337</v>
      </c>
      <c r="M31" s="14">
        <f>IF(K31="","",(K31*L31))</f>
        <v>280723.3218068268</v>
      </c>
      <c r="P31" s="15">
        <v>44600</v>
      </c>
      <c r="Q31" s="16">
        <f t="shared" si="3"/>
        <v>45695</v>
      </c>
    </row>
    <row r="32" spans="1:17" x14ac:dyDescent="0.25">
      <c r="A32" s="4">
        <v>31</v>
      </c>
      <c r="B32" s="11" t="s">
        <v>54</v>
      </c>
      <c r="C32" s="9">
        <v>28893</v>
      </c>
      <c r="D32" s="12" t="s">
        <v>17</v>
      </c>
      <c r="E32" s="4">
        <v>3457712469</v>
      </c>
      <c r="F32" s="4">
        <v>2012868341</v>
      </c>
      <c r="G32" s="12" t="s">
        <v>18</v>
      </c>
      <c r="H32" s="12">
        <v>266000</v>
      </c>
      <c r="I32" s="2">
        <v>5.5833333333333297E-2</v>
      </c>
      <c r="J32" s="10">
        <v>5</v>
      </c>
      <c r="K32" s="12">
        <f t="shared" si="0"/>
        <v>60</v>
      </c>
      <c r="L32" s="14">
        <f t="shared" si="1"/>
        <v>5091.1469041846303</v>
      </c>
      <c r="M32" s="14">
        <f t="shared" si="2"/>
        <v>305468.81425107783</v>
      </c>
      <c r="P32" s="15">
        <v>44601</v>
      </c>
      <c r="Q32" s="16">
        <f t="shared" si="3"/>
        <v>46426</v>
      </c>
    </row>
    <row r="33" spans="1:17" x14ac:dyDescent="0.25">
      <c r="A33" s="4">
        <v>32</v>
      </c>
      <c r="B33" s="11" t="s">
        <v>55</v>
      </c>
      <c r="C33" s="9">
        <v>29629</v>
      </c>
      <c r="D33" s="12" t="s">
        <v>17</v>
      </c>
      <c r="E33" s="4">
        <v>1234566788</v>
      </c>
      <c r="F33" s="4">
        <v>1234556787</v>
      </c>
      <c r="G33" s="12" t="s">
        <v>18</v>
      </c>
      <c r="H33" s="12">
        <v>50000</v>
      </c>
      <c r="I33" s="13">
        <v>1.4999999999999999E-2</v>
      </c>
      <c r="J33" s="10">
        <v>3</v>
      </c>
      <c r="K33" s="12">
        <f t="shared" si="0"/>
        <v>36</v>
      </c>
      <c r="L33" s="14">
        <f t="shared" si="1"/>
        <v>1421.2409844550907</v>
      </c>
      <c r="M33" s="14">
        <f t="shared" si="2"/>
        <v>51164.675440383267</v>
      </c>
      <c r="P33" s="15">
        <v>44837</v>
      </c>
      <c r="Q33" s="16">
        <f t="shared" si="3"/>
        <v>45932</v>
      </c>
    </row>
    <row r="34" spans="1:17" x14ac:dyDescent="0.25">
      <c r="A34" s="4">
        <v>33</v>
      </c>
      <c r="B34" s="11" t="s">
        <v>56</v>
      </c>
      <c r="C34" s="9">
        <v>34389</v>
      </c>
      <c r="D34" s="12" t="s">
        <v>17</v>
      </c>
      <c r="E34" s="4">
        <v>2345678943</v>
      </c>
      <c r="F34" s="4">
        <v>2345968969</v>
      </c>
      <c r="G34" s="12" t="s">
        <v>21</v>
      </c>
      <c r="H34" s="12">
        <v>55000</v>
      </c>
      <c r="I34" s="13">
        <v>2.5000000000000001E-2</v>
      </c>
      <c r="J34" s="10">
        <v>2</v>
      </c>
      <c r="K34" s="12">
        <f t="shared" si="0"/>
        <v>24</v>
      </c>
      <c r="L34" s="14">
        <f t="shared" si="1"/>
        <v>2351.8215721928523</v>
      </c>
      <c r="M34" s="14">
        <f t="shared" si="2"/>
        <v>56443.717732628458</v>
      </c>
      <c r="P34" s="15">
        <v>44562</v>
      </c>
      <c r="Q34" s="16">
        <f t="shared" si="3"/>
        <v>45292</v>
      </c>
    </row>
  </sheetData>
  <sheetProtection algorithmName="SHA-512" hashValue="N6sZVGiS3IEzLAbonJwW7pPUrTuFsmcKSzWjmywxaMtHogxHcaLOqJXWdKqgPM4XGw6JymsKdpNghsM4nCXMhA==" saltValue="GZB3lKs3mywOYqi+agCBB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5"/>
  <sheetViews>
    <sheetView workbookViewId="0">
      <selection activeCell="B10" sqref="B10"/>
    </sheetView>
  </sheetViews>
  <sheetFormatPr defaultRowHeight="15" x14ac:dyDescent="0.25"/>
  <cols>
    <col min="1" max="1" width="26.28515625" customWidth="1"/>
    <col min="2" max="2" width="27.140625" bestFit="1" customWidth="1"/>
    <col min="3" max="3" width="18" customWidth="1"/>
    <col min="8" max="8" width="32.85546875" style="18" bestFit="1" customWidth="1"/>
    <col min="9" max="9" width="17.5703125" style="12" bestFit="1" customWidth="1"/>
  </cols>
  <sheetData>
    <row r="1" spans="1:9" x14ac:dyDescent="0.25">
      <c r="A1" s="22" t="s">
        <v>8</v>
      </c>
      <c r="B1" s="23" t="s">
        <v>64</v>
      </c>
      <c r="C1" s="22" t="s">
        <v>63</v>
      </c>
      <c r="H1" s="24" t="s">
        <v>8</v>
      </c>
      <c r="I1" s="22" t="s">
        <v>59</v>
      </c>
    </row>
    <row r="2" spans="1:9" x14ac:dyDescent="0.25">
      <c r="A2" s="21" t="s">
        <v>16</v>
      </c>
      <c r="B2" s="20">
        <v>44579</v>
      </c>
      <c r="C2" s="18">
        <v>5000</v>
      </c>
      <c r="H2" s="21" t="str">
        <f>IF(Database!B:B="","",Database!B2)</f>
        <v xml:space="preserve">ADERENI PRAISE-EL </v>
      </c>
      <c r="I2" s="12">
        <f>SUMIF($A$2:$A$1000,H2,$C$2:$C$1000)</f>
        <v>16000</v>
      </c>
    </row>
    <row r="3" spans="1:9" x14ac:dyDescent="0.25">
      <c r="A3" s="21" t="s">
        <v>19</v>
      </c>
      <c r="B3" s="20">
        <v>44611</v>
      </c>
      <c r="C3" s="18">
        <v>7000</v>
      </c>
      <c r="H3" s="21" t="str">
        <f>IF(Database!B:B="","",Database!B3)</f>
        <v xml:space="preserve">AGWANIRU PRECIOUS </v>
      </c>
      <c r="I3" s="12">
        <f t="shared" ref="I3:I34" si="0">SUMIF($A$2:$A$1000,H3,$C$2:$C$1000)</f>
        <v>9000</v>
      </c>
    </row>
    <row r="4" spans="1:9" x14ac:dyDescent="0.25">
      <c r="A4" s="21" t="s">
        <v>16</v>
      </c>
      <c r="B4" s="20">
        <v>44640</v>
      </c>
      <c r="C4" s="18">
        <v>8000</v>
      </c>
      <c r="H4" s="21" t="str">
        <f>IF(Database!B:B="","",Database!B4)</f>
        <v xml:space="preserve">AYO-KADEBA FOLABOMI </v>
      </c>
      <c r="I4" s="12">
        <f t="shared" si="0"/>
        <v>0</v>
      </c>
    </row>
    <row r="5" spans="1:9" x14ac:dyDescent="0.25">
      <c r="A5" s="21" t="s">
        <v>19</v>
      </c>
      <c r="B5" s="20">
        <v>44944</v>
      </c>
      <c r="C5" s="18">
        <v>2000</v>
      </c>
      <c r="H5" s="21" t="str">
        <f>IF(Database!B:B="","",Database!B5)</f>
        <v>CHUKWUEMEKA PRINCE SAMUEL</v>
      </c>
      <c r="I5" s="12">
        <f t="shared" si="0"/>
        <v>0</v>
      </c>
    </row>
    <row r="6" spans="1:9" x14ac:dyDescent="0.25">
      <c r="A6" s="21" t="s">
        <v>16</v>
      </c>
      <c r="B6" s="20">
        <v>44945</v>
      </c>
      <c r="C6" s="18">
        <v>3000</v>
      </c>
      <c r="H6" s="21" t="str">
        <f>IF(Database!B:B="","",Database!B6)</f>
        <v xml:space="preserve">EHOIDA EMMANUEL </v>
      </c>
      <c r="I6" s="12">
        <f t="shared" si="0"/>
        <v>2000</v>
      </c>
    </row>
    <row r="7" spans="1:9" x14ac:dyDescent="0.25">
      <c r="A7" s="21" t="s">
        <v>26</v>
      </c>
      <c r="B7" s="20">
        <v>44946</v>
      </c>
      <c r="C7" s="18">
        <v>2000</v>
      </c>
      <c r="H7" s="21" t="str">
        <f>IF(Database!B:B="","",Database!B7)</f>
        <v>EZE FRANKLIN CHIDERA</v>
      </c>
      <c r="I7" s="12">
        <f t="shared" si="0"/>
        <v>0</v>
      </c>
    </row>
    <row r="8" spans="1:9" x14ac:dyDescent="0.25">
      <c r="A8" s="21" t="s">
        <v>55</v>
      </c>
      <c r="B8" s="20">
        <v>44947</v>
      </c>
      <c r="C8" s="18">
        <v>2000</v>
      </c>
      <c r="H8" s="21" t="str">
        <f>IF(Database!B:B="","",Database!B8)</f>
        <v xml:space="preserve">FAPOHUNDA OLUWAPONMILE </v>
      </c>
      <c r="I8" s="12">
        <f t="shared" si="0"/>
        <v>0</v>
      </c>
    </row>
    <row r="9" spans="1:9" x14ac:dyDescent="0.25">
      <c r="A9" s="21" t="s">
        <v>55</v>
      </c>
      <c r="B9" s="20">
        <v>44948</v>
      </c>
      <c r="C9" s="18">
        <v>5000</v>
      </c>
      <c r="H9" s="21" t="str">
        <f>IF(Database!B:B="","",Database!B9)</f>
        <v xml:space="preserve">GBARANWI NUBARI </v>
      </c>
      <c r="I9" s="12">
        <f t="shared" si="0"/>
        <v>0</v>
      </c>
    </row>
    <row r="10" spans="1:9" x14ac:dyDescent="0.25">
      <c r="A10" s="21" t="s">
        <v>56</v>
      </c>
      <c r="B10" s="20">
        <v>44949</v>
      </c>
      <c r="C10" s="18">
        <v>20000</v>
      </c>
      <c r="H10" s="21" t="str">
        <f>IF(Database!B:B="","",Database!B10)</f>
        <v>IROEGBULE OMASIRICHI SONIA</v>
      </c>
      <c r="I10" s="12">
        <f t="shared" si="0"/>
        <v>0</v>
      </c>
    </row>
    <row r="11" spans="1:9" x14ac:dyDescent="0.25">
      <c r="A11" s="21" t="s">
        <v>56</v>
      </c>
      <c r="B11" s="20">
        <v>44563</v>
      </c>
      <c r="C11" s="18">
        <v>5000</v>
      </c>
      <c r="H11" s="21" t="str">
        <f>IF(Database!B:B="","",Database!B11)</f>
        <v xml:space="preserve">IYALLA GABRIEL </v>
      </c>
      <c r="I11" s="12">
        <f t="shared" si="0"/>
        <v>0</v>
      </c>
    </row>
    <row r="12" spans="1:9" x14ac:dyDescent="0.25">
      <c r="A12" s="12"/>
      <c r="B12" s="17"/>
      <c r="C12" s="12"/>
      <c r="H12" s="21" t="str">
        <f>IF(Database!B:B="","",Database!B12)</f>
        <v>MUSTAFA ERIOLUWA JOHN</v>
      </c>
      <c r="I12" s="12">
        <f t="shared" si="0"/>
        <v>0</v>
      </c>
    </row>
    <row r="13" spans="1:9" x14ac:dyDescent="0.25">
      <c r="A13" s="12"/>
      <c r="B13" s="17"/>
      <c r="C13" s="12"/>
      <c r="H13" s="21" t="str">
        <f>IF(Database!B:B="","",Database!B13)</f>
        <v xml:space="preserve">ODIASE EMMANUEL </v>
      </c>
      <c r="I13" s="12">
        <f t="shared" si="0"/>
        <v>0</v>
      </c>
    </row>
    <row r="14" spans="1:9" x14ac:dyDescent="0.25">
      <c r="A14" s="12"/>
      <c r="B14" s="17"/>
      <c r="C14" s="12"/>
      <c r="H14" s="21" t="str">
        <f>IF(Database!B:B="","",Database!B14)</f>
        <v>OGUNLEYE ADEYEMI MICHAEL</v>
      </c>
      <c r="I14" s="12">
        <f t="shared" si="0"/>
        <v>0</v>
      </c>
    </row>
    <row r="15" spans="1:9" x14ac:dyDescent="0.25">
      <c r="A15" s="12"/>
      <c r="B15" s="17"/>
      <c r="C15" s="12"/>
      <c r="H15" s="21" t="str">
        <f>IF(Database!B:B="","",Database!B15)</f>
        <v>OKPALUBA CHIBUZOR NNAYELUGO</v>
      </c>
      <c r="I15" s="12">
        <f t="shared" si="0"/>
        <v>0</v>
      </c>
    </row>
    <row r="16" spans="1:9" x14ac:dyDescent="0.25">
      <c r="A16" s="12"/>
      <c r="B16" s="17"/>
      <c r="C16" s="12"/>
      <c r="H16" s="21" t="str">
        <f>IF(Database!B:B="","",Database!B16)</f>
        <v xml:space="preserve">OLUGASA TOLULOPE </v>
      </c>
      <c r="I16" s="12">
        <f t="shared" si="0"/>
        <v>0</v>
      </c>
    </row>
    <row r="17" spans="1:9" x14ac:dyDescent="0.25">
      <c r="A17" s="12"/>
      <c r="B17" s="17"/>
      <c r="C17" s="12"/>
      <c r="H17" s="21" t="str">
        <f>IF(Database!B:B="","",Database!B17)</f>
        <v>OSADOLA INIOLUWA JESUTOFUNMI</v>
      </c>
      <c r="I17" s="12">
        <f t="shared" si="0"/>
        <v>0</v>
      </c>
    </row>
    <row r="18" spans="1:9" x14ac:dyDescent="0.25">
      <c r="A18" s="12"/>
      <c r="B18" s="17"/>
      <c r="C18" s="12"/>
      <c r="H18" s="21" t="str">
        <f>IF(Database!B:B="","",Database!B18)</f>
        <v>OYAFEMI DORCAS TOLUWANI</v>
      </c>
      <c r="I18" s="12">
        <f t="shared" si="0"/>
        <v>0</v>
      </c>
    </row>
    <row r="19" spans="1:9" x14ac:dyDescent="0.25">
      <c r="A19" s="12"/>
      <c r="B19" s="17"/>
      <c r="C19" s="12"/>
      <c r="H19" s="21" t="str">
        <f>IF(Database!B:B="","",Database!B19)</f>
        <v xml:space="preserve">SEGUN-OLUBIMO CHARISA </v>
      </c>
      <c r="I19" s="12">
        <f t="shared" si="0"/>
        <v>0</v>
      </c>
    </row>
    <row r="20" spans="1:9" x14ac:dyDescent="0.25">
      <c r="A20" s="12"/>
      <c r="B20" s="17"/>
      <c r="C20" s="12"/>
      <c r="H20" s="21" t="str">
        <f>IF(Database!B:B="","",Database!B20)</f>
        <v xml:space="preserve">ADEYEMI OGOOLUWA </v>
      </c>
      <c r="I20" s="12">
        <f t="shared" si="0"/>
        <v>0</v>
      </c>
    </row>
    <row r="21" spans="1:9" x14ac:dyDescent="0.25">
      <c r="A21" s="12"/>
      <c r="B21" s="12"/>
      <c r="C21" s="12"/>
      <c r="H21" s="21" t="str">
        <f>IF(Database!B:B="","",Database!B21)</f>
        <v xml:space="preserve">AKINFAWA DAVID </v>
      </c>
      <c r="I21" s="12">
        <f t="shared" si="0"/>
        <v>0</v>
      </c>
    </row>
    <row r="22" spans="1:9" x14ac:dyDescent="0.25">
      <c r="A22" s="12"/>
      <c r="B22" s="12"/>
      <c r="C22" s="12"/>
      <c r="H22" s="21" t="str">
        <f>IF(Database!B:B="","",Database!B22)</f>
        <v xml:space="preserve">DARAMOLA DARASIMI </v>
      </c>
      <c r="I22" s="12">
        <f t="shared" si="0"/>
        <v>0</v>
      </c>
    </row>
    <row r="23" spans="1:9" x14ac:dyDescent="0.25">
      <c r="A23" s="12"/>
      <c r="B23" s="12"/>
      <c r="C23" s="12"/>
      <c r="H23" s="21" t="str">
        <f>IF(Database!B:B="","",Database!B23)</f>
        <v xml:space="preserve">ERO-PHILIPS VICTOR </v>
      </c>
      <c r="I23" s="12">
        <f t="shared" si="0"/>
        <v>0</v>
      </c>
    </row>
    <row r="24" spans="1:9" x14ac:dyDescent="0.25">
      <c r="A24" s="12"/>
      <c r="B24" s="12"/>
      <c r="C24" s="12"/>
      <c r="H24" s="21" t="str">
        <f>IF(Database!B:B="","",Database!B24)</f>
        <v xml:space="preserve">HASSAN JOSHUA </v>
      </c>
      <c r="I24" s="12">
        <f t="shared" si="0"/>
        <v>0</v>
      </c>
    </row>
    <row r="25" spans="1:9" x14ac:dyDescent="0.25">
      <c r="A25" s="12"/>
      <c r="B25" s="12"/>
      <c r="C25" s="12"/>
      <c r="H25" s="21" t="str">
        <f>IF(Database!B:B="","",Database!B25)</f>
        <v xml:space="preserve">IDACHABA SAMUEL </v>
      </c>
      <c r="I25" s="12">
        <f t="shared" si="0"/>
        <v>0</v>
      </c>
    </row>
    <row r="26" spans="1:9" x14ac:dyDescent="0.25">
      <c r="A26" s="12"/>
      <c r="B26" s="12"/>
      <c r="C26" s="12"/>
      <c r="H26" s="21" t="str">
        <f>IF(Database!B:B="","",Database!B26)</f>
        <v xml:space="preserve">JUBRIL OLAYEMI </v>
      </c>
      <c r="I26" s="12">
        <f t="shared" si="0"/>
        <v>0</v>
      </c>
    </row>
    <row r="27" spans="1:9" x14ac:dyDescent="0.25">
      <c r="A27" s="12"/>
      <c r="B27" s="12"/>
      <c r="C27" s="12"/>
      <c r="H27" s="21" t="str">
        <f>IF(Database!B:B="","",Database!B27)</f>
        <v xml:space="preserve">NDIMKAOLA KAMSOYO </v>
      </c>
      <c r="I27" s="12">
        <f t="shared" si="0"/>
        <v>0</v>
      </c>
    </row>
    <row r="28" spans="1:9" x14ac:dyDescent="0.25">
      <c r="A28" s="12"/>
      <c r="B28" s="12"/>
      <c r="C28" s="12"/>
      <c r="H28" s="21" t="str">
        <f>IF(Database!B:B="","",Database!B28)</f>
        <v xml:space="preserve">NWAFOR CHIOMA </v>
      </c>
      <c r="I28" s="12">
        <f t="shared" si="0"/>
        <v>0</v>
      </c>
    </row>
    <row r="29" spans="1:9" x14ac:dyDescent="0.25">
      <c r="A29" s="12"/>
      <c r="B29" s="12"/>
      <c r="C29" s="12"/>
      <c r="H29" s="21" t="str">
        <f>IF(Database!B:B="","",Database!B29)</f>
        <v xml:space="preserve">NWOKOLO BASIL </v>
      </c>
      <c r="I29" s="12">
        <f t="shared" si="0"/>
        <v>0</v>
      </c>
    </row>
    <row r="30" spans="1:9" x14ac:dyDescent="0.25">
      <c r="A30" s="12"/>
      <c r="B30" s="12"/>
      <c r="C30" s="12"/>
      <c r="H30" s="21" t="str">
        <f>IF(Database!B:B="","",Database!B30)</f>
        <v xml:space="preserve">OKOLO KAYLA </v>
      </c>
      <c r="I30" s="12">
        <f t="shared" si="0"/>
        <v>0</v>
      </c>
    </row>
    <row r="31" spans="1:9" x14ac:dyDescent="0.25">
      <c r="A31" s="12"/>
      <c r="B31" s="12"/>
      <c r="C31" s="12"/>
      <c r="H31" s="21" t="str">
        <f>IF(Database!B:B="","",Database!B31)</f>
        <v xml:space="preserve">ONAOLAPO ABIGAIL </v>
      </c>
      <c r="I31" s="12">
        <f t="shared" si="0"/>
        <v>0</v>
      </c>
    </row>
    <row r="32" spans="1:9" x14ac:dyDescent="0.25">
      <c r="A32" s="12"/>
      <c r="B32" s="12"/>
      <c r="C32" s="12"/>
      <c r="H32" s="21" t="str">
        <f>IF(Database!B:B="","",Database!B32)</f>
        <v>Grace Israel</v>
      </c>
      <c r="I32" s="12">
        <f t="shared" si="0"/>
        <v>0</v>
      </c>
    </row>
    <row r="33" spans="1:9" x14ac:dyDescent="0.25">
      <c r="A33" s="12"/>
      <c r="B33" s="12"/>
      <c r="C33" s="12"/>
      <c r="H33" s="21" t="str">
        <f>IF(Database!B:B="","",Database!B33)</f>
        <v>Omobu Michael</v>
      </c>
      <c r="I33" s="12">
        <f t="shared" si="0"/>
        <v>7000</v>
      </c>
    </row>
    <row r="34" spans="1:9" x14ac:dyDescent="0.25">
      <c r="A34" s="12"/>
      <c r="B34" s="12"/>
      <c r="C34" s="12"/>
      <c r="H34" s="21" t="str">
        <f>IF(Database!B:B="","",Database!B34)</f>
        <v>Awesome Emmanuel</v>
      </c>
      <c r="I34" s="12">
        <f t="shared" si="0"/>
        <v>25000</v>
      </c>
    </row>
    <row r="35" spans="1:9" x14ac:dyDescent="0.25">
      <c r="A35" s="12"/>
      <c r="B35" s="12"/>
      <c r="C35" s="12"/>
      <c r="H35" s="18" t="str">
        <f>IF(Database!B:B="","",Database!B35)</f>
        <v/>
      </c>
    </row>
    <row r="36" spans="1:9" x14ac:dyDescent="0.25">
      <c r="A36" s="12"/>
      <c r="B36" s="12"/>
      <c r="C36" s="12"/>
      <c r="H36" s="18" t="str">
        <f>IF(Database!B:B="","",Database!B36)</f>
        <v/>
      </c>
    </row>
    <row r="37" spans="1:9" x14ac:dyDescent="0.25">
      <c r="A37" s="12"/>
      <c r="B37" s="12"/>
      <c r="C37" s="12"/>
      <c r="H37" s="18" t="str">
        <f>IF(Database!B:B="","",Database!B37)</f>
        <v/>
      </c>
    </row>
    <row r="38" spans="1:9" x14ac:dyDescent="0.25">
      <c r="A38" s="12"/>
      <c r="B38" s="12"/>
      <c r="C38" s="12"/>
      <c r="H38" s="18" t="str">
        <f>IF(Database!B:B="","",Database!B38)</f>
        <v/>
      </c>
    </row>
    <row r="39" spans="1:9" x14ac:dyDescent="0.25">
      <c r="A39" s="12"/>
      <c r="B39" s="12"/>
      <c r="C39" s="12"/>
      <c r="H39" s="18" t="str">
        <f>IF(Database!B:B="","",Database!B39)</f>
        <v/>
      </c>
    </row>
    <row r="40" spans="1:9" x14ac:dyDescent="0.25">
      <c r="A40" s="12"/>
      <c r="B40" s="12"/>
      <c r="C40" s="12"/>
      <c r="H40" s="18" t="str">
        <f>IF(Database!B:B="","",Database!B40)</f>
        <v/>
      </c>
    </row>
    <row r="41" spans="1:9" x14ac:dyDescent="0.25">
      <c r="A41" s="12"/>
      <c r="B41" s="12"/>
      <c r="C41" s="12"/>
      <c r="H41" s="18" t="str">
        <f>IF(Database!B:B="","",Database!B41)</f>
        <v/>
      </c>
    </row>
    <row r="42" spans="1:9" x14ac:dyDescent="0.25">
      <c r="A42" s="12"/>
      <c r="B42" s="12"/>
      <c r="C42" s="12"/>
      <c r="H42" s="18" t="str">
        <f>IF(Database!B:B="","",Database!B42)</f>
        <v/>
      </c>
    </row>
    <row r="43" spans="1:9" x14ac:dyDescent="0.25">
      <c r="A43" s="12"/>
      <c r="B43" s="12"/>
      <c r="C43" s="12"/>
      <c r="H43" s="18" t="str">
        <f>IF(Database!B:B="","",Database!B43)</f>
        <v/>
      </c>
    </row>
    <row r="44" spans="1:9" x14ac:dyDescent="0.25">
      <c r="A44" s="12"/>
      <c r="B44" s="12"/>
      <c r="C44" s="12"/>
      <c r="H44" s="18" t="str">
        <f>IF(Database!B:B="","",Database!B44)</f>
        <v/>
      </c>
    </row>
    <row r="45" spans="1:9" x14ac:dyDescent="0.25">
      <c r="A45" s="12"/>
      <c r="B45" s="12"/>
      <c r="C45" s="12"/>
      <c r="H45" s="18" t="str">
        <f>IF(Database!B:B="","",Database!B45)</f>
        <v/>
      </c>
    </row>
    <row r="46" spans="1:9" x14ac:dyDescent="0.25">
      <c r="A46" s="12"/>
      <c r="B46" s="12"/>
      <c r="C46" s="12"/>
      <c r="H46" s="18" t="str">
        <f>IF(Database!B:B="","",Database!B46)</f>
        <v/>
      </c>
    </row>
    <row r="47" spans="1:9" x14ac:dyDescent="0.25">
      <c r="A47" s="12"/>
      <c r="B47" s="12"/>
      <c r="C47" s="12"/>
      <c r="H47" s="18" t="str">
        <f>IF(Database!B:B="","",Database!B47)</f>
        <v/>
      </c>
    </row>
    <row r="48" spans="1:9" x14ac:dyDescent="0.25">
      <c r="A48" s="12"/>
      <c r="B48" s="12"/>
      <c r="C48" s="12"/>
      <c r="H48" s="18" t="str">
        <f>IF(Database!B:B="","",Database!B48)</f>
        <v/>
      </c>
    </row>
    <row r="49" spans="1:8" x14ac:dyDescent="0.25">
      <c r="A49" s="12"/>
      <c r="B49" s="12"/>
      <c r="C49" s="12"/>
      <c r="H49" s="18" t="str">
        <f>IF(Database!B:B="","",Database!B49)</f>
        <v/>
      </c>
    </row>
    <row r="50" spans="1:8" x14ac:dyDescent="0.25">
      <c r="A50" s="12"/>
      <c r="B50" s="12"/>
      <c r="C50" s="12"/>
      <c r="H50" s="18" t="str">
        <f>IF(Database!B:B="","",Database!B50)</f>
        <v/>
      </c>
    </row>
    <row r="51" spans="1:8" x14ac:dyDescent="0.25">
      <c r="A51" s="12"/>
      <c r="B51" s="12"/>
      <c r="C51" s="12"/>
      <c r="H51" s="18" t="str">
        <f>IF(Database!B:B="","",Database!B51)</f>
        <v/>
      </c>
    </row>
    <row r="52" spans="1:8" x14ac:dyDescent="0.25">
      <c r="A52" s="12"/>
      <c r="B52" s="12"/>
      <c r="C52" s="12"/>
      <c r="H52" s="18" t="str">
        <f>IF(Database!B:B="","",Database!B52)</f>
        <v/>
      </c>
    </row>
    <row r="53" spans="1:8" x14ac:dyDescent="0.25">
      <c r="A53" s="12"/>
      <c r="B53" s="12"/>
      <c r="C53" s="12"/>
      <c r="H53" s="18" t="str">
        <f>IF(Database!B:B="","",Database!B53)</f>
        <v/>
      </c>
    </row>
    <row r="54" spans="1:8" x14ac:dyDescent="0.25">
      <c r="A54" s="12"/>
      <c r="B54" s="12"/>
      <c r="C54" s="12"/>
      <c r="H54" s="18" t="str">
        <f>IF(Database!B:B="","",Database!B54)</f>
        <v/>
      </c>
    </row>
    <row r="55" spans="1:8" x14ac:dyDescent="0.25">
      <c r="A55" s="12"/>
      <c r="B55" s="12"/>
      <c r="C55" s="12"/>
      <c r="H55" s="18" t="str">
        <f>IF(Database!B:B="","",Database!B55)</f>
        <v/>
      </c>
    </row>
    <row r="56" spans="1:8" x14ac:dyDescent="0.25">
      <c r="A56" s="12"/>
      <c r="B56" s="12"/>
      <c r="C56" s="12"/>
    </row>
    <row r="57" spans="1:8" x14ac:dyDescent="0.25">
      <c r="A57" s="12"/>
      <c r="B57" s="12"/>
      <c r="C57" s="12"/>
    </row>
    <row r="58" spans="1:8" x14ac:dyDescent="0.25">
      <c r="A58" s="12"/>
      <c r="B58" s="12"/>
      <c r="C58" s="12"/>
    </row>
    <row r="59" spans="1:8" x14ac:dyDescent="0.25">
      <c r="A59" s="12"/>
      <c r="B59" s="12"/>
      <c r="C59" s="12"/>
    </row>
    <row r="60" spans="1:8" x14ac:dyDescent="0.25">
      <c r="A60" s="12"/>
      <c r="B60" s="12"/>
      <c r="C60" s="12"/>
    </row>
    <row r="61" spans="1:8" x14ac:dyDescent="0.25">
      <c r="A61" s="12"/>
      <c r="B61" s="12"/>
      <c r="C61" s="12"/>
    </row>
    <row r="62" spans="1:8" x14ac:dyDescent="0.25">
      <c r="A62" s="12"/>
      <c r="B62" s="12"/>
      <c r="C62" s="12"/>
    </row>
    <row r="63" spans="1:8" x14ac:dyDescent="0.25">
      <c r="A63" s="12"/>
      <c r="B63" s="12"/>
      <c r="C63" s="12"/>
    </row>
    <row r="64" spans="1:8" x14ac:dyDescent="0.25">
      <c r="A64" s="12"/>
      <c r="B64" s="12"/>
      <c r="C64" s="12"/>
    </row>
    <row r="65" spans="1:3" x14ac:dyDescent="0.25">
      <c r="A65" s="12"/>
      <c r="B65" s="12"/>
      <c r="C65" s="12"/>
    </row>
  </sheetData>
  <sheetProtection algorithmName="SHA-512" hashValue="oK0Di3cq/IlTeYYsXxVa9jXjOwaO7a7FHiwvSS4KgEANIQ2WVeXVOWMWNRTkEJQFPWP2EcQrS5ths2HU008WkQ==" saltValue="cV2IjBwQd+qZpOGF8ZizZQ==" spinCount="100000" sheet="1" objects="1" scenarios="1"/>
  <dataValidations count="3">
    <dataValidation type="list" allowBlank="1" showInputMessage="1" showErrorMessage="1" sqref="A1:A61">
      <formula1>$A$2:$A$11</formula1>
    </dataValidation>
    <dataValidation type="list" allowBlank="1" showInputMessage="1" showErrorMessage="1" sqref="B1">
      <formula1>$B$2:$B$22</formula1>
    </dataValidation>
    <dataValidation type="list" allowBlank="1" showInputMessage="1" showErrorMessage="1" sqref="C1">
      <formula1>$C$2:$C$28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7:L16"/>
  <sheetViews>
    <sheetView tabSelected="1" topLeftCell="C2" workbookViewId="0">
      <selection activeCell="E20" sqref="E20"/>
    </sheetView>
  </sheetViews>
  <sheetFormatPr defaultRowHeight="15" x14ac:dyDescent="0.25"/>
  <cols>
    <col min="1" max="1" width="9.140625" style="19"/>
    <col min="2" max="2" width="16.7109375" style="19" bestFit="1" customWidth="1"/>
    <col min="3" max="3" width="28.28515625" style="19" bestFit="1" customWidth="1"/>
    <col min="4" max="4" width="21.28515625" style="19" bestFit="1" customWidth="1"/>
    <col min="5" max="5" width="28.28515625" style="19" bestFit="1" customWidth="1"/>
    <col min="6" max="6" width="25" style="19" bestFit="1" customWidth="1"/>
    <col min="7" max="8" width="9.140625" style="19"/>
    <col min="9" max="9" width="23.85546875" style="19" bestFit="1" customWidth="1"/>
    <col min="10" max="10" width="17" style="19" bestFit="1" customWidth="1"/>
    <col min="11" max="11" width="9.140625" style="19"/>
    <col min="12" max="12" width="23.28515625" style="19" bestFit="1" customWidth="1"/>
    <col min="13" max="16384" width="9.140625" style="19"/>
  </cols>
  <sheetData>
    <row r="7" spans="2:12" ht="18.75" x14ac:dyDescent="0.3">
      <c r="B7" s="29" t="s">
        <v>8</v>
      </c>
      <c r="C7" s="28" t="s">
        <v>30</v>
      </c>
      <c r="D7" s="36" t="s">
        <v>65</v>
      </c>
      <c r="E7" s="25" t="s">
        <v>10</v>
      </c>
      <c r="F7" s="27" t="s">
        <v>11</v>
      </c>
      <c r="I7" s="27" t="s">
        <v>4</v>
      </c>
      <c r="J7" s="26"/>
      <c r="K7" s="26"/>
      <c r="L7" s="27" t="s">
        <v>60</v>
      </c>
    </row>
    <row r="8" spans="2:12" ht="15.75" x14ac:dyDescent="0.25">
      <c r="D8" s="33">
        <f>VLOOKUP(C7,Database!B2:Q34,2,0)</f>
        <v>28161</v>
      </c>
      <c r="E8" s="34" t="str">
        <f>VLOOKUP(C7,Database!B2:Q34,3,0)</f>
        <v>Male</v>
      </c>
      <c r="F8" s="34">
        <f>VLOOKUP(C7,Database!B2:Q34,4,0)</f>
        <v>7903079255</v>
      </c>
      <c r="I8" s="31">
        <f>VLOOKUP(C7,Database!B2:Q34,11,0)</f>
        <v>7243.8916632805822</v>
      </c>
      <c r="J8" s="26"/>
      <c r="K8" s="26"/>
      <c r="L8" s="35">
        <f>I11-I14</f>
        <v>76026.69995936699</v>
      </c>
    </row>
    <row r="9" spans="2:12" ht="15.75" x14ac:dyDescent="0.25">
      <c r="I9" s="26"/>
      <c r="J9" s="26"/>
      <c r="K9" s="26"/>
      <c r="L9" s="26"/>
    </row>
    <row r="10" spans="2:12" ht="18.75" x14ac:dyDescent="0.3">
      <c r="D10" s="27" t="s">
        <v>12</v>
      </c>
      <c r="E10" s="27" t="s">
        <v>13</v>
      </c>
      <c r="F10" s="27" t="s">
        <v>3</v>
      </c>
      <c r="G10" s="26"/>
      <c r="H10" s="26"/>
      <c r="I10" s="27" t="s">
        <v>66</v>
      </c>
      <c r="J10" s="26"/>
      <c r="K10" s="26"/>
      <c r="L10" s="27" t="s">
        <v>61</v>
      </c>
    </row>
    <row r="11" spans="2:12" ht="15.75" x14ac:dyDescent="0.25">
      <c r="D11" s="30">
        <f>VLOOKUP(C7,Database!B2:Q34,5,0)</f>
        <v>1568300917</v>
      </c>
      <c r="E11" s="30" t="str">
        <f>VLOOKUP(C7,Database!B2:Q34,6,0)</f>
        <v>UBA</v>
      </c>
      <c r="F11" s="31">
        <f>VLOOKUP(C7,Database!B2:Q34,7,0)</f>
        <v>86000</v>
      </c>
      <c r="G11" s="26"/>
      <c r="H11" s="26"/>
      <c r="I11" s="31">
        <f>VLOOKUP(C7,Database!B2:Q34,12,0)</f>
        <v>86926.69995936699</v>
      </c>
      <c r="J11" s="26"/>
      <c r="K11" s="26"/>
      <c r="L11" s="33">
        <f>VLOOKUP(C7,Database!B2:Q34,15,0)</f>
        <v>44577</v>
      </c>
    </row>
    <row r="12" spans="2:12" ht="15.75" x14ac:dyDescent="0.25">
      <c r="D12" s="26"/>
      <c r="E12" s="26"/>
      <c r="F12" s="26"/>
      <c r="G12" s="26"/>
      <c r="H12" s="26"/>
      <c r="I12" s="26"/>
      <c r="J12" s="26"/>
      <c r="K12" s="26"/>
      <c r="L12" s="26"/>
    </row>
    <row r="13" spans="2:12" ht="18.75" x14ac:dyDescent="0.3">
      <c r="D13" s="27" t="s">
        <v>67</v>
      </c>
      <c r="E13" s="27" t="s">
        <v>68</v>
      </c>
      <c r="F13" s="27" t="s">
        <v>69</v>
      </c>
      <c r="G13" s="26"/>
      <c r="H13" s="26"/>
      <c r="I13" s="27" t="s">
        <v>59</v>
      </c>
      <c r="J13" s="26"/>
      <c r="K13" s="26"/>
      <c r="L13" s="27" t="s">
        <v>62</v>
      </c>
    </row>
    <row r="14" spans="2:12" ht="15.75" x14ac:dyDescent="0.25">
      <c r="D14" s="32">
        <f>VLOOKUP(C7,Database!B2:Q34,8,0)</f>
        <v>1.98333333333333E-2</v>
      </c>
      <c r="E14" s="30">
        <f>VLOOKUP(C7,Database!B2:Q34,9,0)</f>
        <v>1</v>
      </c>
      <c r="F14" s="30">
        <f>VLOOKUP(C7,Database!B2:Q34,10,0)</f>
        <v>12</v>
      </c>
      <c r="G14" s="26"/>
      <c r="H14" s="26"/>
      <c r="I14" s="31">
        <v>10900</v>
      </c>
      <c r="J14" s="26"/>
      <c r="K14" s="26"/>
      <c r="L14" s="33">
        <f>VLOOKUP(C7,Database!B2:Q34,16,0)</f>
        <v>44942</v>
      </c>
    </row>
    <row r="15" spans="2:12" ht="18.75" x14ac:dyDescent="0.3">
      <c r="D15" s="26"/>
      <c r="E15" s="26"/>
      <c r="F15" s="26"/>
      <c r="G15" s="26"/>
      <c r="H15" s="26"/>
      <c r="I15" s="26"/>
      <c r="J15" s="27" t="s">
        <v>70</v>
      </c>
      <c r="K15" s="26"/>
      <c r="L15" s="26"/>
    </row>
    <row r="16" spans="2:12" ht="15.75" x14ac:dyDescent="0.25">
      <c r="D16" s="26"/>
      <c r="E16" s="26"/>
      <c r="F16" s="26"/>
      <c r="G16" s="26"/>
      <c r="H16" s="26"/>
      <c r="I16" s="26"/>
      <c r="J16" s="33">
        <f ca="1">TODAY()</f>
        <v>44931</v>
      </c>
      <c r="K16" s="26"/>
      <c r="L16" s="26"/>
    </row>
  </sheetData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Database!$B$2:$B$50</xm:f>
          </x14:formula1>
          <xm:sqref>C7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payment</vt:lpstr>
      <vt:lpstr>Database</vt:lpstr>
      <vt:lpstr>Payment</vt:lpstr>
      <vt:lpstr>Dashboard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2023-01-04T11:36:04Z</dcterms:created>
  <dcterms:modified xsi:type="dcterms:W3CDTF">2023-01-05T14:20:30Z</dcterms:modified>
</cp:coreProperties>
</file>