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avid\Desktop\"/>
    </mc:Choice>
  </mc:AlternateContent>
  <xr:revisionPtr revIDLastSave="0" documentId="8_{4F42EF84-6B60-44C2-8498-3BF343BCFE6F}" xr6:coauthVersionLast="45" xr6:coauthVersionMax="45" xr10:uidLastSave="{00000000-0000-0000-0000-000000000000}"/>
  <bookViews>
    <workbookView xWindow="-22222" yWindow="-104" windowWidth="22326" windowHeight="12050" activeTab="2" xr2:uid="{C13EF3A3-E267-2843-9B41-41E24D56961E}"/>
  </bookViews>
  <sheets>
    <sheet name="Part 1" sheetId="1" r:id="rId1"/>
    <sheet name="Part 2" sheetId="2" r:id="rId2"/>
    <sheet name="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8" i="2" l="1"/>
  <c r="E58" i="2"/>
  <c r="J57" i="2"/>
  <c r="J56" i="2"/>
  <c r="J55" i="2"/>
  <c r="J54" i="2"/>
  <c r="J53" i="2"/>
  <c r="D54" i="2"/>
  <c r="D55" i="2"/>
  <c r="D56" i="2"/>
  <c r="D57" i="2"/>
  <c r="D53" i="2"/>
  <c r="B48" i="2"/>
  <c r="C48" i="2" s="1"/>
  <c r="D48" i="2" s="1"/>
  <c r="B47" i="2"/>
  <c r="B46" i="2"/>
  <c r="B45" i="2"/>
  <c r="B39" i="2"/>
  <c r="B38" i="2"/>
  <c r="C38" i="2" s="1"/>
  <c r="D38" i="2" s="1"/>
  <c r="B37" i="2"/>
  <c r="B36" i="2"/>
  <c r="B30" i="2"/>
  <c r="B29" i="2"/>
  <c r="B28" i="2"/>
  <c r="C28" i="2" s="1"/>
  <c r="D28" i="2" s="1"/>
  <c r="B27" i="2"/>
  <c r="B21" i="2"/>
  <c r="B20" i="2"/>
  <c r="B19" i="2"/>
  <c r="C19" i="2" s="1"/>
  <c r="D19" i="2" s="1"/>
  <c r="B18" i="2"/>
  <c r="B12" i="2"/>
  <c r="B11" i="2"/>
  <c r="B10" i="2"/>
  <c r="B9" i="2"/>
  <c r="H48" i="2"/>
  <c r="I48" i="2" s="1"/>
  <c r="J48" i="2" s="1"/>
  <c r="J50" i="2" s="1"/>
  <c r="H47" i="2"/>
  <c r="H46" i="2"/>
  <c r="H45" i="2"/>
  <c r="H39" i="2"/>
  <c r="I39" i="2" s="1"/>
  <c r="J39" i="2" s="1"/>
  <c r="H38" i="2"/>
  <c r="I38" i="2" s="1"/>
  <c r="J38" i="2" s="1"/>
  <c r="H37" i="2"/>
  <c r="H36" i="2"/>
  <c r="H30" i="2"/>
  <c r="I30" i="2" s="1"/>
  <c r="J30" i="2" s="1"/>
  <c r="H29" i="2"/>
  <c r="I29" i="2" s="1"/>
  <c r="J29" i="2" s="1"/>
  <c r="H28" i="2"/>
  <c r="H27" i="2"/>
  <c r="H21" i="2"/>
  <c r="I21" i="2" s="1"/>
  <c r="J21" i="2" s="1"/>
  <c r="H20" i="2"/>
  <c r="I20" i="2" s="1"/>
  <c r="J20" i="2" s="1"/>
  <c r="H19" i="2"/>
  <c r="H18" i="2"/>
  <c r="H10" i="2"/>
  <c r="I10" i="2" s="1"/>
  <c r="J10" i="2" s="1"/>
  <c r="H11" i="2"/>
  <c r="I11" i="2" s="1"/>
  <c r="J11" i="2" s="1"/>
  <c r="H12" i="2"/>
  <c r="I12" i="2" s="1"/>
  <c r="J12" i="2" s="1"/>
  <c r="H9" i="2"/>
  <c r="B20" i="1"/>
  <c r="D9" i="2"/>
  <c r="B19" i="1"/>
  <c r="B49" i="1"/>
  <c r="H53" i="2" s="1"/>
  <c r="C10" i="1"/>
  <c r="I9" i="2"/>
  <c r="J9" i="2" s="1"/>
  <c r="I19" i="2"/>
  <c r="J19" i="2" s="1"/>
  <c r="J36" i="2"/>
  <c r="J45" i="2"/>
  <c r="J49" i="2" s="1"/>
  <c r="I57" i="2" s="1"/>
  <c r="I37" i="2"/>
  <c r="J37" i="2" s="1"/>
  <c r="I47" i="2"/>
  <c r="J47" i="2" s="1"/>
  <c r="I36" i="2"/>
  <c r="I46" i="2"/>
  <c r="J46" i="2" s="1"/>
  <c r="I45" i="2"/>
  <c r="I27" i="2"/>
  <c r="J27" i="2" s="1"/>
  <c r="D29" i="2"/>
  <c r="I18" i="2"/>
  <c r="J18" i="2" s="1"/>
  <c r="I28" i="2"/>
  <c r="J28" i="2" s="1"/>
  <c r="H5" i="2"/>
  <c r="H57" i="2"/>
  <c r="H56" i="2"/>
  <c r="H55" i="2"/>
  <c r="H54" i="2"/>
  <c r="C29" i="2"/>
  <c r="C30" i="2"/>
  <c r="D30" i="2" s="1"/>
  <c r="C37" i="2"/>
  <c r="D37" i="2" s="1"/>
  <c r="C39" i="2"/>
  <c r="D39" i="2" s="1"/>
  <c r="C46" i="2"/>
  <c r="D46" i="2" s="1"/>
  <c r="C47" i="2"/>
  <c r="D47" i="2" s="1"/>
  <c r="C45" i="2"/>
  <c r="D45" i="2" s="1"/>
  <c r="C36" i="2"/>
  <c r="D36" i="2" s="1"/>
  <c r="C18" i="2"/>
  <c r="D18" i="2" s="1"/>
  <c r="C27" i="2"/>
  <c r="D27" i="2" s="1"/>
  <c r="C10" i="2"/>
  <c r="D10" i="2" s="1"/>
  <c r="C11" i="2"/>
  <c r="D11" i="2" s="1"/>
  <c r="C12" i="2"/>
  <c r="D12" i="2" s="1"/>
  <c r="C9" i="2"/>
  <c r="I16" i="2"/>
  <c r="I25" i="2" s="1"/>
  <c r="I34" i="2" s="1"/>
  <c r="I43" i="2" s="1"/>
  <c r="C43" i="2"/>
  <c r="C34" i="2"/>
  <c r="C25" i="2"/>
  <c r="C16" i="2"/>
  <c r="J41" i="2" l="1"/>
  <c r="J40" i="2"/>
  <c r="I56" i="2" s="1"/>
  <c r="D14" i="2"/>
  <c r="D13" i="2"/>
  <c r="C53" i="2" s="1"/>
  <c r="J22" i="2"/>
  <c r="I54" i="2" s="1"/>
  <c r="J23" i="2"/>
  <c r="J32" i="2"/>
  <c r="J31" i="2"/>
  <c r="I55" i="2" s="1"/>
  <c r="J14" i="2"/>
  <c r="J13" i="2"/>
  <c r="I53" i="2" s="1"/>
  <c r="C20" i="2"/>
  <c r="D20" i="2" s="1"/>
  <c r="C21" i="2"/>
  <c r="D21" i="2" s="1"/>
  <c r="D49" i="2"/>
  <c r="C57" i="2" s="1"/>
  <c r="D50" i="2"/>
  <c r="D41" i="2"/>
  <c r="D40" i="2"/>
  <c r="C56" i="2" s="1"/>
  <c r="D32" i="2"/>
  <c r="D31" i="2"/>
  <c r="C55" i="2" s="1"/>
  <c r="G21" i="1"/>
  <c r="E21" i="1"/>
  <c r="B22" i="1" s="1"/>
  <c r="B56" i="2" s="1"/>
  <c r="I51" i="1"/>
  <c r="G51" i="1"/>
  <c r="E51" i="1"/>
  <c r="C29" i="1"/>
  <c r="C30" i="1"/>
  <c r="C31" i="1"/>
  <c r="C32" i="1"/>
  <c r="C33" i="1"/>
  <c r="C34" i="1"/>
  <c r="C35" i="1"/>
  <c r="C36" i="1"/>
  <c r="C37" i="1"/>
  <c r="C38" i="1"/>
  <c r="C39" i="1"/>
  <c r="C40" i="1"/>
  <c r="C41" i="1"/>
  <c r="C28" i="1"/>
  <c r="C6" i="1"/>
  <c r="C7" i="1"/>
  <c r="C8" i="1"/>
  <c r="C9" i="1"/>
  <c r="C11" i="1"/>
  <c r="C12" i="1"/>
  <c r="C13" i="1"/>
  <c r="C14" i="1"/>
  <c r="C15" i="1"/>
  <c r="C16" i="1"/>
  <c r="C5" i="1"/>
  <c r="K51" i="1"/>
  <c r="B23" i="1" l="1"/>
  <c r="B57" i="2" s="1"/>
  <c r="B53" i="2"/>
  <c r="B21" i="1"/>
  <c r="B55" i="2" s="1"/>
  <c r="B54" i="2"/>
  <c r="D23" i="2"/>
  <c r="D22" i="2"/>
  <c r="C54" i="2" s="1"/>
  <c r="B51" i="1"/>
  <c r="B53" i="1"/>
  <c r="B52" i="1"/>
  <c r="B50" i="1"/>
  <c r="F6" i="1"/>
  <c r="F4" i="1"/>
  <c r="F5" i="1"/>
</calcChain>
</file>

<file path=xl/sharedStrings.xml><?xml version="1.0" encoding="utf-8"?>
<sst xmlns="http://schemas.openxmlformats.org/spreadsheetml/2006/main" count="137" uniqueCount="46">
  <si>
    <t>Part 1</t>
  </si>
  <si>
    <t>Work to Stretch a Spring</t>
  </si>
  <si>
    <t>m (g)</t>
  </si>
  <si>
    <t>x (cm)</t>
  </si>
  <si>
    <t>F (mN)</t>
  </si>
  <si>
    <t>W (mJ)</t>
  </si>
  <si>
    <t>Force Function:</t>
  </si>
  <si>
    <t>F=</t>
  </si>
  <si>
    <t>Work Function:</t>
  </si>
  <si>
    <t>W =</t>
  </si>
  <si>
    <t>Work to Stretch a Rubber Band</t>
  </si>
  <si>
    <r>
      <t>x</t>
    </r>
    <r>
      <rPr>
        <i/>
        <vertAlign val="superscript"/>
        <sz val="12"/>
        <color theme="1"/>
        <rFont val="Calibri"/>
        <family val="2"/>
        <scheme val="minor"/>
      </rPr>
      <t>3</t>
    </r>
    <r>
      <rPr>
        <i/>
        <sz val="12"/>
        <color theme="1"/>
        <rFont val="Calibri"/>
        <family val="2"/>
        <scheme val="minor"/>
      </rPr>
      <t xml:space="preserve">    +   </t>
    </r>
  </si>
  <si>
    <t xml:space="preserve"> x       +  </t>
  </si>
  <si>
    <r>
      <t>x</t>
    </r>
    <r>
      <rPr>
        <i/>
        <vertAlign val="superscript"/>
        <sz val="12"/>
        <color theme="1"/>
        <rFont val="Calibri"/>
        <family val="2"/>
        <scheme val="minor"/>
      </rPr>
      <t>4</t>
    </r>
    <r>
      <rPr>
        <i/>
        <sz val="12"/>
        <color theme="1"/>
        <rFont val="Calibri"/>
        <family val="2"/>
        <scheme val="minor"/>
      </rPr>
      <t xml:space="preserve">    +   </t>
    </r>
  </si>
  <si>
    <t>x</t>
  </si>
  <si>
    <t>x       +</t>
  </si>
  <si>
    <r>
      <t>x</t>
    </r>
    <r>
      <rPr>
        <vertAlign val="superscript"/>
        <sz val="12"/>
        <color theme="1"/>
        <rFont val="Calibri (Body)"/>
      </rPr>
      <t>2</t>
    </r>
    <r>
      <rPr>
        <sz val="12"/>
        <color theme="1"/>
        <rFont val="Calibri"/>
        <family val="2"/>
        <scheme val="minor"/>
      </rPr>
      <t xml:space="preserve">      +</t>
    </r>
  </si>
  <si>
    <t>Part 2</t>
  </si>
  <si>
    <t>Energy Transferred to Cart by Spring</t>
  </si>
  <si>
    <t>tab (cm):</t>
  </si>
  <si>
    <t>cart mass (g):</t>
  </si>
  <si>
    <t>Trial 1</t>
  </si>
  <si>
    <t>x=</t>
  </si>
  <si>
    <t>t (s)</t>
  </si>
  <si>
    <t>v (cm/s)</t>
  </si>
  <si>
    <t>v (m/s)</t>
  </si>
  <si>
    <t>k (mJ)</t>
  </si>
  <si>
    <t>stdev K:</t>
  </si>
  <si>
    <t>average K:</t>
  </si>
  <si>
    <t>Trial 5</t>
  </si>
  <si>
    <t>Trial 4</t>
  </si>
  <si>
    <t>Trial 3</t>
  </si>
  <si>
    <t>Trial 2</t>
  </si>
  <si>
    <t>K (mJ)</t>
  </si>
  <si>
    <t>Energy Transferred to Cart by Rubber Band</t>
  </si>
  <si>
    <t>1.  Did the rubber band act as an ideal spring (i.e. does it follow Hooke's Law)?  Explain.</t>
  </si>
  <si>
    <t>2.  Which stored more energy, the spring or the rubber band?  Explain.</t>
  </si>
  <si>
    <t>3.  Which was more efficient in converting the stored potential energy to kinetic energy?  Explain.  Include in your explanation what percentage of stored energy was lost for each.</t>
  </si>
  <si>
    <t>g(m/s^2)</t>
  </si>
  <si>
    <t>cm to m</t>
  </si>
  <si>
    <t>g to kg</t>
  </si>
  <si>
    <t>Percent conversion</t>
  </si>
  <si>
    <t>average</t>
  </si>
  <si>
    <t>The spring. The spring has a 84% convertion from potential energy to kinetic energy while the rubber band has a 74% convertion</t>
  </si>
  <si>
    <t>No, even thought the force required to stretch the rubber band is directly proportional to the extension of the spring and the rubber band exerts force back, the force exerted back is less than 80% of the energy stored in the rubber band.</t>
  </si>
  <si>
    <t xml:space="preserve">The rubber band stored more energy since there was more mass exerted on it to streched.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</si>
</sst>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0.0000"/>
  </numFmts>
  <fonts count="5">
    <font>
      <sz val="12"/>
      <color theme="1"/>
      <name val="Calibri"/>
      <family val="2"/>
      <scheme val="minor"/>
    </font>
    <font>
      <b/>
      <sz val="12"/>
      <color theme="1"/>
      <name val="Calibri"/>
      <family val="2"/>
      <scheme val="minor"/>
    </font>
    <font>
      <vertAlign val="superscript"/>
      <sz val="12"/>
      <color theme="1"/>
      <name val="Calibri (Body)"/>
    </font>
    <font>
      <i/>
      <sz val="12"/>
      <color theme="1"/>
      <name val="Calibri"/>
      <family val="2"/>
      <scheme val="minor"/>
    </font>
    <font>
      <i/>
      <vertAlign val="superscript"/>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alignment horizontal="right"/>
    </xf>
    <xf numFmtId="0" fontId="3" fillId="0" borderId="0" xfId="0" applyFont="1" applyAlignment="1">
      <alignment horizontal="center" vertical="center"/>
    </xf>
    <xf numFmtId="0" fontId="3" fillId="0" borderId="0" xfId="0" applyFont="1" applyAlignment="1">
      <alignment horizontal="left" vertical="center"/>
    </xf>
    <xf numFmtId="0" fontId="1" fillId="0" borderId="0" xfId="0" applyFont="1"/>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0" fillId="0" borderId="0" xfId="0" applyFill="1" applyBorder="1" applyAlignment="1">
      <alignment horizontal="center"/>
    </xf>
    <xf numFmtId="2" fontId="0" fillId="0" borderId="0" xfId="0" applyNumberFormat="1"/>
    <xf numFmtId="164" fontId="0" fillId="0" borderId="0" xfId="0" applyNumberFormat="1" applyAlignment="1">
      <alignment horizontal="center"/>
    </xf>
    <xf numFmtId="169" fontId="0" fillId="0" borderId="0" xfId="0" applyNumberFormat="1"/>
    <xf numFmtId="164" fontId="0" fillId="0" borderId="0" xfId="0" applyNumberFormat="1"/>
    <xf numFmtId="0" fontId="0" fillId="0" borderId="0" xfId="0" applyFill="1" applyBorder="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Force v.</a:t>
            </a:r>
            <a:r>
              <a:rPr lang="en-US" baseline="0"/>
              <a:t> Height</a:t>
            </a:r>
          </a:p>
        </c:rich>
      </c:tx>
      <c:layout>
        <c:manualLayout>
          <c:xMode val="edge"/>
          <c:yMode val="edge"/>
          <c:x val="0.4329026684164478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1'!$C$4</c:f>
              <c:strCache>
                <c:ptCount val="1"/>
                <c:pt idx="0">
                  <c:v>F (mN)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1995734908136484"/>
                  <c:y val="0.517744969378827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1'!$B$5:$B$16</c:f>
              <c:numCache>
                <c:formatCode>0.0</c:formatCode>
                <c:ptCount val="12"/>
                <c:pt idx="0">
                  <c:v>1.6</c:v>
                </c:pt>
                <c:pt idx="1">
                  <c:v>3.5</c:v>
                </c:pt>
                <c:pt idx="2">
                  <c:v>5.3</c:v>
                </c:pt>
                <c:pt idx="3">
                  <c:v>7.1</c:v>
                </c:pt>
                <c:pt idx="4">
                  <c:v>9</c:v>
                </c:pt>
                <c:pt idx="5">
                  <c:v>11.8</c:v>
                </c:pt>
                <c:pt idx="6">
                  <c:v>12.6</c:v>
                </c:pt>
                <c:pt idx="7">
                  <c:v>14.5</c:v>
                </c:pt>
                <c:pt idx="8">
                  <c:v>16.3</c:v>
                </c:pt>
                <c:pt idx="9">
                  <c:v>18.100000000000001</c:v>
                </c:pt>
                <c:pt idx="10">
                  <c:v>20</c:v>
                </c:pt>
                <c:pt idx="11">
                  <c:v>21.8</c:v>
                </c:pt>
              </c:numCache>
            </c:numRef>
          </c:xVal>
          <c:yVal>
            <c:numRef>
              <c:f>'Part 1'!$C$5:$C$16</c:f>
              <c:numCache>
                <c:formatCode>0.00</c:formatCode>
                <c:ptCount val="12"/>
                <c:pt idx="0">
                  <c:v>343.35</c:v>
                </c:pt>
                <c:pt idx="1">
                  <c:v>392.40000000000003</c:v>
                </c:pt>
                <c:pt idx="2">
                  <c:v>441.45000000000005</c:v>
                </c:pt>
                <c:pt idx="3">
                  <c:v>490.5</c:v>
                </c:pt>
                <c:pt idx="4">
                  <c:v>539.55000000000007</c:v>
                </c:pt>
                <c:pt idx="5">
                  <c:v>588.6</c:v>
                </c:pt>
                <c:pt idx="6">
                  <c:v>637.65</c:v>
                </c:pt>
                <c:pt idx="7">
                  <c:v>686.7</c:v>
                </c:pt>
                <c:pt idx="8">
                  <c:v>735.75</c:v>
                </c:pt>
                <c:pt idx="9">
                  <c:v>784.80000000000007</c:v>
                </c:pt>
                <c:pt idx="10">
                  <c:v>833.85</c:v>
                </c:pt>
                <c:pt idx="11">
                  <c:v>882.90000000000009</c:v>
                </c:pt>
              </c:numCache>
            </c:numRef>
          </c:yVal>
          <c:smooth val="0"/>
          <c:extLst>
            <c:ext xmlns:c16="http://schemas.microsoft.com/office/drawing/2014/chart" uri="{C3380CC4-5D6E-409C-BE32-E72D297353CC}">
              <c16:uniqueId val="{00000000-560B-4DBF-9986-12FF15A8B0D8}"/>
            </c:ext>
          </c:extLst>
        </c:ser>
        <c:dLbls>
          <c:showLegendKey val="0"/>
          <c:showVal val="0"/>
          <c:showCatName val="0"/>
          <c:showSerName val="0"/>
          <c:showPercent val="0"/>
          <c:showBubbleSize val="0"/>
        </c:dLbls>
        <c:axId val="559024111"/>
        <c:axId val="658423295"/>
      </c:scatterChart>
      <c:valAx>
        <c:axId val="559024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Height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23295"/>
        <c:crosses val="autoZero"/>
        <c:crossBetween val="midCat"/>
      </c:valAx>
      <c:valAx>
        <c:axId val="65842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Force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4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Force v.</a:t>
            </a:r>
            <a:r>
              <a:rPr lang="en-US" baseline="0"/>
              <a:t> Height</a:t>
            </a:r>
          </a:p>
        </c:rich>
      </c:tx>
      <c:layout>
        <c:manualLayout>
          <c:xMode val="edge"/>
          <c:yMode val="edge"/>
          <c:x val="0.4329026684164478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1'!$C$4</c:f>
              <c:strCache>
                <c:ptCount val="1"/>
                <c:pt idx="0">
                  <c:v>F (mN)</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layout>
                <c:manualLayout>
                  <c:x val="0.13791469816272967"/>
                  <c:y val="0.511571271084319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1'!$B$28:$B$41</c:f>
              <c:numCache>
                <c:formatCode>0.0</c:formatCode>
                <c:ptCount val="14"/>
                <c:pt idx="0">
                  <c:v>0.2</c:v>
                </c:pt>
                <c:pt idx="1">
                  <c:v>0.9</c:v>
                </c:pt>
                <c:pt idx="2">
                  <c:v>2.1</c:v>
                </c:pt>
                <c:pt idx="3">
                  <c:v>3.8</c:v>
                </c:pt>
                <c:pt idx="4">
                  <c:v>5.5</c:v>
                </c:pt>
                <c:pt idx="5">
                  <c:v>8</c:v>
                </c:pt>
                <c:pt idx="6">
                  <c:v>9.9</c:v>
                </c:pt>
                <c:pt idx="7">
                  <c:v>11.8</c:v>
                </c:pt>
                <c:pt idx="8">
                  <c:v>13.6</c:v>
                </c:pt>
                <c:pt idx="9">
                  <c:v>15.4</c:v>
                </c:pt>
                <c:pt idx="10">
                  <c:v>17</c:v>
                </c:pt>
                <c:pt idx="11">
                  <c:v>18.5</c:v>
                </c:pt>
                <c:pt idx="12">
                  <c:v>20</c:v>
                </c:pt>
                <c:pt idx="13">
                  <c:v>21.2</c:v>
                </c:pt>
              </c:numCache>
            </c:numRef>
          </c:xVal>
          <c:yVal>
            <c:numRef>
              <c:f>'Part 1'!$C$28:$C$41</c:f>
              <c:numCache>
                <c:formatCode>0.0</c:formatCode>
                <c:ptCount val="14"/>
                <c:pt idx="0">
                  <c:v>981</c:v>
                </c:pt>
                <c:pt idx="1">
                  <c:v>1471.5</c:v>
                </c:pt>
                <c:pt idx="2">
                  <c:v>1962</c:v>
                </c:pt>
                <c:pt idx="3">
                  <c:v>2452.5</c:v>
                </c:pt>
                <c:pt idx="4">
                  <c:v>2943</c:v>
                </c:pt>
                <c:pt idx="5">
                  <c:v>3433.5</c:v>
                </c:pt>
                <c:pt idx="6">
                  <c:v>3924</c:v>
                </c:pt>
                <c:pt idx="7">
                  <c:v>4414.5</c:v>
                </c:pt>
                <c:pt idx="8">
                  <c:v>4905</c:v>
                </c:pt>
                <c:pt idx="9">
                  <c:v>5395.5</c:v>
                </c:pt>
                <c:pt idx="10">
                  <c:v>5886</c:v>
                </c:pt>
                <c:pt idx="11">
                  <c:v>6376.5</c:v>
                </c:pt>
                <c:pt idx="12">
                  <c:v>6867</c:v>
                </c:pt>
                <c:pt idx="13">
                  <c:v>7357.5</c:v>
                </c:pt>
              </c:numCache>
            </c:numRef>
          </c:yVal>
          <c:smooth val="0"/>
          <c:extLst>
            <c:ext xmlns:c16="http://schemas.microsoft.com/office/drawing/2014/chart" uri="{C3380CC4-5D6E-409C-BE32-E72D297353CC}">
              <c16:uniqueId val="{00000001-E732-4848-A248-B7316211C5E6}"/>
            </c:ext>
          </c:extLst>
        </c:ser>
        <c:dLbls>
          <c:showLegendKey val="0"/>
          <c:showVal val="0"/>
          <c:showCatName val="0"/>
          <c:showSerName val="0"/>
          <c:showPercent val="0"/>
          <c:showBubbleSize val="0"/>
        </c:dLbls>
        <c:axId val="559024111"/>
        <c:axId val="658423295"/>
      </c:scatterChart>
      <c:valAx>
        <c:axId val="559024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Height (cm)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423295"/>
        <c:crosses val="autoZero"/>
        <c:crossBetween val="midCat"/>
      </c:valAx>
      <c:valAx>
        <c:axId val="65842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Force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4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Kinetic</a:t>
            </a:r>
            <a:r>
              <a:rPr lang="en-US" baseline="0"/>
              <a:t> v.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2'!$C$52</c:f>
              <c:strCache>
                <c:ptCount val="1"/>
                <c:pt idx="0">
                  <c:v>K (mJ)</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8917322834645666E-2"/>
                  <c:y val="0.471395450568678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2'!$B$53:$B$57</c:f>
              <c:numCache>
                <c:formatCode>0.0</c:formatCode>
                <c:ptCount val="5"/>
                <c:pt idx="0">
                  <c:v>14.0428</c:v>
                </c:pt>
                <c:pt idx="1">
                  <c:v>32.363999999999997</c:v>
                </c:pt>
                <c:pt idx="2">
                  <c:v>54.9636</c:v>
                </c:pt>
                <c:pt idx="3">
                  <c:v>81.8416</c:v>
                </c:pt>
                <c:pt idx="4">
                  <c:v>112.99799999999999</c:v>
                </c:pt>
              </c:numCache>
            </c:numRef>
          </c:xVal>
          <c:yVal>
            <c:numRef>
              <c:f>'Part 2'!$C$53:$C$57</c:f>
              <c:numCache>
                <c:formatCode>0.0</c:formatCode>
                <c:ptCount val="5"/>
                <c:pt idx="0">
                  <c:v>10.481611161207372</c:v>
                </c:pt>
                <c:pt idx="1">
                  <c:v>27.160224890956478</c:v>
                </c:pt>
                <c:pt idx="2">
                  <c:v>47.32641462127296</c:v>
                </c:pt>
                <c:pt idx="3">
                  <c:v>71.603432255182412</c:v>
                </c:pt>
                <c:pt idx="4">
                  <c:v>99.286362138357603</c:v>
                </c:pt>
              </c:numCache>
            </c:numRef>
          </c:yVal>
          <c:smooth val="0"/>
          <c:extLst>
            <c:ext xmlns:c16="http://schemas.microsoft.com/office/drawing/2014/chart" uri="{C3380CC4-5D6E-409C-BE32-E72D297353CC}">
              <c16:uniqueId val="{00000000-1A11-4CE1-88B8-F21661072E76}"/>
            </c:ext>
          </c:extLst>
        </c:ser>
        <c:dLbls>
          <c:showLegendKey val="0"/>
          <c:showVal val="0"/>
          <c:showCatName val="0"/>
          <c:showSerName val="0"/>
          <c:showPercent val="0"/>
          <c:showBubbleSize val="0"/>
        </c:dLbls>
        <c:axId val="653224223"/>
        <c:axId val="514110175"/>
      </c:scatterChart>
      <c:valAx>
        <c:axId val="653224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0175"/>
        <c:crosses val="autoZero"/>
        <c:crossBetween val="midCat"/>
      </c:valAx>
      <c:valAx>
        <c:axId val="51411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Kinetic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24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Kinetic v.</a:t>
            </a:r>
            <a:r>
              <a:rPr lang="en-US" baseline="0"/>
              <a:t>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78937007874015"/>
          <c:y val="0.16708333333333336"/>
          <c:w val="0.77116907261592305"/>
          <c:h val="0.62271617089530473"/>
        </c:manualLayout>
      </c:layout>
      <c:scatterChart>
        <c:scatterStyle val="lineMarker"/>
        <c:varyColors val="0"/>
        <c:ser>
          <c:idx val="0"/>
          <c:order val="0"/>
          <c:tx>
            <c:strRef>
              <c:f>'Part 2'!$I$52</c:f>
              <c:strCache>
                <c:ptCount val="1"/>
                <c:pt idx="0">
                  <c:v>K (mJ)</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6994531933508311"/>
                  <c:y val="0.4900860309128025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2'!$H$53:$H$57</c:f>
              <c:numCache>
                <c:formatCode>0.0</c:formatCode>
                <c:ptCount val="5"/>
                <c:pt idx="0">
                  <c:v>71.795584000000005</c:v>
                </c:pt>
                <c:pt idx="1">
                  <c:v>192.68358399999997</c:v>
                </c:pt>
                <c:pt idx="2">
                  <c:v>353.34662400000002</c:v>
                </c:pt>
                <c:pt idx="3">
                  <c:v>553.18566399999997</c:v>
                </c:pt>
                <c:pt idx="4">
                  <c:v>800.32</c:v>
                </c:pt>
              </c:numCache>
            </c:numRef>
          </c:xVal>
          <c:yVal>
            <c:numRef>
              <c:f>'Part 2'!$I$53:$I$57</c:f>
              <c:numCache>
                <c:formatCode>0.0</c:formatCode>
                <c:ptCount val="5"/>
                <c:pt idx="0">
                  <c:v>53.9768382319578</c:v>
                </c:pt>
                <c:pt idx="1">
                  <c:v>139.92452821559098</c:v>
                </c:pt>
                <c:pt idx="2">
                  <c:v>253.51711046832287</c:v>
                </c:pt>
                <c:pt idx="3">
                  <c:v>407.10399118641118</c:v>
                </c:pt>
                <c:pt idx="4">
                  <c:v>600.31904129297891</c:v>
                </c:pt>
              </c:numCache>
            </c:numRef>
          </c:yVal>
          <c:smooth val="0"/>
          <c:extLst>
            <c:ext xmlns:c16="http://schemas.microsoft.com/office/drawing/2014/chart" uri="{C3380CC4-5D6E-409C-BE32-E72D297353CC}">
              <c16:uniqueId val="{00000000-36D8-4C94-8EC3-C901CCE0380D}"/>
            </c:ext>
          </c:extLst>
        </c:ser>
        <c:dLbls>
          <c:showLegendKey val="0"/>
          <c:showVal val="0"/>
          <c:showCatName val="0"/>
          <c:showSerName val="0"/>
          <c:showPercent val="0"/>
          <c:showBubbleSize val="0"/>
        </c:dLbls>
        <c:axId val="649987567"/>
        <c:axId val="514107263"/>
      </c:scatterChart>
      <c:valAx>
        <c:axId val="649987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07263"/>
        <c:crosses val="autoZero"/>
        <c:crossBetween val="midCat"/>
      </c:valAx>
      <c:valAx>
        <c:axId val="51410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Kinetic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87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80467</xdr:colOff>
      <xdr:row>3</xdr:row>
      <xdr:rowOff>87784</xdr:rowOff>
    </xdr:from>
    <xdr:to>
      <xdr:col>12</xdr:col>
      <xdr:colOff>416966</xdr:colOff>
      <xdr:row>16</xdr:row>
      <xdr:rowOff>153619</xdr:rowOff>
    </xdr:to>
    <xdr:graphicFrame macro="">
      <xdr:nvGraphicFramePr>
        <xdr:cNvPr id="2" name="Chart 1">
          <a:extLst>
            <a:ext uri="{FF2B5EF4-FFF2-40B4-BE49-F238E27FC236}">
              <a16:creationId xmlns:a16="http://schemas.microsoft.com/office/drawing/2014/main" id="{77B53A5E-7813-4D55-9015-BFC84F548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27</xdr:row>
      <xdr:rowOff>0</xdr:rowOff>
    </xdr:from>
    <xdr:to>
      <xdr:col>11</xdr:col>
      <xdr:colOff>87782</xdr:colOff>
      <xdr:row>40</xdr:row>
      <xdr:rowOff>65835</xdr:rowOff>
    </xdr:to>
    <xdr:graphicFrame macro="">
      <xdr:nvGraphicFramePr>
        <xdr:cNvPr id="3" name="Chart 2">
          <a:extLst>
            <a:ext uri="{FF2B5EF4-FFF2-40B4-BE49-F238E27FC236}">
              <a16:creationId xmlns:a16="http://schemas.microsoft.com/office/drawing/2014/main" id="{EDD0BDB8-490E-4EE8-8CB5-603D97249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219455</xdr:colOff>
      <xdr:row>59</xdr:row>
      <xdr:rowOff>69495</xdr:rowOff>
    </xdr:from>
    <xdr:to>
      <xdr:col>5</xdr:col>
      <xdr:colOff>395020</xdr:colOff>
      <xdr:row>72</xdr:row>
      <xdr:rowOff>149962</xdr:rowOff>
    </xdr:to>
    <xdr:graphicFrame macro="">
      <xdr:nvGraphicFramePr>
        <xdr:cNvPr id="2" name="Chart 1">
          <a:extLst>
            <a:ext uri="{FF2B5EF4-FFF2-40B4-BE49-F238E27FC236}">
              <a16:creationId xmlns:a16="http://schemas.microsoft.com/office/drawing/2014/main" id="{AAA3EA68-47A7-4E75-B567-58FC53783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40234</xdr:colOff>
      <xdr:row>59</xdr:row>
      <xdr:rowOff>32918</xdr:rowOff>
    </xdr:from>
    <xdr:to>
      <xdr:col>11</xdr:col>
      <xdr:colOff>223114</xdr:colOff>
      <xdr:row>72</xdr:row>
      <xdr:rowOff>113385</xdr:rowOff>
    </xdr:to>
    <xdr:graphicFrame macro="">
      <xdr:nvGraphicFramePr>
        <xdr:cNvPr id="3" name="Chart 2">
          <a:extLst>
            <a:ext uri="{FF2B5EF4-FFF2-40B4-BE49-F238E27FC236}">
              <a16:creationId xmlns:a16="http://schemas.microsoft.com/office/drawing/2014/main" id="{78EEBF8F-E9EF-47B1-B9D4-A57BADB8A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FFE2-6345-FB42-8E29-BF3348197027}">
  <dimension ref="A1:L62"/>
  <sheetViews>
    <sheetView topLeftCell="A38" zoomScaleNormal="100" workbookViewId="0">
      <selection activeCell="G21" sqref="G21"/>
    </sheetView>
  </sheetViews>
  <sheetFormatPr defaultColWidth="10.90625" defaultRowHeight="16.149999999999999"/>
  <cols>
    <col min="2" max="2" width="13.36328125" bestFit="1" customWidth="1"/>
    <col min="5" max="5" width="7.1796875" customWidth="1"/>
    <col min="6" max="6" width="6.81640625" customWidth="1"/>
    <col min="7" max="7" width="8.453125" customWidth="1"/>
    <col min="8" max="8" width="7.81640625" customWidth="1"/>
    <col min="9" max="9" width="9" customWidth="1"/>
    <col min="10" max="10" width="7.6328125" customWidth="1"/>
    <col min="11" max="11" width="8.81640625" customWidth="1"/>
  </cols>
  <sheetData>
    <row r="1" spans="1:6">
      <c r="A1" t="s">
        <v>0</v>
      </c>
    </row>
    <row r="3" spans="1:6">
      <c r="A3" s="8" t="s">
        <v>1</v>
      </c>
      <c r="B3" s="8"/>
      <c r="C3" s="8"/>
    </row>
    <row r="4" spans="1:6">
      <c r="A4" s="2" t="s">
        <v>2</v>
      </c>
      <c r="B4" s="2" t="s">
        <v>3</v>
      </c>
      <c r="C4" s="2" t="s">
        <v>4</v>
      </c>
      <c r="E4" s="10" t="s">
        <v>38</v>
      </c>
      <c r="F4">
        <f>9.81</f>
        <v>9.81</v>
      </c>
    </row>
    <row r="5" spans="1:6">
      <c r="A5">
        <v>35</v>
      </c>
      <c r="B5" s="12">
        <v>1.6</v>
      </c>
      <c r="C5" s="11">
        <f>A5*$F$4</f>
        <v>343.35</v>
      </c>
      <c r="E5" t="s">
        <v>39</v>
      </c>
      <c r="F5">
        <f>1/100</f>
        <v>0.01</v>
      </c>
    </row>
    <row r="6" spans="1:6">
      <c r="A6">
        <v>40</v>
      </c>
      <c r="B6" s="12">
        <v>3.5</v>
      </c>
      <c r="C6" s="11">
        <f t="shared" ref="C6:C16" si="0">A6*$F$4</f>
        <v>392.40000000000003</v>
      </c>
      <c r="E6" t="s">
        <v>40</v>
      </c>
      <c r="F6">
        <f>1/1000</f>
        <v>1E-3</v>
      </c>
    </row>
    <row r="7" spans="1:6">
      <c r="A7">
        <v>45</v>
      </c>
      <c r="B7" s="12">
        <v>5.3</v>
      </c>
      <c r="C7" s="11">
        <f t="shared" si="0"/>
        <v>441.45000000000005</v>
      </c>
    </row>
    <row r="8" spans="1:6">
      <c r="A8">
        <v>50</v>
      </c>
      <c r="B8" s="12">
        <v>7.1</v>
      </c>
      <c r="C8" s="11">
        <f t="shared" si="0"/>
        <v>490.5</v>
      </c>
    </row>
    <row r="9" spans="1:6">
      <c r="A9">
        <v>55</v>
      </c>
      <c r="B9" s="12">
        <v>9</v>
      </c>
      <c r="C9" s="11">
        <f t="shared" si="0"/>
        <v>539.55000000000007</v>
      </c>
    </row>
    <row r="10" spans="1:6">
      <c r="A10">
        <v>60</v>
      </c>
      <c r="B10" s="12">
        <v>11.8</v>
      </c>
      <c r="C10" s="11">
        <f>A10*$F$4</f>
        <v>588.6</v>
      </c>
    </row>
    <row r="11" spans="1:6">
      <c r="A11">
        <v>65</v>
      </c>
      <c r="B11" s="12">
        <v>12.6</v>
      </c>
      <c r="C11" s="11">
        <f t="shared" si="0"/>
        <v>637.65</v>
      </c>
    </row>
    <row r="12" spans="1:6">
      <c r="A12">
        <v>70</v>
      </c>
      <c r="B12" s="12">
        <v>14.5</v>
      </c>
      <c r="C12" s="11">
        <f t="shared" si="0"/>
        <v>686.7</v>
      </c>
    </row>
    <row r="13" spans="1:6">
      <c r="A13">
        <v>75</v>
      </c>
      <c r="B13" s="12">
        <v>16.3</v>
      </c>
      <c r="C13" s="11">
        <f t="shared" si="0"/>
        <v>735.75</v>
      </c>
    </row>
    <row r="14" spans="1:6">
      <c r="A14">
        <v>80</v>
      </c>
      <c r="B14" s="12">
        <v>18.100000000000001</v>
      </c>
      <c r="C14" s="11">
        <f t="shared" si="0"/>
        <v>784.80000000000007</v>
      </c>
    </row>
    <row r="15" spans="1:6">
      <c r="A15">
        <v>85</v>
      </c>
      <c r="B15" s="12">
        <v>20</v>
      </c>
      <c r="C15" s="11">
        <f t="shared" si="0"/>
        <v>833.85</v>
      </c>
    </row>
    <row r="16" spans="1:6">
      <c r="A16">
        <v>90</v>
      </c>
      <c r="B16" s="12">
        <v>21.8</v>
      </c>
      <c r="C16" s="11">
        <f t="shared" si="0"/>
        <v>882.90000000000009</v>
      </c>
    </row>
    <row r="18" spans="1:8">
      <c r="A18" s="2" t="s">
        <v>3</v>
      </c>
      <c r="B18" s="2" t="s">
        <v>5</v>
      </c>
      <c r="D18" t="s">
        <v>6</v>
      </c>
    </row>
    <row r="19" spans="1:8">
      <c r="A19" s="14">
        <v>4</v>
      </c>
      <c r="B19" s="14">
        <f>($E$21*POWER(A19,2)+$G$21*A19)*$F$5</f>
        <v>14.0428</v>
      </c>
      <c r="D19" s="3" t="s">
        <v>7</v>
      </c>
      <c r="E19">
        <v>26.74</v>
      </c>
      <c r="F19" t="s">
        <v>15</v>
      </c>
      <c r="G19">
        <v>297.58999999999997</v>
      </c>
    </row>
    <row r="20" spans="1:8">
      <c r="A20" s="14">
        <v>8</v>
      </c>
      <c r="B20" s="14">
        <f>($E$21*POWER(A20,2)+$G$21*A20)*$F$5</f>
        <v>32.363999999999997</v>
      </c>
      <c r="D20" t="s">
        <v>8</v>
      </c>
    </row>
    <row r="21" spans="1:8" ht="18.45">
      <c r="A21" s="14">
        <v>12</v>
      </c>
      <c r="B21" s="14">
        <f t="shared" ref="B20:B23" si="1">($E$21*POWER(A21,2)+$G$21*A21)*$F$5</f>
        <v>54.9636</v>
      </c>
      <c r="D21" s="3" t="s">
        <v>9</v>
      </c>
      <c r="E21">
        <f>E19/2</f>
        <v>13.37</v>
      </c>
      <c r="F21" t="s">
        <v>16</v>
      </c>
      <c r="G21">
        <f>G19</f>
        <v>297.58999999999997</v>
      </c>
      <c r="H21" t="s">
        <v>14</v>
      </c>
    </row>
    <row r="22" spans="1:8">
      <c r="A22" s="14">
        <v>16</v>
      </c>
      <c r="B22" s="14">
        <f t="shared" si="1"/>
        <v>81.8416</v>
      </c>
    </row>
    <row r="23" spans="1:8">
      <c r="A23" s="14">
        <v>20</v>
      </c>
      <c r="B23" s="14">
        <f t="shared" si="1"/>
        <v>112.99799999999999</v>
      </c>
    </row>
    <row r="26" spans="1:8">
      <c r="A26" t="s">
        <v>10</v>
      </c>
    </row>
    <row r="27" spans="1:8">
      <c r="A27" s="2" t="s">
        <v>2</v>
      </c>
      <c r="B27" s="2" t="s">
        <v>3</v>
      </c>
      <c r="C27" s="2" t="s">
        <v>4</v>
      </c>
    </row>
    <row r="28" spans="1:8">
      <c r="A28">
        <v>100</v>
      </c>
      <c r="B28" s="14">
        <v>0.2</v>
      </c>
      <c r="C28" s="14">
        <f>A28*$F$4</f>
        <v>981</v>
      </c>
    </row>
    <row r="29" spans="1:8">
      <c r="A29">
        <v>150</v>
      </c>
      <c r="B29" s="14">
        <v>0.9</v>
      </c>
      <c r="C29" s="14">
        <f t="shared" ref="C29:C41" si="2">A29*$F$4</f>
        <v>1471.5</v>
      </c>
    </row>
    <row r="30" spans="1:8">
      <c r="A30">
        <v>200</v>
      </c>
      <c r="B30" s="14">
        <v>2.1</v>
      </c>
      <c r="C30" s="14">
        <f t="shared" si="2"/>
        <v>1962</v>
      </c>
    </row>
    <row r="31" spans="1:8">
      <c r="A31">
        <v>250</v>
      </c>
      <c r="B31" s="14">
        <v>3.8</v>
      </c>
      <c r="C31" s="14">
        <f t="shared" si="2"/>
        <v>2452.5</v>
      </c>
    </row>
    <row r="32" spans="1:8">
      <c r="A32">
        <v>300</v>
      </c>
      <c r="B32" s="14">
        <v>5.5</v>
      </c>
      <c r="C32" s="14">
        <f t="shared" si="2"/>
        <v>2943</v>
      </c>
    </row>
    <row r="33" spans="1:4">
      <c r="A33">
        <v>350</v>
      </c>
      <c r="B33" s="14">
        <v>8</v>
      </c>
      <c r="C33" s="14">
        <f t="shared" si="2"/>
        <v>3433.5</v>
      </c>
    </row>
    <row r="34" spans="1:4">
      <c r="A34">
        <v>400</v>
      </c>
      <c r="B34" s="14">
        <v>9.9</v>
      </c>
      <c r="C34" s="14">
        <f t="shared" si="2"/>
        <v>3924</v>
      </c>
    </row>
    <row r="35" spans="1:4">
      <c r="A35">
        <v>450</v>
      </c>
      <c r="B35" s="14">
        <v>11.8</v>
      </c>
      <c r="C35" s="14">
        <f t="shared" si="2"/>
        <v>4414.5</v>
      </c>
    </row>
    <row r="36" spans="1:4">
      <c r="A36">
        <v>500</v>
      </c>
      <c r="B36" s="14">
        <v>13.6</v>
      </c>
      <c r="C36" s="14">
        <f t="shared" si="2"/>
        <v>4905</v>
      </c>
    </row>
    <row r="37" spans="1:4">
      <c r="A37">
        <v>550</v>
      </c>
      <c r="B37" s="14">
        <v>15.4</v>
      </c>
      <c r="C37" s="14">
        <f t="shared" si="2"/>
        <v>5395.5</v>
      </c>
    </row>
    <row r="38" spans="1:4">
      <c r="A38">
        <v>600</v>
      </c>
      <c r="B38" s="14">
        <v>17</v>
      </c>
      <c r="C38" s="14">
        <f t="shared" si="2"/>
        <v>5886</v>
      </c>
    </row>
    <row r="39" spans="1:4">
      <c r="A39">
        <v>650</v>
      </c>
      <c r="B39" s="14">
        <v>18.5</v>
      </c>
      <c r="C39" s="14">
        <f t="shared" si="2"/>
        <v>6376.5</v>
      </c>
    </row>
    <row r="40" spans="1:4">
      <c r="A40">
        <v>700</v>
      </c>
      <c r="B40" s="14">
        <v>20</v>
      </c>
      <c r="C40" s="14">
        <f t="shared" si="2"/>
        <v>6867</v>
      </c>
    </row>
    <row r="41" spans="1:4">
      <c r="A41">
        <v>750</v>
      </c>
      <c r="B41" s="14">
        <v>21.2</v>
      </c>
      <c r="C41" s="14">
        <f t="shared" si="2"/>
        <v>7357.5</v>
      </c>
    </row>
    <row r="42" spans="1:4">
      <c r="B42" s="14"/>
      <c r="C42" s="14"/>
    </row>
    <row r="43" spans="1:4">
      <c r="B43" s="14"/>
      <c r="C43" s="14"/>
    </row>
    <row r="48" spans="1:4">
      <c r="A48" s="2" t="s">
        <v>3</v>
      </c>
      <c r="B48" s="2" t="s">
        <v>5</v>
      </c>
      <c r="D48" t="s">
        <v>6</v>
      </c>
    </row>
    <row r="49" spans="1:12" ht="18.45">
      <c r="A49" s="14">
        <v>4</v>
      </c>
      <c r="B49" s="14">
        <f>($E$51*POWER(A49,4)+$G$51*POWER(A49,3)+$I$51*POWER(A49,2)+$K$51*A49)*$F$5</f>
        <v>71.795584000000005</v>
      </c>
      <c r="D49" s="3" t="s">
        <v>7</v>
      </c>
      <c r="E49">
        <v>0.56759999999999999</v>
      </c>
      <c r="F49" s="4" t="s">
        <v>11</v>
      </c>
      <c r="G49">
        <v>-17.495999999999999</v>
      </c>
      <c r="H49" s="1" t="s">
        <v>16</v>
      </c>
      <c r="I49">
        <v>415.01</v>
      </c>
      <c r="J49" s="5" t="s">
        <v>12</v>
      </c>
      <c r="K49">
        <v>1049.0999999999999</v>
      </c>
    </row>
    <row r="50" spans="1:12">
      <c r="A50" s="14">
        <v>8</v>
      </c>
      <c r="B50" s="14">
        <f t="shared" ref="B50:B62" si="3">($E$51*POWER(A50,4)+$G$51*POWER(A50,3)+$I$51*POWER(A50,2)+$K$51*A50)*$F$5</f>
        <v>192.68358399999997</v>
      </c>
      <c r="D50" t="s">
        <v>8</v>
      </c>
    </row>
    <row r="51" spans="1:12" ht="18.45">
      <c r="A51" s="14">
        <v>12</v>
      </c>
      <c r="B51" s="14">
        <f t="shared" si="3"/>
        <v>353.34662400000002</v>
      </c>
      <c r="D51" s="3" t="s">
        <v>9</v>
      </c>
      <c r="E51">
        <f>E49/4</f>
        <v>0.1419</v>
      </c>
      <c r="F51" s="4" t="s">
        <v>13</v>
      </c>
      <c r="G51">
        <f>G49/3</f>
        <v>-5.8319999999999999</v>
      </c>
      <c r="H51" s="4" t="s">
        <v>11</v>
      </c>
      <c r="I51">
        <f>I49/2</f>
        <v>207.505</v>
      </c>
      <c r="J51" s="1" t="s">
        <v>16</v>
      </c>
      <c r="K51">
        <f>K49</f>
        <v>1049.0999999999999</v>
      </c>
      <c r="L51" t="s">
        <v>14</v>
      </c>
    </row>
    <row r="52" spans="1:12">
      <c r="A52" s="14">
        <v>16</v>
      </c>
      <c r="B52" s="14">
        <f t="shared" si="3"/>
        <v>553.18566399999997</v>
      </c>
    </row>
    <row r="53" spans="1:12">
      <c r="A53" s="14">
        <v>20</v>
      </c>
      <c r="B53" s="14">
        <f t="shared" si="3"/>
        <v>800.32</v>
      </c>
    </row>
    <row r="54" spans="1:12">
      <c r="A54" s="14"/>
      <c r="B54" s="14"/>
    </row>
    <row r="55" spans="1:12">
      <c r="A55" s="14"/>
      <c r="B55" s="14"/>
    </row>
    <row r="56" spans="1:12">
      <c r="A56" s="14"/>
      <c r="B56" s="14"/>
    </row>
    <row r="57" spans="1:12">
      <c r="A57" s="14"/>
      <c r="B57" s="14"/>
    </row>
    <row r="58" spans="1:12">
      <c r="A58" s="14"/>
      <c r="B58" s="14"/>
    </row>
    <row r="59" spans="1:12">
      <c r="A59" s="14"/>
      <c r="B59" s="14"/>
    </row>
    <row r="60" spans="1:12">
      <c r="A60" s="14"/>
      <c r="B60" s="14"/>
    </row>
    <row r="61" spans="1:12">
      <c r="A61" s="14"/>
      <c r="B61" s="14"/>
    </row>
    <row r="62" spans="1:12">
      <c r="A62" s="14"/>
      <c r="B62" s="14"/>
    </row>
  </sheetData>
  <mergeCells count="1">
    <mergeCell ref="A3:C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9B30-514D-0A4A-A8CD-B943EF42B05A}">
  <dimension ref="A1:K58"/>
  <sheetViews>
    <sheetView topLeftCell="A43" workbookViewId="0">
      <selection activeCell="K59" sqref="K59"/>
    </sheetView>
  </sheetViews>
  <sheetFormatPr defaultColWidth="10.90625" defaultRowHeight="16.149999999999999"/>
  <cols>
    <col min="1" max="1" width="11" customWidth="1"/>
  </cols>
  <sheetData>
    <row r="1" spans="1:10">
      <c r="A1" t="s">
        <v>17</v>
      </c>
    </row>
    <row r="3" spans="1:10">
      <c r="A3" s="9" t="s">
        <v>18</v>
      </c>
      <c r="B3" s="9"/>
      <c r="C3" s="9"/>
      <c r="D3" s="9"/>
      <c r="G3" s="9" t="s">
        <v>34</v>
      </c>
      <c r="H3" s="9"/>
      <c r="I3" s="9"/>
      <c r="J3" s="9"/>
    </row>
    <row r="4" spans="1:10">
      <c r="A4" t="s">
        <v>19</v>
      </c>
      <c r="B4">
        <v>11</v>
      </c>
      <c r="G4" t="s">
        <v>19</v>
      </c>
      <c r="H4">
        <v>11</v>
      </c>
    </row>
    <row r="5" spans="1:10">
      <c r="A5" t="s">
        <v>20</v>
      </c>
      <c r="B5">
        <v>416.3</v>
      </c>
      <c r="G5" t="s">
        <v>20</v>
      </c>
      <c r="H5">
        <f>B5+500</f>
        <v>916.3</v>
      </c>
    </row>
    <row r="7" spans="1:10">
      <c r="A7" s="6" t="s">
        <v>21</v>
      </c>
      <c r="B7" s="3" t="s">
        <v>22</v>
      </c>
      <c r="C7">
        <v>4</v>
      </c>
      <c r="G7" s="6" t="s">
        <v>21</v>
      </c>
      <c r="H7" s="3" t="s">
        <v>22</v>
      </c>
      <c r="I7">
        <v>4</v>
      </c>
    </row>
    <row r="8" spans="1:10">
      <c r="A8" s="2" t="s">
        <v>23</v>
      </c>
      <c r="B8" s="2" t="s">
        <v>24</v>
      </c>
      <c r="C8" s="2" t="s">
        <v>25</v>
      </c>
      <c r="D8" s="2" t="s">
        <v>26</v>
      </c>
      <c r="G8" s="2" t="s">
        <v>23</v>
      </c>
      <c r="H8" s="2" t="s">
        <v>24</v>
      </c>
      <c r="I8" s="2" t="s">
        <v>25</v>
      </c>
      <c r="J8" s="2" t="s">
        <v>26</v>
      </c>
    </row>
    <row r="9" spans="1:10">
      <c r="A9">
        <v>0.4652</v>
      </c>
      <c r="B9" s="13">
        <f>$B$4/A9</f>
        <v>23.645743766122099</v>
      </c>
      <c r="C9" s="13">
        <f>B9/100</f>
        <v>0.23645743766122099</v>
      </c>
      <c r="D9" s="14">
        <f>C9*C9*$B$5/2</f>
        <v>11.63810774163832</v>
      </c>
      <c r="G9">
        <v>0.31969999999999998</v>
      </c>
      <c r="H9" s="13">
        <f>$B$4/G9</f>
        <v>34.407256803253048</v>
      </c>
      <c r="I9" s="13">
        <f>H9/100</f>
        <v>0.3440725680325305</v>
      </c>
      <c r="J9" s="11">
        <f>I9*I9*$H$5/2</f>
        <v>54.238514779016022</v>
      </c>
    </row>
    <row r="10" spans="1:10">
      <c r="A10">
        <v>0.49669999999999997</v>
      </c>
      <c r="B10" s="13">
        <f t="shared" ref="B10:B12" si="0">$B$4/A10</f>
        <v>22.146164686933766</v>
      </c>
      <c r="C10" s="13">
        <f t="shared" ref="C10:C12" si="1">B10/100</f>
        <v>0.22146164686933767</v>
      </c>
      <c r="D10" s="14">
        <f t="shared" ref="D10:D12" si="2">C10*C10*$B$5/2</f>
        <v>10.20877108424359</v>
      </c>
      <c r="G10">
        <v>0.32090000000000002</v>
      </c>
      <c r="H10" s="13">
        <f t="shared" ref="H10:H12" si="3">$B$4/G10</f>
        <v>34.278591461514488</v>
      </c>
      <c r="I10" s="13">
        <f t="shared" ref="I10:I12" si="4">H10/100</f>
        <v>0.34278591461514485</v>
      </c>
      <c r="J10" s="11">
        <f>I10*I10*$H$5/2</f>
        <v>53.833625259900728</v>
      </c>
    </row>
    <row r="11" spans="1:10">
      <c r="A11">
        <v>0.4869</v>
      </c>
      <c r="B11" s="13">
        <f t="shared" si="0"/>
        <v>22.591907989320188</v>
      </c>
      <c r="C11" s="13">
        <f t="shared" si="1"/>
        <v>0.22591907989320187</v>
      </c>
      <c r="D11" s="14">
        <f t="shared" si="2"/>
        <v>10.623857491835482</v>
      </c>
      <c r="G11">
        <v>0.3206</v>
      </c>
      <c r="H11" s="13">
        <f t="shared" si="3"/>
        <v>34.310667498440424</v>
      </c>
      <c r="I11" s="13">
        <f t="shared" si="4"/>
        <v>0.34310667498440423</v>
      </c>
      <c r="J11" s="11">
        <f t="shared" ref="J10:J12" si="5">I11*I11*$H$5/2</f>
        <v>53.934421540397771</v>
      </c>
    </row>
    <row r="12" spans="1:10">
      <c r="A12">
        <v>0.5161</v>
      </c>
      <c r="B12" s="13">
        <f t="shared" si="0"/>
        <v>21.313698895562876</v>
      </c>
      <c r="C12" s="13">
        <f t="shared" si="1"/>
        <v>0.21313698895562877</v>
      </c>
      <c r="D12" s="14">
        <f t="shared" si="2"/>
        <v>9.4557083271120987</v>
      </c>
      <c r="G12">
        <v>0.32069999999999999</v>
      </c>
      <c r="H12" s="13">
        <f t="shared" si="3"/>
        <v>34.299968818210168</v>
      </c>
      <c r="I12" s="13">
        <f t="shared" si="4"/>
        <v>0.34299968818210169</v>
      </c>
      <c r="J12" s="11">
        <f t="shared" si="5"/>
        <v>53.900791348516648</v>
      </c>
    </row>
    <row r="13" spans="1:10">
      <c r="C13" s="3" t="s">
        <v>28</v>
      </c>
      <c r="D13" s="14">
        <f>AVERAGE(D9:D12)</f>
        <v>10.481611161207372</v>
      </c>
      <c r="I13" s="3" t="s">
        <v>28</v>
      </c>
      <c r="J13" s="11">
        <f>AVERAGE(J9:J12)</f>
        <v>53.9768382319578</v>
      </c>
    </row>
    <row r="14" spans="1:10">
      <c r="C14" s="3" t="s">
        <v>27</v>
      </c>
      <c r="D14" s="14">
        <f>STDEV(D9:D12)</f>
        <v>0.91006166306244585</v>
      </c>
      <c r="I14" s="3" t="s">
        <v>27</v>
      </c>
      <c r="J14" s="11">
        <f>STDEV(J9:J12)</f>
        <v>0.17941281527039268</v>
      </c>
    </row>
    <row r="16" spans="1:10">
      <c r="A16" s="6" t="s">
        <v>32</v>
      </c>
      <c r="B16" s="3" t="s">
        <v>22</v>
      </c>
      <c r="C16">
        <f>C7+4</f>
        <v>8</v>
      </c>
      <c r="G16" s="6" t="s">
        <v>32</v>
      </c>
      <c r="H16" s="3" t="s">
        <v>22</v>
      </c>
      <c r="I16">
        <f>I7+4</f>
        <v>8</v>
      </c>
    </row>
    <row r="17" spans="1:10">
      <c r="A17" s="2" t="s">
        <v>23</v>
      </c>
      <c r="B17" s="2" t="s">
        <v>24</v>
      </c>
      <c r="C17" s="2" t="s">
        <v>25</v>
      </c>
      <c r="D17" s="2" t="s">
        <v>26</v>
      </c>
      <c r="G17" s="2" t="s">
        <v>23</v>
      </c>
      <c r="H17" s="2" t="s">
        <v>24</v>
      </c>
      <c r="I17" s="2" t="s">
        <v>25</v>
      </c>
      <c r="J17" s="2" t="s">
        <v>26</v>
      </c>
    </row>
    <row r="18" spans="1:10">
      <c r="A18">
        <v>0.30409999999999998</v>
      </c>
      <c r="B18" s="13">
        <f>$B$4/A18</f>
        <v>36.172311739559355</v>
      </c>
      <c r="C18" s="13">
        <f>B18/100</f>
        <v>0.36172311739559354</v>
      </c>
      <c r="D18" s="14">
        <f>C18*C18*$B$5/2</f>
        <v>27.235098182993116</v>
      </c>
      <c r="G18">
        <v>0.19769999999999999</v>
      </c>
      <c r="H18" s="13">
        <f>$B$4/G18</f>
        <v>55.639858371269604</v>
      </c>
      <c r="I18" s="13">
        <f>H18/100</f>
        <v>0.55639858371269602</v>
      </c>
      <c r="J18" s="11">
        <f>I18*I18*$H$5/2</f>
        <v>141.83379476012587</v>
      </c>
    </row>
    <row r="19" spans="1:10">
      <c r="A19">
        <v>0.3029</v>
      </c>
      <c r="B19" s="13">
        <f t="shared" ref="B19:B21" si="6">$B$4/A19</f>
        <v>36.315615714757342</v>
      </c>
      <c r="C19" s="13">
        <f t="shared" ref="C19:C21" si="7">B19/100</f>
        <v>0.36315615714757343</v>
      </c>
      <c r="D19" s="14">
        <f>C19*C19*$B$5/2</f>
        <v>27.451320409803287</v>
      </c>
      <c r="G19" s="13">
        <v>0.2</v>
      </c>
      <c r="H19" s="13">
        <f t="shared" ref="H19:H21" si="8">$B$4/G19</f>
        <v>55</v>
      </c>
      <c r="I19" s="13">
        <f t="shared" ref="I19:I21" si="9">H19/100</f>
        <v>0.55000000000000004</v>
      </c>
      <c r="J19" s="11">
        <f t="shared" ref="J19:J21" si="10">I19*I19*$H$5/2</f>
        <v>138.59037500000002</v>
      </c>
    </row>
    <row r="20" spans="1:10">
      <c r="A20">
        <v>0.3054</v>
      </c>
      <c r="B20" s="13">
        <f t="shared" si="6"/>
        <v>36.018336607727569</v>
      </c>
      <c r="C20" s="13">
        <f t="shared" si="7"/>
        <v>0.36018336607727569</v>
      </c>
      <c r="D20" s="14">
        <f t="shared" ref="D19:D21" si="11">C20*C20*$B$5/2</f>
        <v>27.003727705921229</v>
      </c>
      <c r="G20">
        <v>0.19889999999999999</v>
      </c>
      <c r="H20" s="13">
        <f t="shared" si="8"/>
        <v>55.304172951231777</v>
      </c>
      <c r="I20" s="13">
        <f t="shared" si="9"/>
        <v>0.55304172951231778</v>
      </c>
      <c r="J20" s="11">
        <f t="shared" si="10"/>
        <v>140.12753907173214</v>
      </c>
    </row>
    <row r="21" spans="1:10">
      <c r="A21">
        <v>0.30570000000000003</v>
      </c>
      <c r="B21" s="13">
        <f t="shared" si="6"/>
        <v>35.98298985933922</v>
      </c>
      <c r="C21" s="13">
        <f t="shared" si="7"/>
        <v>0.35982989859339221</v>
      </c>
      <c r="D21" s="14">
        <f t="shared" si="11"/>
        <v>26.95075326510829</v>
      </c>
      <c r="G21" s="13">
        <v>0.1996</v>
      </c>
      <c r="H21" s="13">
        <f t="shared" si="8"/>
        <v>55.110220440881761</v>
      </c>
      <c r="I21" s="13">
        <f t="shared" si="9"/>
        <v>0.55110220440881763</v>
      </c>
      <c r="J21" s="11">
        <f t="shared" si="10"/>
        <v>139.14640403050589</v>
      </c>
    </row>
    <row r="22" spans="1:10">
      <c r="C22" s="3" t="s">
        <v>28</v>
      </c>
      <c r="D22" s="14">
        <f>AVERAGE(D18:D21)</f>
        <v>27.160224890956478</v>
      </c>
      <c r="I22" s="3" t="s">
        <v>28</v>
      </c>
      <c r="J22" s="11">
        <f>AVERAGE(J18:J21)</f>
        <v>139.92452821559098</v>
      </c>
    </row>
    <row r="23" spans="1:10">
      <c r="C23" s="3" t="s">
        <v>27</v>
      </c>
      <c r="D23" s="14">
        <f>STDEV(D18:D21)</f>
        <v>0.23000894324100915</v>
      </c>
      <c r="I23" s="3" t="s">
        <v>27</v>
      </c>
      <c r="J23" s="11">
        <f>STDEV(J18:J21)</f>
        <v>1.4226681735243567</v>
      </c>
    </row>
    <row r="25" spans="1:10">
      <c r="A25" s="6" t="s">
        <v>31</v>
      </c>
      <c r="B25" s="3" t="s">
        <v>22</v>
      </c>
      <c r="C25">
        <f>C16+4</f>
        <v>12</v>
      </c>
      <c r="G25" s="6" t="s">
        <v>31</v>
      </c>
      <c r="H25" s="3" t="s">
        <v>22</v>
      </c>
      <c r="I25">
        <f>I16+4</f>
        <v>12</v>
      </c>
    </row>
    <row r="26" spans="1:10">
      <c r="A26" s="2" t="s">
        <v>23</v>
      </c>
      <c r="B26" s="2" t="s">
        <v>24</v>
      </c>
      <c r="C26" s="2" t="s">
        <v>25</v>
      </c>
      <c r="D26" s="2" t="s">
        <v>26</v>
      </c>
      <c r="G26" s="2" t="s">
        <v>23</v>
      </c>
      <c r="H26" s="2" t="s">
        <v>24</v>
      </c>
      <c r="I26" s="2" t="s">
        <v>25</v>
      </c>
      <c r="J26" s="2" t="s">
        <v>26</v>
      </c>
    </row>
    <row r="27" spans="1:10">
      <c r="A27">
        <v>0.22950000000000001</v>
      </c>
      <c r="B27" s="13">
        <f>$B$4/A27</f>
        <v>47.930283224400867</v>
      </c>
      <c r="C27" s="13">
        <f>B27/100</f>
        <v>0.47930283224400866</v>
      </c>
      <c r="D27" s="14">
        <f>C27*C27*$B$5/2</f>
        <v>47.818550320152262</v>
      </c>
      <c r="G27">
        <v>0.14729999999999999</v>
      </c>
      <c r="H27" s="13">
        <f>$B$4/G27</f>
        <v>74.677528852681604</v>
      </c>
      <c r="I27" s="13">
        <f>H27/100</f>
        <v>0.74677528852681607</v>
      </c>
      <c r="J27" s="14">
        <f>I27*I27*$H$5/2</f>
        <v>255.49803685160686</v>
      </c>
    </row>
    <row r="28" spans="1:10">
      <c r="A28">
        <v>0.23269999999999999</v>
      </c>
      <c r="B28" s="13">
        <f t="shared" ref="B28:B30" si="12">$B$4/A28</f>
        <v>47.271164589600346</v>
      </c>
      <c r="C28" s="13">
        <f t="shared" ref="C28:C30" si="13">B28/100</f>
        <v>0.47271164589600345</v>
      </c>
      <c r="D28" s="14">
        <f t="shared" ref="D28:D30" si="14">C28*C28*$B$5/2</f>
        <v>46.512428879492234</v>
      </c>
      <c r="G28">
        <v>0.1459</v>
      </c>
      <c r="H28" s="13">
        <f t="shared" ref="H28:H30" si="15">$B$4/G28</f>
        <v>75.394105551747771</v>
      </c>
      <c r="I28" s="13">
        <f t="shared" ref="I28:I30" si="16">H28/100</f>
        <v>0.7539410555174777</v>
      </c>
      <c r="J28" s="14">
        <f t="shared" ref="J28:J30" si="17">I28*I28*$H$5/2</f>
        <v>260.42488282650146</v>
      </c>
    </row>
    <row r="29" spans="1:10">
      <c r="A29">
        <v>0.23069999999999999</v>
      </c>
      <c r="B29" s="13">
        <f t="shared" si="12"/>
        <v>47.680970957954052</v>
      </c>
      <c r="C29" s="13">
        <f t="shared" si="13"/>
        <v>0.4768097095795405</v>
      </c>
      <c r="D29" s="14">
        <f t="shared" si="14"/>
        <v>47.322381947932158</v>
      </c>
      <c r="G29">
        <v>0.14810000000000001</v>
      </c>
      <c r="H29" s="13">
        <f t="shared" si="15"/>
        <v>74.274139095205939</v>
      </c>
      <c r="I29" s="13">
        <f t="shared" si="16"/>
        <v>0.74274139095205938</v>
      </c>
      <c r="J29" s="14">
        <f t="shared" si="17"/>
        <v>252.74521613177217</v>
      </c>
    </row>
    <row r="30" spans="1:10">
      <c r="A30">
        <v>0.22989999999999999</v>
      </c>
      <c r="B30" s="13">
        <f t="shared" si="12"/>
        <v>47.846889952153113</v>
      </c>
      <c r="C30" s="13">
        <f t="shared" si="13"/>
        <v>0.47846889952153115</v>
      </c>
      <c r="D30" s="14">
        <f t="shared" si="14"/>
        <v>47.652297337515179</v>
      </c>
      <c r="G30">
        <v>0.15029999999999999</v>
      </c>
      <c r="H30" s="13">
        <f t="shared" si="15"/>
        <v>73.186959414504329</v>
      </c>
      <c r="I30" s="13">
        <f t="shared" si="16"/>
        <v>0.73186959414504327</v>
      </c>
      <c r="J30" s="14">
        <f t="shared" si="17"/>
        <v>245.40030606341097</v>
      </c>
    </row>
    <row r="31" spans="1:10">
      <c r="C31" s="3" t="s">
        <v>28</v>
      </c>
      <c r="D31" s="14">
        <f>AVERAGE(D27:D30)</f>
        <v>47.32641462127296</v>
      </c>
      <c r="I31" s="3" t="s">
        <v>28</v>
      </c>
      <c r="J31" s="14">
        <f>AVERAGE(J27:J30)</f>
        <v>253.51711046832287</v>
      </c>
    </row>
    <row r="32" spans="1:10">
      <c r="C32" s="3" t="s">
        <v>27</v>
      </c>
      <c r="D32" s="14">
        <f>STDEV(D27:D30)</f>
        <v>0.58051303204821025</v>
      </c>
      <c r="I32" s="3" t="s">
        <v>27</v>
      </c>
      <c r="J32" s="14">
        <f>STDEV(J27:J30)</f>
        <v>6.2748100343835933</v>
      </c>
    </row>
    <row r="34" spans="1:10">
      <c r="A34" s="6" t="s">
        <v>30</v>
      </c>
      <c r="B34" s="3" t="s">
        <v>22</v>
      </c>
      <c r="C34">
        <f>C25+4</f>
        <v>16</v>
      </c>
      <c r="G34" s="6" t="s">
        <v>30</v>
      </c>
      <c r="H34" s="3" t="s">
        <v>22</v>
      </c>
      <c r="I34">
        <f>I25+4</f>
        <v>16</v>
      </c>
    </row>
    <row r="35" spans="1:10">
      <c r="A35" s="2" t="s">
        <v>23</v>
      </c>
      <c r="B35" s="2" t="s">
        <v>24</v>
      </c>
      <c r="C35" s="2" t="s">
        <v>25</v>
      </c>
      <c r="D35" s="2" t="s">
        <v>26</v>
      </c>
      <c r="G35" s="2" t="s">
        <v>23</v>
      </c>
      <c r="H35" s="2" t="s">
        <v>24</v>
      </c>
      <c r="I35" s="2" t="s">
        <v>25</v>
      </c>
      <c r="J35" s="2" t="s">
        <v>26</v>
      </c>
    </row>
    <row r="36" spans="1:10">
      <c r="A36">
        <v>0.18759999999999999</v>
      </c>
      <c r="B36" s="13">
        <f>$B$4/A36</f>
        <v>58.63539445628998</v>
      </c>
      <c r="C36" s="13">
        <f>B36/100</f>
        <v>0.5863539445628998</v>
      </c>
      <c r="D36" s="14">
        <f>C36*C36*$B$5/2</f>
        <v>71.564248889575879</v>
      </c>
      <c r="G36" s="13">
        <v>0.11799999999999999</v>
      </c>
      <c r="H36" s="13">
        <f>$B$4/G36</f>
        <v>93.220338983050851</v>
      </c>
      <c r="I36" s="13">
        <f>H36/100</f>
        <v>0.93220338983050854</v>
      </c>
      <c r="J36" s="14">
        <f>I36*I36*$H$5/2</f>
        <v>398.13379775926461</v>
      </c>
    </row>
    <row r="37" spans="1:10">
      <c r="A37">
        <v>0.18720000000000001</v>
      </c>
      <c r="B37" s="13">
        <f t="shared" ref="B37:B39" si="18">$B$4/A37</f>
        <v>58.760683760683762</v>
      </c>
      <c r="C37" s="13">
        <f t="shared" ref="C37:C39" si="19">B37/100</f>
        <v>0.58760683760683763</v>
      </c>
      <c r="D37" s="14">
        <f t="shared" ref="D37:D39" si="20">C37*C37*$B$5/2</f>
        <v>71.870405754620506</v>
      </c>
      <c r="G37">
        <v>0.1164</v>
      </c>
      <c r="H37" s="13">
        <f t="shared" ref="H37:H39" si="21">$B$4/G37</f>
        <v>94.50171821305841</v>
      </c>
      <c r="I37" s="13">
        <f t="shared" ref="I37:I39" si="22">H37/100</f>
        <v>0.94501718213058405</v>
      </c>
      <c r="J37" s="14">
        <f t="shared" ref="J37:J39" si="23">I37*I37*$H$5/2</f>
        <v>409.15428195226775</v>
      </c>
    </row>
    <row r="38" spans="1:10">
      <c r="A38">
        <v>0.18720000000000001</v>
      </c>
      <c r="B38" s="13">
        <f t="shared" si="18"/>
        <v>58.760683760683762</v>
      </c>
      <c r="C38" s="13">
        <f t="shared" si="19"/>
        <v>0.58760683760683763</v>
      </c>
      <c r="D38" s="14">
        <f t="shared" si="20"/>
        <v>71.870405754620506</v>
      </c>
      <c r="G38">
        <v>0.1162</v>
      </c>
      <c r="H38" s="13">
        <f t="shared" si="21"/>
        <v>94.664371772805509</v>
      </c>
      <c r="I38" s="13">
        <f t="shared" si="22"/>
        <v>0.94664371772805511</v>
      </c>
      <c r="J38" s="14">
        <f t="shared" si="23"/>
        <v>410.56394251705615</v>
      </c>
    </row>
    <row r="39" spans="1:10">
      <c r="A39">
        <v>0.18820000000000001</v>
      </c>
      <c r="B39" s="13">
        <f t="shared" si="18"/>
        <v>58.448459086078635</v>
      </c>
      <c r="C39" s="13">
        <f t="shared" si="19"/>
        <v>0.5844845908607863</v>
      </c>
      <c r="D39" s="14">
        <f t="shared" si="20"/>
        <v>71.108668621912813</v>
      </c>
      <c r="G39">
        <v>0.1162</v>
      </c>
      <c r="H39" s="13">
        <f t="shared" si="21"/>
        <v>94.664371772805509</v>
      </c>
      <c r="I39" s="13">
        <f t="shared" si="22"/>
        <v>0.94664371772805511</v>
      </c>
      <c r="J39" s="14">
        <f t="shared" si="23"/>
        <v>410.56394251705615</v>
      </c>
    </row>
    <row r="40" spans="1:10">
      <c r="C40" s="3" t="s">
        <v>28</v>
      </c>
      <c r="D40" s="14">
        <f>AVERAGE(D36:D39)</f>
        <v>71.603432255182412</v>
      </c>
      <c r="I40" s="3" t="s">
        <v>28</v>
      </c>
      <c r="J40" s="14">
        <f>AVERAGE(J36:J39)</f>
        <v>407.10399118641118</v>
      </c>
    </row>
    <row r="41" spans="1:10">
      <c r="C41" s="3" t="s">
        <v>27</v>
      </c>
      <c r="D41" s="14">
        <f>STDEV(D36:D39)</f>
        <v>0.36003522408732658</v>
      </c>
      <c r="I41" s="3" t="s">
        <v>27</v>
      </c>
      <c r="J41" s="14">
        <f>STDEV(J36:J39)</f>
        <v>6.016936894185835</v>
      </c>
    </row>
    <row r="43" spans="1:10">
      <c r="A43" s="6" t="s">
        <v>29</v>
      </c>
      <c r="B43" s="3" t="s">
        <v>22</v>
      </c>
      <c r="C43">
        <f>C34+4</f>
        <v>20</v>
      </c>
      <c r="G43" s="6" t="s">
        <v>29</v>
      </c>
      <c r="H43" s="3" t="s">
        <v>22</v>
      </c>
      <c r="I43">
        <f>I34+4</f>
        <v>20</v>
      </c>
    </row>
    <row r="44" spans="1:10">
      <c r="A44" s="2" t="s">
        <v>23</v>
      </c>
      <c r="B44" s="2" t="s">
        <v>24</v>
      </c>
      <c r="C44" s="2" t="s">
        <v>25</v>
      </c>
      <c r="D44" s="2" t="s">
        <v>26</v>
      </c>
      <c r="G44" s="2" t="s">
        <v>23</v>
      </c>
      <c r="H44" s="2" t="s">
        <v>24</v>
      </c>
      <c r="I44" s="2" t="s">
        <v>25</v>
      </c>
      <c r="J44" s="2" t="s">
        <v>26</v>
      </c>
    </row>
    <row r="45" spans="1:10">
      <c r="A45">
        <v>0.15820000000000001</v>
      </c>
      <c r="B45" s="13">
        <f>$B$4/A45</f>
        <v>69.532237673830593</v>
      </c>
      <c r="C45" s="14">
        <f>B45/100</f>
        <v>0.69532237673830588</v>
      </c>
      <c r="D45" s="14">
        <f>C45*C45*$B$5/2</f>
        <v>100.63494816048431</v>
      </c>
      <c r="G45">
        <v>9.69E-2</v>
      </c>
      <c r="H45" s="13">
        <f>$B$4/G45</f>
        <v>113.51909184726522</v>
      </c>
      <c r="I45" s="13">
        <f>H45/100</f>
        <v>1.1351909184726521</v>
      </c>
      <c r="J45" s="14">
        <f>I45*I45*$H$5/2</f>
        <v>590.39885575652215</v>
      </c>
    </row>
    <row r="46" spans="1:10">
      <c r="A46" s="13">
        <v>0.16</v>
      </c>
      <c r="B46" s="13">
        <f t="shared" ref="B46:B48" si="24">$B$4/A46</f>
        <v>68.75</v>
      </c>
      <c r="C46" s="14">
        <f t="shared" ref="C46:C48" si="25">B46/100</f>
        <v>0.6875</v>
      </c>
      <c r="D46" s="14">
        <f t="shared" ref="D46:D48" si="26">C46*C46*$B$5/2</f>
        <v>98.383398437500006</v>
      </c>
      <c r="G46">
        <v>9.6000000000000002E-2</v>
      </c>
      <c r="H46" s="13">
        <f t="shared" ref="H46:H48" si="27">$B$4/G46</f>
        <v>114.58333333333333</v>
      </c>
      <c r="I46" s="13">
        <f t="shared" ref="I46:I48" si="28">H46/100</f>
        <v>1.1458333333333333</v>
      </c>
      <c r="J46" s="14">
        <f t="shared" ref="J46:J48" si="29">I46*I46*$H$5/2</f>
        <v>601.5207248263888</v>
      </c>
    </row>
    <row r="47" spans="1:10">
      <c r="A47">
        <v>0.15959999999999999</v>
      </c>
      <c r="B47" s="13">
        <f t="shared" si="24"/>
        <v>68.922305764411036</v>
      </c>
      <c r="C47" s="14">
        <f t="shared" si="25"/>
        <v>0.6892230576441104</v>
      </c>
      <c r="D47" s="14">
        <f t="shared" si="26"/>
        <v>98.87716628664397</v>
      </c>
      <c r="G47">
        <v>9.5500000000000002E-2</v>
      </c>
      <c r="H47" s="13">
        <f t="shared" si="27"/>
        <v>115.18324607329843</v>
      </c>
      <c r="I47" s="13">
        <f t="shared" si="28"/>
        <v>1.1518324607329844</v>
      </c>
      <c r="J47" s="14">
        <f t="shared" si="29"/>
        <v>607.83585976261622</v>
      </c>
    </row>
    <row r="48" spans="1:10">
      <c r="A48">
        <v>0.1593</v>
      </c>
      <c r="B48" s="13">
        <f t="shared" si="24"/>
        <v>69.052102950408042</v>
      </c>
      <c r="C48" s="14">
        <f t="shared" si="25"/>
        <v>0.69052102950408045</v>
      </c>
      <c r="D48" s="14">
        <f t="shared" si="26"/>
        <v>99.249935668802138</v>
      </c>
      <c r="G48">
        <v>9.6000000000000002E-2</v>
      </c>
      <c r="H48" s="13">
        <f t="shared" si="27"/>
        <v>114.58333333333333</v>
      </c>
      <c r="I48" s="13">
        <f t="shared" si="28"/>
        <v>1.1458333333333333</v>
      </c>
      <c r="J48" s="14">
        <f t="shared" si="29"/>
        <v>601.5207248263888</v>
      </c>
    </row>
    <row r="49" spans="1:11">
      <c r="C49" s="3" t="s">
        <v>28</v>
      </c>
      <c r="D49" s="14">
        <f>AVERAGE(D45:D48)</f>
        <v>99.286362138357603</v>
      </c>
      <c r="I49" s="3" t="s">
        <v>28</v>
      </c>
      <c r="J49" s="14">
        <f>AVERAGE(J45:J48)</f>
        <v>600.31904129297891</v>
      </c>
    </row>
    <row r="50" spans="1:11">
      <c r="C50" s="3" t="s">
        <v>27</v>
      </c>
      <c r="D50" s="14">
        <f>STDEV(D45:D48)</f>
        <v>0.96657399042285996</v>
      </c>
      <c r="I50" s="3" t="s">
        <v>27</v>
      </c>
      <c r="J50" s="14">
        <f>STDEV(J45:J48)</f>
        <v>7.2526024665206315</v>
      </c>
    </row>
    <row r="52" spans="1:11">
      <c r="A52" s="2" t="s">
        <v>3</v>
      </c>
      <c r="B52" s="2" t="s">
        <v>5</v>
      </c>
      <c r="C52" s="2" t="s">
        <v>33</v>
      </c>
      <c r="D52" s="15" t="s">
        <v>41</v>
      </c>
      <c r="E52" s="15"/>
      <c r="G52" s="2" t="s">
        <v>3</v>
      </c>
      <c r="H52" s="2" t="s">
        <v>5</v>
      </c>
      <c r="I52" s="2" t="s">
        <v>33</v>
      </c>
      <c r="J52" s="15" t="s">
        <v>41</v>
      </c>
      <c r="K52" s="15"/>
    </row>
    <row r="53" spans="1:11">
      <c r="A53">
        <v>4</v>
      </c>
      <c r="B53" s="14">
        <f>'Part 1'!B19</f>
        <v>14.0428</v>
      </c>
      <c r="C53" s="14">
        <f>D13</f>
        <v>10.481611161207372</v>
      </c>
      <c r="D53" s="16">
        <f>C53/B53</f>
        <v>0.74640464588311251</v>
      </c>
      <c r="E53" s="16"/>
      <c r="G53">
        <v>4</v>
      </c>
      <c r="H53" s="14">
        <f>'Part 1'!$B49</f>
        <v>71.795584000000005</v>
      </c>
      <c r="I53" s="14">
        <f>J13</f>
        <v>53.9768382319578</v>
      </c>
      <c r="J53" s="16">
        <f>I53/H53</f>
        <v>0.75181278881940417</v>
      </c>
      <c r="K53" s="16"/>
    </row>
    <row r="54" spans="1:11">
      <c r="A54">
        <v>8</v>
      </c>
      <c r="B54" s="14">
        <f>'Part 1'!B20</f>
        <v>32.363999999999997</v>
      </c>
      <c r="C54" s="14">
        <f>D22</f>
        <v>27.160224890956478</v>
      </c>
      <c r="D54" s="16">
        <f t="shared" ref="D54:D57" si="30">C54/B54</f>
        <v>0.83921100268682736</v>
      </c>
      <c r="E54" s="16"/>
      <c r="G54">
        <v>8</v>
      </c>
      <c r="H54" s="14">
        <f>'Part 1'!$B50</f>
        <v>192.68358399999997</v>
      </c>
      <c r="I54" s="14">
        <f>J22</f>
        <v>139.92452821559098</v>
      </c>
      <c r="J54" s="16">
        <f t="shared" ref="J54:J57" si="31">I54/H54</f>
        <v>0.72618811271224337</v>
      </c>
      <c r="K54" s="16"/>
    </row>
    <row r="55" spans="1:11">
      <c r="A55">
        <v>12</v>
      </c>
      <c r="B55" s="14">
        <f>'Part 1'!B21</f>
        <v>54.9636</v>
      </c>
      <c r="C55" s="14">
        <f>D31</f>
        <v>47.32641462127296</v>
      </c>
      <c r="D55" s="16">
        <f t="shared" si="30"/>
        <v>0.86105012446915707</v>
      </c>
      <c r="E55" s="16"/>
      <c r="G55">
        <v>12</v>
      </c>
      <c r="H55" s="14">
        <f>'Part 1'!$B51</f>
        <v>353.34662400000002</v>
      </c>
      <c r="I55" s="14">
        <f>J31</f>
        <v>253.51711046832287</v>
      </c>
      <c r="J55" s="16">
        <f t="shared" si="31"/>
        <v>0.71747426818013937</v>
      </c>
      <c r="K55" s="16"/>
    </row>
    <row r="56" spans="1:11">
      <c r="A56">
        <v>16</v>
      </c>
      <c r="B56" s="14">
        <f>'Part 1'!B22</f>
        <v>81.8416</v>
      </c>
      <c r="C56" s="14">
        <f>D40</f>
        <v>71.603432255182412</v>
      </c>
      <c r="D56" s="16">
        <f t="shared" si="30"/>
        <v>0.87490264431758924</v>
      </c>
      <c r="E56" s="16"/>
      <c r="G56">
        <v>16</v>
      </c>
      <c r="H56" s="14">
        <f>'Part 1'!$B52</f>
        <v>553.18566399999997</v>
      </c>
      <c r="I56" s="14">
        <f>J40</f>
        <v>407.10399118641118</v>
      </c>
      <c r="J56" s="16">
        <f t="shared" si="31"/>
        <v>0.73592650294424689</v>
      </c>
      <c r="K56" s="16"/>
    </row>
    <row r="57" spans="1:11">
      <c r="A57">
        <v>20</v>
      </c>
      <c r="B57" s="14">
        <f>'Part 1'!B23</f>
        <v>112.99799999999999</v>
      </c>
      <c r="C57" s="14">
        <f>D49</f>
        <v>99.286362138357603</v>
      </c>
      <c r="D57" s="16">
        <f t="shared" si="30"/>
        <v>0.8786559243381088</v>
      </c>
      <c r="E57" s="16"/>
      <c r="G57">
        <v>20</v>
      </c>
      <c r="H57" s="14">
        <f>'Part 1'!$B53</f>
        <v>800.32</v>
      </c>
      <c r="I57" s="14">
        <f>J49</f>
        <v>600.31904129297891</v>
      </c>
      <c r="J57" s="16">
        <f t="shared" si="31"/>
        <v>0.75009876211137905</v>
      </c>
      <c r="K57" s="16"/>
    </row>
    <row r="58" spans="1:11">
      <c r="D58" t="s">
        <v>42</v>
      </c>
      <c r="E58" s="11">
        <f>AVERAGE(D53:E57)</f>
        <v>0.84004486833895897</v>
      </c>
      <c r="J58" t="s">
        <v>42</v>
      </c>
      <c r="K58" s="11">
        <f>AVERAGE(J53:K57)</f>
        <v>0.73630008695348259</v>
      </c>
    </row>
  </sheetData>
  <mergeCells count="14">
    <mergeCell ref="A3:D3"/>
    <mergeCell ref="G3:J3"/>
    <mergeCell ref="D52:E52"/>
    <mergeCell ref="D53:E53"/>
    <mergeCell ref="D54:E54"/>
    <mergeCell ref="D55:E55"/>
    <mergeCell ref="D56:E56"/>
    <mergeCell ref="D57:E57"/>
    <mergeCell ref="J52:K52"/>
    <mergeCell ref="J53:K53"/>
    <mergeCell ref="J54:K54"/>
    <mergeCell ref="J55:K55"/>
    <mergeCell ref="J56:K56"/>
    <mergeCell ref="J57:K5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C6CCB-872C-8B43-A23C-6957BB9BF439}">
  <dimension ref="A1:A18"/>
  <sheetViews>
    <sheetView tabSelected="1" workbookViewId="0">
      <selection activeCell="A4" sqref="A4"/>
    </sheetView>
  </sheetViews>
  <sheetFormatPr defaultColWidth="10.90625" defaultRowHeight="16.149999999999999"/>
  <cols>
    <col min="1" max="1" width="108.36328125" customWidth="1"/>
  </cols>
  <sheetData>
    <row r="1" spans="1:1" ht="22.05" customHeight="1">
      <c r="A1" s="7" t="s">
        <v>35</v>
      </c>
    </row>
    <row r="2" spans="1:1" ht="85" customHeight="1">
      <c r="A2" s="7" t="s">
        <v>44</v>
      </c>
    </row>
    <row r="3" spans="1:1" ht="26.1" customHeight="1">
      <c r="A3" s="7" t="s">
        <v>36</v>
      </c>
    </row>
    <row r="4" spans="1:1" ht="80.099999999999994" customHeight="1">
      <c r="A4" s="7" t="s">
        <v>45</v>
      </c>
    </row>
    <row r="5" spans="1:1" ht="35" customHeight="1">
      <c r="A5" s="7" t="s">
        <v>37</v>
      </c>
    </row>
    <row r="6" spans="1:1" ht="97.05" customHeight="1">
      <c r="A6" s="7" t="s">
        <v>43</v>
      </c>
    </row>
    <row r="7" spans="1:1">
      <c r="A7" s="7"/>
    </row>
    <row r="8" spans="1:1">
      <c r="A8" s="7"/>
    </row>
    <row r="9" spans="1:1">
      <c r="A9" s="7"/>
    </row>
    <row r="10" spans="1:1">
      <c r="A10" s="7"/>
    </row>
    <row r="11" spans="1:1">
      <c r="A11" s="7"/>
    </row>
    <row r="12" spans="1:1">
      <c r="A12" s="7"/>
    </row>
    <row r="13" spans="1:1">
      <c r="A13" s="7"/>
    </row>
    <row r="14" spans="1:1">
      <c r="A14" s="7"/>
    </row>
    <row r="15" spans="1:1">
      <c r="A15" s="7"/>
    </row>
    <row r="16" spans="1:1">
      <c r="A16" s="7"/>
    </row>
    <row r="17" spans="1:1">
      <c r="A17" s="7"/>
    </row>
    <row r="18" spans="1:1">
      <c r="A1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 1</vt:lpstr>
      <vt:lpstr>Part 2</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Kern</dc:creator>
  <cp:lastModifiedBy>david jesus guijosa infante</cp:lastModifiedBy>
  <dcterms:created xsi:type="dcterms:W3CDTF">2020-10-10T21:52:36Z</dcterms:created>
  <dcterms:modified xsi:type="dcterms:W3CDTF">2020-10-23T06:04:23Z</dcterms:modified>
</cp:coreProperties>
</file>