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Decision Analysis\Group Assignments\"/>
    </mc:Choice>
  </mc:AlternateContent>
  <bookViews>
    <workbookView xWindow="0" yWindow="0" windowWidth="17256" windowHeight="5928" firstSheet="1" activeTab="1"/>
  </bookViews>
  <sheets>
    <sheet name="Scenario Summary 2" sheetId="7" r:id="rId1"/>
    <sheet name="NPV Calcs" sheetId="1" r:id="rId2"/>
    <sheet name="Breakeven Analysis" sheetId="2" r:id="rId3"/>
    <sheet name="Answers" sheetId="3" r:id="rId4"/>
    <sheet name="Tornado Graph" sheetId="8" r:id="rId5"/>
  </sheets>
  <calcPr calcId="152511"/>
</workbook>
</file>

<file path=xl/calcChain.xml><?xml version="1.0" encoding="utf-8"?>
<calcChain xmlns="http://schemas.openxmlformats.org/spreadsheetml/2006/main">
  <c r="H2" i="1" l="1"/>
  <c r="B3" i="3"/>
  <c r="C3" i="3"/>
  <c r="D3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D56" i="1"/>
  <c r="B4" i="3" s="1"/>
  <c r="B56" i="1"/>
  <c r="G2" i="1" l="1"/>
  <c r="R33" i="1"/>
  <c r="P33" i="1"/>
  <c r="Q33" i="1"/>
  <c r="B2" i="1" l="1"/>
  <c r="B57" i="1" l="1"/>
  <c r="B58" i="1" s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C28" i="1"/>
  <c r="D28" i="1"/>
  <c r="E28" i="1"/>
  <c r="F28" i="1"/>
  <c r="B28" i="1"/>
  <c r="B35" i="1" l="1"/>
  <c r="B51" i="1"/>
  <c r="B29" i="1"/>
  <c r="B32" i="1"/>
  <c r="C32" i="1" s="1"/>
  <c r="F4" i="1" l="1"/>
  <c r="B36" i="1"/>
  <c r="D32" i="1"/>
  <c r="C33" i="1"/>
  <c r="C35" i="1"/>
  <c r="C27" i="1"/>
  <c r="C29" i="1" s="1"/>
  <c r="B33" i="1"/>
  <c r="B40" i="1" l="1"/>
  <c r="B41" i="1" s="1"/>
  <c r="F43" i="1"/>
  <c r="F44" i="1" s="1"/>
  <c r="C43" i="1"/>
  <c r="C44" i="1" s="1"/>
  <c r="B43" i="1"/>
  <c r="B44" i="1" s="1"/>
  <c r="D43" i="1"/>
  <c r="D44" i="1" s="1"/>
  <c r="E43" i="1"/>
  <c r="E44" i="1" s="1"/>
  <c r="E32" i="1"/>
  <c r="D33" i="1"/>
  <c r="D27" i="1"/>
  <c r="D29" i="1" s="1"/>
  <c r="D35" i="1"/>
  <c r="C36" i="1"/>
  <c r="B46" i="1" l="1"/>
  <c r="E35" i="1"/>
  <c r="D36" i="1"/>
  <c r="D40" i="1" s="1"/>
  <c r="C40" i="1"/>
  <c r="E27" i="1"/>
  <c r="E29" i="1" s="1"/>
  <c r="F32" i="1"/>
  <c r="E33" i="1"/>
  <c r="B63" i="1" l="1"/>
  <c r="B65" i="1" s="1"/>
  <c r="D41" i="1"/>
  <c r="D46" i="1" s="1"/>
  <c r="D63" i="1" s="1"/>
  <c r="C41" i="1"/>
  <c r="C46" i="1" s="1"/>
  <c r="C63" i="1" s="1"/>
  <c r="F27" i="1"/>
  <c r="F29" i="1" s="1"/>
  <c r="F33" i="1"/>
  <c r="G32" i="1"/>
  <c r="F35" i="1"/>
  <c r="E36" i="1"/>
  <c r="E40" i="1" l="1"/>
  <c r="E41" i="1" s="1"/>
  <c r="G33" i="1"/>
  <c r="H32" i="1"/>
  <c r="G35" i="1"/>
  <c r="F36" i="1"/>
  <c r="F40" i="1" s="1"/>
  <c r="G27" i="1"/>
  <c r="G29" i="1" s="1"/>
  <c r="C65" i="1" l="1"/>
  <c r="C66" i="1" s="1"/>
  <c r="D65" i="1"/>
  <c r="D66" i="1" s="1"/>
  <c r="E46" i="1"/>
  <c r="F41" i="1"/>
  <c r="F46" i="1" s="1"/>
  <c r="F63" i="1" s="1"/>
  <c r="H27" i="1"/>
  <c r="H29" i="1" s="1"/>
  <c r="H33" i="1"/>
  <c r="I32" i="1"/>
  <c r="H35" i="1"/>
  <c r="G36" i="1"/>
  <c r="E63" i="1" l="1"/>
  <c r="G40" i="1"/>
  <c r="H36" i="1"/>
  <c r="H40" i="1" s="1"/>
  <c r="I35" i="1"/>
  <c r="I27" i="1"/>
  <c r="I29" i="1" s="1"/>
  <c r="J32" i="1"/>
  <c r="I33" i="1"/>
  <c r="F65" i="1" l="1"/>
  <c r="F66" i="1" s="1"/>
  <c r="E65" i="1"/>
  <c r="E66" i="1" s="1"/>
  <c r="G41" i="1"/>
  <c r="G46" i="1" s="1"/>
  <c r="H41" i="1"/>
  <c r="H46" i="1" s="1"/>
  <c r="H63" i="1" s="1"/>
  <c r="J27" i="1"/>
  <c r="J29" i="1" s="1"/>
  <c r="J35" i="1"/>
  <c r="I36" i="1"/>
  <c r="I40" i="1" s="1"/>
  <c r="K32" i="1"/>
  <c r="J33" i="1"/>
  <c r="G63" i="1" l="1"/>
  <c r="I41" i="1"/>
  <c r="I46" i="1" s="1"/>
  <c r="I63" i="1" s="1"/>
  <c r="K35" i="1"/>
  <c r="J36" i="1"/>
  <c r="K33" i="1"/>
  <c r="L32" i="1"/>
  <c r="K27" i="1"/>
  <c r="K29" i="1" s="1"/>
  <c r="I65" i="1" l="1"/>
  <c r="I66" i="1" s="1"/>
  <c r="G65" i="1"/>
  <c r="G66" i="1" s="1"/>
  <c r="H65" i="1"/>
  <c r="H66" i="1" s="1"/>
  <c r="J40" i="1"/>
  <c r="L35" i="1"/>
  <c r="K36" i="1"/>
  <c r="M32" i="1"/>
  <c r="L33" i="1"/>
  <c r="L27" i="1"/>
  <c r="L29" i="1" s="1"/>
  <c r="J41" i="1" l="1"/>
  <c r="J46" i="1" s="1"/>
  <c r="M27" i="1"/>
  <c r="M29" i="1" s="1"/>
  <c r="K40" i="1"/>
  <c r="M35" i="1"/>
  <c r="L36" i="1"/>
  <c r="L40" i="1" s="1"/>
  <c r="M33" i="1"/>
  <c r="N32" i="1"/>
  <c r="J63" i="1" l="1"/>
  <c r="K41" i="1"/>
  <c r="K46" i="1" s="1"/>
  <c r="K63" i="1" s="1"/>
  <c r="L41" i="1"/>
  <c r="L46" i="1" s="1"/>
  <c r="L63" i="1" s="1"/>
  <c r="N27" i="1"/>
  <c r="N29" i="1" s="1"/>
  <c r="M36" i="1"/>
  <c r="M40" i="1" s="1"/>
  <c r="N35" i="1"/>
  <c r="N33" i="1"/>
  <c r="O32" i="1"/>
  <c r="K65" i="1" l="1"/>
  <c r="K66" i="1" s="1"/>
  <c r="L65" i="1"/>
  <c r="L66" i="1" s="1"/>
  <c r="J65" i="1"/>
  <c r="J66" i="1" s="1"/>
  <c r="M41" i="1"/>
  <c r="M46" i="1" s="1"/>
  <c r="O33" i="1"/>
  <c r="P32" i="1"/>
  <c r="O27" i="1"/>
  <c r="O29" i="1" s="1"/>
  <c r="O35" i="1"/>
  <c r="N36" i="1"/>
  <c r="N40" i="1" s="1"/>
  <c r="B68" i="1" l="1"/>
  <c r="D68" i="1" s="1"/>
  <c r="F68" i="1" s="1"/>
  <c r="M63" i="1"/>
  <c r="B49" i="1"/>
  <c r="B54" i="1" s="1"/>
  <c r="B61" i="1" s="1"/>
  <c r="D33" i="3" s="1"/>
  <c r="D44" i="3" s="1"/>
  <c r="N41" i="1"/>
  <c r="N46" i="1" s="1"/>
  <c r="P27" i="1"/>
  <c r="P29" i="1" s="1"/>
  <c r="Q32" i="1"/>
  <c r="O36" i="1"/>
  <c r="P35" i="1"/>
  <c r="N63" i="1" l="1"/>
  <c r="B69" i="1"/>
  <c r="D69" i="1" s="1"/>
  <c r="F69" i="1" s="1"/>
  <c r="S54" i="1"/>
  <c r="W54" i="1"/>
  <c r="D22" i="3"/>
  <c r="F56" i="1"/>
  <c r="D4" i="3" s="1"/>
  <c r="O55" i="1"/>
  <c r="M65" i="1"/>
  <c r="M66" i="1" s="1"/>
  <c r="N65" i="1"/>
  <c r="N66" i="1" s="1"/>
  <c r="Q35" i="1"/>
  <c r="P36" i="1"/>
  <c r="P40" i="1" s="1"/>
  <c r="Q27" i="1"/>
  <c r="Q29" i="1" s="1"/>
  <c r="O40" i="1"/>
  <c r="R32" i="1"/>
  <c r="O41" i="1" l="1"/>
  <c r="O46" i="1" s="1"/>
  <c r="P41" i="1"/>
  <c r="P46" i="1" s="1"/>
  <c r="R27" i="1"/>
  <c r="R29" i="1" s="1"/>
  <c r="S32" i="1"/>
  <c r="Q36" i="1"/>
  <c r="R35" i="1"/>
  <c r="B70" i="1" l="1"/>
  <c r="D70" i="1" s="1"/>
  <c r="F70" i="1" s="1"/>
  <c r="P63" i="1"/>
  <c r="B71" i="1"/>
  <c r="D71" i="1" s="1"/>
  <c r="F71" i="1" s="1"/>
  <c r="O63" i="1"/>
  <c r="O65" i="1" s="1"/>
  <c r="O66" i="1" s="1"/>
  <c r="S27" i="1"/>
  <c r="S29" i="1" s="1"/>
  <c r="S33" i="1"/>
  <c r="T32" i="1"/>
  <c r="S35" i="1"/>
  <c r="R36" i="1"/>
  <c r="Q40" i="1"/>
  <c r="P65" i="1" l="1"/>
  <c r="P66" i="1" s="1"/>
  <c r="Q41" i="1"/>
  <c r="Q46" i="1" s="1"/>
  <c r="B72" i="1" s="1"/>
  <c r="D72" i="1" s="1"/>
  <c r="F72" i="1" s="1"/>
  <c r="T27" i="1"/>
  <c r="T29" i="1" s="1"/>
  <c r="S36" i="1"/>
  <c r="S40" i="1" s="1"/>
  <c r="T35" i="1"/>
  <c r="R40" i="1"/>
  <c r="U32" i="1"/>
  <c r="T33" i="1"/>
  <c r="Q63" i="1" l="1"/>
  <c r="Q65" i="1" s="1"/>
  <c r="Q66" i="1" s="1"/>
  <c r="R41" i="1"/>
  <c r="R46" i="1" s="1"/>
  <c r="B73" i="1" s="1"/>
  <c r="D73" i="1" s="1"/>
  <c r="F73" i="1" s="1"/>
  <c r="S41" i="1"/>
  <c r="S46" i="1" s="1"/>
  <c r="U33" i="1"/>
  <c r="V32" i="1"/>
  <c r="U27" i="1"/>
  <c r="U29" i="1" s="1"/>
  <c r="U35" i="1"/>
  <c r="T36" i="1"/>
  <c r="S63" i="1" l="1"/>
  <c r="B74" i="1"/>
  <c r="D74" i="1" s="1"/>
  <c r="F74" i="1" s="1"/>
  <c r="R63" i="1"/>
  <c r="R65" i="1" s="1"/>
  <c r="R66" i="1" s="1"/>
  <c r="V33" i="1"/>
  <c r="W32" i="1"/>
  <c r="T40" i="1"/>
  <c r="V27" i="1"/>
  <c r="V29" i="1" s="1"/>
  <c r="V35" i="1"/>
  <c r="U36" i="1"/>
  <c r="U40" i="1" s="1"/>
  <c r="S65" i="1" l="1"/>
  <c r="S66" i="1" s="1"/>
  <c r="U41" i="1"/>
  <c r="U46" i="1" s="1"/>
  <c r="T41" i="1"/>
  <c r="T46" i="1" s="1"/>
  <c r="B75" i="1" s="1"/>
  <c r="D75" i="1" s="1"/>
  <c r="F75" i="1" s="1"/>
  <c r="W27" i="1"/>
  <c r="W29" i="1" s="1"/>
  <c r="W35" i="1"/>
  <c r="V36" i="1"/>
  <c r="V40" i="1" s="1"/>
  <c r="W33" i="1"/>
  <c r="X32" i="1"/>
  <c r="U63" i="1" l="1"/>
  <c r="B76" i="1"/>
  <c r="D76" i="1" s="1"/>
  <c r="F76" i="1" s="1"/>
  <c r="T63" i="1"/>
  <c r="T65" i="1" s="1"/>
  <c r="T66" i="1" s="1"/>
  <c r="V41" i="1"/>
  <c r="V46" i="1" s="1"/>
  <c r="B77" i="1" s="1"/>
  <c r="D77" i="1" s="1"/>
  <c r="F77" i="1" s="1"/>
  <c r="Y32" i="1"/>
  <c r="X33" i="1"/>
  <c r="X27" i="1"/>
  <c r="X29" i="1" s="1"/>
  <c r="W36" i="1"/>
  <c r="X35" i="1"/>
  <c r="U65" i="1" l="1"/>
  <c r="U66" i="1" s="1"/>
  <c r="V63" i="1"/>
  <c r="V65" i="1" s="1"/>
  <c r="V66" i="1" s="1"/>
  <c r="W40" i="1"/>
  <c r="W41" i="1" s="1"/>
  <c r="W46" i="1" s="1"/>
  <c r="B78" i="1" s="1"/>
  <c r="D78" i="1" s="1"/>
  <c r="F78" i="1" s="1"/>
  <c r="Y27" i="1"/>
  <c r="Y29" i="1" s="1"/>
  <c r="Y35" i="1"/>
  <c r="X36" i="1"/>
  <c r="Y33" i="1"/>
  <c r="Z32" i="1"/>
  <c r="W63" i="1" l="1"/>
  <c r="W65" i="1" s="1"/>
  <c r="W66" i="1" s="1"/>
  <c r="X40" i="1"/>
  <c r="X41" i="1" s="1"/>
  <c r="X46" i="1" s="1"/>
  <c r="B79" i="1" s="1"/>
  <c r="D79" i="1" s="1"/>
  <c r="F79" i="1" s="1"/>
  <c r="Z35" i="1"/>
  <c r="Y36" i="1"/>
  <c r="Y40" i="1" s="1"/>
  <c r="Z33" i="1"/>
  <c r="AA32" i="1"/>
  <c r="Z27" i="1"/>
  <c r="Z29" i="1" s="1"/>
  <c r="X63" i="1" l="1"/>
  <c r="X65" i="1" s="1"/>
  <c r="X66" i="1" s="1"/>
  <c r="Y41" i="1"/>
  <c r="Y46" i="1" s="1"/>
  <c r="AA33" i="1"/>
  <c r="AB32" i="1"/>
  <c r="AA27" i="1"/>
  <c r="AA29" i="1" s="1"/>
  <c r="AA35" i="1"/>
  <c r="Z36" i="1"/>
  <c r="B80" i="1" l="1"/>
  <c r="D80" i="1" s="1"/>
  <c r="F80" i="1" s="1"/>
  <c r="Y63" i="1"/>
  <c r="Y65" i="1" s="1"/>
  <c r="Y66" i="1" s="1"/>
  <c r="AC32" i="1"/>
  <c r="AB33" i="1"/>
  <c r="Z40" i="1"/>
  <c r="AB27" i="1"/>
  <c r="AB29" i="1" s="1"/>
  <c r="AA36" i="1"/>
  <c r="AB35" i="1"/>
  <c r="AA40" i="1" l="1"/>
  <c r="Z41" i="1"/>
  <c r="Z46" i="1" s="1"/>
  <c r="B81" i="1" s="1"/>
  <c r="D81" i="1" s="1"/>
  <c r="F81" i="1" s="1"/>
  <c r="AC27" i="1"/>
  <c r="AC29" i="1" s="1"/>
  <c r="AC35" i="1"/>
  <c r="AB36" i="1"/>
  <c r="AB40" i="1" s="1"/>
  <c r="AC33" i="1"/>
  <c r="AD32" i="1"/>
  <c r="Z63" i="1" l="1"/>
  <c r="Z65" i="1" s="1"/>
  <c r="Z66" i="1" s="1"/>
  <c r="AB41" i="1"/>
  <c r="AB46" i="1" s="1"/>
  <c r="AA41" i="1"/>
  <c r="AA46" i="1" s="1"/>
  <c r="B82" i="1" s="1"/>
  <c r="D82" i="1" s="1"/>
  <c r="F82" i="1" s="1"/>
  <c r="AD33" i="1"/>
  <c r="AE32" i="1"/>
  <c r="AE33" i="1" s="1"/>
  <c r="AD27" i="1"/>
  <c r="AD29" i="1" s="1"/>
  <c r="AD35" i="1"/>
  <c r="AC36" i="1"/>
  <c r="AB63" i="1" l="1"/>
  <c r="B83" i="1"/>
  <c r="D83" i="1" s="1"/>
  <c r="F83" i="1" s="1"/>
  <c r="AA63" i="1"/>
  <c r="AA65" i="1" s="1"/>
  <c r="AA66" i="1" s="1"/>
  <c r="AD36" i="1"/>
  <c r="AE35" i="1"/>
  <c r="AE36" i="1" s="1"/>
  <c r="AE27" i="1"/>
  <c r="AE29" i="1" s="1"/>
  <c r="AC40" i="1"/>
  <c r="AB65" i="1" l="1"/>
  <c r="AB66" i="1" s="1"/>
  <c r="AC41" i="1"/>
  <c r="AC46" i="1" s="1"/>
  <c r="B84" i="1" s="1"/>
  <c r="D84" i="1" s="1"/>
  <c r="F84" i="1" s="1"/>
  <c r="AE40" i="1"/>
  <c r="AD40" i="1"/>
  <c r="AC63" i="1" l="1"/>
  <c r="AC65" i="1" s="1"/>
  <c r="AC66" i="1" s="1"/>
  <c r="AD41" i="1"/>
  <c r="AD46" i="1" s="1"/>
  <c r="B85" i="1" s="1"/>
  <c r="D85" i="1" s="1"/>
  <c r="F85" i="1" s="1"/>
  <c r="AE41" i="1"/>
  <c r="AE46" i="1" s="1"/>
  <c r="B86" i="1" l="1"/>
  <c r="D86" i="1" s="1"/>
  <c r="F86" i="1" s="1"/>
  <c r="AE63" i="1"/>
  <c r="B48" i="1"/>
  <c r="AD63" i="1"/>
  <c r="AD65" i="1" s="1"/>
  <c r="AD66" i="1" s="1"/>
  <c r="B53" i="1" l="1"/>
  <c r="B60" i="1" s="1"/>
  <c r="AE65" i="1"/>
  <c r="AE66" i="1" s="1"/>
  <c r="B66" i="1" s="1"/>
  <c r="D2" i="8" l="1"/>
  <c r="C33" i="3"/>
  <c r="C44" i="3" s="1"/>
  <c r="R54" i="1"/>
  <c r="V54" i="1"/>
  <c r="C22" i="3"/>
  <c r="N55" i="1"/>
  <c r="B13" i="3"/>
  <c r="H55" i="1"/>
  <c r="E56" i="1"/>
  <c r="C4" i="3" s="1"/>
</calcChain>
</file>

<file path=xl/sharedStrings.xml><?xml version="1.0" encoding="utf-8"?>
<sst xmlns="http://schemas.openxmlformats.org/spreadsheetml/2006/main" count="220" uniqueCount="137">
  <si>
    <t>cost per kW</t>
  </si>
  <si>
    <t>Size, kW</t>
  </si>
  <si>
    <t xml:space="preserve">Efficiency rating </t>
  </si>
  <si>
    <t>annual degradation</t>
  </si>
  <si>
    <t>SIP rate</t>
  </si>
  <si>
    <t>per kW</t>
  </si>
  <si>
    <t>kW</t>
  </si>
  <si>
    <t>$ per kW</t>
  </si>
  <si>
    <t>%</t>
  </si>
  <si>
    <t>system rating</t>
  </si>
  <si>
    <t>per W</t>
  </si>
  <si>
    <t>design factor</t>
  </si>
  <si>
    <t xml:space="preserve">tax rate </t>
  </si>
  <si>
    <t>tax credit</t>
  </si>
  <si>
    <t>of profits</t>
  </si>
  <si>
    <t>of system cost</t>
  </si>
  <si>
    <t>Electricity cost</t>
  </si>
  <si>
    <t>per kWh</t>
  </si>
  <si>
    <t>annual increase</t>
  </si>
  <si>
    <t>maintainance</t>
  </si>
  <si>
    <t>insurance</t>
  </si>
  <si>
    <t>of total cost</t>
  </si>
  <si>
    <t>hurdle rate</t>
  </si>
  <si>
    <t>year</t>
  </si>
  <si>
    <t>electricity cost</t>
  </si>
  <si>
    <t>electricity cost savings</t>
  </si>
  <si>
    <t>maintainance cost per kW</t>
  </si>
  <si>
    <t>total maint cost</t>
  </si>
  <si>
    <t>Total cost</t>
  </si>
  <si>
    <t xml:space="preserve">insurance cost </t>
  </si>
  <si>
    <t>total insurance</t>
  </si>
  <si>
    <t>total cost savings</t>
  </si>
  <si>
    <t>tax on cost savings</t>
  </si>
  <si>
    <t>Tax incentive</t>
  </si>
  <si>
    <t>Net savings</t>
  </si>
  <si>
    <t>end-of-life salvage</t>
  </si>
  <si>
    <t>Depreciation</t>
  </si>
  <si>
    <t>value to depreciate</t>
  </si>
  <si>
    <t>Tax savings from depreciation</t>
  </si>
  <si>
    <t>NPV of net savings (30y)</t>
  </si>
  <si>
    <t>SIP</t>
  </si>
  <si>
    <t>Cumulative CF</t>
  </si>
  <si>
    <t>electricity generation</t>
  </si>
  <si>
    <t>Tax on SIP</t>
  </si>
  <si>
    <t xml:space="preserve">Net SIP </t>
  </si>
  <si>
    <t>W</t>
  </si>
  <si>
    <t>Total CF for payback</t>
  </si>
  <si>
    <t>Payback:</t>
  </si>
  <si>
    <t>NPV of net savings (12y)</t>
  </si>
  <si>
    <t>NPV w tax incentive, 30y</t>
  </si>
  <si>
    <t>NPV w tax incentive, 12y</t>
  </si>
  <si>
    <t>NPV w tax inc and SIP, 30y</t>
  </si>
  <si>
    <t>NPV w tax inc and SIP, 12y</t>
  </si>
  <si>
    <t>Ext main year 15</t>
  </si>
  <si>
    <t>Inverter year 17</t>
  </si>
  <si>
    <t>SIP Rate</t>
  </si>
  <si>
    <t>Total NPV (30 Yr)</t>
  </si>
  <si>
    <t>Total NPV (12 yr)</t>
  </si>
  <si>
    <t>Number 1</t>
  </si>
  <si>
    <t>Total cost -10%</t>
  </si>
  <si>
    <t>Total Cost -20%</t>
  </si>
  <si>
    <t>Number 2</t>
  </si>
  <si>
    <t>Total Cost</t>
  </si>
  <si>
    <t>Base NPV (30 Yr)</t>
  </si>
  <si>
    <t>Number 3</t>
  </si>
  <si>
    <t>Annual Degradation Rate</t>
  </si>
  <si>
    <t>Total NPV (30 yr)</t>
  </si>
  <si>
    <t>Total NPV(12 yr)</t>
  </si>
  <si>
    <t>Number 4</t>
  </si>
  <si>
    <t>Federal Tax Credit</t>
  </si>
  <si>
    <t>Number 5</t>
  </si>
  <si>
    <t>Electricity Cost</t>
  </si>
  <si>
    <t>$B$6</t>
  </si>
  <si>
    <t>$F$2</t>
  </si>
  <si>
    <t>$B$4</t>
  </si>
  <si>
    <t>$B$11</t>
  </si>
  <si>
    <t>$B$27</t>
  </si>
  <si>
    <t>$B$53</t>
  </si>
  <si>
    <t>Base Case</t>
  </si>
  <si>
    <t>Created by DAVIS on 10/2/2016
Modified by DAVIS on 10/2/2016</t>
  </si>
  <si>
    <t>Created by DAVIS on 10/2/2016</t>
  </si>
  <si>
    <t>Worst Case</t>
  </si>
  <si>
    <t>Scenario Summary</t>
  </si>
  <si>
    <t>Changing Cells:</t>
  </si>
  <si>
    <t>Current Values:</t>
  </si>
  <si>
    <t>Result Cells:</t>
  </si>
  <si>
    <t>$B$54</t>
  </si>
  <si>
    <t>Good Case</t>
  </si>
  <si>
    <t>Bad</t>
  </si>
  <si>
    <t>NPV (30 yr)</t>
  </si>
  <si>
    <t>NPV (12 yr)</t>
  </si>
  <si>
    <t>Best Case</t>
  </si>
  <si>
    <t>Base Case NPV</t>
  </si>
  <si>
    <t>Sensitivies</t>
  </si>
  <si>
    <t xml:space="preserve">Low Value </t>
  </si>
  <si>
    <t>High Value</t>
  </si>
  <si>
    <t>Breakeven NPV (30 yr)</t>
  </si>
  <si>
    <t>Breakeven NPV (12 yr)</t>
  </si>
  <si>
    <t>NPV of net savings (13y)</t>
  </si>
  <si>
    <t>NPV of net savings (14y)</t>
  </si>
  <si>
    <t>NPV of net savings (15y)</t>
  </si>
  <si>
    <t>NPV of net savings (16y)</t>
  </si>
  <si>
    <t>NPV of net savings (17y)</t>
  </si>
  <si>
    <t>NPV of net savings (18y)</t>
  </si>
  <si>
    <t>NPV of net savings (19y)</t>
  </si>
  <si>
    <t>NPV of net savings (20y)</t>
  </si>
  <si>
    <t>NPV of net savings (21y)</t>
  </si>
  <si>
    <t>NPV of net savings (22y)</t>
  </si>
  <si>
    <t>NPV of net savings (23y)</t>
  </si>
  <si>
    <t>NPV of net savings (24y)</t>
  </si>
  <si>
    <t>NPV of net savings (25y)</t>
  </si>
  <si>
    <t>NPV of net savings (26y)</t>
  </si>
  <si>
    <t>NPV of net savings (27y)</t>
  </si>
  <si>
    <t>NPV of net savings (28y)</t>
  </si>
  <si>
    <t>NPV of net savings (29y)</t>
  </si>
  <si>
    <t>w/ tax incentive</t>
  </si>
  <si>
    <t>NPV w/ tax inc and SIP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</si>
  <si>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</si>
  <si>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</si>
  <si>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</si>
  <si>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</si>
  <si>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</si>
  <si>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</si>
  <si>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</si>
  <si>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</si>
  <si>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</si>
  <si>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</si>
  <si>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</si>
  <si>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</si>
  <si>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</si>
  <si>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</si>
  <si>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</si>
  <si>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</si>
  <si>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</si>
  <si>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</si>
  <si>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</si>
  <si>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Breakeven Year with Base Case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</si>
</sst>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3" borderId="1" applyNumberFormat="0" applyAlignment="0" applyProtection="0"/>
    <xf numFmtId="0" fontId="5" fillId="4" borderId="9" applyNumberFormat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79">
    <xf numFmtId="0" fontId="0" fillId="0" borderId="0" xfId="0"/>
    <xf numFmtId="9" fontId="0" fillId="0" borderId="0" xfId="0" applyNumberFormat="1"/>
    <xf numFmtId="10" fontId="0" fillId="0" borderId="0" xfId="0" applyNumberFormat="1"/>
    <xf numFmtId="8" fontId="0" fillId="0" borderId="0" xfId="0" applyNumberFormat="1"/>
    <xf numFmtId="6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9" fontId="0" fillId="0" borderId="0" xfId="2" applyFont="1" applyAlignment="1">
      <alignment horizontal="left"/>
    </xf>
    <xf numFmtId="44" fontId="0" fillId="0" borderId="0" xfId="1" applyFont="1" applyAlignment="1">
      <alignment horizontal="left"/>
    </xf>
    <xf numFmtId="9" fontId="0" fillId="0" borderId="0" xfId="2" applyFont="1"/>
    <xf numFmtId="9" fontId="0" fillId="0" borderId="0" xfId="2" applyFont="1" applyFill="1" applyAlignment="1">
      <alignment horizontal="left"/>
    </xf>
    <xf numFmtId="9" fontId="0" fillId="2" borderId="0" xfId="2" applyFont="1" applyFill="1" applyAlignment="1">
      <alignment horizontal="left"/>
    </xf>
    <xf numFmtId="0" fontId="4" fillId="0" borderId="0" xfId="0" applyFont="1"/>
    <xf numFmtId="0" fontId="0" fillId="0" borderId="2" xfId="0" applyBorder="1"/>
    <xf numFmtId="0" fontId="3" fillId="3" borderId="1" xfId="3"/>
    <xf numFmtId="0" fontId="3" fillId="3" borderId="3" xfId="3" applyBorder="1"/>
    <xf numFmtId="8" fontId="3" fillId="3" borderId="3" xfId="3" applyNumberFormat="1" applyBorder="1"/>
    <xf numFmtId="44" fontId="3" fillId="3" borderId="3" xfId="3" applyNumberFormat="1" applyBorder="1"/>
    <xf numFmtId="44" fontId="0" fillId="0" borderId="2" xfId="1" applyFont="1" applyBorder="1"/>
    <xf numFmtId="0" fontId="0" fillId="0" borderId="5" xfId="0" applyBorder="1"/>
    <xf numFmtId="44" fontId="0" fillId="0" borderId="4" xfId="1" applyFont="1" applyBorder="1"/>
    <xf numFmtId="0" fontId="4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4" fillId="0" borderId="8" xfId="0" applyFont="1" applyBorder="1"/>
    <xf numFmtId="44" fontId="0" fillId="0" borderId="2" xfId="0" applyNumberFormat="1" applyBorder="1"/>
    <xf numFmtId="10" fontId="0" fillId="0" borderId="0" xfId="2" applyNumberFormat="1" applyFont="1"/>
    <xf numFmtId="0" fontId="0" fillId="0" borderId="10" xfId="0" applyBorder="1"/>
    <xf numFmtId="0" fontId="4" fillId="0" borderId="0" xfId="0" applyFont="1" applyBorder="1"/>
    <xf numFmtId="0" fontId="0" fillId="0" borderId="0" xfId="0" applyBorder="1"/>
    <xf numFmtId="0" fontId="5" fillId="4" borderId="9" xfId="4"/>
    <xf numFmtId="44" fontId="5" fillId="4" borderId="9" xfId="4" applyNumberFormat="1"/>
    <xf numFmtId="10" fontId="5" fillId="4" borderId="9" xfId="4" applyNumberFormat="1"/>
    <xf numFmtId="0" fontId="3" fillId="3" borderId="11" xfId="3" applyBorder="1"/>
    <xf numFmtId="10" fontId="5" fillId="4" borderId="12" xfId="4" applyNumberFormat="1" applyBorder="1"/>
    <xf numFmtId="0" fontId="4" fillId="0" borderId="2" xfId="0" applyFont="1" applyBorder="1" applyAlignment="1">
      <alignment wrapText="1"/>
    </xf>
    <xf numFmtId="9" fontId="5" fillId="4" borderId="13" xfId="4" applyNumberFormat="1" applyBorder="1"/>
    <xf numFmtId="44" fontId="0" fillId="0" borderId="4" xfId="0" applyNumberFormat="1" applyBorder="1"/>
    <xf numFmtId="0" fontId="4" fillId="0" borderId="14" xfId="0" applyFont="1" applyBorder="1"/>
    <xf numFmtId="0" fontId="4" fillId="0" borderId="0" xfId="0" applyFont="1" applyBorder="1" applyAlignment="1">
      <alignment horizontal="right"/>
    </xf>
    <xf numFmtId="0" fontId="0" fillId="0" borderId="0" xfId="0" applyFill="1" applyBorder="1" applyAlignment="1"/>
    <xf numFmtId="8" fontId="0" fillId="0" borderId="0" xfId="0" applyNumberFormat="1" applyFill="1" applyBorder="1" applyAlignment="1"/>
    <xf numFmtId="10" fontId="0" fillId="0" borderId="0" xfId="0" applyNumberFormat="1" applyFill="1" applyBorder="1" applyAlignment="1"/>
    <xf numFmtId="9" fontId="0" fillId="0" borderId="0" xfId="0" applyNumberFormat="1" applyFill="1" applyBorder="1" applyAlignment="1"/>
    <xf numFmtId="0" fontId="8" fillId="7" borderId="16" xfId="0" applyFont="1" applyFill="1" applyBorder="1" applyAlignment="1">
      <alignment horizontal="left"/>
    </xf>
    <xf numFmtId="0" fontId="8" fillId="7" borderId="15" xfId="0" applyFont="1" applyFill="1" applyBorder="1" applyAlignment="1">
      <alignment horizontal="left"/>
    </xf>
    <xf numFmtId="0" fontId="0" fillId="0" borderId="17" xfId="0" applyFill="1" applyBorder="1" applyAlignment="1"/>
    <xf numFmtId="0" fontId="9" fillId="8" borderId="0" xfId="0" applyFont="1" applyFill="1" applyBorder="1" applyAlignment="1">
      <alignment horizontal="left"/>
    </xf>
    <xf numFmtId="0" fontId="10" fillId="8" borderId="17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11" fillId="7" borderId="15" xfId="0" applyFont="1" applyFill="1" applyBorder="1" applyAlignment="1">
      <alignment horizontal="right"/>
    </xf>
    <xf numFmtId="0" fontId="11" fillId="7" borderId="16" xfId="0" applyFont="1" applyFill="1" applyBorder="1" applyAlignment="1">
      <alignment horizontal="right"/>
    </xf>
    <xf numFmtId="8" fontId="0" fillId="9" borderId="0" xfId="0" applyNumberFormat="1" applyFill="1" applyBorder="1" applyAlignment="1"/>
    <xf numFmtId="10" fontId="0" fillId="9" borderId="0" xfId="0" applyNumberFormat="1" applyFill="1" applyBorder="1" applyAlignment="1"/>
    <xf numFmtId="9" fontId="0" fillId="9" borderId="0" xfId="0" applyNumberFormat="1" applyFill="1" applyBorder="1" applyAlignment="1"/>
    <xf numFmtId="0" fontId="12" fillId="0" borderId="0" xfId="0" applyFont="1" applyFill="1" applyBorder="1" applyAlignment="1">
      <alignment vertical="top" wrapText="1"/>
    </xf>
    <xf numFmtId="44" fontId="0" fillId="0" borderId="0" xfId="0" applyNumberFormat="1" applyFill="1" applyBorder="1" applyAlignment="1"/>
    <xf numFmtId="44" fontId="0" fillId="9" borderId="0" xfId="0" applyNumberFormat="1" applyFill="1" applyBorder="1" applyAlignment="1"/>
    <xf numFmtId="0" fontId="0" fillId="0" borderId="0" xfId="0" applyFont="1"/>
    <xf numFmtId="44" fontId="0" fillId="0" borderId="5" xfId="1" applyFont="1" applyBorder="1"/>
    <xf numFmtId="0" fontId="4" fillId="0" borderId="0" xfId="0" applyFont="1" applyAlignment="1">
      <alignment wrapText="1"/>
    </xf>
    <xf numFmtId="8" fontId="0" fillId="0" borderId="2" xfId="0" applyNumberFormat="1" applyBorder="1"/>
    <xf numFmtId="9" fontId="0" fillId="0" borderId="2" xfId="2" applyFont="1" applyBorder="1"/>
    <xf numFmtId="10" fontId="0" fillId="0" borderId="2" xfId="2" applyNumberFormat="1" applyFont="1" applyBorder="1"/>
    <xf numFmtId="44" fontId="13" fillId="10" borderId="2" xfId="1" applyFont="1" applyFill="1" applyBorder="1"/>
    <xf numFmtId="10" fontId="13" fillId="10" borderId="2" xfId="2" applyNumberFormat="1" applyFont="1" applyFill="1" applyBorder="1"/>
    <xf numFmtId="0" fontId="13" fillId="10" borderId="2" xfId="0" applyFont="1" applyFill="1" applyBorder="1"/>
    <xf numFmtId="44" fontId="0" fillId="0" borderId="0" xfId="1" applyFont="1" applyFill="1" applyBorder="1" applyAlignment="1"/>
    <xf numFmtId="44" fontId="0" fillId="0" borderId="4" xfId="1" applyFont="1" applyFill="1" applyBorder="1" applyAlignment="1"/>
    <xf numFmtId="0" fontId="4" fillId="0" borderId="0" xfId="0" applyFont="1" applyAlignment="1">
      <alignment horizontal="center" wrapText="1"/>
    </xf>
    <xf numFmtId="0" fontId="4" fillId="0" borderId="2" xfId="0" applyFont="1" applyBorder="1"/>
    <xf numFmtId="44" fontId="4" fillId="0" borderId="2" xfId="1" applyFont="1" applyBorder="1"/>
    <xf numFmtId="8" fontId="6" fillId="5" borderId="2" xfId="5" applyNumberFormat="1" applyBorder="1"/>
    <xf numFmtId="44" fontId="7" fillId="6" borderId="2" xfId="6" applyNumberFormat="1" applyBorder="1"/>
  </cellXfs>
  <cellStyles count="7">
    <cellStyle name="Accent6" xfId="6" builtinId="49"/>
    <cellStyle name="Check Cell" xfId="3" builtinId="23"/>
    <cellStyle name="Currency" xfId="1" builtinId="4"/>
    <cellStyle name="Good" xfId="5" builtinId="26"/>
    <cellStyle name="Normal" xfId="0" builtinId="0"/>
    <cellStyle name="Output" xfId="4" builtinId="21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NPV</a:t>
            </a:r>
            <a:r>
              <a:rPr lang="en-US" baseline="0">
                <a:solidFill>
                  <a:sysClr val="windowText" lastClr="000000"/>
                </a:solidFill>
              </a:rPr>
              <a:t> Sensitivity Analysis</a:t>
            </a:r>
            <a:endParaRPr 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8016416506673091"/>
          <c:y val="8.635661196556038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'Tornado Graph'!$D$4</c:f>
              <c:strCache>
                <c:ptCount val="1"/>
                <c:pt idx="0">
                  <c:v>Low Value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'Tornado Graph'!$C$5:$C$9</c:f>
              <c:strCache>
                <c:ptCount val="5"/>
                <c:pt idx="0">
                  <c:v>Annual Degradation Rate</c:v>
                </c:pt>
                <c:pt idx="1">
                  <c:v>SIP Rate</c:v>
                </c:pt>
                <c:pt idx="2">
                  <c:v>Federal Tax Credit</c:v>
                </c:pt>
                <c:pt idx="3">
                  <c:v>Total Cost</c:v>
                </c:pt>
                <c:pt idx="4">
                  <c:v>Electricity Cost</c:v>
                </c:pt>
              </c:strCache>
            </c:strRef>
          </c:cat>
          <c:val>
            <c:numRef>
              <c:f>'Tornado Graph'!$D$5:$D$9</c:f>
              <c:numCache>
                <c:formatCode>_("$"* #,##0.00_);_("$"* \(#,##0.00\);_("$"* "-"??_);_(@_)</c:formatCode>
                <c:ptCount val="5"/>
                <c:pt idx="0">
                  <c:v>17875.71</c:v>
                </c:pt>
                <c:pt idx="1">
                  <c:v>8313.44</c:v>
                </c:pt>
                <c:pt idx="2">
                  <c:v>-9492.8259999999991</c:v>
                </c:pt>
                <c:pt idx="3">
                  <c:v>8436.11</c:v>
                </c:pt>
                <c:pt idx="4">
                  <c:v>-85.75</c:v>
                </c:pt>
              </c:numCache>
            </c:numRef>
          </c:val>
        </c:ser>
        <c:ser>
          <c:idx val="1"/>
          <c:order val="1"/>
          <c:tx>
            <c:strRef>
              <c:f>'Tornado Graph'!$E$4</c:f>
              <c:strCache>
                <c:ptCount val="1"/>
                <c:pt idx="0">
                  <c:v>High Value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'Tornado Graph'!$C$5:$C$9</c:f>
              <c:strCache>
                <c:ptCount val="5"/>
                <c:pt idx="0">
                  <c:v>Annual Degradation Rate</c:v>
                </c:pt>
                <c:pt idx="1">
                  <c:v>SIP Rate</c:v>
                </c:pt>
                <c:pt idx="2">
                  <c:v>Federal Tax Credit</c:v>
                </c:pt>
                <c:pt idx="3">
                  <c:v>Total Cost</c:v>
                </c:pt>
                <c:pt idx="4">
                  <c:v>Electricity Cost</c:v>
                </c:pt>
              </c:strCache>
            </c:strRef>
          </c:cat>
          <c:val>
            <c:numRef>
              <c:f>'Tornado Graph'!$E$5:$E$9</c:f>
              <c:numCache>
                <c:formatCode>_("$"* #,##0.00_);_("$"* \(#,##0.00\);_("$"* "-"??_);_(@_)</c:formatCode>
                <c:ptCount val="5"/>
                <c:pt idx="0">
                  <c:v>23768.11</c:v>
                </c:pt>
                <c:pt idx="1">
                  <c:v>25869.51</c:v>
                </c:pt>
                <c:pt idx="2">
                  <c:v>22007.17</c:v>
                </c:pt>
                <c:pt idx="3">
                  <c:v>35578.239999999998</c:v>
                </c:pt>
                <c:pt idx="4">
                  <c:v>44100.1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462768416"/>
        <c:axId val="462765672"/>
      </c:barChart>
      <c:catAx>
        <c:axId val="46276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65672"/>
        <c:crossesAt val="22007"/>
        <c:auto val="1"/>
        <c:lblAlgn val="ctr"/>
        <c:lblOffset val="100"/>
        <c:noMultiLvlLbl val="0"/>
      </c:catAx>
      <c:valAx>
        <c:axId val="462765672"/>
        <c:scaling>
          <c:orientation val="minMax"/>
          <c:max val="60000"/>
          <c:min val="-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6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atte">
      <a:bevelT w="63500" h="63500" prst="artDeco"/>
      <a:contourClr>
        <a:srgbClr val="000000"/>
      </a:contourClr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1600200</xdr:colOff>
      <xdr:row>10</xdr:row>
      <xdr:rowOff>60960</xdr:rowOff>
    </xdr:from>
    <xdr:to>
      <xdr:col>13</xdr:col>
      <xdr:colOff>411480</xdr:colOff>
      <xdr:row>37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0.60786</cdr:x>
      <cdr:y>0.07701</cdr:y>
    </cdr:from>
    <cdr:to>
      <cdr:x>0.61106</cdr:x>
      <cdr:y>0.87383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 flipV="1">
          <a:off x="4692120" y="376738"/>
          <a:ext cx="24660" cy="38980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0.55235</cdr:x>
      <cdr:y>0</cdr:y>
    </cdr:from>
    <cdr:to>
      <cdr:x>0.7081</cdr:x>
      <cdr:y>0.09326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263623" y="0"/>
          <a:ext cx="1202217" cy="4562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C00000"/>
              </a:solidFill>
            </a:rPr>
            <a:t>Base Case:</a:t>
          </a:r>
        </a:p>
        <a:p xmlns:a="http://schemas.openxmlformats.org/drawingml/2006/main">
          <a:r>
            <a:rPr lang="en-US" sz="1100">
              <a:solidFill>
                <a:srgbClr val="C00000"/>
              </a:solidFill>
            </a:rPr>
            <a:t>NPV = $22,007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H13"/>
  <sheetViews>
    <sheetView showGridLines="0" topLeftCell="B1" workbookViewId="0">
      <selection activeCell="F22" sqref="F22"/>
    </sheetView>
  </sheetViews>
  <sheetFormatPr defaultRowHeight="14.4" outlineLevelRow="1" outlineLevelCol="1" x14ac:dyDescent="0.3"/>
  <cols>
    <col min="2" max="2" width="22.44140625" customWidth="1"/>
    <col min="3" max="3" width="6.109375" hidden="1" customWidth="1"/>
    <col min="4" max="7" width="13.109375" bestFit="1" customWidth="1" outlineLevel="1"/>
    <col min="8" max="8" width="17.44140625" customWidth="1" outlineLevel="1"/>
  </cols>
  <sheetData>
    <row r="1" spans="2:8" ht="15" thickBot="1" x14ac:dyDescent="0.35"/>
    <row r="2" spans="2:8" ht="15.6" x14ac:dyDescent="0.3">
      <c r="B2" s="50" t="s">
        <v>82</v>
      </c>
      <c r="C2" s="50"/>
      <c r="D2" s="55"/>
      <c r="E2" s="55"/>
      <c r="F2" s="55"/>
      <c r="G2" s="55"/>
      <c r="H2" s="55"/>
    </row>
    <row r="3" spans="2:8" ht="15.6" collapsed="1" x14ac:dyDescent="0.3">
      <c r="B3" s="49"/>
      <c r="C3" s="49"/>
      <c r="D3" s="56" t="s">
        <v>84</v>
      </c>
      <c r="E3" s="56" t="s">
        <v>81</v>
      </c>
      <c r="F3" s="56" t="s">
        <v>88</v>
      </c>
      <c r="G3" s="56" t="s">
        <v>87</v>
      </c>
      <c r="H3" s="56" t="s">
        <v>91</v>
      </c>
    </row>
    <row r="4" spans="2:8" ht="40.799999999999997" hidden="1" outlineLevel="1" x14ac:dyDescent="0.3">
      <c r="B4" s="52"/>
      <c r="C4" s="52"/>
      <c r="D4" s="45"/>
      <c r="E4" s="60" t="s">
        <v>80</v>
      </c>
      <c r="F4" s="60" t="s">
        <v>80</v>
      </c>
      <c r="G4" s="60" t="s">
        <v>80</v>
      </c>
      <c r="H4" s="60" t="s">
        <v>79</v>
      </c>
    </row>
    <row r="5" spans="2:8" x14ac:dyDescent="0.3">
      <c r="B5" s="53" t="s">
        <v>83</v>
      </c>
      <c r="C5" s="53"/>
      <c r="D5" s="51" t="s">
        <v>78</v>
      </c>
      <c r="E5" s="51"/>
      <c r="F5" s="51"/>
      <c r="G5" s="51"/>
      <c r="H5" s="51"/>
    </row>
    <row r="6" spans="2:8" outlineLevel="1" x14ac:dyDescent="0.3">
      <c r="B6" s="52" t="s">
        <v>55</v>
      </c>
      <c r="C6" s="52" t="s">
        <v>72</v>
      </c>
      <c r="D6" s="46">
        <v>1.95</v>
      </c>
      <c r="E6" s="57">
        <v>0</v>
      </c>
      <c r="F6" s="57">
        <v>1.95</v>
      </c>
      <c r="G6" s="57">
        <v>1.95</v>
      </c>
      <c r="H6" s="57">
        <v>2.5</v>
      </c>
    </row>
    <row r="7" spans="2:8" outlineLevel="1" x14ac:dyDescent="0.3">
      <c r="B7" s="52" t="s">
        <v>62</v>
      </c>
      <c r="C7" s="52" t="s">
        <v>73</v>
      </c>
      <c r="D7" s="61">
        <v>105000</v>
      </c>
      <c r="E7" s="62">
        <v>120000</v>
      </c>
      <c r="F7" s="62">
        <v>115000</v>
      </c>
      <c r="G7" s="62">
        <v>105000</v>
      </c>
      <c r="H7" s="62">
        <v>80000</v>
      </c>
    </row>
    <row r="8" spans="2:8" outlineLevel="1" x14ac:dyDescent="0.3">
      <c r="B8" s="52" t="s">
        <v>65</v>
      </c>
      <c r="C8" s="52" t="s">
        <v>74</v>
      </c>
      <c r="D8" s="47">
        <v>5.0000000000000001E-3</v>
      </c>
      <c r="E8" s="58">
        <v>0.01</v>
      </c>
      <c r="F8" s="58">
        <v>5.0000000000000001E-3</v>
      </c>
      <c r="G8" s="58">
        <v>5.0000000000000001E-3</v>
      </c>
      <c r="H8" s="58">
        <v>4.0000000000000001E-3</v>
      </c>
    </row>
    <row r="9" spans="2:8" outlineLevel="1" x14ac:dyDescent="0.3">
      <c r="B9" s="52" t="s">
        <v>69</v>
      </c>
      <c r="C9" s="52" t="s">
        <v>75</v>
      </c>
      <c r="D9" s="48">
        <v>0.3</v>
      </c>
      <c r="E9" s="59">
        <v>0</v>
      </c>
      <c r="F9" s="59">
        <v>0.3</v>
      </c>
      <c r="G9" s="59">
        <v>0.3</v>
      </c>
      <c r="H9" s="59">
        <v>0.4</v>
      </c>
    </row>
    <row r="10" spans="2:8" outlineLevel="1" x14ac:dyDescent="0.3">
      <c r="B10" s="52" t="s">
        <v>71</v>
      </c>
      <c r="C10" s="52" t="s">
        <v>76</v>
      </c>
      <c r="D10" s="46">
        <v>0.17</v>
      </c>
      <c r="E10" s="57">
        <v>0.1</v>
      </c>
      <c r="F10" s="57">
        <v>0.15</v>
      </c>
      <c r="G10" s="57">
        <v>0.2</v>
      </c>
      <c r="H10" s="57">
        <v>0.3</v>
      </c>
    </row>
    <row r="11" spans="2:8" x14ac:dyDescent="0.3">
      <c r="B11" s="53" t="s">
        <v>85</v>
      </c>
      <c r="C11" s="53"/>
      <c r="D11" s="51"/>
      <c r="E11" s="51"/>
      <c r="F11" s="51"/>
      <c r="G11" s="51"/>
      <c r="H11" s="51"/>
    </row>
    <row r="12" spans="2:8" outlineLevel="1" x14ac:dyDescent="0.3">
      <c r="B12" s="52" t="s">
        <v>89</v>
      </c>
      <c r="C12" s="52" t="s">
        <v>77</v>
      </c>
      <c r="D12" s="72">
        <v>8313.4353344886804</v>
      </c>
      <c r="E12" s="72">
        <v>-62677.450315051297</v>
      </c>
      <c r="F12" s="72">
        <v>-3574.5610746922598</v>
      </c>
      <c r="G12" s="72">
        <v>19359.897163844798</v>
      </c>
      <c r="H12" s="72">
        <v>77030.216854661296</v>
      </c>
    </row>
    <row r="13" spans="2:8" ht="15" outlineLevel="1" thickBot="1" x14ac:dyDescent="0.35">
      <c r="B13" s="54" t="s">
        <v>90</v>
      </c>
      <c r="C13" s="54" t="s">
        <v>86</v>
      </c>
      <c r="D13" s="73">
        <v>-19136.929329257098</v>
      </c>
      <c r="E13" s="73">
        <v>-73250.738385493707</v>
      </c>
      <c r="F13" s="73">
        <v>-26638.489631900498</v>
      </c>
      <c r="G13" s="73">
        <v>-14311.5702037275</v>
      </c>
      <c r="H13" s="73">
        <v>20746.328905091999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tabSelected="1" topLeftCell="A58" zoomScale="90" zoomScaleNormal="90" workbookViewId="0">
      <selection activeCell="I82" sqref="I82"/>
    </sheetView>
  </sheetViews>
  <sheetFormatPr defaultRowHeight="14.4" x14ac:dyDescent="0.3"/>
  <cols>
    <col min="1" max="1" width="27.88671875" bestFit="1" customWidth="1"/>
    <col min="2" max="4" width="15.6640625" customWidth="1"/>
    <col min="5" max="5" width="20.77734375" bestFit="1" customWidth="1"/>
    <col min="6" max="7" width="15.6640625" customWidth="1"/>
    <col min="8" max="8" width="14.6640625" bestFit="1" customWidth="1"/>
    <col min="9" max="9" width="16.6640625" customWidth="1"/>
    <col min="10" max="12" width="12.6640625" customWidth="1"/>
    <col min="13" max="13" width="23.21875" bestFit="1" customWidth="1"/>
    <col min="14" max="14" width="17.21875" customWidth="1"/>
    <col min="15" max="15" width="15.44140625" bestFit="1" customWidth="1"/>
    <col min="16" max="16" width="12.6640625" customWidth="1"/>
    <col min="17" max="17" width="17" bestFit="1" customWidth="1"/>
    <col min="18" max="18" width="15.88671875" bestFit="1" customWidth="1"/>
    <col min="19" max="19" width="15.44140625" bestFit="1" customWidth="1"/>
    <col min="20" max="20" width="12.6640625" customWidth="1"/>
    <col min="21" max="21" width="13.88671875" bestFit="1" customWidth="1"/>
    <col min="22" max="23" width="15.88671875" bestFit="1" customWidth="1"/>
    <col min="24" max="31" width="12.6640625" customWidth="1"/>
  </cols>
  <sheetData>
    <row r="1" spans="1:9" x14ac:dyDescent="0.3">
      <c r="A1" t="s">
        <v>1</v>
      </c>
      <c r="B1">
        <v>15</v>
      </c>
      <c r="C1" t="s">
        <v>6</v>
      </c>
      <c r="G1" t="s">
        <v>59</v>
      </c>
      <c r="H1" t="s">
        <v>60</v>
      </c>
    </row>
    <row r="2" spans="1:9" x14ac:dyDescent="0.3">
      <c r="A2" t="s">
        <v>0</v>
      </c>
      <c r="B2" s="4">
        <f>1*7000</f>
        <v>7000</v>
      </c>
      <c r="C2" t="s">
        <v>7</v>
      </c>
      <c r="E2" t="s">
        <v>28</v>
      </c>
      <c r="F2" s="5">
        <v>105000</v>
      </c>
      <c r="G2" s="6">
        <f>F2-(0.1*F2)</f>
        <v>94500</v>
      </c>
      <c r="H2" s="6">
        <f>F2-(0.2*F2)</f>
        <v>84000</v>
      </c>
    </row>
    <row r="3" spans="1:9" x14ac:dyDescent="0.3">
      <c r="A3" t="s">
        <v>2</v>
      </c>
      <c r="B3" s="1">
        <v>0.18</v>
      </c>
      <c r="C3" t="s">
        <v>8</v>
      </c>
      <c r="E3" t="s">
        <v>35</v>
      </c>
      <c r="F3" s="1">
        <v>0.15</v>
      </c>
      <c r="G3" s="6"/>
      <c r="H3" s="3"/>
      <c r="I3" s="3"/>
    </row>
    <row r="4" spans="1:9" x14ac:dyDescent="0.3">
      <c r="A4" t="s">
        <v>3</v>
      </c>
      <c r="B4" s="2">
        <v>5.0000000000000001E-3</v>
      </c>
      <c r="C4" t="s">
        <v>8</v>
      </c>
      <c r="E4" t="s">
        <v>37</v>
      </c>
      <c r="F4" s="6">
        <f>(1-F3)*F2</f>
        <v>89250</v>
      </c>
      <c r="H4" s="3"/>
    </row>
    <row r="6" spans="1:9" x14ac:dyDescent="0.3">
      <c r="A6" t="s">
        <v>4</v>
      </c>
      <c r="B6" s="3">
        <v>1.95</v>
      </c>
      <c r="C6" t="s">
        <v>10</v>
      </c>
    </row>
    <row r="7" spans="1:9" x14ac:dyDescent="0.3">
      <c r="A7" t="s">
        <v>9</v>
      </c>
      <c r="B7">
        <v>12585</v>
      </c>
      <c r="C7" t="s">
        <v>45</v>
      </c>
    </row>
    <row r="8" spans="1:9" x14ac:dyDescent="0.3">
      <c r="A8" t="s">
        <v>11</v>
      </c>
      <c r="B8">
        <v>0.9</v>
      </c>
    </row>
    <row r="10" spans="1:9" x14ac:dyDescent="0.3">
      <c r="A10" t="s">
        <v>12</v>
      </c>
      <c r="B10" s="1">
        <v>0.38</v>
      </c>
      <c r="C10" t="s">
        <v>14</v>
      </c>
    </row>
    <row r="11" spans="1:9" x14ac:dyDescent="0.3">
      <c r="A11" t="s">
        <v>13</v>
      </c>
      <c r="B11" s="1">
        <v>0.3</v>
      </c>
      <c r="C11" t="s">
        <v>15</v>
      </c>
    </row>
    <row r="13" spans="1:9" x14ac:dyDescent="0.3">
      <c r="A13" t="s">
        <v>16</v>
      </c>
      <c r="B13" s="3">
        <v>0.17</v>
      </c>
      <c r="C13" t="s">
        <v>17</v>
      </c>
    </row>
    <row r="14" spans="1:9" x14ac:dyDescent="0.3">
      <c r="A14" t="s">
        <v>18</v>
      </c>
      <c r="B14" s="1">
        <v>0.03</v>
      </c>
    </row>
    <row r="16" spans="1:9" x14ac:dyDescent="0.3">
      <c r="A16" t="s">
        <v>19</v>
      </c>
      <c r="B16" s="4">
        <v>15</v>
      </c>
      <c r="C16" t="s">
        <v>5</v>
      </c>
      <c r="E16" t="s">
        <v>53</v>
      </c>
      <c r="F16" s="4">
        <v>400</v>
      </c>
      <c r="G16" t="s">
        <v>5</v>
      </c>
    </row>
    <row r="17" spans="1:31" x14ac:dyDescent="0.3">
      <c r="A17" t="s">
        <v>18</v>
      </c>
      <c r="B17" s="1">
        <v>0.02</v>
      </c>
      <c r="E17" t="s">
        <v>54</v>
      </c>
      <c r="F17" s="4">
        <v>250</v>
      </c>
      <c r="G17" t="s">
        <v>5</v>
      </c>
    </row>
    <row r="19" spans="1:31" x14ac:dyDescent="0.3">
      <c r="A19" t="s">
        <v>20</v>
      </c>
      <c r="B19" s="2">
        <v>3.0000000000000001E-3</v>
      </c>
      <c r="C19" t="s">
        <v>21</v>
      </c>
    </row>
    <row r="20" spans="1:31" x14ac:dyDescent="0.3">
      <c r="A20" t="s">
        <v>18</v>
      </c>
      <c r="B20" s="1">
        <v>0.02</v>
      </c>
    </row>
    <row r="22" spans="1:31" x14ac:dyDescent="0.3">
      <c r="A22" t="s">
        <v>22</v>
      </c>
      <c r="B22" s="2">
        <v>3.5299999999999998E-2</v>
      </c>
    </row>
    <row r="23" spans="1:31" x14ac:dyDescent="0.3">
      <c r="B23" s="2"/>
    </row>
    <row r="25" spans="1:31" x14ac:dyDescent="0.3">
      <c r="B25" t="s">
        <v>23</v>
      </c>
    </row>
    <row r="26" spans="1:31" x14ac:dyDescent="0.3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</row>
    <row r="27" spans="1:31" x14ac:dyDescent="0.3">
      <c r="A27" t="s">
        <v>24</v>
      </c>
      <c r="B27" s="3">
        <v>0.17</v>
      </c>
      <c r="C27">
        <f t="shared" ref="C27:H27" si="0">B27*(1+$B$14)</f>
        <v>0.17510000000000001</v>
      </c>
      <c r="D27">
        <f t="shared" si="0"/>
        <v>0.18035300000000001</v>
      </c>
      <c r="E27">
        <f t="shared" si="0"/>
        <v>0.18576359000000001</v>
      </c>
      <c r="F27">
        <f t="shared" si="0"/>
        <v>0.19133649770000002</v>
      </c>
      <c r="G27">
        <f t="shared" si="0"/>
        <v>0.19707659263100002</v>
      </c>
      <c r="H27">
        <f t="shared" si="0"/>
        <v>0.20298889040993004</v>
      </c>
      <c r="I27">
        <f t="shared" ref="I27:AE27" si="1">H27*(1+$B$14)</f>
        <v>0.20907855712222795</v>
      </c>
      <c r="J27">
        <f t="shared" si="1"/>
        <v>0.2153509138358948</v>
      </c>
      <c r="K27">
        <f t="shared" si="1"/>
        <v>0.22181144125097166</v>
      </c>
      <c r="L27">
        <f t="shared" si="1"/>
        <v>0.2284657844885008</v>
      </c>
      <c r="M27">
        <f t="shared" si="1"/>
        <v>0.23531975802315583</v>
      </c>
      <c r="N27">
        <f t="shared" si="1"/>
        <v>0.2423793507638505</v>
      </c>
      <c r="O27">
        <f t="shared" si="1"/>
        <v>0.24965073128676601</v>
      </c>
      <c r="P27">
        <f t="shared" si="1"/>
        <v>0.25714025322536899</v>
      </c>
      <c r="Q27">
        <f t="shared" si="1"/>
        <v>0.26485446082213004</v>
      </c>
      <c r="R27">
        <f t="shared" si="1"/>
        <v>0.27280009464679394</v>
      </c>
      <c r="S27">
        <f t="shared" si="1"/>
        <v>0.28098409748619779</v>
      </c>
      <c r="T27">
        <f t="shared" si="1"/>
        <v>0.28941362041078372</v>
      </c>
      <c r="U27">
        <f t="shared" si="1"/>
        <v>0.29809602902310722</v>
      </c>
      <c r="V27">
        <f t="shared" si="1"/>
        <v>0.30703890989380045</v>
      </c>
      <c r="W27">
        <f t="shared" si="1"/>
        <v>0.31625007719061449</v>
      </c>
      <c r="X27">
        <f t="shared" si="1"/>
        <v>0.32573757950633292</v>
      </c>
      <c r="Y27">
        <f t="shared" si="1"/>
        <v>0.33550970689152293</v>
      </c>
      <c r="Z27">
        <f t="shared" si="1"/>
        <v>0.34557499809826864</v>
      </c>
      <c r="AA27">
        <f t="shared" si="1"/>
        <v>0.35594224804121671</v>
      </c>
      <c r="AB27">
        <f t="shared" si="1"/>
        <v>0.36662051548245322</v>
      </c>
      <c r="AC27">
        <f t="shared" si="1"/>
        <v>0.37761913094692684</v>
      </c>
      <c r="AD27">
        <f t="shared" si="1"/>
        <v>0.38894770487533464</v>
      </c>
      <c r="AE27">
        <f t="shared" si="1"/>
        <v>0.40061613602159468</v>
      </c>
    </row>
    <row r="28" spans="1:31" x14ac:dyDescent="0.3">
      <c r="A28" t="s">
        <v>42</v>
      </c>
      <c r="B28" s="7">
        <f>$B$1*$B$3*365*24*(1-$B$4)^(B26-1)</f>
        <v>23651.999999999996</v>
      </c>
      <c r="C28" s="7">
        <f>$B$1*$B$3*365*24*(1-$B$4)^(C26-1)</f>
        <v>23533.739999999998</v>
      </c>
      <c r="D28" s="7">
        <f>$B$1*$B$3*365*24*(1-$B$4)^(D26-1)</f>
        <v>23416.071299999996</v>
      </c>
      <c r="E28" s="7">
        <f>$B$1*$B$3*365*24*(1-$B$4)^(E26-1)</f>
        <v>23298.990943499997</v>
      </c>
      <c r="F28" s="7">
        <f>$B$1*$B$3*365*24*(1-$B$4)^(F26-1)</f>
        <v>23182.495988782499</v>
      </c>
      <c r="G28" s="7">
        <f t="shared" ref="G28:AE28" si="2">$B$1*$B$3*365*24*(1-$B$4)^(G26-1)</f>
        <v>23066.583508838587</v>
      </c>
      <c r="H28" s="7">
        <f t="shared" si="2"/>
        <v>22951.250591294393</v>
      </c>
      <c r="I28" s="7">
        <f t="shared" si="2"/>
        <v>22836.494338337921</v>
      </c>
      <c r="J28" s="7">
        <f t="shared" si="2"/>
        <v>22722.311866646232</v>
      </c>
      <c r="K28" s="7">
        <f t="shared" si="2"/>
        <v>22608.700307313</v>
      </c>
      <c r="L28" s="7">
        <f t="shared" si="2"/>
        <v>22495.656805776434</v>
      </c>
      <c r="M28" s="7">
        <f t="shared" si="2"/>
        <v>22383.178521747552</v>
      </c>
      <c r="N28" s="7">
        <f t="shared" si="2"/>
        <v>22271.262629138815</v>
      </c>
      <c r="O28" s="7">
        <f t="shared" si="2"/>
        <v>22159.906315993125</v>
      </c>
      <c r="P28" s="7">
        <f t="shared" si="2"/>
        <v>22049.106784413158</v>
      </c>
      <c r="Q28" s="7">
        <f t="shared" si="2"/>
        <v>21938.861250491093</v>
      </c>
      <c r="R28" s="7">
        <f t="shared" si="2"/>
        <v>21829.166944238634</v>
      </c>
      <c r="S28" s="7">
        <f t="shared" si="2"/>
        <v>21720.021109517442</v>
      </c>
      <c r="T28" s="7">
        <f t="shared" si="2"/>
        <v>21611.421003969856</v>
      </c>
      <c r="U28" s="7">
        <f t="shared" si="2"/>
        <v>21503.363898950007</v>
      </c>
      <c r="V28" s="7">
        <f t="shared" si="2"/>
        <v>21395.847079455256</v>
      </c>
      <c r="W28" s="7">
        <f t="shared" si="2"/>
        <v>21288.867844057979</v>
      </c>
      <c r="X28" s="7">
        <f t="shared" si="2"/>
        <v>21182.42350483769</v>
      </c>
      <c r="Y28" s="7">
        <f t="shared" si="2"/>
        <v>21076.511387313501</v>
      </c>
      <c r="Z28" s="7">
        <f t="shared" si="2"/>
        <v>20971.128830376932</v>
      </c>
      <c r="AA28" s="7">
        <f t="shared" si="2"/>
        <v>20866.273186225051</v>
      </c>
      <c r="AB28" s="7">
        <f t="shared" si="2"/>
        <v>20761.941820293927</v>
      </c>
      <c r="AC28" s="7">
        <f t="shared" si="2"/>
        <v>20658.132111192455</v>
      </c>
      <c r="AD28" s="7">
        <f t="shared" si="2"/>
        <v>20554.841450636497</v>
      </c>
      <c r="AE28" s="7">
        <f t="shared" si="2"/>
        <v>20452.067243383313</v>
      </c>
    </row>
    <row r="29" spans="1:31" x14ac:dyDescent="0.3">
      <c r="A29" t="s">
        <v>25</v>
      </c>
      <c r="B29" s="3">
        <f t="shared" ref="B29:AE29" si="3">B27*B28</f>
        <v>4020.8399999999997</v>
      </c>
      <c r="C29" s="3">
        <f t="shared" si="3"/>
        <v>4120.7578739999999</v>
      </c>
      <c r="D29" s="3">
        <f t="shared" si="3"/>
        <v>4223.1587071689</v>
      </c>
      <c r="E29" s="3">
        <f t="shared" si="3"/>
        <v>4328.104201042047</v>
      </c>
      <c r="F29" s="3">
        <f t="shared" si="3"/>
        <v>4435.6575904379424</v>
      </c>
      <c r="G29" s="3">
        <f t="shared" si="3"/>
        <v>4545.8836815603254</v>
      </c>
      <c r="H29" s="3">
        <f t="shared" si="3"/>
        <v>4658.8488910470996</v>
      </c>
      <c r="I29" s="3">
        <f t="shared" si="3"/>
        <v>4774.6212859896204</v>
      </c>
      <c r="J29" s="3">
        <f t="shared" si="3"/>
        <v>4893.2706249464627</v>
      </c>
      <c r="K29" s="3">
        <f t="shared" si="3"/>
        <v>5014.8683999763825</v>
      </c>
      <c r="L29" s="3">
        <f t="shared" si="3"/>
        <v>5139.4878797157953</v>
      </c>
      <c r="M29" s="3">
        <f t="shared" si="3"/>
        <v>5267.2041535267326</v>
      </c>
      <c r="N29" s="3">
        <f t="shared" si="3"/>
        <v>5398.0941767418726</v>
      </c>
      <c r="O29" s="3">
        <f t="shared" si="3"/>
        <v>5532.2368170339087</v>
      </c>
      <c r="P29" s="3">
        <f t="shared" si="3"/>
        <v>5669.7129019372005</v>
      </c>
      <c r="Q29" s="3">
        <f t="shared" si="3"/>
        <v>5810.6052675503397</v>
      </c>
      <c r="R29" s="3">
        <f t="shared" si="3"/>
        <v>5954.9988084489651</v>
      </c>
      <c r="S29" s="3">
        <f t="shared" si="3"/>
        <v>6102.9805288389225</v>
      </c>
      <c r="T29" s="3">
        <f t="shared" si="3"/>
        <v>6254.6395949805701</v>
      </c>
      <c r="U29" s="3">
        <f t="shared" si="3"/>
        <v>6410.067388915837</v>
      </c>
      <c r="V29" s="3">
        <f t="shared" si="3"/>
        <v>6569.357563530396</v>
      </c>
      <c r="W29" s="3">
        <f t="shared" si="3"/>
        <v>6732.6060989841262</v>
      </c>
      <c r="X29" s="3">
        <f t="shared" si="3"/>
        <v>6899.9113605438824</v>
      </c>
      <c r="Y29" s="3">
        <f t="shared" si="3"/>
        <v>7071.3741578533982</v>
      </c>
      <c r="Z29" s="3">
        <f t="shared" si="3"/>
        <v>7247.097805676055</v>
      </c>
      <c r="AA29" s="3">
        <f t="shared" si="3"/>
        <v>7427.1881861471065</v>
      </c>
      <c r="AB29" s="3">
        <f t="shared" si="3"/>
        <v>7611.7538125728624</v>
      </c>
      <c r="AC29" s="3">
        <f t="shared" si="3"/>
        <v>7800.9058948152979</v>
      </c>
      <c r="AD29" s="3">
        <f t="shared" si="3"/>
        <v>7994.7584063014592</v>
      </c>
      <c r="AE29" s="3">
        <f t="shared" si="3"/>
        <v>8193.4281526980503</v>
      </c>
    </row>
    <row r="32" spans="1:31" x14ac:dyDescent="0.3">
      <c r="A32" t="s">
        <v>26</v>
      </c>
      <c r="B32" s="4">
        <f>$B$16</f>
        <v>15</v>
      </c>
      <c r="C32">
        <f t="shared" ref="C32:H32" si="4">B32*(1+$B$17)</f>
        <v>15.3</v>
      </c>
      <c r="D32">
        <f t="shared" si="4"/>
        <v>15.606000000000002</v>
      </c>
      <c r="E32">
        <f t="shared" si="4"/>
        <v>15.918120000000002</v>
      </c>
      <c r="F32">
        <f t="shared" si="4"/>
        <v>16.236482400000003</v>
      </c>
      <c r="G32">
        <f t="shared" si="4"/>
        <v>16.561212048000005</v>
      </c>
      <c r="H32">
        <f t="shared" si="4"/>
        <v>16.892436288960006</v>
      </c>
      <c r="I32">
        <f t="shared" ref="I32:AE32" si="5">H32*(1+$B$17)</f>
        <v>17.230285014739206</v>
      </c>
      <c r="J32">
        <f t="shared" si="5"/>
        <v>17.574890715033991</v>
      </c>
      <c r="K32">
        <f t="shared" si="5"/>
        <v>17.92638852933467</v>
      </c>
      <c r="L32">
        <f t="shared" si="5"/>
        <v>18.284916299921363</v>
      </c>
      <c r="M32">
        <f t="shared" si="5"/>
        <v>18.65061462591979</v>
      </c>
      <c r="N32">
        <f t="shared" si="5"/>
        <v>19.023626918438186</v>
      </c>
      <c r="O32">
        <f t="shared" si="5"/>
        <v>19.40409945680695</v>
      </c>
      <c r="P32">
        <f t="shared" si="5"/>
        <v>19.79218144594309</v>
      </c>
      <c r="Q32">
        <f t="shared" si="5"/>
        <v>20.188025074861951</v>
      </c>
      <c r="R32">
        <f t="shared" si="5"/>
        <v>20.591785576359189</v>
      </c>
      <c r="S32">
        <f t="shared" si="5"/>
        <v>21.003621287886375</v>
      </c>
      <c r="T32">
        <f t="shared" si="5"/>
        <v>21.423693713644102</v>
      </c>
      <c r="U32">
        <f t="shared" si="5"/>
        <v>21.852167587916984</v>
      </c>
      <c r="V32">
        <f t="shared" si="5"/>
        <v>22.289210939675325</v>
      </c>
      <c r="W32">
        <f t="shared" si="5"/>
        <v>22.734995158468831</v>
      </c>
      <c r="X32">
        <f t="shared" si="5"/>
        <v>23.189695061638208</v>
      </c>
      <c r="Y32">
        <f t="shared" si="5"/>
        <v>23.653488962870973</v>
      </c>
      <c r="Z32">
        <f t="shared" si="5"/>
        <v>24.126558742128392</v>
      </c>
      <c r="AA32">
        <f t="shared" si="5"/>
        <v>24.609089916970959</v>
      </c>
      <c r="AB32">
        <f t="shared" si="5"/>
        <v>25.101271715310379</v>
      </c>
      <c r="AC32">
        <f t="shared" si="5"/>
        <v>25.603297149616587</v>
      </c>
      <c r="AD32">
        <f t="shared" si="5"/>
        <v>26.11536309260892</v>
      </c>
      <c r="AE32">
        <f t="shared" si="5"/>
        <v>26.6376703544611</v>
      </c>
    </row>
    <row r="33" spans="1:31" x14ac:dyDescent="0.3">
      <c r="A33" t="s">
        <v>27</v>
      </c>
      <c r="B33" s="4">
        <f t="shared" ref="B33:O33" si="6">B32*$B$1</f>
        <v>225</v>
      </c>
      <c r="C33" s="4">
        <f t="shared" si="6"/>
        <v>229.5</v>
      </c>
      <c r="D33" s="4">
        <f t="shared" si="6"/>
        <v>234.09000000000003</v>
      </c>
      <c r="E33" s="4">
        <f t="shared" si="6"/>
        <v>238.77180000000004</v>
      </c>
      <c r="F33" s="4">
        <f t="shared" si="6"/>
        <v>243.54723600000005</v>
      </c>
      <c r="G33" s="4">
        <f t="shared" si="6"/>
        <v>248.41818072000007</v>
      </c>
      <c r="H33" s="4">
        <f t="shared" si="6"/>
        <v>253.3865443344001</v>
      </c>
      <c r="I33" s="4">
        <f t="shared" si="6"/>
        <v>258.4542752210881</v>
      </c>
      <c r="J33" s="4">
        <f t="shared" si="6"/>
        <v>263.62336072550988</v>
      </c>
      <c r="K33" s="4">
        <f t="shared" si="6"/>
        <v>268.89582794002007</v>
      </c>
      <c r="L33" s="4">
        <f t="shared" si="6"/>
        <v>274.27374449882046</v>
      </c>
      <c r="M33" s="4">
        <f t="shared" si="6"/>
        <v>279.75921938879685</v>
      </c>
      <c r="N33" s="4">
        <f t="shared" si="6"/>
        <v>285.35440377657278</v>
      </c>
      <c r="O33" s="4">
        <f t="shared" si="6"/>
        <v>291.06149185210427</v>
      </c>
      <c r="P33" s="3">
        <f>P32*$B$1+F16*B1</f>
        <v>6296.8827216891459</v>
      </c>
      <c r="Q33" s="4">
        <f>Q32*$B$1</f>
        <v>302.82037612292925</v>
      </c>
      <c r="R33" s="3">
        <f>R32*$B$1+F17*B1</f>
        <v>4058.8767836453881</v>
      </c>
      <c r="S33" s="4">
        <f t="shared" ref="S33:AE33" si="7">S32*$B$1</f>
        <v>315.0543193182956</v>
      </c>
      <c r="T33" s="4">
        <f t="shared" si="7"/>
        <v>321.35540570466151</v>
      </c>
      <c r="U33" s="4">
        <f t="shared" si="7"/>
        <v>327.78251381875475</v>
      </c>
      <c r="V33" s="4">
        <f t="shared" si="7"/>
        <v>334.33816409512986</v>
      </c>
      <c r="W33" s="4">
        <f t="shared" si="7"/>
        <v>341.02492737703244</v>
      </c>
      <c r="X33" s="4">
        <f t="shared" si="7"/>
        <v>347.84542592457314</v>
      </c>
      <c r="Y33" s="4">
        <f t="shared" si="7"/>
        <v>354.80233444306458</v>
      </c>
      <c r="Z33" s="4">
        <f t="shared" si="7"/>
        <v>361.89838113192587</v>
      </c>
      <c r="AA33" s="4">
        <f t="shared" si="7"/>
        <v>369.13634875456438</v>
      </c>
      <c r="AB33" s="4">
        <f t="shared" si="7"/>
        <v>376.5190757296557</v>
      </c>
      <c r="AC33" s="4">
        <f t="shared" si="7"/>
        <v>384.0494572442488</v>
      </c>
      <c r="AD33" s="4">
        <f t="shared" si="7"/>
        <v>391.73044638913382</v>
      </c>
      <c r="AE33" s="4">
        <f t="shared" si="7"/>
        <v>399.56505531691653</v>
      </c>
    </row>
    <row r="35" spans="1:31" x14ac:dyDescent="0.3">
      <c r="A35" t="s">
        <v>29</v>
      </c>
      <c r="B35" s="2">
        <f>B19</f>
        <v>3.0000000000000001E-3</v>
      </c>
      <c r="C35">
        <f t="shared" ref="C35:H35" si="8">B35*(1+$B$20)</f>
        <v>3.0600000000000002E-3</v>
      </c>
      <c r="D35">
        <f t="shared" si="8"/>
        <v>3.1212000000000002E-3</v>
      </c>
      <c r="E35">
        <f t="shared" si="8"/>
        <v>3.1836240000000003E-3</v>
      </c>
      <c r="F35">
        <f t="shared" si="8"/>
        <v>3.2472964800000005E-3</v>
      </c>
      <c r="G35">
        <f t="shared" si="8"/>
        <v>3.3122424096000006E-3</v>
      </c>
      <c r="H35">
        <f t="shared" si="8"/>
        <v>3.3784872577920008E-3</v>
      </c>
      <c r="I35">
        <f t="shared" ref="I35:AE35" si="9">H35*(1+$B$20)</f>
        <v>3.446057002947841E-3</v>
      </c>
      <c r="J35">
        <f t="shared" si="9"/>
        <v>3.514978143006798E-3</v>
      </c>
      <c r="K35">
        <f t="shared" si="9"/>
        <v>3.5852777058669339E-3</v>
      </c>
      <c r="L35">
        <f t="shared" si="9"/>
        <v>3.6569832599842728E-3</v>
      </c>
      <c r="M35">
        <f t="shared" si="9"/>
        <v>3.7301229251839583E-3</v>
      </c>
      <c r="N35">
        <f t="shared" si="9"/>
        <v>3.8047253836876373E-3</v>
      </c>
      <c r="O35">
        <f t="shared" si="9"/>
        <v>3.8808198913613903E-3</v>
      </c>
      <c r="P35">
        <f t="shared" si="9"/>
        <v>3.9584362891886184E-3</v>
      </c>
      <c r="Q35">
        <f t="shared" si="9"/>
        <v>4.037605014972391E-3</v>
      </c>
      <c r="R35">
        <f t="shared" si="9"/>
        <v>4.1183571152718385E-3</v>
      </c>
      <c r="S35">
        <f t="shared" si="9"/>
        <v>4.2007242575772758E-3</v>
      </c>
      <c r="T35">
        <f t="shared" si="9"/>
        <v>4.2847387427288218E-3</v>
      </c>
      <c r="U35">
        <f t="shared" si="9"/>
        <v>4.370433517583398E-3</v>
      </c>
      <c r="V35">
        <f t="shared" si="9"/>
        <v>4.457842187935066E-3</v>
      </c>
      <c r="W35">
        <f t="shared" si="9"/>
        <v>4.5469990316937678E-3</v>
      </c>
      <c r="X35">
        <f t="shared" si="9"/>
        <v>4.637939012327643E-3</v>
      </c>
      <c r="Y35">
        <f t="shared" si="9"/>
        <v>4.7306977925741962E-3</v>
      </c>
      <c r="Z35">
        <f t="shared" si="9"/>
        <v>4.8253117484256805E-3</v>
      </c>
      <c r="AA35">
        <f t="shared" si="9"/>
        <v>4.9218179833941944E-3</v>
      </c>
      <c r="AB35">
        <f t="shared" si="9"/>
        <v>5.0202543430620788E-3</v>
      </c>
      <c r="AC35">
        <f t="shared" si="9"/>
        <v>5.1206594299233205E-3</v>
      </c>
      <c r="AD35">
        <f t="shared" si="9"/>
        <v>5.2230726185217872E-3</v>
      </c>
      <c r="AE35">
        <f t="shared" si="9"/>
        <v>5.3275340708922227E-3</v>
      </c>
    </row>
    <row r="36" spans="1:31" x14ac:dyDescent="0.3">
      <c r="A36" t="s">
        <v>30</v>
      </c>
      <c r="B36" s="6">
        <f t="shared" ref="B36:AE36" si="10">B35*$F$2</f>
        <v>315</v>
      </c>
      <c r="C36" s="6">
        <f t="shared" si="10"/>
        <v>321.3</v>
      </c>
      <c r="D36" s="6">
        <f t="shared" si="10"/>
        <v>327.726</v>
      </c>
      <c r="E36" s="6">
        <f t="shared" si="10"/>
        <v>334.28052000000002</v>
      </c>
      <c r="F36" s="6">
        <f t="shared" si="10"/>
        <v>340.96613040000005</v>
      </c>
      <c r="G36" s="6">
        <f t="shared" si="10"/>
        <v>347.78545300800005</v>
      </c>
      <c r="H36" s="6">
        <f t="shared" si="10"/>
        <v>354.74116206816007</v>
      </c>
      <c r="I36" s="6">
        <f t="shared" si="10"/>
        <v>361.83598530952332</v>
      </c>
      <c r="J36" s="6">
        <f t="shared" si="10"/>
        <v>369.07270501571378</v>
      </c>
      <c r="K36" s="6">
        <f t="shared" si="10"/>
        <v>376.45415911602805</v>
      </c>
      <c r="L36" s="6">
        <f t="shared" si="10"/>
        <v>383.98324229834861</v>
      </c>
      <c r="M36" s="6">
        <f t="shared" si="10"/>
        <v>391.66290714431562</v>
      </c>
      <c r="N36" s="6">
        <f t="shared" si="10"/>
        <v>399.4961652872019</v>
      </c>
      <c r="O36" s="6">
        <f t="shared" si="10"/>
        <v>407.48608859294598</v>
      </c>
      <c r="P36" s="6">
        <f t="shared" si="10"/>
        <v>415.63581036480491</v>
      </c>
      <c r="Q36" s="6">
        <f t="shared" si="10"/>
        <v>423.94852657210106</v>
      </c>
      <c r="R36" s="6">
        <f t="shared" si="10"/>
        <v>432.42749710354303</v>
      </c>
      <c r="S36" s="6">
        <f t="shared" si="10"/>
        <v>441.07604704561396</v>
      </c>
      <c r="T36" s="6">
        <f t="shared" si="10"/>
        <v>449.89756798652627</v>
      </c>
      <c r="U36" s="6">
        <f t="shared" si="10"/>
        <v>458.89551934625678</v>
      </c>
      <c r="V36" s="6">
        <f t="shared" si="10"/>
        <v>468.07342973318191</v>
      </c>
      <c r="W36" s="6">
        <f t="shared" si="10"/>
        <v>477.43489832784559</v>
      </c>
      <c r="X36" s="6">
        <f t="shared" si="10"/>
        <v>486.9835962944025</v>
      </c>
      <c r="Y36" s="6">
        <f t="shared" si="10"/>
        <v>496.72326822029061</v>
      </c>
      <c r="Z36" s="6">
        <f t="shared" si="10"/>
        <v>506.65773358469647</v>
      </c>
      <c r="AA36" s="6">
        <f t="shared" si="10"/>
        <v>516.79088825639042</v>
      </c>
      <c r="AB36" s="6">
        <f t="shared" si="10"/>
        <v>527.12670602151832</v>
      </c>
      <c r="AC36" s="6">
        <f t="shared" si="10"/>
        <v>537.66924014194865</v>
      </c>
      <c r="AD36" s="6">
        <f t="shared" si="10"/>
        <v>548.42262494478769</v>
      </c>
      <c r="AE36" s="6">
        <f t="shared" si="10"/>
        <v>559.39107744368334</v>
      </c>
    </row>
    <row r="40" spans="1:31" x14ac:dyDescent="0.3">
      <c r="A40" t="s">
        <v>31</v>
      </c>
      <c r="B40" s="3">
        <f t="shared" ref="B40:H40" si="11">B29-B33-B36</f>
        <v>3480.8399999999997</v>
      </c>
      <c r="C40" s="3">
        <f t="shared" si="11"/>
        <v>3569.9578739999997</v>
      </c>
      <c r="D40" s="3">
        <f t="shared" si="11"/>
        <v>3661.3427071688998</v>
      </c>
      <c r="E40" s="3">
        <f t="shared" si="11"/>
        <v>3755.0518810420472</v>
      </c>
      <c r="F40" s="3">
        <f t="shared" si="11"/>
        <v>3851.144224037942</v>
      </c>
      <c r="G40" s="3">
        <f t="shared" si="11"/>
        <v>3949.6800478323253</v>
      </c>
      <c r="H40" s="3">
        <f t="shared" si="11"/>
        <v>4050.7211846445393</v>
      </c>
      <c r="I40" s="3">
        <f t="shared" ref="I40:AE40" si="12">I29-I33-I36</f>
        <v>4154.3310254590087</v>
      </c>
      <c r="J40" s="3">
        <f t="shared" si="12"/>
        <v>4260.574559205239</v>
      </c>
      <c r="K40" s="3">
        <f t="shared" si="12"/>
        <v>4369.5184129203344</v>
      </c>
      <c r="L40" s="3">
        <f t="shared" si="12"/>
        <v>4481.2308929186256</v>
      </c>
      <c r="M40" s="3">
        <f t="shared" si="12"/>
        <v>4595.7820269936201</v>
      </c>
      <c r="N40" s="3">
        <f t="shared" si="12"/>
        <v>4713.2436076780987</v>
      </c>
      <c r="O40" s="3">
        <f t="shared" si="12"/>
        <v>4833.6892365888589</v>
      </c>
      <c r="P40" s="3">
        <f t="shared" si="12"/>
        <v>-1042.8056301167503</v>
      </c>
      <c r="Q40" s="3">
        <f t="shared" si="12"/>
        <v>5083.8363648553095</v>
      </c>
      <c r="R40" s="3">
        <f t="shared" si="12"/>
        <v>1463.6945277000341</v>
      </c>
      <c r="S40" s="3">
        <f t="shared" si="12"/>
        <v>5346.8501624750124</v>
      </c>
      <c r="T40" s="3">
        <f t="shared" si="12"/>
        <v>5483.3866212893827</v>
      </c>
      <c r="U40" s="3">
        <f t="shared" si="12"/>
        <v>5623.3893557508254</v>
      </c>
      <c r="V40" s="3">
        <f t="shared" si="12"/>
        <v>5766.9459697020839</v>
      </c>
      <c r="W40" s="3">
        <f t="shared" si="12"/>
        <v>5914.1462732792479</v>
      </c>
      <c r="X40" s="3">
        <f t="shared" si="12"/>
        <v>6065.0823383249071</v>
      </c>
      <c r="Y40" s="3">
        <f t="shared" si="12"/>
        <v>6219.848555190043</v>
      </c>
      <c r="Z40" s="3">
        <f t="shared" si="12"/>
        <v>6378.5416909594323</v>
      </c>
      <c r="AA40" s="3">
        <f t="shared" si="12"/>
        <v>6541.2609491361518</v>
      </c>
      <c r="AB40" s="3">
        <f t="shared" si="12"/>
        <v>6708.1080308216879</v>
      </c>
      <c r="AC40" s="3">
        <f t="shared" si="12"/>
        <v>6879.1871974291007</v>
      </c>
      <c r="AD40" s="3">
        <f t="shared" si="12"/>
        <v>7054.6053349675376</v>
      </c>
      <c r="AE40" s="3">
        <f t="shared" si="12"/>
        <v>7234.4720199374506</v>
      </c>
    </row>
    <row r="41" spans="1:31" x14ac:dyDescent="0.3">
      <c r="A41" t="s">
        <v>32</v>
      </c>
      <c r="B41" s="3">
        <f>$B$10*B40</f>
        <v>1322.7192</v>
      </c>
      <c r="C41" s="3">
        <f t="shared" ref="C41:AE41" si="13">$B$10*C40</f>
        <v>1356.5839921199999</v>
      </c>
      <c r="D41" s="3">
        <f t="shared" si="13"/>
        <v>1391.310228724182</v>
      </c>
      <c r="E41" s="3">
        <f t="shared" si="13"/>
        <v>1426.9197147959781</v>
      </c>
      <c r="F41" s="3">
        <f t="shared" si="13"/>
        <v>1463.434805134418</v>
      </c>
      <c r="G41" s="3">
        <f t="shared" si="13"/>
        <v>1500.8784181762837</v>
      </c>
      <c r="H41" s="3">
        <f t="shared" si="13"/>
        <v>1539.274050164925</v>
      </c>
      <c r="I41" s="3">
        <f t="shared" si="13"/>
        <v>1578.6457896744234</v>
      </c>
      <c r="J41" s="3">
        <f t="shared" si="13"/>
        <v>1619.0183324979907</v>
      </c>
      <c r="K41" s="3">
        <f t="shared" si="13"/>
        <v>1660.416996909727</v>
      </c>
      <c r="L41" s="3">
        <f t="shared" si="13"/>
        <v>1702.8677393090777</v>
      </c>
      <c r="M41" s="3">
        <f t="shared" si="13"/>
        <v>1746.3971702575757</v>
      </c>
      <c r="N41" s="3">
        <f t="shared" si="13"/>
        <v>1791.0325709176775</v>
      </c>
      <c r="O41" s="3">
        <f t="shared" si="13"/>
        <v>1836.8019099037665</v>
      </c>
      <c r="P41" s="3">
        <f t="shared" si="13"/>
        <v>-396.26613944436514</v>
      </c>
      <c r="Q41" s="3">
        <f t="shared" si="13"/>
        <v>1931.8578186450177</v>
      </c>
      <c r="R41" s="3">
        <f t="shared" si="13"/>
        <v>556.20392052601301</v>
      </c>
      <c r="S41" s="3">
        <f t="shared" si="13"/>
        <v>2031.8030617405047</v>
      </c>
      <c r="T41" s="3">
        <f t="shared" si="13"/>
        <v>2083.6869160899655</v>
      </c>
      <c r="U41" s="3">
        <f t="shared" si="13"/>
        <v>2136.8879551853138</v>
      </c>
      <c r="V41" s="3">
        <f t="shared" si="13"/>
        <v>2191.4394684867921</v>
      </c>
      <c r="W41" s="3">
        <f t="shared" si="13"/>
        <v>2247.3755838461143</v>
      </c>
      <c r="X41" s="3">
        <f t="shared" si="13"/>
        <v>2304.7312885634647</v>
      </c>
      <c r="Y41" s="3">
        <f t="shared" si="13"/>
        <v>2363.5424509722166</v>
      </c>
      <c r="Z41" s="3">
        <f t="shared" si="13"/>
        <v>2423.8458425645845</v>
      </c>
      <c r="AA41" s="3">
        <f t="shared" si="13"/>
        <v>2485.6791606717379</v>
      </c>
      <c r="AB41" s="3">
        <f t="shared" si="13"/>
        <v>2549.0810517122413</v>
      </c>
      <c r="AC41" s="3">
        <f t="shared" si="13"/>
        <v>2614.0911350230581</v>
      </c>
      <c r="AD41" s="3">
        <f t="shared" si="13"/>
        <v>2680.7500272876641</v>
      </c>
      <c r="AE41" s="3">
        <f t="shared" si="13"/>
        <v>2749.0993675762311</v>
      </c>
    </row>
    <row r="43" spans="1:31" x14ac:dyDescent="0.3">
      <c r="A43" t="s">
        <v>36</v>
      </c>
      <c r="B43" s="6">
        <f>$F$4/5</f>
        <v>17850</v>
      </c>
      <c r="C43" s="6">
        <f>$F$4/5</f>
        <v>17850</v>
      </c>
      <c r="D43" s="6">
        <f>$F$4/5</f>
        <v>17850</v>
      </c>
      <c r="E43" s="6">
        <f>$F$4/5</f>
        <v>17850</v>
      </c>
      <c r="F43" s="6">
        <f>$F$4/5</f>
        <v>17850</v>
      </c>
    </row>
    <row r="44" spans="1:31" x14ac:dyDescent="0.3">
      <c r="A44" t="s">
        <v>38</v>
      </c>
      <c r="B44" s="6">
        <f>B43*$B$10</f>
        <v>6783</v>
      </c>
      <c r="C44" s="6">
        <f>C43*$B$10</f>
        <v>6783</v>
      </c>
      <c r="D44" s="6">
        <f>D43*$B$10</f>
        <v>6783</v>
      </c>
      <c r="E44" s="6">
        <f>E43*$B$10</f>
        <v>6783</v>
      </c>
      <c r="F44" s="6">
        <f>F43*$B$10</f>
        <v>6783</v>
      </c>
    </row>
    <row r="45" spans="1:31" x14ac:dyDescent="0.3">
      <c r="B45" s="6"/>
      <c r="C45" s="6"/>
      <c r="D45" s="6"/>
      <c r="E45" s="6"/>
      <c r="F45" s="6"/>
    </row>
    <row r="46" spans="1:31" x14ac:dyDescent="0.3">
      <c r="A46" t="s">
        <v>34</v>
      </c>
      <c r="B46" s="3">
        <f>B40-B41+B44</f>
        <v>8941.1208000000006</v>
      </c>
      <c r="C46" s="3">
        <f>C40-C41+C44</f>
        <v>8996.3738818799993</v>
      </c>
      <c r="D46" s="3">
        <f>D40-D41+D44</f>
        <v>9053.0324784447184</v>
      </c>
      <c r="E46" s="3">
        <f>E40-E41+E44</f>
        <v>9111.1321662460687</v>
      </c>
      <c r="F46" s="3">
        <f>F40-F41+F44</f>
        <v>9170.7094189035233</v>
      </c>
      <c r="G46" s="3">
        <f t="shared" ref="G46:AE46" si="14">G40-G41</f>
        <v>2448.8016296560418</v>
      </c>
      <c r="H46" s="3">
        <f t="shared" si="14"/>
        <v>2511.4471344796143</v>
      </c>
      <c r="I46" s="3">
        <f t="shared" si="14"/>
        <v>2575.6852357845855</v>
      </c>
      <c r="J46" s="3">
        <f t="shared" si="14"/>
        <v>2641.5562267072482</v>
      </c>
      <c r="K46" s="3">
        <f t="shared" si="14"/>
        <v>2709.1014160106074</v>
      </c>
      <c r="L46" s="3">
        <f t="shared" si="14"/>
        <v>2778.3631536095481</v>
      </c>
      <c r="M46" s="3">
        <f t="shared" si="14"/>
        <v>2849.3848567360446</v>
      </c>
      <c r="N46" s="3">
        <f t="shared" si="14"/>
        <v>2922.2110367604209</v>
      </c>
      <c r="O46" s="3">
        <f t="shared" si="14"/>
        <v>2996.8873266850924</v>
      </c>
      <c r="P46" s="3">
        <f t="shared" si="14"/>
        <v>-646.53949067238523</v>
      </c>
      <c r="Q46" s="3">
        <f t="shared" si="14"/>
        <v>3151.9785462102918</v>
      </c>
      <c r="R46" s="3">
        <f t="shared" si="14"/>
        <v>907.49060717402108</v>
      </c>
      <c r="S46" s="3">
        <f t="shared" si="14"/>
        <v>3315.0471007345077</v>
      </c>
      <c r="T46" s="3">
        <f t="shared" si="14"/>
        <v>3399.6997051994172</v>
      </c>
      <c r="U46" s="3">
        <f t="shared" si="14"/>
        <v>3486.5014005655116</v>
      </c>
      <c r="V46" s="3">
        <f t="shared" si="14"/>
        <v>3575.5065012152918</v>
      </c>
      <c r="W46" s="3">
        <f t="shared" si="14"/>
        <v>3666.7706894331336</v>
      </c>
      <c r="X46" s="3">
        <f t="shared" si="14"/>
        <v>3760.3510497614425</v>
      </c>
      <c r="Y46" s="3">
        <f t="shared" si="14"/>
        <v>3856.3061042178265</v>
      </c>
      <c r="Z46" s="3">
        <f t="shared" si="14"/>
        <v>3954.6958483948479</v>
      </c>
      <c r="AA46" s="3">
        <f t="shared" si="14"/>
        <v>4055.5817884644139</v>
      </c>
      <c r="AB46" s="3">
        <f t="shared" si="14"/>
        <v>4159.026979109447</v>
      </c>
      <c r="AC46" s="3">
        <f t="shared" si="14"/>
        <v>4265.0960624060426</v>
      </c>
      <c r="AD46" s="3">
        <f t="shared" si="14"/>
        <v>4373.8553076798735</v>
      </c>
      <c r="AE46" s="3">
        <f t="shared" si="14"/>
        <v>4485.3726523612195</v>
      </c>
    </row>
    <row r="48" spans="1:31" x14ac:dyDescent="0.3">
      <c r="A48" t="s">
        <v>39</v>
      </c>
      <c r="B48" s="6">
        <f>NPV(B22,B46:AE46)-F2</f>
        <v>-23186.564665511323</v>
      </c>
    </row>
    <row r="49" spans="1:31" x14ac:dyDescent="0.3">
      <c r="A49" t="s">
        <v>48</v>
      </c>
      <c r="B49" s="5">
        <f>NPV(B22,B46:M46)-F2</f>
        <v>-50636.929329257058</v>
      </c>
    </row>
    <row r="51" spans="1:31" x14ac:dyDescent="0.3">
      <c r="A51" t="s">
        <v>33</v>
      </c>
      <c r="B51" s="6">
        <f>B11*F2</f>
        <v>31500</v>
      </c>
      <c r="K51" s="6"/>
      <c r="U51" s="15"/>
    </row>
    <row r="52" spans="1:31" x14ac:dyDescent="0.3">
      <c r="K52" s="6"/>
      <c r="Q52" s="15" t="s">
        <v>68</v>
      </c>
      <c r="U52" s="15" t="s">
        <v>70</v>
      </c>
      <c r="V52" s="15"/>
    </row>
    <row r="53" spans="1:31" x14ac:dyDescent="0.3">
      <c r="A53" t="s">
        <v>49</v>
      </c>
      <c r="B53" s="6">
        <f>B48+$B$51</f>
        <v>8313.4353344886767</v>
      </c>
      <c r="D53" s="15" t="s">
        <v>58</v>
      </c>
      <c r="H53" s="15" t="s">
        <v>61</v>
      </c>
      <c r="J53" s="33" t="s">
        <v>62</v>
      </c>
      <c r="M53" s="15" t="s">
        <v>64</v>
      </c>
      <c r="R53" s="15" t="s">
        <v>66</v>
      </c>
      <c r="S53" s="15" t="s">
        <v>67</v>
      </c>
      <c r="V53" s="15" t="s">
        <v>66</v>
      </c>
      <c r="W53" s="15" t="s">
        <v>57</v>
      </c>
    </row>
    <row r="54" spans="1:31" ht="15" thickBot="1" x14ac:dyDescent="0.35">
      <c r="A54" t="s">
        <v>50</v>
      </c>
      <c r="B54" s="6">
        <f>B49+$B$51</f>
        <v>-19136.929329257058</v>
      </c>
      <c r="H54" s="15" t="s">
        <v>63</v>
      </c>
      <c r="I54" s="15"/>
      <c r="N54" s="15" t="s">
        <v>66</v>
      </c>
      <c r="O54" s="15" t="s">
        <v>67</v>
      </c>
      <c r="Q54" s="15" t="s">
        <v>69</v>
      </c>
      <c r="R54">
        <f>B60</f>
        <v>22007.173834488676</v>
      </c>
      <c r="S54">
        <f>B61</f>
        <v>-5443.1908292570588</v>
      </c>
      <c r="U54" s="15" t="s">
        <v>71</v>
      </c>
      <c r="V54" s="42">
        <f>B60</f>
        <v>22007.173834488676</v>
      </c>
      <c r="W54" s="42">
        <f>B61</f>
        <v>-5443.1908292570588</v>
      </c>
    </row>
    <row r="55" spans="1:31" ht="15.6" thickTop="1" thickBot="1" x14ac:dyDescent="0.35">
      <c r="D55" s="18" t="s">
        <v>55</v>
      </c>
      <c r="E55" s="15" t="s">
        <v>56</v>
      </c>
      <c r="F55" s="15" t="s">
        <v>57</v>
      </c>
      <c r="H55" s="30">
        <f>B60</f>
        <v>22007.173834488676</v>
      </c>
      <c r="I55" s="23">
        <v>105000</v>
      </c>
      <c r="J55" s="23">
        <v>94500</v>
      </c>
      <c r="K55" s="23">
        <v>84000</v>
      </c>
      <c r="L55" s="33"/>
      <c r="M55" s="43" t="s">
        <v>65</v>
      </c>
      <c r="N55" s="30">
        <f>B60</f>
        <v>22007.173834488676</v>
      </c>
      <c r="O55" s="30">
        <f>B61</f>
        <v>-5443.1908292570588</v>
      </c>
      <c r="Q55" s="41">
        <v>0.3</v>
      </c>
      <c r="R55" s="16">
        <f t="dataTable" ref="R55:S61" dt2D="0" dtr="0" r1="B11" ca="1"/>
        <v>22007.173834488676</v>
      </c>
      <c r="S55" s="16">
        <v>-5443.1908292570588</v>
      </c>
      <c r="U55" s="35">
        <v>0.23</v>
      </c>
      <c r="V55" s="64">
        <f t="dataTable" ref="V55:W61" dt2D="0" dtr="0" r1="B27" ca="1"/>
        <v>44100.097493200876</v>
      </c>
      <c r="W55" s="64">
        <v>4207.5274218019767</v>
      </c>
    </row>
    <row r="56" spans="1:31" ht="15" thickTop="1" x14ac:dyDescent="0.3">
      <c r="A56" t="s">
        <v>40</v>
      </c>
      <c r="B56" s="3">
        <f>B6*B7*B8</f>
        <v>22086.674999999999</v>
      </c>
      <c r="D56" s="19">
        <f>B6</f>
        <v>1.95</v>
      </c>
      <c r="E56" s="20">
        <f>B60</f>
        <v>22007.173834488676</v>
      </c>
      <c r="F56" s="20">
        <f>B61</f>
        <v>-5443.1908292570588</v>
      </c>
      <c r="G56" s="6"/>
      <c r="H56" s="27">
        <v>1.95</v>
      </c>
      <c r="I56" s="25">
        <f t="dataTable" ref="I56:K60" dt2D="1" dtr="1" r1="F2" r2="B6"/>
        <v>22007.173834488676</v>
      </c>
      <c r="J56" s="22">
        <v>26757.046783579448</v>
      </c>
      <c r="K56" s="22">
        <v>31506.919732670176</v>
      </c>
      <c r="M56" s="31">
        <v>5.0000000000000001E-3</v>
      </c>
      <c r="N56" s="21">
        <f t="dataTable" ref="N56:O61" dt2D="0" dtr="0" r1="B4" ca="1"/>
        <v>22007.173834488676</v>
      </c>
      <c r="O56" s="21">
        <v>-5443.1908292570588</v>
      </c>
      <c r="Q56" s="41">
        <v>0.25</v>
      </c>
      <c r="R56" s="16">
        <v>16757.173834488676</v>
      </c>
      <c r="S56" s="16">
        <v>-10693.190829257059</v>
      </c>
      <c r="U56" s="35">
        <v>0.21</v>
      </c>
      <c r="V56" s="21">
        <v>36735.789606963423</v>
      </c>
      <c r="W56" s="21">
        <v>990.62133811563399</v>
      </c>
    </row>
    <row r="57" spans="1:31" x14ac:dyDescent="0.3">
      <c r="A57" t="s">
        <v>43</v>
      </c>
      <c r="B57" s="3">
        <f>B56*B10</f>
        <v>8392.9364999999998</v>
      </c>
      <c r="D57" s="21">
        <v>1.95</v>
      </c>
      <c r="E57" s="21">
        <f t="dataTable" ref="E57:F61" dt2D="0" dtr="0" r1="B6" ca="1"/>
        <v>22007.173834488676</v>
      </c>
      <c r="F57" s="21">
        <v>-5443.1908292570588</v>
      </c>
      <c r="H57" s="27">
        <v>1.5</v>
      </c>
      <c r="I57" s="26">
        <v>18847.080334488677</v>
      </c>
      <c r="J57" s="16">
        <v>23596.953283579449</v>
      </c>
      <c r="K57" s="16">
        <v>28346.826232670177</v>
      </c>
      <c r="M57" s="31">
        <v>6.0000000000000001E-3</v>
      </c>
      <c r="N57" s="21">
        <v>21150.542241114796</v>
      </c>
      <c r="O57" s="21">
        <v>-5590.5267930402333</v>
      </c>
      <c r="Q57" s="41">
        <v>0.2</v>
      </c>
      <c r="R57" s="16">
        <v>11507.173834488676</v>
      </c>
      <c r="S57" s="16">
        <v>-15943.190829257059</v>
      </c>
      <c r="U57" s="35">
        <v>0.19</v>
      </c>
      <c r="V57" s="21">
        <v>29371.4817207261</v>
      </c>
      <c r="W57" s="21">
        <v>-2226.284745570716</v>
      </c>
    </row>
    <row r="58" spans="1:31" x14ac:dyDescent="0.3">
      <c r="A58" t="s">
        <v>44</v>
      </c>
      <c r="B58" s="3">
        <f>B56-B57</f>
        <v>13693.738499999999</v>
      </c>
      <c r="D58" s="21">
        <v>1.5</v>
      </c>
      <c r="E58" s="21">
        <v>18847.080334488677</v>
      </c>
      <c r="F58" s="21">
        <v>-8603.2843292570578</v>
      </c>
      <c r="G58" s="44" t="s">
        <v>55</v>
      </c>
      <c r="H58" s="27">
        <v>1.05</v>
      </c>
      <c r="I58" s="26">
        <v>15686.986834488678</v>
      </c>
      <c r="J58" s="16">
        <v>20436.85978357945</v>
      </c>
      <c r="K58" s="16">
        <v>25186.732732670178</v>
      </c>
      <c r="M58" s="31">
        <v>7.0000000000000001E-3</v>
      </c>
      <c r="N58" s="21">
        <v>20309.382959471499</v>
      </c>
      <c r="O58" s="21">
        <v>-5736.8898523291646</v>
      </c>
      <c r="Q58" s="41">
        <v>0.15</v>
      </c>
      <c r="R58" s="16">
        <v>6257.1738344886762</v>
      </c>
      <c r="S58" s="16">
        <v>-21193.190829257059</v>
      </c>
      <c r="U58" s="35">
        <v>0.17</v>
      </c>
      <c r="V58" s="21">
        <v>22007.173834488676</v>
      </c>
      <c r="W58" s="21">
        <v>-5443.1908292570588</v>
      </c>
    </row>
    <row r="59" spans="1:31" x14ac:dyDescent="0.3">
      <c r="D59" s="21">
        <v>1.05</v>
      </c>
      <c r="E59" s="21">
        <v>15686.986834488678</v>
      </c>
      <c r="F59" s="21">
        <v>-11763.377829257057</v>
      </c>
      <c r="H59" s="28">
        <v>0.75</v>
      </c>
      <c r="I59" s="26">
        <v>13580.257834488677</v>
      </c>
      <c r="J59" s="16">
        <v>18330.130783579451</v>
      </c>
      <c r="K59" s="16">
        <v>23080.003732670179</v>
      </c>
      <c r="M59" s="31">
        <v>8.0000000000000002E-3</v>
      </c>
      <c r="N59" s="21">
        <v>19483.389557349954</v>
      </c>
      <c r="O59" s="21">
        <v>-5882.2865445228454</v>
      </c>
      <c r="Q59" s="41">
        <v>0.1</v>
      </c>
      <c r="R59" s="16">
        <v>1007.1738344886762</v>
      </c>
      <c r="S59" s="16">
        <v>-26443.190829257059</v>
      </c>
      <c r="U59" s="35">
        <v>0.15</v>
      </c>
      <c r="V59" s="21">
        <v>14642.86594825131</v>
      </c>
      <c r="W59" s="21">
        <v>-8660.0969129434015</v>
      </c>
    </row>
    <row r="60" spans="1:31" x14ac:dyDescent="0.3">
      <c r="A60" t="s">
        <v>51</v>
      </c>
      <c r="B60" s="6">
        <f>B53+$B$58</f>
        <v>22007.173834488676</v>
      </c>
      <c r="D60" s="21">
        <v>0.75</v>
      </c>
      <c r="E60" s="21">
        <v>13580.257834488677</v>
      </c>
      <c r="F60" s="21">
        <v>-13870.106829257058</v>
      </c>
      <c r="H60" s="28">
        <v>0</v>
      </c>
      <c r="I60" s="26">
        <v>8313.4353344886767</v>
      </c>
      <c r="J60" s="16">
        <v>13063.308283579448</v>
      </c>
      <c r="K60" s="16">
        <v>17813.181232670177</v>
      </c>
      <c r="M60" s="31">
        <v>8.9999999999999993E-3</v>
      </c>
      <c r="N60" s="21">
        <v>18672.261873154268</v>
      </c>
      <c r="O60" s="21">
        <v>-6026.7233652443829</v>
      </c>
      <c r="Q60" s="41">
        <v>0.05</v>
      </c>
      <c r="R60" s="16">
        <v>-4242.8261655113238</v>
      </c>
      <c r="S60" s="16">
        <v>-31693.190829257059</v>
      </c>
      <c r="U60" s="35">
        <v>0.13</v>
      </c>
      <c r="V60" s="21">
        <v>7278.5580620139444</v>
      </c>
      <c r="W60" s="21">
        <v>-11877.002996629752</v>
      </c>
    </row>
    <row r="61" spans="1:31" x14ac:dyDescent="0.3">
      <c r="A61" t="s">
        <v>52</v>
      </c>
      <c r="B61" s="6">
        <f>B54+$B$58</f>
        <v>-5443.1908292570588</v>
      </c>
      <c r="D61" s="21">
        <v>0</v>
      </c>
      <c r="E61" s="21">
        <v>8313.4353344886767</v>
      </c>
      <c r="F61" s="21">
        <v>-19136.929329257058</v>
      </c>
      <c r="H61" s="33"/>
      <c r="M61" s="31">
        <v>0.01</v>
      </c>
      <c r="N61" s="21">
        <v>17875.705886889256</v>
      </c>
      <c r="O61" s="21">
        <v>-6170.206768585027</v>
      </c>
      <c r="Q61" s="41">
        <v>0</v>
      </c>
      <c r="R61" s="16">
        <v>-9492.8261655113238</v>
      </c>
      <c r="S61" s="16">
        <v>-36943.190829257059</v>
      </c>
      <c r="U61" s="35">
        <v>0.11</v>
      </c>
      <c r="V61" s="21">
        <v>-85.749824223457836</v>
      </c>
      <c r="W61" s="21">
        <v>-15093.909080316094</v>
      </c>
    </row>
    <row r="62" spans="1:31" x14ac:dyDescent="0.3">
      <c r="D62" s="21">
        <v>0</v>
      </c>
      <c r="H62" s="34"/>
    </row>
    <row r="63" spans="1:31" x14ac:dyDescent="0.3">
      <c r="A63" t="s">
        <v>46</v>
      </c>
      <c r="B63" s="3">
        <f>B56+B51+B46-F2</f>
        <v>-42472.204199999993</v>
      </c>
      <c r="C63" s="3">
        <f>C46</f>
        <v>8996.3738818799993</v>
      </c>
      <c r="D63" s="3">
        <f t="shared" ref="D63:AE63" si="15">D46</f>
        <v>9053.0324784447184</v>
      </c>
      <c r="E63" s="3">
        <f t="shared" si="15"/>
        <v>9111.1321662460687</v>
      </c>
      <c r="F63" s="3">
        <f t="shared" si="15"/>
        <v>9170.7094189035233</v>
      </c>
      <c r="G63" s="3">
        <f t="shared" si="15"/>
        <v>2448.8016296560418</v>
      </c>
      <c r="H63" s="3">
        <f t="shared" si="15"/>
        <v>2511.4471344796143</v>
      </c>
      <c r="I63" s="3">
        <f t="shared" si="15"/>
        <v>2575.6852357845855</v>
      </c>
      <c r="J63" s="3">
        <f t="shared" si="15"/>
        <v>2641.5562267072482</v>
      </c>
      <c r="K63" s="3">
        <f t="shared" si="15"/>
        <v>2709.1014160106074</v>
      </c>
      <c r="L63" s="3">
        <f t="shared" si="15"/>
        <v>2778.3631536095481</v>
      </c>
      <c r="M63" s="3">
        <f t="shared" si="15"/>
        <v>2849.3848567360446</v>
      </c>
      <c r="N63" s="3">
        <f t="shared" si="15"/>
        <v>2922.2110367604209</v>
      </c>
      <c r="O63" s="3">
        <f t="shared" si="15"/>
        <v>2996.8873266850924</v>
      </c>
      <c r="P63" s="3">
        <f t="shared" si="15"/>
        <v>-646.53949067238523</v>
      </c>
      <c r="Q63" s="3">
        <f t="shared" si="15"/>
        <v>3151.9785462102918</v>
      </c>
      <c r="R63" s="3">
        <f t="shared" si="15"/>
        <v>907.49060717402108</v>
      </c>
      <c r="S63" s="3">
        <f t="shared" si="15"/>
        <v>3315.0471007345077</v>
      </c>
      <c r="T63" s="3">
        <f t="shared" si="15"/>
        <v>3399.6997051994172</v>
      </c>
      <c r="U63" s="3">
        <f t="shared" si="15"/>
        <v>3486.5014005655116</v>
      </c>
      <c r="V63" s="3">
        <f t="shared" si="15"/>
        <v>3575.5065012152918</v>
      </c>
      <c r="W63" s="3">
        <f t="shared" si="15"/>
        <v>3666.7706894331336</v>
      </c>
      <c r="X63" s="3">
        <f t="shared" si="15"/>
        <v>3760.3510497614425</v>
      </c>
      <c r="Y63" s="3">
        <f t="shared" si="15"/>
        <v>3856.3061042178265</v>
      </c>
      <c r="Z63" s="3">
        <f t="shared" si="15"/>
        <v>3954.6958483948479</v>
      </c>
      <c r="AA63" s="3">
        <f t="shared" si="15"/>
        <v>4055.5817884644139</v>
      </c>
      <c r="AB63" s="3">
        <f t="shared" si="15"/>
        <v>4159.026979109447</v>
      </c>
      <c r="AC63" s="3">
        <f t="shared" si="15"/>
        <v>4265.0960624060426</v>
      </c>
      <c r="AD63" s="3">
        <f t="shared" si="15"/>
        <v>4373.8553076798735</v>
      </c>
      <c r="AE63" s="3">
        <f t="shared" si="15"/>
        <v>4485.3726523612195</v>
      </c>
    </row>
    <row r="65" spans="1:31" x14ac:dyDescent="0.3">
      <c r="A65" t="s">
        <v>41</v>
      </c>
      <c r="B65" s="3">
        <f>SUM($B$63:B63)</f>
        <v>-42472.204199999993</v>
      </c>
      <c r="C65" s="3">
        <f>SUM($B$63:C63)</f>
        <v>-33475.830318119995</v>
      </c>
      <c r="D65" s="3">
        <f>SUM($B$63:D63)</f>
        <v>-24422.797839675277</v>
      </c>
      <c r="E65" s="3">
        <f>SUM($B$63:E63)</f>
        <v>-15311.665673429208</v>
      </c>
      <c r="F65" s="3">
        <f>SUM($B$63:F63)</f>
        <v>-6140.9562545256849</v>
      </c>
      <c r="G65" s="3">
        <f>SUM($B$63:G63)</f>
        <v>-3692.1546248696432</v>
      </c>
      <c r="H65" s="3">
        <f>SUM($B$63:H63)</f>
        <v>-1180.7074903900289</v>
      </c>
      <c r="I65" s="3">
        <f>SUM($B$63:I63)</f>
        <v>1394.9777453945567</v>
      </c>
      <c r="J65" s="3">
        <f>SUM($B$63:J63)</f>
        <v>4036.5339721018049</v>
      </c>
      <c r="K65" s="3">
        <f>SUM($B$63:K63)</f>
        <v>6745.6353881124123</v>
      </c>
      <c r="L65" s="3">
        <f>SUM($B$63:L63)</f>
        <v>9523.9985417219614</v>
      </c>
      <c r="M65" s="3">
        <f>SUM($B$63:M63)</f>
        <v>12373.383398458005</v>
      </c>
      <c r="N65" s="3">
        <f>SUM($B$63:N63)</f>
        <v>15295.594435218427</v>
      </c>
      <c r="O65" s="3">
        <f>SUM($B$63:O63)</f>
        <v>18292.48176190352</v>
      </c>
      <c r="P65" s="3">
        <f>SUM($B$63:P63)</f>
        <v>17645.942271231135</v>
      </c>
      <c r="Q65" s="3">
        <f>SUM($B$63:Q63)</f>
        <v>20797.920817441427</v>
      </c>
      <c r="R65" s="3">
        <f>SUM($B$63:R63)</f>
        <v>21705.41142461545</v>
      </c>
      <c r="S65" s="3">
        <f>SUM($B$63:S63)</f>
        <v>25020.458525349957</v>
      </c>
      <c r="T65" s="3">
        <f>SUM($B$63:T63)</f>
        <v>28420.158230549376</v>
      </c>
      <c r="U65" s="3">
        <f>SUM($B$63:U63)</f>
        <v>31906.659631114886</v>
      </c>
      <c r="V65" s="3">
        <f>SUM($B$63:V63)</f>
        <v>35482.166132330181</v>
      </c>
      <c r="W65" s="3">
        <f>SUM($B$63:W63)</f>
        <v>39148.936821763316</v>
      </c>
      <c r="X65" s="3">
        <f>SUM($B$63:X63)</f>
        <v>42909.287871524757</v>
      </c>
      <c r="Y65" s="3">
        <f>SUM($B$63:Y63)</f>
        <v>46765.59397574258</v>
      </c>
      <c r="Z65" s="3">
        <f>SUM($B$63:Z63)</f>
        <v>50720.289824137428</v>
      </c>
      <c r="AA65" s="3">
        <f>SUM($B$63:AA63)</f>
        <v>54775.871612601841</v>
      </c>
      <c r="AB65" s="3">
        <f>SUM($B$63:AB63)</f>
        <v>58934.898591711288</v>
      </c>
      <c r="AC65" s="3">
        <f>SUM($B$63:AC63)</f>
        <v>63199.994654117327</v>
      </c>
      <c r="AD65" s="3">
        <f>SUM($B$63:AD63)</f>
        <v>67573.849961797197</v>
      </c>
      <c r="AE65" s="3">
        <f>SUM($B$63:AE63)</f>
        <v>72059.222614158411</v>
      </c>
    </row>
    <row r="66" spans="1:31" x14ac:dyDescent="0.3">
      <c r="A66" t="s">
        <v>47</v>
      </c>
      <c r="B66">
        <f>MIN(C66:AE66)</f>
        <v>8</v>
      </c>
      <c r="C66" s="9" t="b">
        <f>IF(C65&gt;0,C26)</f>
        <v>0</v>
      </c>
      <c r="D66" s="9" t="b">
        <f t="shared" ref="D66:AE66" si="16">IF(D65&gt;0,D26)</f>
        <v>0</v>
      </c>
      <c r="E66" s="9" t="b">
        <f t="shared" si="16"/>
        <v>0</v>
      </c>
      <c r="F66" s="9" t="b">
        <f t="shared" si="16"/>
        <v>0</v>
      </c>
      <c r="G66" s="9" t="b">
        <f t="shared" si="16"/>
        <v>0</v>
      </c>
      <c r="H66" s="9" t="b">
        <f t="shared" si="16"/>
        <v>0</v>
      </c>
      <c r="I66" s="9">
        <f t="shared" si="16"/>
        <v>8</v>
      </c>
      <c r="J66" s="9">
        <f t="shared" si="16"/>
        <v>9</v>
      </c>
      <c r="K66" s="9">
        <f t="shared" si="16"/>
        <v>10</v>
      </c>
      <c r="L66" s="9">
        <f t="shared" si="16"/>
        <v>11</v>
      </c>
      <c r="M66" s="9">
        <f t="shared" si="16"/>
        <v>12</v>
      </c>
      <c r="N66" s="9">
        <f t="shared" si="16"/>
        <v>13</v>
      </c>
      <c r="O66" s="9">
        <f t="shared" si="16"/>
        <v>14</v>
      </c>
      <c r="P66" s="9">
        <f t="shared" si="16"/>
        <v>15</v>
      </c>
      <c r="Q66" s="9">
        <f t="shared" si="16"/>
        <v>16</v>
      </c>
      <c r="R66" s="9">
        <f t="shared" si="16"/>
        <v>17</v>
      </c>
      <c r="S66" s="9">
        <f t="shared" si="16"/>
        <v>18</v>
      </c>
      <c r="T66" s="9">
        <f t="shared" si="16"/>
        <v>19</v>
      </c>
      <c r="U66" s="9">
        <f t="shared" si="16"/>
        <v>20</v>
      </c>
      <c r="V66" s="9">
        <f t="shared" si="16"/>
        <v>21</v>
      </c>
      <c r="W66" s="9">
        <f t="shared" si="16"/>
        <v>22</v>
      </c>
      <c r="X66" s="9">
        <f t="shared" si="16"/>
        <v>23</v>
      </c>
      <c r="Y66" s="9">
        <f t="shared" si="16"/>
        <v>24</v>
      </c>
      <c r="Z66" s="9">
        <f t="shared" si="16"/>
        <v>25</v>
      </c>
      <c r="AA66" s="9">
        <f t="shared" si="16"/>
        <v>26</v>
      </c>
      <c r="AB66" s="9">
        <f t="shared" si="16"/>
        <v>27</v>
      </c>
      <c r="AC66" s="9">
        <f t="shared" si="16"/>
        <v>28</v>
      </c>
      <c r="AD66" s="9">
        <f t="shared" si="16"/>
        <v>29</v>
      </c>
      <c r="AE66" s="9">
        <f t="shared" si="16"/>
        <v>30</v>
      </c>
    </row>
    <row r="68" spans="1:31" x14ac:dyDescent="0.3">
      <c r="A68" s="16" t="s">
        <v>48</v>
      </c>
      <c r="B68" s="66">
        <f>NPV($B$22,$B$46:M46)-$F$2</f>
        <v>-50636.929329257058</v>
      </c>
      <c r="C68" s="16" t="s">
        <v>115</v>
      </c>
      <c r="D68" s="66">
        <f>B68+$B$51</f>
        <v>-19136.929329257058</v>
      </c>
      <c r="E68" s="16" t="s">
        <v>116</v>
      </c>
      <c r="F68" s="66">
        <f>D68+$B$58</f>
        <v>-5443.1908292570588</v>
      </c>
      <c r="G68" s="75" t="s">
        <v>117</v>
      </c>
    </row>
    <row r="69" spans="1:31" x14ac:dyDescent="0.3">
      <c r="A69" s="16" t="s">
        <v>98</v>
      </c>
      <c r="B69" s="66">
        <f>NPV($B$22,$B$46:N$46)-$F$2</f>
        <v>-48775.481818133725</v>
      </c>
      <c r="C69" s="16" t="s">
        <v>115</v>
      </c>
      <c r="D69" s="66">
        <f t="shared" ref="D69:D86" si="17">B69+$B$51</f>
        <v>-17275.481818133725</v>
      </c>
      <c r="E69" s="16" t="s">
        <v>116</v>
      </c>
      <c r="F69" s="66">
        <f t="shared" ref="F69:F86" si="18">D69+$B$58</f>
        <v>-3581.7433181337256</v>
      </c>
      <c r="G69" s="76" t="s">
        <v>118</v>
      </c>
    </row>
    <row r="70" spans="1:31" x14ac:dyDescent="0.3">
      <c r="A70" s="16" t="s">
        <v>99</v>
      </c>
      <c r="B70" s="66">
        <f>NPV($B$22,$B$46:O$46)-$F$2</f>
        <v>-46931.556111272846</v>
      </c>
      <c r="C70" s="16" t="s">
        <v>115</v>
      </c>
      <c r="D70" s="66">
        <f t="shared" si="17"/>
        <v>-15431.556111272846</v>
      </c>
      <c r="E70" s="16" t="s">
        <v>116</v>
      </c>
      <c r="F70" s="66">
        <f t="shared" si="18"/>
        <v>-1737.817611272847</v>
      </c>
      <c r="G70" s="76" t="s">
        <v>119</v>
      </c>
      <c r="L70" s="14"/>
      <c r="M70" s="5"/>
    </row>
    <row r="71" spans="1:31" x14ac:dyDescent="0.3">
      <c r="A71" s="16" t="s">
        <v>100</v>
      </c>
      <c r="B71" s="66">
        <f>NPV($B$22,$B$46:P$46)-$F$2</f>
        <v>-47315.795468030337</v>
      </c>
      <c r="C71" s="16" t="s">
        <v>115</v>
      </c>
      <c r="D71" s="66">
        <f t="shared" si="17"/>
        <v>-15815.795468030337</v>
      </c>
      <c r="E71" s="16" t="s">
        <v>116</v>
      </c>
      <c r="F71" s="66">
        <f t="shared" si="18"/>
        <v>-2122.0569680303379</v>
      </c>
      <c r="G71" s="76" t="s">
        <v>120</v>
      </c>
    </row>
    <row r="72" spans="1:31" x14ac:dyDescent="0.3">
      <c r="A72" s="16" t="s">
        <v>101</v>
      </c>
      <c r="B72" s="66">
        <f>NPV($B$22,$B$46:Q$46)-$F$2</f>
        <v>-45506.440285736586</v>
      </c>
      <c r="C72" s="16" t="s">
        <v>115</v>
      </c>
      <c r="D72" s="66">
        <f t="shared" si="17"/>
        <v>-14006.440285736586</v>
      </c>
      <c r="E72" s="16" t="s">
        <v>116</v>
      </c>
      <c r="F72" s="66">
        <f t="shared" si="18"/>
        <v>-312.70178573658632</v>
      </c>
      <c r="G72" s="76" t="s">
        <v>121</v>
      </c>
      <c r="H72" s="74" t="s">
        <v>136</v>
      </c>
    </row>
    <row r="73" spans="1:31" x14ac:dyDescent="0.3">
      <c r="A73" s="16" t="s">
        <v>102</v>
      </c>
      <c r="B73" s="66">
        <f>NPV($B$22,$B$46:R$46)-$F$2</f>
        <v>-45003.268245746345</v>
      </c>
      <c r="C73" s="16" t="s">
        <v>115</v>
      </c>
      <c r="D73" s="66">
        <f t="shared" si="17"/>
        <v>-13503.268245746345</v>
      </c>
      <c r="E73" s="16" t="s">
        <v>116</v>
      </c>
      <c r="F73" s="77">
        <f t="shared" si="18"/>
        <v>190.47025425365428</v>
      </c>
      <c r="G73" s="78" t="s">
        <v>122</v>
      </c>
      <c r="H73" s="74"/>
      <c r="L73" s="10"/>
      <c r="M73" s="5"/>
    </row>
    <row r="74" spans="1:31" x14ac:dyDescent="0.3">
      <c r="A74" s="16" t="s">
        <v>103</v>
      </c>
      <c r="B74" s="66">
        <f>NPV($B$22,$B$46:S$46)-$F$2</f>
        <v>-43227.861559519784</v>
      </c>
      <c r="C74" s="16" t="s">
        <v>115</v>
      </c>
      <c r="D74" s="66">
        <f t="shared" si="17"/>
        <v>-11727.861559519784</v>
      </c>
      <c r="E74" s="16" t="s">
        <v>116</v>
      </c>
      <c r="F74" s="66">
        <f t="shared" si="18"/>
        <v>1965.8769404802151</v>
      </c>
      <c r="G74" s="76" t="s">
        <v>123</v>
      </c>
      <c r="H74" s="74"/>
      <c r="I74" s="5"/>
    </row>
    <row r="75" spans="1:31" x14ac:dyDescent="0.3">
      <c r="A75" s="16" t="s">
        <v>104</v>
      </c>
      <c r="B75" s="66">
        <f>NPV($B$22,$B$46:T$46)-$F$2</f>
        <v>-41469.199107447545</v>
      </c>
      <c r="C75" s="16" t="s">
        <v>115</v>
      </c>
      <c r="D75" s="66">
        <f t="shared" si="17"/>
        <v>-9969.1991074475445</v>
      </c>
      <c r="E75" s="16" t="s">
        <v>116</v>
      </c>
      <c r="F75" s="66">
        <f t="shared" si="18"/>
        <v>3724.539392552455</v>
      </c>
      <c r="G75" s="76" t="s">
        <v>124</v>
      </c>
      <c r="H75" s="74"/>
    </row>
    <row r="76" spans="1:31" x14ac:dyDescent="0.3">
      <c r="A76" s="16" t="s">
        <v>105</v>
      </c>
      <c r="B76" s="66">
        <f>NPV($B$22,$B$46:U$46)-$F$2</f>
        <v>-39727.129260276888</v>
      </c>
      <c r="C76" s="16" t="s">
        <v>115</v>
      </c>
      <c r="D76" s="66">
        <f t="shared" si="17"/>
        <v>-8227.1292602768881</v>
      </c>
      <c r="E76" s="16" t="s">
        <v>116</v>
      </c>
      <c r="F76" s="66">
        <f t="shared" si="18"/>
        <v>5466.6092397231114</v>
      </c>
      <c r="G76" s="76" t="s">
        <v>125</v>
      </c>
      <c r="L76" s="10"/>
      <c r="N76" s="14"/>
      <c r="O76" s="5"/>
    </row>
    <row r="77" spans="1:31" x14ac:dyDescent="0.3">
      <c r="A77" s="16" t="s">
        <v>106</v>
      </c>
      <c r="B77" s="66">
        <f>NPV($B$22,$B$46:V$46)-$F$2</f>
        <v>-38001.501662378767</v>
      </c>
      <c r="C77" s="16" t="s">
        <v>115</v>
      </c>
      <c r="D77" s="66">
        <f t="shared" si="17"/>
        <v>-6501.5016623787669</v>
      </c>
      <c r="E77" s="16" t="s">
        <v>116</v>
      </c>
      <c r="F77" s="66">
        <f t="shared" si="18"/>
        <v>7192.2368376212326</v>
      </c>
      <c r="G77" s="76" t="s">
        <v>126</v>
      </c>
      <c r="L77" s="8"/>
      <c r="N77" s="12"/>
    </row>
    <row r="78" spans="1:31" x14ac:dyDescent="0.3">
      <c r="A78" s="16" t="s">
        <v>107</v>
      </c>
      <c r="B78" s="66">
        <f>NPV($B$22,$B$46:W$46)-$F$2</f>
        <v>-36292.16722268844</v>
      </c>
      <c r="C78" s="16" t="s">
        <v>115</v>
      </c>
      <c r="D78" s="66">
        <f t="shared" si="17"/>
        <v>-4792.1672226884402</v>
      </c>
      <c r="E78" s="16" t="s">
        <v>116</v>
      </c>
      <c r="F78" s="66">
        <f t="shared" si="18"/>
        <v>8901.5712773115592</v>
      </c>
      <c r="G78" s="76" t="s">
        <v>127</v>
      </c>
      <c r="L78" s="11"/>
      <c r="N78" s="12"/>
    </row>
    <row r="79" spans="1:31" x14ac:dyDescent="0.3">
      <c r="A79" s="16" t="s">
        <v>108</v>
      </c>
      <c r="B79" s="66">
        <f>NPV($B$22,$B$46:X$46)-$F$2</f>
        <v>-34598.978105681468</v>
      </c>
      <c r="C79" s="16" t="s">
        <v>115</v>
      </c>
      <c r="D79" s="66">
        <f t="shared" si="17"/>
        <v>-3098.9781056814682</v>
      </c>
      <c r="E79" s="16" t="s">
        <v>116</v>
      </c>
      <c r="F79" s="66">
        <f t="shared" si="18"/>
        <v>10594.760394318531</v>
      </c>
      <c r="G79" s="76" t="s">
        <v>128</v>
      </c>
      <c r="N79" s="10"/>
      <c r="O79" s="5"/>
    </row>
    <row r="80" spans="1:31" x14ac:dyDescent="0.3">
      <c r="A80" s="16" t="s">
        <v>109</v>
      </c>
      <c r="B80" s="66">
        <f>NPV($B$22,$B$46:Y$46)-$F$2</f>
        <v>-32921.787722385474</v>
      </c>
      <c r="C80" s="16" t="s">
        <v>115</v>
      </c>
      <c r="D80" s="66">
        <f t="shared" si="17"/>
        <v>-1421.7877223854739</v>
      </c>
      <c r="E80" s="16" t="s">
        <v>116</v>
      </c>
      <c r="F80" s="66">
        <f t="shared" si="18"/>
        <v>12271.950777614526</v>
      </c>
      <c r="G80" s="76" t="s">
        <v>129</v>
      </c>
      <c r="N80" s="12"/>
    </row>
    <row r="81" spans="1:15" x14ac:dyDescent="0.3">
      <c r="A81" s="16" t="s">
        <v>110</v>
      </c>
      <c r="B81" s="66">
        <f>NPV($B$22,$B$46:Z$46)-$F$2</f>
        <v>-31260.450721428133</v>
      </c>
      <c r="C81" s="16" t="s">
        <v>115</v>
      </c>
      <c r="D81" s="66">
        <f t="shared" si="17"/>
        <v>239.54927857186703</v>
      </c>
      <c r="E81" s="16" t="s">
        <v>116</v>
      </c>
      <c r="F81" s="66">
        <f t="shared" si="18"/>
        <v>13933.287778571867</v>
      </c>
      <c r="G81" s="76" t="s">
        <v>130</v>
      </c>
      <c r="I81" s="5"/>
      <c r="N81" s="12"/>
    </row>
    <row r="82" spans="1:15" x14ac:dyDescent="0.3">
      <c r="A82" s="16" t="s">
        <v>111</v>
      </c>
      <c r="B82" s="66">
        <f>NPV($B$22,$B$46:AA$46)-$F$2</f>
        <v>-29614.822980122044</v>
      </c>
      <c r="C82" s="16" t="s">
        <v>115</v>
      </c>
      <c r="D82" s="66">
        <f t="shared" si="17"/>
        <v>1885.1770198779559</v>
      </c>
      <c r="E82" s="16" t="s">
        <v>116</v>
      </c>
      <c r="F82" s="66">
        <f t="shared" si="18"/>
        <v>15578.915519877955</v>
      </c>
      <c r="G82" s="76" t="s">
        <v>131</v>
      </c>
      <c r="L82" s="14"/>
      <c r="N82" s="12"/>
    </row>
    <row r="83" spans="1:15" x14ac:dyDescent="0.3">
      <c r="A83" s="16" t="s">
        <v>112</v>
      </c>
      <c r="B83" s="66">
        <f>NPV($B$22,$B$46:AB$46)-$F$2</f>
        <v>-27984.761595586548</v>
      </c>
      <c r="C83" s="16" t="s">
        <v>115</v>
      </c>
      <c r="D83" s="66">
        <f t="shared" si="17"/>
        <v>3515.2384044134524</v>
      </c>
      <c r="E83" s="16" t="s">
        <v>116</v>
      </c>
      <c r="F83" s="66">
        <f t="shared" si="18"/>
        <v>17208.976904413452</v>
      </c>
      <c r="G83" s="76" t="s">
        <v>132</v>
      </c>
      <c r="N83" s="13"/>
      <c r="O83" s="5"/>
    </row>
    <row r="84" spans="1:15" x14ac:dyDescent="0.3">
      <c r="A84" s="16" t="s">
        <v>113</v>
      </c>
      <c r="B84" s="66">
        <f>NPV($B$22,$B$46:AC$46)-$F$2</f>
        <v>-26370.124875907073</v>
      </c>
      <c r="C84" s="16" t="s">
        <v>115</v>
      </c>
      <c r="D84" s="66">
        <f t="shared" si="17"/>
        <v>5129.8751240929269</v>
      </c>
      <c r="E84" s="16" t="s">
        <v>116</v>
      </c>
      <c r="F84" s="66">
        <f t="shared" si="18"/>
        <v>18823.613624092926</v>
      </c>
      <c r="G84" s="76" t="s">
        <v>133</v>
      </c>
      <c r="L84" s="5"/>
      <c r="N84" s="12"/>
    </row>
    <row r="85" spans="1:15" x14ac:dyDescent="0.3">
      <c r="A85" s="16" t="s">
        <v>114</v>
      </c>
      <c r="B85" s="66">
        <f>NPV($B$22,$B$46:AD$46)-$F$2</f>
        <v>-24770.772331332613</v>
      </c>
      <c r="C85" s="16" t="s">
        <v>115</v>
      </c>
      <c r="D85" s="66">
        <f t="shared" si="17"/>
        <v>6729.2276686673868</v>
      </c>
      <c r="E85" s="16" t="s">
        <v>116</v>
      </c>
      <c r="F85" s="66">
        <f t="shared" si="18"/>
        <v>20422.966168667386</v>
      </c>
      <c r="G85" s="76" t="s">
        <v>134</v>
      </c>
      <c r="N85" s="12"/>
    </row>
    <row r="86" spans="1:15" x14ac:dyDescent="0.3">
      <c r="A86" s="16" t="s">
        <v>39</v>
      </c>
      <c r="B86" s="66">
        <f>NPV($B$22,$B$46:AE$46)-$F$2</f>
        <v>-23186.564665511323</v>
      </c>
      <c r="C86" s="16" t="s">
        <v>115</v>
      </c>
      <c r="D86" s="66">
        <f t="shared" si="17"/>
        <v>8313.4353344886767</v>
      </c>
      <c r="E86" s="16" t="s">
        <v>116</v>
      </c>
      <c r="F86" s="66">
        <f t="shared" si="18"/>
        <v>22007.173834488676</v>
      </c>
      <c r="G86" s="76" t="s">
        <v>135</v>
      </c>
      <c r="N86" s="10"/>
      <c r="O86" s="5"/>
    </row>
    <row r="87" spans="1:15" x14ac:dyDescent="0.3">
      <c r="N87" s="12"/>
    </row>
    <row r="88" spans="1:15" x14ac:dyDescent="0.3">
      <c r="L88" s="14"/>
      <c r="N88" s="12"/>
    </row>
    <row r="89" spans="1:15" x14ac:dyDescent="0.3">
      <c r="N89" s="12"/>
    </row>
    <row r="90" spans="1:15" x14ac:dyDescent="0.3">
      <c r="L90" s="5"/>
      <c r="N90" s="13"/>
      <c r="O90" s="5"/>
    </row>
    <row r="91" spans="1:15" x14ac:dyDescent="0.3">
      <c r="N91" s="12"/>
    </row>
    <row r="92" spans="1:15" x14ac:dyDescent="0.3">
      <c r="N92" s="12"/>
    </row>
    <row r="93" spans="1:15" x14ac:dyDescent="0.3">
      <c r="N93" s="10"/>
      <c r="O93" s="5"/>
    </row>
  </sheetData>
  <scenarios current="4" show="2" sqref="B53:B54">
    <scenario name="Base Case" locked="1" count="5" user="DAVIS" comment="Created by DAVIS on 10/2/2016_x000a_Modified by DAVIS on 10/2/2016">
      <inputCells r="B6" val="1.95" numFmtId="8"/>
      <inputCells r="F2" val="105000"/>
      <inputCells r="B4" val="0.005" numFmtId="10"/>
      <inputCells r="B11" val="0.3" numFmtId="9"/>
      <inputCells r="B27" val="0.17"/>
    </scenario>
    <scenario name="Best CAse" locked="1" count="5" user="DAVIS" comment="Created by DAVIS on 10/2/2016_x000a_Modified by DAVIS on 10/2/2016">
      <inputCells r="B6" val="2.5" numFmtId="8"/>
      <inputCells r="F2" val="80000"/>
      <inputCells r="B4" val="0.004" numFmtId="10"/>
      <inputCells r="B11" val="0.4" numFmtId="9"/>
      <inputCells r="B27" val="0.3"/>
    </scenario>
    <scenario name="Worst Case" locked="1" count="5" user="DAVIS" comment="Created by DAVIS on 10/2/2016">
      <inputCells r="B6" val="0" numFmtId="8"/>
      <inputCells r="F2" val="120000"/>
      <inputCells r="B4" val="0.01" numFmtId="10"/>
      <inputCells r="B11" val="0" numFmtId="9"/>
      <inputCells r="B27" val="0.1"/>
    </scenario>
    <scenario name="Good Case" locked="1" count="5" user="DAVIS" comment="Created by DAVIS on 10/2/2016">
      <inputCells r="B6" val="1.95" numFmtId="8"/>
      <inputCells r="F2" val="105000" numFmtId="44"/>
      <inputCells r="B4" val="0.005" numFmtId="10"/>
      <inputCells r="B11" val="0.3" numFmtId="9"/>
      <inputCells r="B27" val="0.2" numFmtId="8"/>
    </scenario>
    <scenario name="Bad" locked="1" count="5" user="DAVIS" comment="Created by DAVIS on 10/2/2016">
      <inputCells r="B6" val="1.95" numFmtId="8"/>
      <inputCells r="F2" val="115000" numFmtId="44"/>
      <inputCells r="B4" val="0.005" numFmtId="10"/>
      <inputCells r="B11" val="0.3" numFmtId="9"/>
      <inputCells r="B27" val="0.15" numFmtId="8"/>
    </scenario>
  </scenarios>
  <mergeCells count="1">
    <mergeCell ref="H72:H75"/>
  </mergeCells>
  <conditionalFormatting sqref="L76">
    <cfRule type="cellIs" dxfId="0" priority="8" operator="lessThan">
      <formula>0</formula>
    </cfRule>
  </conditionalFormatting>
  <conditionalFormatting sqref="D55:F61 D57:D6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6:K60">
    <cfRule type="colorScale" priority="6">
      <colorScale>
        <cfvo type="min"/>
        <cfvo type="max"/>
        <color rgb="FFFCFCFF"/>
        <color rgb="FF63BE7B"/>
      </colorScale>
    </cfRule>
  </conditionalFormatting>
  <conditionalFormatting sqref="N55:O6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4:S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5:W6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5:S6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6:O6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4" x14ac:dyDescent="0.3"/>
  <cols>
    <col min="1" max="1" width="20.88671875" customWidth="1"/>
    <col min="2" max="2" width="13.21875" bestFit="1" customWidth="1"/>
    <col min="3" max="3" width="13" customWidth="1"/>
    <col min="4" max="4" width="12" customWidth="1"/>
    <col min="5" max="5" width="11.21875" customWidth="1"/>
    <col min="6" max="6" width="15.33203125" bestFit="1" customWidth="1"/>
  </cols>
  <sheetData>
    <row r="1" spans="1:6" ht="36" customHeight="1" x14ac:dyDescent="0.3">
      <c r="B1" s="65" t="s">
        <v>71</v>
      </c>
      <c r="C1" s="65" t="s">
        <v>62</v>
      </c>
      <c r="D1" s="65" t="s">
        <v>69</v>
      </c>
      <c r="E1" s="65" t="s">
        <v>55</v>
      </c>
      <c r="F1" s="65" t="s">
        <v>65</v>
      </c>
    </row>
    <row r="2" spans="1:6" x14ac:dyDescent="0.3">
      <c r="A2" s="15" t="s">
        <v>96</v>
      </c>
      <c r="B2" s="69">
        <v>0.11</v>
      </c>
      <c r="C2" s="69">
        <v>153648.74</v>
      </c>
      <c r="D2" s="70">
        <v>0.09</v>
      </c>
      <c r="E2" s="71">
        <v>-1.18</v>
      </c>
      <c r="F2" s="70">
        <v>3.9E-2</v>
      </c>
    </row>
    <row r="3" spans="1:6" x14ac:dyDescent="0.3">
      <c r="A3" s="15" t="s">
        <v>97</v>
      </c>
      <c r="B3" s="21">
        <v>0.2</v>
      </c>
      <c r="C3" s="21">
        <v>92296.08</v>
      </c>
      <c r="D3" s="68">
        <v>0.35</v>
      </c>
      <c r="E3" s="16">
        <v>2.73</v>
      </c>
      <c r="F3" s="68">
        <v>-2.7900000000000001E-2</v>
      </c>
    </row>
    <row r="5" spans="1:6" x14ac:dyDescent="0.3">
      <c r="A5" s="15" t="s">
        <v>92</v>
      </c>
      <c r="B5" s="21">
        <v>0.17</v>
      </c>
      <c r="C5" s="21">
        <v>105000</v>
      </c>
      <c r="D5" s="67">
        <v>0.3</v>
      </c>
      <c r="E5" s="16">
        <v>1.95</v>
      </c>
      <c r="F5" s="68">
        <v>5.0000000000000001E-3</v>
      </c>
    </row>
    <row r="6" spans="1:6" x14ac:dyDescent="0.3">
      <c r="A6" s="5">
        <v>22007.17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workbookViewId="0">
      <selection activeCell="F17" sqref="F17"/>
    </sheetView>
  </sheetViews>
  <sheetFormatPr defaultRowHeight="14.4" x14ac:dyDescent="0.3"/>
  <cols>
    <col min="2" max="2" width="19.33203125" customWidth="1"/>
    <col min="3" max="4" width="15.33203125" bestFit="1" customWidth="1"/>
    <col min="5" max="5" width="12" bestFit="1" customWidth="1"/>
  </cols>
  <sheetData>
    <row r="2" spans="1:6" ht="15" thickBot="1" x14ac:dyDescent="0.35">
      <c r="B2" s="15" t="s">
        <v>58</v>
      </c>
    </row>
    <row r="3" spans="1:6" ht="15.6" thickTop="1" thickBot="1" x14ac:dyDescent="0.35">
      <c r="B3" s="17" t="str">
        <f>'NPV Calcs'!D55</f>
        <v>SIP Rate</v>
      </c>
      <c r="C3" s="17" t="str">
        <f>'NPV Calcs'!E55</f>
        <v>Total NPV (30 Yr)</v>
      </c>
      <c r="D3" s="17" t="str">
        <f>'NPV Calcs'!F55</f>
        <v>Total NPV (12 yr)</v>
      </c>
    </row>
    <row r="4" spans="1:6" ht="15" thickTop="1" x14ac:dyDescent="0.3">
      <c r="B4" s="16">
        <f>'NPV Calcs'!D56</f>
        <v>1.95</v>
      </c>
      <c r="C4" s="16">
        <f>'NPV Calcs'!E56</f>
        <v>22007.173834488676</v>
      </c>
      <c r="D4" s="16">
        <f>'NPV Calcs'!F56</f>
        <v>-5443.1908292570588</v>
      </c>
    </row>
    <row r="5" spans="1:6" x14ac:dyDescent="0.3">
      <c r="B5" s="16">
        <f>'NPV Calcs'!D57</f>
        <v>1.95</v>
      </c>
      <c r="C5" s="16">
        <f>'NPV Calcs'!E57</f>
        <v>22007.173834488676</v>
      </c>
      <c r="D5" s="16">
        <f>'NPV Calcs'!F57</f>
        <v>-5443.1908292570588</v>
      </c>
    </row>
    <row r="6" spans="1:6" x14ac:dyDescent="0.3">
      <c r="B6" s="16">
        <f>'NPV Calcs'!D58</f>
        <v>1.5</v>
      </c>
      <c r="C6" s="16">
        <f>'NPV Calcs'!E58</f>
        <v>18847.080334488677</v>
      </c>
      <c r="D6" s="16">
        <f>'NPV Calcs'!F58</f>
        <v>-8603.2843292570578</v>
      </c>
    </row>
    <row r="7" spans="1:6" x14ac:dyDescent="0.3">
      <c r="B7" s="16">
        <f>'NPV Calcs'!D59</f>
        <v>1.05</v>
      </c>
      <c r="C7" s="16">
        <f>'NPV Calcs'!E59</f>
        <v>15686.986834488678</v>
      </c>
      <c r="D7" s="16">
        <f>'NPV Calcs'!F59</f>
        <v>-11763.377829257057</v>
      </c>
    </row>
    <row r="8" spans="1:6" x14ac:dyDescent="0.3">
      <c r="B8" s="16">
        <f>'NPV Calcs'!D60</f>
        <v>0.75</v>
      </c>
      <c r="C8" s="16">
        <f>'NPV Calcs'!E60</f>
        <v>13580.257834488677</v>
      </c>
      <c r="D8" s="16">
        <f>'NPV Calcs'!F60</f>
        <v>-13870.106829257058</v>
      </c>
    </row>
    <row r="9" spans="1:6" x14ac:dyDescent="0.3">
      <c r="B9" s="16">
        <f>'NPV Calcs'!D61</f>
        <v>0</v>
      </c>
      <c r="C9" s="16">
        <f>'NPV Calcs'!E61</f>
        <v>8313.4353344886767</v>
      </c>
      <c r="D9" s="16">
        <f>'NPV Calcs'!F61</f>
        <v>-19136.929329257058</v>
      </c>
    </row>
    <row r="11" spans="1:6" ht="15" thickBot="1" x14ac:dyDescent="0.35">
      <c r="B11" s="15" t="s">
        <v>61</v>
      </c>
      <c r="D11" s="24" t="s">
        <v>62</v>
      </c>
    </row>
    <row r="12" spans="1:6" x14ac:dyDescent="0.3">
      <c r="B12" s="15" t="s">
        <v>63</v>
      </c>
      <c r="C12" s="15"/>
    </row>
    <row r="13" spans="1:6" x14ac:dyDescent="0.3">
      <c r="B13" s="30">
        <f>'NPV Calcs'!B60</f>
        <v>22007.173834488676</v>
      </c>
      <c r="C13" s="36">
        <v>105000</v>
      </c>
      <c r="D13" s="36">
        <v>94500</v>
      </c>
      <c r="E13" s="36">
        <v>84000</v>
      </c>
      <c r="F13" s="33"/>
    </row>
    <row r="14" spans="1:6" x14ac:dyDescent="0.3">
      <c r="B14" s="35">
        <v>1.95</v>
      </c>
      <c r="C14" s="25">
        <v>22007.173834488676</v>
      </c>
      <c r="D14" s="22">
        <v>26757.046783579448</v>
      </c>
      <c r="E14" s="32">
        <v>31506.919732670176</v>
      </c>
      <c r="F14" s="34"/>
    </row>
    <row r="15" spans="1:6" x14ac:dyDescent="0.3">
      <c r="B15" s="35">
        <v>1.5</v>
      </c>
      <c r="C15" s="26">
        <v>18847.080334488677</v>
      </c>
      <c r="D15" s="16">
        <v>23596.953283579449</v>
      </c>
      <c r="E15" s="16">
        <v>28346.826232670177</v>
      </c>
    </row>
    <row r="16" spans="1:6" x14ac:dyDescent="0.3">
      <c r="A16" s="29" t="s">
        <v>55</v>
      </c>
      <c r="B16" s="35">
        <v>1.05</v>
      </c>
      <c r="C16" s="26">
        <v>15686.986834488678</v>
      </c>
      <c r="D16" s="16">
        <v>20436.85978357945</v>
      </c>
      <c r="E16" s="16">
        <v>25186.732732670178</v>
      </c>
    </row>
    <row r="17" spans="2:5" x14ac:dyDescent="0.3">
      <c r="B17" s="35">
        <v>0.75</v>
      </c>
      <c r="C17" s="26">
        <v>13580.257834488677</v>
      </c>
      <c r="D17" s="16">
        <v>18330.130783579451</v>
      </c>
      <c r="E17" s="16">
        <v>23080.003732670179</v>
      </c>
    </row>
    <row r="18" spans="2:5" x14ac:dyDescent="0.3">
      <c r="B18" s="35">
        <v>0</v>
      </c>
      <c r="C18" s="26">
        <v>8313.4353344886767</v>
      </c>
      <c r="D18" s="16">
        <v>13063.308283579448</v>
      </c>
      <c r="E18" s="16">
        <v>17813.181232670177</v>
      </c>
    </row>
    <row r="19" spans="2:5" x14ac:dyDescent="0.3">
      <c r="B19" s="33"/>
    </row>
    <row r="20" spans="2:5" x14ac:dyDescent="0.3">
      <c r="B20" s="15" t="s">
        <v>64</v>
      </c>
    </row>
    <row r="21" spans="2:5" ht="15" thickBot="1" x14ac:dyDescent="0.35">
      <c r="C21" s="15" t="s">
        <v>66</v>
      </c>
      <c r="D21" s="15" t="s">
        <v>67</v>
      </c>
    </row>
    <row r="22" spans="2:5" ht="33" customHeight="1" thickTop="1" thickBot="1" x14ac:dyDescent="0.35">
      <c r="B22" s="40" t="s">
        <v>65</v>
      </c>
      <c r="C22" s="38">
        <f>'NPV Calcs'!B60</f>
        <v>22007.173834488676</v>
      </c>
      <c r="D22" s="17">
        <f>'NPV Calcs'!B61</f>
        <v>-5443.1908292570588</v>
      </c>
    </row>
    <row r="23" spans="2:5" ht="15" thickTop="1" x14ac:dyDescent="0.3">
      <c r="B23" s="39">
        <v>5.0000000000000001E-3</v>
      </c>
      <c r="C23" s="21">
        <v>22007.173834488676</v>
      </c>
      <c r="D23" s="21">
        <v>-5443.1908292570588</v>
      </c>
    </row>
    <row r="24" spans="2:5" x14ac:dyDescent="0.3">
      <c r="B24" s="37">
        <v>6.0000000000000001E-3</v>
      </c>
      <c r="C24" s="21">
        <v>21150.542241114796</v>
      </c>
      <c r="D24" s="21">
        <v>-5590.5267930402333</v>
      </c>
    </row>
    <row r="25" spans="2:5" x14ac:dyDescent="0.3">
      <c r="B25" s="37">
        <v>7.0000000000000001E-3</v>
      </c>
      <c r="C25" s="21">
        <v>20309.382959471499</v>
      </c>
      <c r="D25" s="21">
        <v>-5736.8898523291646</v>
      </c>
    </row>
    <row r="26" spans="2:5" x14ac:dyDescent="0.3">
      <c r="B26" s="37">
        <v>8.0000000000000002E-3</v>
      </c>
      <c r="C26" s="21">
        <v>19483.389557349954</v>
      </c>
      <c r="D26" s="21">
        <v>-5882.2865445228454</v>
      </c>
    </row>
    <row r="27" spans="2:5" x14ac:dyDescent="0.3">
      <c r="B27" s="37">
        <v>8.9999999999999993E-3</v>
      </c>
      <c r="C27" s="21">
        <v>18672.261873154268</v>
      </c>
      <c r="D27" s="21">
        <v>-6026.7233652443829</v>
      </c>
    </row>
    <row r="28" spans="2:5" x14ac:dyDescent="0.3">
      <c r="B28" s="37">
        <v>0.01</v>
      </c>
      <c r="C28" s="21">
        <v>17875.705886889256</v>
      </c>
      <c r="D28" s="21">
        <v>-6170.206768585027</v>
      </c>
    </row>
    <row r="30" spans="2:5" x14ac:dyDescent="0.3">
      <c r="B30" s="15"/>
    </row>
    <row r="31" spans="2:5" x14ac:dyDescent="0.3">
      <c r="B31" s="15" t="s">
        <v>68</v>
      </c>
      <c r="C31" s="15"/>
      <c r="D31" s="15"/>
    </row>
    <row r="32" spans="2:5" x14ac:dyDescent="0.3">
      <c r="B32" s="16"/>
      <c r="C32" s="16" t="s">
        <v>66</v>
      </c>
      <c r="D32" s="16" t="s">
        <v>67</v>
      </c>
    </row>
    <row r="33" spans="2:4" x14ac:dyDescent="0.3">
      <c r="B33" s="16" t="s">
        <v>69</v>
      </c>
      <c r="C33" s="30">
        <f>'NPV Calcs'!B60</f>
        <v>22007.173834488676</v>
      </c>
      <c r="D33" s="30">
        <f>'NPV Calcs'!B61</f>
        <v>-5443.1908292570588</v>
      </c>
    </row>
    <row r="34" spans="2:4" x14ac:dyDescent="0.3">
      <c r="B34" s="35">
        <v>0.3</v>
      </c>
      <c r="C34" s="16">
        <v>22007.173834488676</v>
      </c>
      <c r="D34" s="16">
        <v>-5443.1908292570588</v>
      </c>
    </row>
    <row r="35" spans="2:4" x14ac:dyDescent="0.3">
      <c r="B35" s="35">
        <v>0.25</v>
      </c>
      <c r="C35" s="16">
        <v>16757.173834488676</v>
      </c>
      <c r="D35" s="16">
        <v>-10693.190829257059</v>
      </c>
    </row>
    <row r="36" spans="2:4" x14ac:dyDescent="0.3">
      <c r="B36" s="35">
        <v>0.2</v>
      </c>
      <c r="C36" s="16">
        <v>11507.173834488676</v>
      </c>
      <c r="D36" s="16">
        <v>-15943.190829257059</v>
      </c>
    </row>
    <row r="37" spans="2:4" x14ac:dyDescent="0.3">
      <c r="B37" s="35">
        <v>0.15</v>
      </c>
      <c r="C37" s="16">
        <v>6257.1738344886762</v>
      </c>
      <c r="D37" s="16">
        <v>-21193.190829257059</v>
      </c>
    </row>
    <row r="38" spans="2:4" x14ac:dyDescent="0.3">
      <c r="B38" s="35">
        <v>0.1</v>
      </c>
      <c r="C38" s="16">
        <v>1007.1738344886762</v>
      </c>
      <c r="D38" s="16">
        <v>-26443.190829257059</v>
      </c>
    </row>
    <row r="39" spans="2:4" x14ac:dyDescent="0.3">
      <c r="B39" s="35">
        <v>0.05</v>
      </c>
      <c r="C39" s="16">
        <v>-4242.8261655113238</v>
      </c>
      <c r="D39" s="16">
        <v>-31693.190829257059</v>
      </c>
    </row>
    <row r="40" spans="2:4" x14ac:dyDescent="0.3">
      <c r="B40" s="35">
        <v>0</v>
      </c>
      <c r="C40" s="16">
        <v>-9492.8261655113238</v>
      </c>
      <c r="D40" s="16">
        <v>-36943.190829257059</v>
      </c>
    </row>
    <row r="42" spans="2:4" x14ac:dyDescent="0.3">
      <c r="B42" s="15" t="s">
        <v>70</v>
      </c>
    </row>
    <row r="43" spans="2:4" x14ac:dyDescent="0.3">
      <c r="B43" s="16"/>
      <c r="C43" s="16" t="s">
        <v>66</v>
      </c>
      <c r="D43" s="16" t="s">
        <v>57</v>
      </c>
    </row>
    <row r="44" spans="2:4" x14ac:dyDescent="0.3">
      <c r="B44" s="16" t="s">
        <v>71</v>
      </c>
      <c r="C44" s="30">
        <f>C33</f>
        <v>22007.173834488676</v>
      </c>
      <c r="D44" s="30">
        <f>D33</f>
        <v>-5443.1908292570588</v>
      </c>
    </row>
    <row r="45" spans="2:4" x14ac:dyDescent="0.3">
      <c r="B45" s="35">
        <v>0.23</v>
      </c>
      <c r="C45" s="16">
        <v>44100.097493200876</v>
      </c>
      <c r="D45" s="16">
        <v>4207.5274218019767</v>
      </c>
    </row>
    <row r="46" spans="2:4" x14ac:dyDescent="0.3">
      <c r="B46" s="35">
        <v>0.21</v>
      </c>
      <c r="C46" s="16">
        <v>36735.789606963423</v>
      </c>
      <c r="D46" s="16">
        <v>990.62133811563399</v>
      </c>
    </row>
    <row r="47" spans="2:4" x14ac:dyDescent="0.3">
      <c r="B47" s="35">
        <v>0.19</v>
      </c>
      <c r="C47" s="16">
        <v>29371.4817207261</v>
      </c>
      <c r="D47" s="16">
        <v>-2226.284745570716</v>
      </c>
    </row>
    <row r="48" spans="2:4" x14ac:dyDescent="0.3">
      <c r="B48" s="35">
        <v>0.17</v>
      </c>
      <c r="C48" s="16">
        <v>22007.173834488676</v>
      </c>
      <c r="D48" s="16">
        <v>-5443.1908292570588</v>
      </c>
    </row>
    <row r="49" spans="2:4" x14ac:dyDescent="0.3">
      <c r="B49" s="35">
        <v>0.15</v>
      </c>
      <c r="C49" s="16">
        <v>14642.86594825131</v>
      </c>
      <c r="D49" s="16">
        <v>-8660.0969129434015</v>
      </c>
    </row>
    <row r="50" spans="2:4" x14ac:dyDescent="0.3">
      <c r="B50" s="35">
        <v>0.13</v>
      </c>
      <c r="C50" s="16">
        <v>7278.5580620139444</v>
      </c>
      <c r="D50" s="16">
        <v>-11877.002996629752</v>
      </c>
    </row>
    <row r="51" spans="2:4" x14ac:dyDescent="0.3">
      <c r="B51" s="35">
        <v>0.11</v>
      </c>
      <c r="C51" s="16">
        <v>-85.749824223457836</v>
      </c>
      <c r="D51" s="16">
        <v>-15093.909080316094</v>
      </c>
    </row>
  </sheetData>
  <conditionalFormatting sqref="B3:D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E18">
    <cfRule type="colorScale" priority="5">
      <colorScale>
        <cfvo type="min"/>
        <cfvo type="max"/>
        <color rgb="FFFCFCFF"/>
        <color rgb="FF63BE7B"/>
      </colorScale>
    </cfRule>
  </conditionalFormatting>
  <conditionalFormatting sqref="C22:D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D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:D5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4:D4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"/>
  <sheetViews>
    <sheetView topLeftCell="A4" workbookViewId="0">
      <selection activeCell="B11" sqref="B11"/>
    </sheetView>
  </sheetViews>
  <sheetFormatPr defaultRowHeight="14.4" x14ac:dyDescent="0.3"/>
  <cols>
    <col min="3" max="3" width="29.21875" customWidth="1"/>
    <col min="4" max="4" width="15.88671875" customWidth="1"/>
    <col min="5" max="5" width="13.6640625" bestFit="1" customWidth="1"/>
  </cols>
  <sheetData>
    <row r="2" spans="3:5" x14ac:dyDescent="0.3">
      <c r="C2" s="15" t="s">
        <v>92</v>
      </c>
      <c r="D2" s="6">
        <f>'NPV Calcs'!B60</f>
        <v>22007.173834488676</v>
      </c>
    </row>
    <row r="4" spans="3:5" x14ac:dyDescent="0.3">
      <c r="C4" s="15" t="s">
        <v>93</v>
      </c>
      <c r="D4" t="s">
        <v>94</v>
      </c>
      <c r="E4" t="s">
        <v>95</v>
      </c>
    </row>
    <row r="5" spans="3:5" x14ac:dyDescent="0.3">
      <c r="C5" t="s">
        <v>65</v>
      </c>
      <c r="D5" s="5">
        <v>17875.71</v>
      </c>
      <c r="E5" s="5">
        <v>23768.11</v>
      </c>
    </row>
    <row r="6" spans="3:5" x14ac:dyDescent="0.3">
      <c r="C6" t="s">
        <v>55</v>
      </c>
      <c r="D6" s="5">
        <v>8313.44</v>
      </c>
      <c r="E6" s="5">
        <v>25869.51</v>
      </c>
    </row>
    <row r="7" spans="3:5" x14ac:dyDescent="0.3">
      <c r="C7" t="s">
        <v>69</v>
      </c>
      <c r="D7" s="5">
        <v>-9492.8259999999991</v>
      </c>
      <c r="E7" s="5">
        <v>22007.17</v>
      </c>
    </row>
    <row r="8" spans="3:5" x14ac:dyDescent="0.3">
      <c r="C8" s="63" t="s">
        <v>62</v>
      </c>
      <c r="D8" s="5">
        <v>8436.11</v>
      </c>
      <c r="E8" s="5">
        <v>35578.239999999998</v>
      </c>
    </row>
    <row r="9" spans="3:5" x14ac:dyDescent="0.3">
      <c r="C9" t="s">
        <v>71</v>
      </c>
      <c r="D9" s="5">
        <v>-85.75</v>
      </c>
      <c r="E9" s="5">
        <v>44100.1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Summary 2</vt:lpstr>
      <vt:lpstr>NPV Calcs</vt:lpstr>
      <vt:lpstr>Breakeven Analysis</vt:lpstr>
      <vt:lpstr>Answers</vt:lpstr>
      <vt:lpstr>Tornado Graph</vt:lpstr>
    </vt:vector>
  </TitlesOfParts>
  <Company>Darden Graduate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Ovchinnikov, Anton</dc:creator>
  <cp:lastModifiedBy>DAVIS</cp:lastModifiedBy>
  <dcterms:created xsi:type="dcterms:W3CDTF">2013-01-13T22:29:58Z</dcterms:created>
  <dcterms:modified xsi:type="dcterms:W3CDTF">2016-10-02T21:52:14Z</dcterms:modified>
</cp:coreProperties>
</file>