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drawings/drawing4.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comments1.xml" ContentType="application/vnd.openxmlformats-officedocument.spreadsheetml.comments+xml"/>
  <Override PartName="/xl/drawings/drawing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drawings/drawing6.xml" ContentType="application/vnd.openxmlformats-officedocument.drawing+xml"/>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Georgina.Anderson\Documents\R\Projects\PHEstatmethods\tests\testthat\"/>
    </mc:Choice>
  </mc:AlternateContent>
  <bookViews>
    <workbookView xWindow="0" yWindow="0" windowWidth="20730" windowHeight="11175" activeTab="4"/>
  </bookViews>
  <sheets>
    <sheet name="Intro" sheetId="5" r:id="rId1"/>
    <sheet name="Proportions" sheetId="1" r:id="rId2"/>
    <sheet name="Rates" sheetId="6" r:id="rId3"/>
    <sheet name="Means" sheetId="7" r:id="rId4"/>
    <sheet name="Indirect Standardisation" sheetId="8" r:id="rId5"/>
    <sheet name="Direct Standardisation" sheetId="9" r:id="rId6"/>
  </sheets>
  <definedNames>
    <definedName name="_xlnm.Print_Area" localSheetId="5">'Direct Standardisation'!#REF!</definedName>
    <definedName name="_xlnm.Print_Area" localSheetId="4">'Indirect Standardisation'!#REF!</definedName>
    <definedName name="_xlnm.Print_Area" localSheetId="3">Means!#REF!</definedName>
    <definedName name="_xlnm.Print_Area" localSheetId="1">Proportions!#REF!</definedName>
    <definedName name="_xlnm.Print_Area" localSheetId="2">Rates!#REF!</definedName>
  </definedNames>
  <calcPr calcId="152511"/>
</workbook>
</file>

<file path=xl/calcChain.xml><?xml version="1.0" encoding="utf-8"?>
<calcChain xmlns="http://schemas.openxmlformats.org/spreadsheetml/2006/main">
  <c r="F6" i="6" l="1"/>
  <c r="E6" i="6"/>
  <c r="G24" i="8" l="1"/>
  <c r="H24" i="8"/>
  <c r="G24" i="9"/>
  <c r="H102" i="9" s="1"/>
  <c r="F24" i="9"/>
  <c r="H79" i="9"/>
  <c r="C26" i="9"/>
  <c r="D31" i="8"/>
  <c r="B31" i="9"/>
  <c r="D5" i="6"/>
  <c r="E8" i="1"/>
  <c r="D6" i="1"/>
  <c r="F6" i="1"/>
  <c r="D10" i="1"/>
  <c r="E10" i="1" s="1"/>
  <c r="F10" i="1"/>
  <c r="F7" i="9"/>
  <c r="G7" i="9"/>
  <c r="F8" i="9"/>
  <c r="G8" i="9"/>
  <c r="F9" i="9"/>
  <c r="G9" i="9"/>
  <c r="F10" i="9"/>
  <c r="G10" i="9"/>
  <c r="F11" i="9"/>
  <c r="G11" i="9"/>
  <c r="F12" i="9"/>
  <c r="G12" i="9"/>
  <c r="F13" i="9"/>
  <c r="G13" i="9"/>
  <c r="F14" i="9"/>
  <c r="G14" i="9"/>
  <c r="F15" i="9"/>
  <c r="G15" i="9"/>
  <c r="F16" i="9"/>
  <c r="G16" i="9"/>
  <c r="F17" i="9"/>
  <c r="G17" i="9"/>
  <c r="F18" i="9"/>
  <c r="G18" i="9"/>
  <c r="F19" i="9"/>
  <c r="G19" i="9"/>
  <c r="F20" i="9"/>
  <c r="G20" i="9"/>
  <c r="F21" i="9"/>
  <c r="G21" i="9"/>
  <c r="F22" i="9"/>
  <c r="G22" i="9"/>
  <c r="F23" i="9"/>
  <c r="G23" i="9"/>
  <c r="F25" i="9"/>
  <c r="G25" i="9"/>
  <c r="D26" i="9"/>
  <c r="E26" i="9"/>
  <c r="C30" i="9"/>
  <c r="H32" i="9"/>
  <c r="H119" i="9" s="1"/>
  <c r="H114" i="9" s="1"/>
  <c r="H100" i="9"/>
  <c r="H94" i="9"/>
  <c r="G7" i="8"/>
  <c r="H7" i="8"/>
  <c r="G8" i="8"/>
  <c r="H8" i="8" s="1"/>
  <c r="G9" i="8"/>
  <c r="H9" i="8"/>
  <c r="G10" i="8"/>
  <c r="H10" i="8" s="1"/>
  <c r="G11" i="8"/>
  <c r="H11" i="8"/>
  <c r="G12" i="8"/>
  <c r="H12" i="8" s="1"/>
  <c r="G13" i="8"/>
  <c r="H13" i="8"/>
  <c r="G14" i="8"/>
  <c r="H14" i="8" s="1"/>
  <c r="G15" i="8"/>
  <c r="H15" i="8"/>
  <c r="G16" i="8"/>
  <c r="H16" i="8" s="1"/>
  <c r="G17" i="8"/>
  <c r="G18" i="8"/>
  <c r="H18" i="8"/>
  <c r="G19" i="8"/>
  <c r="H19" i="8" s="1"/>
  <c r="G20" i="8"/>
  <c r="H20" i="8"/>
  <c r="G21" i="8"/>
  <c r="H21" i="8"/>
  <c r="G22" i="8"/>
  <c r="H22" i="8"/>
  <c r="G23" i="8"/>
  <c r="H23" i="8"/>
  <c r="G25" i="8"/>
  <c r="H93" i="8"/>
  <c r="C26" i="8"/>
  <c r="B32" i="8" s="1"/>
  <c r="D26" i="8"/>
  <c r="E26" i="8"/>
  <c r="F26" i="8"/>
  <c r="D45" i="8" s="1"/>
  <c r="E30" i="8"/>
  <c r="H36" i="8"/>
  <c r="H124" i="8" s="1"/>
  <c r="E39" i="8"/>
  <c r="H92" i="8"/>
  <c r="H15" i="7"/>
  <c r="H65" i="7" s="1"/>
  <c r="E17" i="7"/>
  <c r="B19" i="7"/>
  <c r="C19" i="7"/>
  <c r="F19" i="7" s="1"/>
  <c r="D19" i="7"/>
  <c r="H44" i="7" s="1"/>
  <c r="H48" i="7"/>
  <c r="H80" i="7"/>
  <c r="E4" i="6"/>
  <c r="D6" i="6"/>
  <c r="H10" i="6"/>
  <c r="H56" i="6"/>
  <c r="H33" i="6"/>
  <c r="H74" i="6" s="1"/>
  <c r="H69" i="6" s="1"/>
  <c r="H34" i="6"/>
  <c r="E4" i="1"/>
  <c r="H10" i="1"/>
  <c r="H52" i="1"/>
  <c r="H39" i="1"/>
  <c r="H36" i="1" s="1"/>
  <c r="H51" i="1" s="1"/>
  <c r="H49" i="1" s="1"/>
  <c r="H41" i="1"/>
  <c r="H17" i="8"/>
  <c r="G26" i="9"/>
  <c r="H25" i="8"/>
  <c r="E6" i="1"/>
  <c r="H121" i="8" l="1"/>
  <c r="H109" i="8" s="1"/>
  <c r="H118" i="8"/>
  <c r="H106" i="8" s="1"/>
  <c r="B41" i="8"/>
  <c r="H89" i="8"/>
  <c r="H121" i="9"/>
  <c r="H117" i="9" s="1"/>
  <c r="F26" i="9"/>
  <c r="B32" i="9" s="1"/>
  <c r="H88" i="9"/>
  <c r="H51" i="7"/>
  <c r="H74" i="7" s="1"/>
  <c r="H62" i="7"/>
  <c r="H26" i="8"/>
  <c r="H141" i="8"/>
  <c r="H136" i="8" s="1"/>
  <c r="H46" i="1"/>
  <c r="H50" i="6"/>
  <c r="H38" i="6" s="1"/>
  <c r="E19" i="7"/>
  <c r="H61" i="9"/>
  <c r="H53" i="6"/>
  <c r="H41" i="6" s="1"/>
  <c r="H91" i="9"/>
  <c r="H143" i="8"/>
  <c r="H139" i="8" s="1"/>
  <c r="H76" i="6"/>
  <c r="H72" i="6" s="1"/>
  <c r="H30" i="6"/>
  <c r="C32" i="9" l="1"/>
  <c r="D32" i="9"/>
  <c r="H74" i="9"/>
  <c r="H77" i="9"/>
  <c r="C32" i="8"/>
  <c r="C41" i="8"/>
  <c r="F41" i="8" s="1"/>
  <c r="H77" i="7"/>
  <c r="H59" i="7"/>
  <c r="F32" i="8" l="1"/>
  <c r="E32" i="8"/>
  <c r="E41" i="8"/>
  <c r="D41" i="8"/>
  <c r="D32" i="8"/>
</calcChain>
</file>

<file path=xl/comments1.xml><?xml version="1.0" encoding="utf-8"?>
<comments xmlns="http://schemas.openxmlformats.org/spreadsheetml/2006/main">
  <authors>
    <author>paulf</author>
  </authors>
  <commentList>
    <comment ref="B18" authorId="0" shapeId="0">
      <text>
        <r>
          <rPr>
            <b/>
            <sz val="8"/>
            <color indexed="81"/>
            <rFont val="Tahoma"/>
            <family val="2"/>
          </rPr>
          <t>Font used for x-bar:</t>
        </r>
        <r>
          <rPr>
            <sz val="8"/>
            <color indexed="81"/>
            <rFont val="Tahoma"/>
            <family val="2"/>
          </rPr>
          <t xml:space="preserve">
The symbol in this cell and others on this page should display as an </t>
        </r>
        <r>
          <rPr>
            <i/>
            <sz val="8"/>
            <color indexed="81"/>
            <rFont val="Tahoma"/>
            <family val="2"/>
          </rPr>
          <t>x</t>
        </r>
        <r>
          <rPr>
            <sz val="8"/>
            <color indexed="81"/>
            <rFont val="Tahoma"/>
            <family val="2"/>
          </rPr>
          <t xml:space="preserve"> with a bar above it.  If it does not, you probably need to install the MS Reference Sans Serif font.
This is available free from
http://www.webpagepublicity.com/free-fonts-m4.html
along with instructions on where to save it.  You should save both the  MS Reference Sans Serif and MS Reference Sans Serif Italic fonts to your computer's Fonts folder, probably in C:/Windows/Fonts.
</t>
        </r>
      </text>
    </comment>
  </commentList>
</comments>
</file>

<file path=xl/sharedStrings.xml><?xml version="1.0" encoding="utf-8"?>
<sst xmlns="http://schemas.openxmlformats.org/spreadsheetml/2006/main" count="563" uniqueCount="331">
  <si>
    <t>95% but 99% or 99.8% confidence intervals are also frequently used.</t>
  </si>
  <si>
    <t>confidence interval.</t>
  </si>
  <si>
    <t>Contents</t>
  </si>
  <si>
    <t>Analytical Tools</t>
  </si>
  <si>
    <t>Denominator</t>
  </si>
  <si>
    <t>n</t>
  </si>
  <si>
    <t>Confidence level</t>
  </si>
  <si>
    <t>Multiplier</t>
  </si>
  <si>
    <t>Proportions</t>
  </si>
  <si>
    <r>
      <t xml:space="preserve">The proportion </t>
    </r>
    <r>
      <rPr>
        <i/>
        <sz val="10"/>
        <color indexed="45"/>
        <rFont val="Arial"/>
        <family val="2"/>
      </rPr>
      <t>p</t>
    </r>
    <r>
      <rPr>
        <sz val="10"/>
        <color indexed="45"/>
        <rFont val="Arial"/>
        <family val="2"/>
      </rPr>
      <t xml:space="preserve"> is given by:</t>
    </r>
  </si>
  <si>
    <t>O</t>
  </si>
  <si>
    <t>Formula 1</t>
  </si>
  <si>
    <t>Formula 2a</t>
  </si>
  <si>
    <t>Formula 2b</t>
  </si>
  <si>
    <t>Proportion</t>
  </si>
  <si>
    <t>p</t>
  </si>
  <si>
    <r>
      <t>p</t>
    </r>
    <r>
      <rPr>
        <b/>
        <i/>
        <vertAlign val="subscript"/>
        <sz val="10"/>
        <color indexed="9"/>
        <rFont val="Arial"/>
        <family val="2"/>
      </rPr>
      <t>lower</t>
    </r>
  </si>
  <si>
    <r>
      <t>p</t>
    </r>
    <r>
      <rPr>
        <b/>
        <i/>
        <vertAlign val="subscript"/>
        <sz val="10"/>
        <color indexed="9"/>
        <rFont val="Arial"/>
        <family val="2"/>
      </rPr>
      <t>upper</t>
    </r>
  </si>
  <si>
    <t>where:</t>
  </si>
  <si>
    <t>for Public Health</t>
  </si>
  <si>
    <t>Numerator</t>
  </si>
  <si>
    <t>Rates</t>
  </si>
  <si>
    <r>
      <t xml:space="preserve">The rate of events </t>
    </r>
    <r>
      <rPr>
        <i/>
        <sz val="10"/>
        <color indexed="45"/>
        <rFont val="Arial"/>
        <family val="2"/>
      </rPr>
      <t>r</t>
    </r>
    <r>
      <rPr>
        <sz val="10"/>
        <color indexed="45"/>
        <rFont val="Arial"/>
        <family val="2"/>
      </rPr>
      <t xml:space="preserve"> is given by:</t>
    </r>
  </si>
  <si>
    <t>Rate</t>
  </si>
  <si>
    <t>Reference</t>
  </si>
  <si>
    <t>based on the Poisson distribution can be used.  For 95% confidence intervals, Byar's</t>
  </si>
  <si>
    <t>For small numerators, Byar's method can be less accurate and an exact method</t>
  </si>
  <si>
    <t>method is extremely accurate for numerators of 5 or more, but for 99.8% confidence</t>
  </si>
  <si>
    <r>
      <t>O</t>
    </r>
    <r>
      <rPr>
        <i/>
        <vertAlign val="subscript"/>
        <sz val="10"/>
        <color indexed="45"/>
        <rFont val="Arial"/>
        <family val="2"/>
      </rPr>
      <t>upper</t>
    </r>
    <r>
      <rPr>
        <sz val="10"/>
        <color indexed="45"/>
        <rFont val="Arial"/>
        <family val="2"/>
      </rPr>
      <t xml:space="preserve"> above can be replaced by:</t>
    </r>
  </si>
  <si>
    <t>degrees of freedom;</t>
  </si>
  <si>
    <t>degrees of freedom.</t>
  </si>
  <si>
    <t>References</t>
  </si>
  <si>
    <t>Data Entry</t>
  </si>
  <si>
    <t>Methodology</t>
  </si>
  <si>
    <t>The methodology is explained in detail in the APHO Technical Briefing on Commonly</t>
  </si>
  <si>
    <t>Used Public Health Statistics and their Confidence Intervals.  The formula numbers</t>
  </si>
  <si>
    <r>
      <t>O</t>
    </r>
    <r>
      <rPr>
        <sz val="10"/>
        <color indexed="45"/>
        <rFont val="Arial"/>
        <family val="2"/>
      </rPr>
      <t xml:space="preserve"> is the numerator observed number of individuals in the sample/population</t>
    </r>
  </si>
  <si>
    <r>
      <t>having the specified characteristics (</t>
    </r>
    <r>
      <rPr>
        <i/>
        <sz val="10"/>
        <rFont val="Arial"/>
        <family val="2"/>
      </rPr>
      <t>O</t>
    </r>
    <r>
      <rPr>
        <sz val="10"/>
        <rFont val="Arial"/>
        <family val="2"/>
      </rPr>
      <t>).</t>
    </r>
  </si>
  <si>
    <t>Formula 3</t>
  </si>
  <si>
    <t>Formula 4a</t>
  </si>
  <si>
    <t>Formula 4b</t>
  </si>
  <si>
    <r>
      <t>Cell B6</t>
    </r>
    <r>
      <rPr>
        <sz val="10"/>
        <rFont val="Arial"/>
        <family val="2"/>
      </rPr>
      <t xml:space="preserve"> is the numerator observed number of individuals in the sample/population</t>
    </r>
  </si>
  <si>
    <r>
      <t>Cell C6</t>
    </r>
    <r>
      <rPr>
        <sz val="10"/>
        <rFont val="Arial"/>
        <family val="2"/>
      </rPr>
      <t xml:space="preserve"> is the denominator total number of individuals in the sample/population (</t>
    </r>
    <r>
      <rPr>
        <i/>
        <sz val="10"/>
        <rFont val="Arial"/>
        <family val="2"/>
      </rPr>
      <t>n</t>
    </r>
    <r>
      <rPr>
        <sz val="10"/>
        <rFont val="Arial"/>
        <family val="2"/>
      </rPr>
      <t>).</t>
    </r>
  </si>
  <si>
    <r>
      <t>Cell C6</t>
    </r>
    <r>
      <rPr>
        <sz val="10"/>
        <rFont val="Arial"/>
        <family val="2"/>
      </rPr>
      <t xml:space="preserve"> is the denominator population-years at risk (</t>
    </r>
    <r>
      <rPr>
        <i/>
        <sz val="10"/>
        <rFont val="Arial"/>
        <family val="2"/>
      </rPr>
      <t>n</t>
    </r>
    <r>
      <rPr>
        <sz val="10"/>
        <rFont val="Arial"/>
        <family val="2"/>
      </rPr>
      <t>).</t>
    </r>
  </si>
  <si>
    <r>
      <t>Cell F10</t>
    </r>
    <r>
      <rPr>
        <sz val="10"/>
        <rFont val="Arial"/>
        <family val="2"/>
      </rPr>
      <t xml:space="preserve"> allows the user to enter a multiplier for presentation of the rate and its</t>
    </r>
  </si>
  <si>
    <t>Means</t>
  </si>
  <si>
    <r>
      <t>x</t>
    </r>
    <r>
      <rPr>
        <b/>
        <i/>
        <vertAlign val="subscript"/>
        <sz val="10"/>
        <color indexed="9"/>
        <rFont val="Arial"/>
        <family val="2"/>
      </rPr>
      <t>i</t>
    </r>
  </si>
  <si>
    <t>Mean</t>
  </si>
  <si>
    <t>s</t>
  </si>
  <si>
    <t>Standard Deviation</t>
  </si>
  <si>
    <t>No. of Individuals</t>
  </si>
  <si>
    <t>Individual Values</t>
  </si>
  <si>
    <t>Formula 5</t>
  </si>
  <si>
    <t>Formula 6a</t>
  </si>
  <si>
    <t>Formula 6b</t>
  </si>
  <si>
    <r>
      <t xml:space="preserve">The sample standard deviation </t>
    </r>
    <r>
      <rPr>
        <i/>
        <sz val="10"/>
        <color indexed="45"/>
        <rFont val="Arial"/>
        <family val="2"/>
      </rPr>
      <t>s</t>
    </r>
    <r>
      <rPr>
        <sz val="10"/>
        <color indexed="45"/>
        <rFont val="Arial"/>
        <family val="2"/>
      </rPr>
      <t xml:space="preserve"> is given by:</t>
    </r>
  </si>
  <si>
    <t>This method is accurate enough when the sample is large (say &gt;50).  When the</t>
  </si>
  <si>
    <r>
      <t xml:space="preserve">sample is smaller, Student's </t>
    </r>
    <r>
      <rPr>
        <i/>
        <sz val="10"/>
        <color indexed="45"/>
        <rFont val="Arial"/>
        <family val="2"/>
      </rPr>
      <t>t</t>
    </r>
    <r>
      <rPr>
        <sz val="10"/>
        <color indexed="45"/>
        <rFont val="Arial"/>
        <family val="2"/>
      </rPr>
      <t>-distribution must be used in place of the Normal</t>
    </r>
  </si>
  <si>
    <t>distribution: where n is large, the results will be the same as those obtained from</t>
  </si>
  <si>
    <r>
      <t xml:space="preserve">the Normal distribution.  The example above uses the </t>
    </r>
    <r>
      <rPr>
        <i/>
        <sz val="10"/>
        <color indexed="45"/>
        <rFont val="Arial"/>
        <family val="2"/>
      </rPr>
      <t>t</t>
    </r>
    <r>
      <rPr>
        <sz val="10"/>
        <color indexed="45"/>
        <rFont val="Arial"/>
        <family val="2"/>
      </rPr>
      <t>-distribution in all cases.</t>
    </r>
  </si>
  <si>
    <t>Formula 7a</t>
  </si>
  <si>
    <t>Formula 7b</t>
  </si>
  <si>
    <t>0-4</t>
  </si>
  <si>
    <t>5-9</t>
  </si>
  <si>
    <t>10-14</t>
  </si>
  <si>
    <t>15-19</t>
  </si>
  <si>
    <t>70-74</t>
  </si>
  <si>
    <t>65-69</t>
  </si>
  <si>
    <t>60-64</t>
  </si>
  <si>
    <t>55-69</t>
  </si>
  <si>
    <t>50-54</t>
  </si>
  <si>
    <t>20-24</t>
  </si>
  <si>
    <t>25-29</t>
  </si>
  <si>
    <t>30-34</t>
  </si>
  <si>
    <t>35-39</t>
  </si>
  <si>
    <t>40-44</t>
  </si>
  <si>
    <t>45-49</t>
  </si>
  <si>
    <t>Total</t>
  </si>
  <si>
    <t>Observed</t>
  </si>
  <si>
    <t>Expected</t>
  </si>
  <si>
    <t>E</t>
  </si>
  <si>
    <t>75-79</t>
  </si>
  <si>
    <t>80-84</t>
  </si>
  <si>
    <r>
      <t>n</t>
    </r>
    <r>
      <rPr>
        <b/>
        <i/>
        <vertAlign val="subscript"/>
        <sz val="10"/>
        <color indexed="9"/>
        <rFont val="Arial"/>
        <family val="2"/>
      </rPr>
      <t>i</t>
    </r>
  </si>
  <si>
    <r>
      <t>O</t>
    </r>
    <r>
      <rPr>
        <b/>
        <i/>
        <vertAlign val="subscript"/>
        <sz val="10"/>
        <color indexed="9"/>
        <rFont val="Arial"/>
        <family val="2"/>
      </rPr>
      <t>i</t>
    </r>
  </si>
  <si>
    <r>
      <t>l</t>
    </r>
    <r>
      <rPr>
        <b/>
        <i/>
        <vertAlign val="subscript"/>
        <sz val="10"/>
        <color indexed="9"/>
        <rFont val="Arial"/>
        <family val="2"/>
      </rPr>
      <t>i</t>
    </r>
  </si>
  <si>
    <r>
      <t>E</t>
    </r>
    <r>
      <rPr>
        <b/>
        <i/>
        <vertAlign val="subscript"/>
        <sz val="10"/>
        <color indexed="9"/>
        <rFont val="Arial"/>
        <family val="2"/>
      </rPr>
      <t>i</t>
    </r>
  </si>
  <si>
    <t>Population</t>
  </si>
  <si>
    <t>Local Expected</t>
  </si>
  <si>
    <t>Events</t>
  </si>
  <si>
    <t>Local Observed</t>
  </si>
  <si>
    <t>intervals it is less accurate.</t>
  </si>
  <si>
    <t>having the specified characteristics;</t>
  </si>
  <si>
    <r>
      <t>q</t>
    </r>
    <r>
      <rPr>
        <sz val="10"/>
        <color indexed="45"/>
        <rFont val="Arial"/>
        <family val="2"/>
      </rPr>
      <t xml:space="preserve"> is 1–</t>
    </r>
    <r>
      <rPr>
        <i/>
        <sz val="10"/>
        <color indexed="45"/>
        <rFont val="Arial"/>
        <family val="2"/>
      </rPr>
      <t>p</t>
    </r>
    <r>
      <rPr>
        <sz val="10"/>
        <color indexed="45"/>
        <rFont val="Arial"/>
        <family val="2"/>
      </rPr>
      <t>;</t>
    </r>
  </si>
  <si>
    <t>Local</t>
  </si>
  <si>
    <t>Indirectly Standardised Ratio</t>
  </si>
  <si>
    <t>Indirectly Standardised Rate</t>
  </si>
  <si>
    <t>Crude Rate</t>
  </si>
  <si>
    <t>Subgroups</t>
  </si>
  <si>
    <t>Age</t>
  </si>
  <si>
    <t>Cells with a white background are intended to be overwritten by the user.</t>
  </si>
  <si>
    <t>observations here, but may be overwritten with the known observed and expected</t>
  </si>
  <si>
    <t>percentage of the expected.  This is the usual way of presenting a standardised</t>
  </si>
  <si>
    <t>Formula 8</t>
  </si>
  <si>
    <r>
      <t xml:space="preserve">group </t>
    </r>
    <r>
      <rPr>
        <i/>
        <sz val="10"/>
        <color indexed="45"/>
        <rFont val="Arial"/>
        <family val="2"/>
      </rPr>
      <t>i</t>
    </r>
    <r>
      <rPr>
        <sz val="10"/>
        <color indexed="45"/>
        <rFont val="Arial"/>
        <family val="2"/>
      </rPr>
      <t>;</t>
    </r>
  </si>
  <si>
    <r>
      <t xml:space="preserve">confidence interval. </t>
    </r>
    <r>
      <rPr>
        <i/>
        <sz val="10"/>
        <rFont val="Arial"/>
        <family val="2"/>
      </rPr>
      <t xml:space="preserve"> If this multiplier is 100, the results give the observed as a</t>
    </r>
  </si>
  <si>
    <r>
      <t xml:space="preserve">Note that </t>
    </r>
    <r>
      <rPr>
        <i/>
        <sz val="10"/>
        <color indexed="14"/>
        <rFont val="Arial"/>
        <family val="2"/>
      </rPr>
      <t>cells B19:D19</t>
    </r>
    <r>
      <rPr>
        <i/>
        <sz val="10"/>
        <color indexed="45"/>
        <rFont val="Arial"/>
        <family val="2"/>
      </rPr>
      <t xml:space="preserve"> are calculated from the observations here, but may be</t>
    </r>
  </si>
  <si>
    <t>Note that O must be at least zero: if it is not then an error will be returned.</t>
  </si>
  <si>
    <t>Note that O must be at least zero and not greater than n: if it is not then an error will</t>
  </si>
  <si>
    <t>below correspond to those in the briefing.</t>
  </si>
  <si>
    <r>
      <t>Cell F15</t>
    </r>
    <r>
      <rPr>
        <sz val="10"/>
        <rFont val="Arial"/>
        <family val="2"/>
      </rPr>
      <t xml:space="preserve"> is the confidence level required for the confidence interval, most commonly</t>
    </r>
  </si>
  <si>
    <r>
      <t>Cell E10</t>
    </r>
    <r>
      <rPr>
        <sz val="10"/>
        <rFont val="Arial"/>
        <family val="2"/>
      </rPr>
      <t xml:space="preserve"> is the confidence level required for the confidence interval, most commonly</t>
    </r>
  </si>
  <si>
    <r>
      <t>w</t>
    </r>
    <r>
      <rPr>
        <b/>
        <i/>
        <vertAlign val="subscript"/>
        <sz val="10"/>
        <color indexed="9"/>
        <rFont val="Arial"/>
        <family val="2"/>
      </rPr>
      <t>i</t>
    </r>
    <r>
      <rPr>
        <b/>
        <i/>
        <sz val="10"/>
        <color indexed="9"/>
        <rFont val="Arial"/>
        <family val="2"/>
      </rPr>
      <t>O</t>
    </r>
    <r>
      <rPr>
        <b/>
        <i/>
        <vertAlign val="subscript"/>
        <sz val="10"/>
        <color indexed="9"/>
        <rFont val="Arial"/>
        <family val="2"/>
      </rPr>
      <t>i</t>
    </r>
  </si>
  <si>
    <r>
      <t>w</t>
    </r>
    <r>
      <rPr>
        <b/>
        <i/>
        <vertAlign val="subscript"/>
        <sz val="10"/>
        <color indexed="9"/>
        <rFont val="Arial"/>
        <family val="2"/>
      </rPr>
      <t>i</t>
    </r>
    <r>
      <rPr>
        <b/>
        <i/>
        <vertAlign val="superscript"/>
        <sz val="10"/>
        <color indexed="9"/>
        <rFont val="Arial"/>
        <family val="2"/>
      </rPr>
      <t>2</t>
    </r>
    <r>
      <rPr>
        <b/>
        <i/>
        <sz val="10"/>
        <color indexed="9"/>
        <rFont val="Arial"/>
        <family val="2"/>
      </rPr>
      <t>O</t>
    </r>
    <r>
      <rPr>
        <b/>
        <i/>
        <vertAlign val="subscript"/>
        <sz val="10"/>
        <color indexed="9"/>
        <rFont val="Arial"/>
        <family val="2"/>
      </rPr>
      <t>i</t>
    </r>
  </si>
  <si>
    <t>Directly Standardised Rate</t>
  </si>
  <si>
    <r>
      <t>O</t>
    </r>
    <r>
      <rPr>
        <sz val="10"/>
        <color indexed="45"/>
        <rFont val="Arial"/>
        <family val="2"/>
      </rPr>
      <t xml:space="preserve"> is the total observed number of events in the local or subject population;</t>
    </r>
  </si>
  <si>
    <r>
      <t>E</t>
    </r>
    <r>
      <rPr>
        <sz val="10"/>
        <color indexed="45"/>
        <rFont val="Arial"/>
        <family val="2"/>
      </rPr>
      <t xml:space="preserve"> is the total number of expected events in the local or subject population, given</t>
    </r>
  </si>
  <si>
    <r>
      <t xml:space="preserve">the standard rates </t>
    </r>
    <r>
      <rPr>
        <i/>
        <sz val="10"/>
        <color indexed="45"/>
        <rFont val="Symbol"/>
        <family val="1"/>
        <charset val="2"/>
      </rPr>
      <t>l</t>
    </r>
    <r>
      <rPr>
        <i/>
        <vertAlign val="subscript"/>
        <sz val="10"/>
        <color indexed="45"/>
        <rFont val="Arial"/>
        <family val="2"/>
      </rPr>
      <t>i</t>
    </r>
    <r>
      <rPr>
        <sz val="10"/>
        <color indexed="45"/>
        <rFont val="Arial"/>
        <family val="2"/>
      </rPr>
      <t xml:space="preserve"> in the reference or standard population;</t>
    </r>
  </si>
  <si>
    <r>
      <t>p</t>
    </r>
    <r>
      <rPr>
        <b/>
        <sz val="10"/>
        <color indexed="14"/>
        <rFont val="Arial"/>
        <family val="2"/>
      </rPr>
      <t xml:space="preserve"> =</t>
    </r>
  </si>
  <si>
    <r>
      <t>p</t>
    </r>
    <r>
      <rPr>
        <b/>
        <i/>
        <vertAlign val="subscript"/>
        <sz val="10"/>
        <color indexed="14"/>
        <rFont val="Arial"/>
        <family val="2"/>
      </rPr>
      <t>lower</t>
    </r>
    <r>
      <rPr>
        <b/>
        <sz val="10"/>
        <color indexed="14"/>
        <rFont val="Arial"/>
        <family val="2"/>
      </rPr>
      <t xml:space="preserve"> =</t>
    </r>
  </si>
  <si>
    <r>
      <t>p</t>
    </r>
    <r>
      <rPr>
        <b/>
        <i/>
        <vertAlign val="subscript"/>
        <sz val="10"/>
        <color indexed="14"/>
        <rFont val="Arial"/>
        <family val="2"/>
      </rPr>
      <t>upper</t>
    </r>
    <r>
      <rPr>
        <b/>
        <sz val="10"/>
        <color indexed="14"/>
        <rFont val="Arial"/>
        <family val="2"/>
      </rPr>
      <t xml:space="preserve"> =</t>
    </r>
  </si>
  <si>
    <r>
      <t>O</t>
    </r>
    <r>
      <rPr>
        <b/>
        <sz val="10"/>
        <color indexed="14"/>
        <rFont val="Arial"/>
        <family val="2"/>
      </rPr>
      <t xml:space="preserve"> =</t>
    </r>
  </si>
  <si>
    <r>
      <t>n</t>
    </r>
    <r>
      <rPr>
        <b/>
        <sz val="10"/>
        <color indexed="14"/>
        <rFont val="Arial"/>
        <family val="2"/>
      </rPr>
      <t xml:space="preserve"> =</t>
    </r>
  </si>
  <si>
    <r>
      <t>q</t>
    </r>
    <r>
      <rPr>
        <b/>
        <sz val="10"/>
        <color indexed="14"/>
        <rFont val="Arial"/>
        <family val="2"/>
      </rPr>
      <t xml:space="preserve"> =</t>
    </r>
  </si>
  <si>
    <r>
      <t>z</t>
    </r>
    <r>
      <rPr>
        <b/>
        <sz val="10"/>
        <color indexed="14"/>
        <rFont val="Arial"/>
        <family val="2"/>
      </rPr>
      <t xml:space="preserve"> =</t>
    </r>
  </si>
  <si>
    <r>
      <t>p</t>
    </r>
    <r>
      <rPr>
        <sz val="10"/>
        <color indexed="45"/>
        <rFont val="Arial"/>
        <family val="2"/>
      </rPr>
      <t xml:space="preserve"> are given by:</t>
    </r>
  </si>
  <si>
    <r>
      <t>O</t>
    </r>
    <r>
      <rPr>
        <sz val="10"/>
        <color indexed="45"/>
        <rFont val="Arial"/>
        <family val="2"/>
      </rPr>
      <t xml:space="preserve"> is the numerator number of observed events</t>
    </r>
    <r>
      <rPr>
        <sz val="10"/>
        <color indexed="45"/>
        <rFont val="Arial"/>
        <family val="2"/>
      </rPr>
      <t>;</t>
    </r>
  </si>
  <si>
    <r>
      <t>n</t>
    </r>
    <r>
      <rPr>
        <sz val="10"/>
        <color indexed="45"/>
        <rFont val="Arial"/>
        <family val="2"/>
      </rPr>
      <t xml:space="preserve"> is the denominator population-years at risk</t>
    </r>
    <r>
      <rPr>
        <sz val="10"/>
        <color indexed="45"/>
        <rFont val="Arial"/>
        <family val="2"/>
      </rPr>
      <t>.</t>
    </r>
  </si>
  <si>
    <t>by:</t>
  </si>
  <si>
    <r>
      <t>r</t>
    </r>
    <r>
      <rPr>
        <b/>
        <sz val="10"/>
        <color indexed="14"/>
        <rFont val="Arial"/>
        <family val="2"/>
      </rPr>
      <t xml:space="preserve"> =</t>
    </r>
  </si>
  <si>
    <r>
      <t>O</t>
    </r>
    <r>
      <rPr>
        <b/>
        <i/>
        <vertAlign val="subscript"/>
        <sz val="10"/>
        <color indexed="14"/>
        <rFont val="Arial"/>
        <family val="2"/>
      </rPr>
      <t>lower</t>
    </r>
    <r>
      <rPr>
        <b/>
        <sz val="10"/>
        <color indexed="14"/>
        <rFont val="Arial"/>
        <family val="2"/>
      </rPr>
      <t xml:space="preserve"> =</t>
    </r>
  </si>
  <si>
    <r>
      <t>r</t>
    </r>
    <r>
      <rPr>
        <b/>
        <i/>
        <vertAlign val="subscript"/>
        <sz val="10"/>
        <color indexed="14"/>
        <rFont val="Arial"/>
        <family val="2"/>
      </rPr>
      <t>lower</t>
    </r>
    <r>
      <rPr>
        <b/>
        <sz val="10"/>
        <color indexed="14"/>
        <rFont val="Arial"/>
        <family val="2"/>
      </rPr>
      <t xml:space="preserve"> =</t>
    </r>
  </si>
  <si>
    <r>
      <t>O</t>
    </r>
    <r>
      <rPr>
        <b/>
        <i/>
        <vertAlign val="subscript"/>
        <sz val="10"/>
        <color indexed="14"/>
        <rFont val="Arial"/>
        <family val="2"/>
      </rPr>
      <t>upper</t>
    </r>
    <r>
      <rPr>
        <b/>
        <sz val="10"/>
        <color indexed="14"/>
        <rFont val="Arial"/>
        <family val="2"/>
      </rPr>
      <t xml:space="preserve"> =</t>
    </r>
  </si>
  <si>
    <r>
      <t>r</t>
    </r>
    <r>
      <rPr>
        <b/>
        <i/>
        <vertAlign val="subscript"/>
        <sz val="10"/>
        <color indexed="14"/>
        <rFont val="Arial"/>
        <family val="2"/>
      </rPr>
      <t>upper</t>
    </r>
    <r>
      <rPr>
        <b/>
        <sz val="10"/>
        <color indexed="14"/>
        <rFont val="Arial"/>
        <family val="2"/>
      </rPr>
      <t xml:space="preserve"> =</t>
    </r>
  </si>
  <si>
    <r>
      <t xml:space="preserve">Using the link between the Poisson and </t>
    </r>
    <r>
      <rPr>
        <i/>
        <sz val="10"/>
        <color indexed="45"/>
        <rFont val="Symbol"/>
        <family val="1"/>
        <charset val="2"/>
      </rPr>
      <t>c</t>
    </r>
    <r>
      <rPr>
        <vertAlign val="superscript"/>
        <sz val="10"/>
        <color indexed="45"/>
        <rFont val="Arial"/>
        <family val="2"/>
      </rPr>
      <t>2</t>
    </r>
    <r>
      <rPr>
        <sz val="10"/>
        <color indexed="45"/>
        <rFont val="Arial"/>
        <family val="2"/>
      </rPr>
      <t xml:space="preserve"> distributions</t>
    </r>
    <r>
      <rPr>
        <b/>
        <vertAlign val="superscript"/>
        <sz val="10"/>
        <color indexed="14"/>
        <rFont val="Arial"/>
        <family val="2"/>
      </rPr>
      <t>2</t>
    </r>
    <r>
      <rPr>
        <sz val="10"/>
        <color indexed="45"/>
        <rFont val="Arial"/>
        <family val="2"/>
      </rPr>
      <t xml:space="preserve">, the equations for </t>
    </r>
    <r>
      <rPr>
        <i/>
        <sz val="10"/>
        <color indexed="45"/>
        <rFont val="Arial"/>
        <family val="2"/>
      </rPr>
      <t>O</t>
    </r>
    <r>
      <rPr>
        <i/>
        <vertAlign val="subscript"/>
        <sz val="10"/>
        <color indexed="45"/>
        <rFont val="Arial"/>
        <family val="2"/>
      </rPr>
      <t>lower</t>
    </r>
    <r>
      <rPr>
        <sz val="10"/>
        <color indexed="45"/>
        <rFont val="Arial"/>
        <family val="2"/>
      </rPr>
      <t xml:space="preserve"> and</t>
    </r>
  </si>
  <si>
    <r>
      <t>a</t>
    </r>
    <r>
      <rPr>
        <b/>
        <sz val="10"/>
        <color indexed="14"/>
        <rFont val="Arial"/>
        <family val="2"/>
      </rPr>
      <t xml:space="preserve"> =</t>
    </r>
  </si>
  <si>
    <r>
      <t>s</t>
    </r>
    <r>
      <rPr>
        <b/>
        <sz val="10"/>
        <color indexed="14"/>
        <rFont val="Arial"/>
        <family val="2"/>
      </rPr>
      <t xml:space="preserve"> =</t>
    </r>
  </si>
  <si>
    <r>
      <t>100(1–</t>
    </r>
    <r>
      <rPr>
        <b/>
        <i/>
        <sz val="10"/>
        <color indexed="9"/>
        <rFont val="Symbol"/>
        <family val="1"/>
        <charset val="2"/>
      </rPr>
      <t>a</t>
    </r>
    <r>
      <rPr>
        <b/>
        <sz val="10"/>
        <color indexed="9"/>
        <rFont val="Arial"/>
        <family val="2"/>
      </rPr>
      <t>)%</t>
    </r>
  </si>
  <si>
    <r>
      <t>Using the Normal approximation method, the 100(1–</t>
    </r>
    <r>
      <rPr>
        <i/>
        <sz val="10"/>
        <color indexed="45"/>
        <rFont val="Symbol"/>
        <family val="1"/>
        <charset val="2"/>
      </rPr>
      <t>a</t>
    </r>
    <r>
      <rPr>
        <sz val="10"/>
        <color indexed="45"/>
        <rFont val="Arial"/>
        <family val="2"/>
      </rPr>
      <t>)% confidence limits for the</t>
    </r>
  </si>
  <si>
    <r>
      <t>z</t>
    </r>
    <r>
      <rPr>
        <sz val="10"/>
        <color indexed="45"/>
        <rFont val="Arial"/>
        <family val="2"/>
      </rPr>
      <t xml:space="preserve"> is the 100(1–</t>
    </r>
    <r>
      <rPr>
        <i/>
        <sz val="10"/>
        <color indexed="45"/>
        <rFont val="Symbol"/>
        <family val="1"/>
        <charset val="2"/>
      </rPr>
      <t>a</t>
    </r>
    <r>
      <rPr>
        <sz val="10"/>
        <color indexed="45"/>
        <rFont val="Arial"/>
        <family val="2"/>
      </rPr>
      <t>/2)th percentile value from the Standard Normal distribution.</t>
    </r>
  </si>
  <si>
    <r>
      <t>E</t>
    </r>
    <r>
      <rPr>
        <b/>
        <sz val="10"/>
        <color indexed="14"/>
        <rFont val="Arial"/>
        <family val="2"/>
      </rPr>
      <t xml:space="preserve"> =</t>
    </r>
  </si>
  <si>
    <r>
      <t>ISR</t>
    </r>
    <r>
      <rPr>
        <b/>
        <sz val="10"/>
        <color indexed="14"/>
        <rFont val="Arial"/>
        <family val="2"/>
      </rPr>
      <t xml:space="preserve"> =</t>
    </r>
  </si>
  <si>
    <r>
      <t>ISR</t>
    </r>
    <r>
      <rPr>
        <b/>
        <i/>
        <vertAlign val="subscript"/>
        <sz val="10"/>
        <color indexed="14"/>
        <rFont val="Arial"/>
        <family val="2"/>
      </rPr>
      <t>upper</t>
    </r>
    <r>
      <rPr>
        <b/>
        <sz val="10"/>
        <color indexed="14"/>
        <rFont val="Arial"/>
        <family val="2"/>
      </rPr>
      <t xml:space="preserve"> =</t>
    </r>
  </si>
  <si>
    <r>
      <t>ISR</t>
    </r>
    <r>
      <rPr>
        <b/>
        <i/>
        <vertAlign val="subscript"/>
        <sz val="10"/>
        <color indexed="14"/>
        <rFont val="Arial"/>
        <family val="2"/>
      </rPr>
      <t>lower</t>
    </r>
    <r>
      <rPr>
        <b/>
        <sz val="10"/>
        <color indexed="14"/>
        <rFont val="Arial"/>
        <family val="2"/>
      </rPr>
      <t xml:space="preserve"> =</t>
    </r>
  </si>
  <si>
    <t>based on the Poisson distribution can be used.  For 95% confidence intervals,</t>
  </si>
  <si>
    <t>Byar's method is within 0.1% of the exact value for numerators of 13 or more, but</t>
  </si>
  <si>
    <t>overwritten with the known mean, standard deviation and sample size if required:</t>
  </si>
  <si>
    <r>
      <t xml:space="preserve">then </t>
    </r>
    <r>
      <rPr>
        <i/>
        <sz val="10"/>
        <color indexed="14"/>
        <rFont val="Arial"/>
        <family val="2"/>
      </rPr>
      <t>cells B6:B15</t>
    </r>
    <r>
      <rPr>
        <i/>
        <sz val="10"/>
        <color indexed="45"/>
        <rFont val="Arial"/>
        <family val="2"/>
      </rPr>
      <t xml:space="preserve"> will not be required.</t>
    </r>
  </si>
  <si>
    <t>for 99.8% confidence intervals it is within 0.1% of the exact value for numerators</t>
  </si>
  <si>
    <t>of at least 44.</t>
  </si>
  <si>
    <t>fail intermittently, leading to #NUM!</t>
  </si>
  <si>
    <r>
      <t xml:space="preserve">For </t>
    </r>
    <r>
      <rPr>
        <i/>
        <sz val="10"/>
        <color indexed="14"/>
        <rFont val="Arial"/>
        <family val="2"/>
      </rPr>
      <t>O</t>
    </r>
    <r>
      <rPr>
        <sz val="10"/>
        <color indexed="14"/>
        <rFont val="Arial"/>
        <family val="2"/>
      </rPr>
      <t xml:space="preserve">&gt;389, Excel's </t>
    </r>
    <r>
      <rPr>
        <i/>
        <sz val="10"/>
        <color indexed="14"/>
        <rFont val="Symbol"/>
        <family val="1"/>
        <charset val="2"/>
      </rPr>
      <t>c</t>
    </r>
    <r>
      <rPr>
        <vertAlign val="superscript"/>
        <sz val="10"/>
        <color indexed="14"/>
        <rFont val="Arial"/>
        <family val="2"/>
      </rPr>
      <t>2</t>
    </r>
    <r>
      <rPr>
        <sz val="10"/>
        <color indexed="14"/>
        <rFont val="Arial"/>
        <family val="2"/>
      </rPr>
      <t xml:space="preserve"> functions</t>
    </r>
  </si>
  <si>
    <t>Formula 10</t>
  </si>
  <si>
    <r>
      <t>The 100(1–</t>
    </r>
    <r>
      <rPr>
        <i/>
        <sz val="10"/>
        <color indexed="45"/>
        <rFont val="Symbol"/>
        <family val="1"/>
        <charset val="2"/>
      </rPr>
      <t>a</t>
    </r>
    <r>
      <rPr>
        <sz val="10"/>
        <color indexed="45"/>
        <rFont val="Arial"/>
        <family val="2"/>
      </rPr>
      <t xml:space="preserve">)% confidence limits for the directly standardised rate </t>
    </r>
    <r>
      <rPr>
        <i/>
        <sz val="10"/>
        <color indexed="45"/>
        <rFont val="Arial"/>
        <family val="2"/>
      </rPr>
      <t>DSR</t>
    </r>
    <r>
      <rPr>
        <sz val="10"/>
        <color indexed="45"/>
        <rFont val="Arial"/>
        <family val="2"/>
      </rPr>
      <t xml:space="preserve"> are given</t>
    </r>
  </si>
  <si>
    <t>Formula 11a</t>
  </si>
  <si>
    <t>Formula 11b</t>
  </si>
  <si>
    <r>
      <t>O</t>
    </r>
    <r>
      <rPr>
        <sz val="10"/>
        <color indexed="45"/>
        <rFont val="Arial"/>
        <family val="2"/>
      </rPr>
      <t xml:space="preserve"> is the total observed count of events in the local or subject population;</t>
    </r>
  </si>
  <si>
    <r>
      <t>Var(O)</t>
    </r>
    <r>
      <rPr>
        <sz val="10"/>
        <color indexed="45"/>
        <rFont val="Arial"/>
        <family val="2"/>
      </rPr>
      <t xml:space="preserve"> is the variance of the total observed count </t>
    </r>
    <r>
      <rPr>
        <i/>
        <sz val="10"/>
        <color indexed="45"/>
        <rFont val="Arial"/>
        <family val="2"/>
      </rPr>
      <t>O</t>
    </r>
    <r>
      <rPr>
        <sz val="10"/>
        <color indexed="45"/>
        <rFont val="Arial"/>
        <family val="2"/>
      </rPr>
      <t>;</t>
    </r>
  </si>
  <si>
    <t>count of events;</t>
  </si>
  <si>
    <t>Formulæ 11c</t>
  </si>
  <si>
    <t>Var(DSR) =</t>
  </si>
  <si>
    <t>Var(O) =</t>
  </si>
  <si>
    <r>
      <t xml:space="preserve">The variances of the observed count </t>
    </r>
    <r>
      <rPr>
        <i/>
        <sz val="10"/>
        <color indexed="45"/>
        <rFont val="Arial"/>
        <family val="2"/>
      </rPr>
      <t>O</t>
    </r>
    <r>
      <rPr>
        <sz val="10"/>
        <color indexed="45"/>
        <rFont val="Arial"/>
        <family val="2"/>
      </rPr>
      <t xml:space="preserve"> and the </t>
    </r>
    <r>
      <rPr>
        <i/>
        <sz val="10"/>
        <color indexed="45"/>
        <rFont val="Arial"/>
        <family val="2"/>
      </rPr>
      <t>DSR</t>
    </r>
    <r>
      <rPr>
        <sz val="10"/>
        <color indexed="45"/>
        <rFont val="Arial"/>
        <family val="2"/>
      </rPr>
      <t xml:space="preserve"> are estimated by:</t>
    </r>
  </si>
  <si>
    <r>
      <t>DSR</t>
    </r>
    <r>
      <rPr>
        <b/>
        <sz val="10"/>
        <color indexed="14"/>
        <rFont val="Arial"/>
        <family val="2"/>
      </rPr>
      <t xml:space="preserve"> =</t>
    </r>
  </si>
  <si>
    <r>
      <t>w</t>
    </r>
    <r>
      <rPr>
        <b/>
        <i/>
        <vertAlign val="subscript"/>
        <sz val="10"/>
        <color indexed="9"/>
        <rFont val="Arial"/>
        <family val="2"/>
      </rPr>
      <t>i</t>
    </r>
  </si>
  <si>
    <t>Formula 9a</t>
  </si>
  <si>
    <t>Formula 9b</t>
  </si>
  <si>
    <t>Formula 4a (i)</t>
  </si>
  <si>
    <t>Formula 4b (i)</t>
  </si>
  <si>
    <t>Formula 4a (ii)</t>
  </si>
  <si>
    <t>Formula 4b (ii)</t>
  </si>
  <si>
    <r>
      <t>DSR</t>
    </r>
    <r>
      <rPr>
        <b/>
        <i/>
        <vertAlign val="subscript"/>
        <sz val="10"/>
        <color indexed="14"/>
        <rFont val="Arial"/>
        <family val="2"/>
      </rPr>
      <t>lower</t>
    </r>
    <r>
      <rPr>
        <b/>
        <sz val="10"/>
        <color indexed="14"/>
        <rFont val="Arial"/>
        <family val="2"/>
      </rPr>
      <t xml:space="preserve"> =</t>
    </r>
  </si>
  <si>
    <r>
      <t>DSR</t>
    </r>
    <r>
      <rPr>
        <b/>
        <i/>
        <vertAlign val="subscript"/>
        <sz val="10"/>
        <color indexed="14"/>
        <rFont val="Arial"/>
        <family val="2"/>
      </rPr>
      <t>upper</t>
    </r>
    <r>
      <rPr>
        <b/>
        <sz val="10"/>
        <color indexed="14"/>
        <rFont val="Arial"/>
        <family val="2"/>
      </rPr>
      <t xml:space="preserve"> =</t>
    </r>
  </si>
  <si>
    <r>
      <t>DSR</t>
    </r>
    <r>
      <rPr>
        <b/>
        <i/>
        <vertAlign val="subscript"/>
        <sz val="10"/>
        <color indexed="9"/>
        <rFont val="Arial"/>
        <family val="2"/>
      </rPr>
      <t>lower</t>
    </r>
  </si>
  <si>
    <r>
      <t>DSR</t>
    </r>
    <r>
      <rPr>
        <b/>
        <i/>
        <vertAlign val="subscript"/>
        <sz val="10"/>
        <color indexed="9"/>
        <rFont val="Arial"/>
        <family val="2"/>
      </rPr>
      <t>upper</t>
    </r>
  </si>
  <si>
    <t>number of events.</t>
  </si>
  <si>
    <r>
      <t>Using Byar's method</t>
    </r>
    <r>
      <rPr>
        <b/>
        <vertAlign val="superscript"/>
        <sz val="10"/>
        <color indexed="14"/>
        <rFont val="Arial"/>
        <family val="2"/>
      </rPr>
      <t>1</t>
    </r>
    <r>
      <rPr>
        <sz val="10"/>
        <color indexed="45"/>
        <rFont val="Arial"/>
        <family val="2"/>
      </rPr>
      <t>, the 100(1–</t>
    </r>
    <r>
      <rPr>
        <i/>
        <sz val="10"/>
        <color indexed="45"/>
        <rFont val="Symbol"/>
        <family val="1"/>
        <charset val="2"/>
      </rPr>
      <t>a</t>
    </r>
    <r>
      <rPr>
        <sz val="10"/>
        <color indexed="45"/>
        <rFont val="Arial"/>
        <family val="2"/>
      </rPr>
      <t>)% confidence limits for the observed number</t>
    </r>
  </si>
  <si>
    <t>of events are given by:</t>
  </si>
  <si>
    <r>
      <t>The 100(1–</t>
    </r>
    <r>
      <rPr>
        <i/>
        <sz val="10"/>
        <color indexed="45"/>
        <rFont val="Symbol"/>
        <family val="1"/>
        <charset val="2"/>
      </rPr>
      <t>a</t>
    </r>
    <r>
      <rPr>
        <sz val="10"/>
        <color indexed="45"/>
        <rFont val="Arial"/>
        <family val="2"/>
      </rPr>
      <t xml:space="preserve">)% confidence limits for the rate </t>
    </r>
    <r>
      <rPr>
        <i/>
        <sz val="10"/>
        <color indexed="45"/>
        <rFont val="Arial"/>
        <family val="2"/>
      </rPr>
      <t>r</t>
    </r>
    <r>
      <rPr>
        <sz val="10"/>
        <color indexed="45"/>
        <rFont val="Arial"/>
        <family val="2"/>
      </rPr>
      <t xml:space="preserve"> are given by:</t>
    </r>
  </si>
  <si>
    <r>
      <t>The 100(1–</t>
    </r>
    <r>
      <rPr>
        <i/>
        <sz val="10"/>
        <color indexed="45"/>
        <rFont val="Symbol"/>
        <family val="1"/>
        <charset val="2"/>
      </rPr>
      <t>a</t>
    </r>
    <r>
      <rPr>
        <sz val="10"/>
        <color indexed="45"/>
        <rFont val="Arial"/>
        <family val="2"/>
      </rPr>
      <t xml:space="preserve">)% confidence limits for the indirectly standardised ratio </t>
    </r>
    <r>
      <rPr>
        <i/>
        <sz val="10"/>
        <color indexed="45"/>
        <rFont val="Arial"/>
        <family val="2"/>
      </rPr>
      <t>ISR</t>
    </r>
    <r>
      <rPr>
        <sz val="10"/>
        <color indexed="45"/>
        <rFont val="Arial"/>
        <family val="2"/>
      </rPr>
      <t xml:space="preserve"> are given</t>
    </r>
  </si>
  <si>
    <t>The values given on the right are given to explain the Excel formulæ step-by-step.</t>
  </si>
  <si>
    <t>However, the calculations above stand alone and may be copied without any of the</t>
  </si>
  <si>
    <t>calculations below this point.</t>
  </si>
  <si>
    <r>
      <t>n</t>
    </r>
    <r>
      <rPr>
        <sz val="10"/>
        <color indexed="45"/>
        <rFont val="Arial"/>
        <family val="2"/>
      </rPr>
      <t xml:space="preserve"> is the denominator total number of individuals in the sample/population.</t>
    </r>
  </si>
  <si>
    <r>
      <t>n</t>
    </r>
    <r>
      <rPr>
        <sz val="10"/>
        <color indexed="45"/>
        <rFont val="Arial"/>
        <family val="2"/>
      </rPr>
      <t xml:space="preserve"> is the total number of observations in the sample/population.</t>
    </r>
  </si>
  <si>
    <r>
      <t>x</t>
    </r>
    <r>
      <rPr>
        <i/>
        <vertAlign val="subscript"/>
        <sz val="10"/>
        <color indexed="45"/>
        <rFont val="Arial"/>
        <family val="2"/>
      </rPr>
      <t>i</t>
    </r>
    <r>
      <rPr>
        <sz val="10"/>
        <color indexed="45"/>
        <rFont val="Arial"/>
        <family val="2"/>
      </rPr>
      <t xml:space="preserve"> is the observed value for the </t>
    </r>
    <r>
      <rPr>
        <i/>
        <sz val="10"/>
        <color indexed="45"/>
        <rFont val="Arial"/>
        <family val="2"/>
      </rPr>
      <t>i</t>
    </r>
    <r>
      <rPr>
        <sz val="10"/>
        <color indexed="45"/>
        <rFont val="Arial"/>
        <family val="2"/>
      </rPr>
      <t>th individual;</t>
    </r>
  </si>
  <si>
    <r>
      <t xml:space="preserve">Note that tables of Student's </t>
    </r>
    <r>
      <rPr>
        <i/>
        <sz val="10"/>
        <color indexed="45"/>
        <rFont val="Arial"/>
        <family val="2"/>
      </rPr>
      <t>t</t>
    </r>
    <r>
      <rPr>
        <sz val="10"/>
        <color indexed="45"/>
        <rFont val="Arial"/>
        <family val="2"/>
      </rPr>
      <t>-distribution usually give probabilities which are the sum</t>
    </r>
  </si>
  <si>
    <t>of both tails of the distribution, whereas the Normal distribution is usually given as</t>
  </si>
  <si>
    <t>degrees of freedom.  For example, for a 95% confidence interval for a mean of</t>
  </si>
  <si>
    <r>
      <t xml:space="preserve">10 observations, </t>
    </r>
    <r>
      <rPr>
        <i/>
        <sz val="10"/>
        <color indexed="45"/>
        <rFont val="Symbol"/>
        <family val="1"/>
        <charset val="2"/>
      </rPr>
      <t>a</t>
    </r>
    <r>
      <rPr>
        <sz val="10"/>
        <color indexed="45"/>
        <rFont val="Arial"/>
        <family val="2"/>
      </rPr>
      <t xml:space="preserve"> = 0.05 and </t>
    </r>
    <r>
      <rPr>
        <i/>
        <sz val="10"/>
        <color indexed="45"/>
        <rFont val="Arial"/>
        <family val="2"/>
      </rPr>
      <t>t</t>
    </r>
    <r>
      <rPr>
        <sz val="10"/>
        <color indexed="45"/>
        <rFont val="Arial"/>
        <family val="2"/>
      </rPr>
      <t xml:space="preserve"> = 2.26 (i.e. the 97.5th percentile value from the</t>
    </r>
  </si>
  <si>
    <r>
      <t>t</t>
    </r>
    <r>
      <rPr>
        <b/>
        <sz val="10"/>
        <color indexed="14"/>
        <rFont val="Arial"/>
        <family val="2"/>
      </rPr>
      <t xml:space="preserve"> =</t>
    </r>
  </si>
  <si>
    <t>Hence, care needs to be taken when selecting the percentage points.</t>
  </si>
  <si>
    <r>
      <t xml:space="preserve">group </t>
    </r>
    <r>
      <rPr>
        <i/>
        <sz val="10"/>
        <color indexed="45"/>
        <rFont val="Arial"/>
        <family val="2"/>
      </rPr>
      <t>i</t>
    </r>
    <r>
      <rPr>
        <sz val="10"/>
        <color indexed="45"/>
        <rFont val="Arial"/>
        <family val="2"/>
      </rPr>
      <t xml:space="preserve">, given the standard rate </t>
    </r>
    <r>
      <rPr>
        <i/>
        <sz val="10"/>
        <color indexed="45"/>
        <rFont val="Symbol"/>
        <family val="1"/>
        <charset val="2"/>
      </rPr>
      <t>l</t>
    </r>
    <r>
      <rPr>
        <i/>
        <vertAlign val="subscript"/>
        <sz val="10"/>
        <color indexed="45"/>
        <rFont val="Arial"/>
        <family val="2"/>
      </rPr>
      <t>i</t>
    </r>
    <r>
      <rPr>
        <sz val="10"/>
        <color indexed="45"/>
        <rFont val="Arial"/>
        <family val="2"/>
      </rPr>
      <t xml:space="preserve"> in the reference or standard population;</t>
    </r>
  </si>
  <si>
    <r>
      <t xml:space="preserve">group </t>
    </r>
    <r>
      <rPr>
        <i/>
        <sz val="10"/>
        <color indexed="45"/>
        <rFont val="Arial"/>
        <family val="2"/>
      </rPr>
      <t>i</t>
    </r>
    <r>
      <rPr>
        <sz val="10"/>
        <color indexed="45"/>
        <rFont val="Arial"/>
        <family val="2"/>
      </rPr>
      <t>.</t>
    </r>
  </si>
  <si>
    <r>
      <t>n</t>
    </r>
    <r>
      <rPr>
        <i/>
        <vertAlign val="subscript"/>
        <sz val="10"/>
        <color indexed="45"/>
        <rFont val="Arial"/>
        <family val="2"/>
      </rPr>
      <t>i</t>
    </r>
    <r>
      <rPr>
        <sz val="10"/>
        <color indexed="45"/>
        <rFont val="Arial"/>
        <family val="2"/>
      </rPr>
      <t xml:space="preserve"> is the number of individuals in the local or subject denominator population in</t>
    </r>
  </si>
  <si>
    <r>
      <t>w</t>
    </r>
    <r>
      <rPr>
        <i/>
        <vertAlign val="subscript"/>
        <sz val="10"/>
        <color indexed="45"/>
        <rFont val="Arial"/>
        <family val="2"/>
      </rPr>
      <t>i</t>
    </r>
    <r>
      <rPr>
        <sz val="10"/>
        <color indexed="45"/>
        <rFont val="Arial"/>
        <family val="2"/>
      </rPr>
      <t xml:space="preserve"> is the number (or proportion) of individuals in the reference or standard</t>
    </r>
  </si>
  <si>
    <t>Commonly used public health statistics and</t>
  </si>
  <si>
    <t>their confidence intervals</t>
  </si>
  <si>
    <t>common types of statistic used within public health intelligence.</t>
  </si>
  <si>
    <t>These include rates, proportions, means and age-standardised</t>
  </si>
  <si>
    <t>confidence intervals for all of these statistics.</t>
  </si>
  <si>
    <t>Technical Briefing are replicated here, with examples of their</t>
  </si>
  <si>
    <t>calculation in Excel.  It will act as a tutorial for those unfamiliar</t>
  </si>
  <si>
    <t>This spreadsheet provides Excel formulæ for calculating the more</t>
  </si>
  <si>
    <t>rates and ratios.  Formulæ are also given for calculating</t>
  </si>
  <si>
    <t>The examples given here may be copied into other spreadsheets</t>
  </si>
  <si>
    <r>
      <t>c</t>
    </r>
    <r>
      <rPr>
        <vertAlign val="superscript"/>
        <sz val="10"/>
        <color indexed="45"/>
        <rFont val="Arial"/>
        <family val="2"/>
      </rPr>
      <t>2</t>
    </r>
    <r>
      <rPr>
        <i/>
        <vertAlign val="subscript"/>
        <sz val="10"/>
        <color indexed="45"/>
        <rFont val="Arial"/>
        <family val="2"/>
      </rPr>
      <t>lower</t>
    </r>
    <r>
      <rPr>
        <sz val="10"/>
        <color indexed="45"/>
        <rFont val="Arial"/>
        <family val="2"/>
      </rPr>
      <t xml:space="preserve"> is the 100(1–</t>
    </r>
    <r>
      <rPr>
        <i/>
        <sz val="10"/>
        <color indexed="45"/>
        <rFont val="Symbol"/>
        <family val="1"/>
        <charset val="2"/>
      </rPr>
      <t>a</t>
    </r>
    <r>
      <rPr>
        <sz val="10"/>
        <color indexed="45"/>
        <rFont val="Arial"/>
        <family val="2"/>
      </rPr>
      <t xml:space="preserve">/2)th percentile value from the </t>
    </r>
    <r>
      <rPr>
        <i/>
        <sz val="10"/>
        <color indexed="45"/>
        <rFont val="Symbol"/>
        <family val="1"/>
        <charset val="2"/>
      </rPr>
      <t>c</t>
    </r>
    <r>
      <rPr>
        <vertAlign val="superscript"/>
        <sz val="10"/>
        <color indexed="45"/>
        <rFont val="Arial"/>
        <family val="2"/>
      </rPr>
      <t>2</t>
    </r>
    <r>
      <rPr>
        <sz val="10"/>
        <color indexed="45"/>
        <rFont val="Arial"/>
        <family val="2"/>
      </rPr>
      <t xml:space="preserve"> distribution with 2</t>
    </r>
    <r>
      <rPr>
        <i/>
        <sz val="10"/>
        <color indexed="45"/>
        <rFont val="Arial"/>
        <family val="2"/>
      </rPr>
      <t>O</t>
    </r>
  </si>
  <si>
    <r>
      <t>c</t>
    </r>
    <r>
      <rPr>
        <vertAlign val="superscript"/>
        <sz val="10"/>
        <color indexed="45"/>
        <rFont val="Arial"/>
        <family val="2"/>
      </rPr>
      <t>2</t>
    </r>
    <r>
      <rPr>
        <i/>
        <vertAlign val="subscript"/>
        <sz val="10"/>
        <color indexed="45"/>
        <rFont val="Arial"/>
        <family val="2"/>
      </rPr>
      <t>upper</t>
    </r>
    <r>
      <rPr>
        <sz val="10"/>
        <color indexed="45"/>
        <rFont val="Arial"/>
        <family val="2"/>
      </rPr>
      <t xml:space="preserve"> is the 100(</t>
    </r>
    <r>
      <rPr>
        <i/>
        <sz val="10"/>
        <color indexed="45"/>
        <rFont val="Symbol"/>
        <family val="1"/>
        <charset val="2"/>
      </rPr>
      <t>a</t>
    </r>
    <r>
      <rPr>
        <sz val="10"/>
        <color indexed="45"/>
        <rFont val="Arial"/>
        <family val="2"/>
      </rPr>
      <t xml:space="preserve">/2)th percentile value from the </t>
    </r>
    <r>
      <rPr>
        <i/>
        <sz val="10"/>
        <color indexed="45"/>
        <rFont val="Symbol"/>
        <family val="1"/>
        <charset val="2"/>
      </rPr>
      <t>c</t>
    </r>
    <r>
      <rPr>
        <vertAlign val="superscript"/>
        <sz val="10"/>
        <color indexed="45"/>
        <rFont val="Arial"/>
        <family val="2"/>
      </rPr>
      <t>2</t>
    </r>
    <r>
      <rPr>
        <sz val="10"/>
        <color indexed="45"/>
        <rFont val="Arial"/>
        <family val="2"/>
      </rPr>
      <t xml:space="preserve"> distribution with 2</t>
    </r>
    <r>
      <rPr>
        <i/>
        <sz val="10"/>
        <color indexed="45"/>
        <rFont val="Arial"/>
        <family val="2"/>
      </rPr>
      <t>O</t>
    </r>
    <r>
      <rPr>
        <sz val="10"/>
        <color indexed="45"/>
        <rFont val="Arial"/>
        <family val="2"/>
      </rPr>
      <t>+2</t>
    </r>
  </si>
  <si>
    <r>
      <t>c</t>
    </r>
    <r>
      <rPr>
        <b/>
        <vertAlign val="superscript"/>
        <sz val="10"/>
        <color indexed="14"/>
        <rFont val="Arial"/>
        <family val="2"/>
      </rPr>
      <t>2</t>
    </r>
    <r>
      <rPr>
        <b/>
        <i/>
        <vertAlign val="subscript"/>
        <sz val="10"/>
        <color indexed="14"/>
        <rFont val="Arial"/>
        <family val="2"/>
      </rPr>
      <t>lower</t>
    </r>
    <r>
      <rPr>
        <b/>
        <sz val="10"/>
        <color indexed="14"/>
        <rFont val="Arial"/>
        <family val="2"/>
      </rPr>
      <t xml:space="preserve"> =</t>
    </r>
  </si>
  <si>
    <r>
      <t>c</t>
    </r>
    <r>
      <rPr>
        <b/>
        <vertAlign val="superscript"/>
        <sz val="10"/>
        <color indexed="14"/>
        <rFont val="Arial"/>
        <family val="2"/>
      </rPr>
      <t>2</t>
    </r>
    <r>
      <rPr>
        <b/>
        <i/>
        <vertAlign val="subscript"/>
        <sz val="10"/>
        <color indexed="14"/>
        <rFont val="Arial"/>
        <family val="2"/>
      </rPr>
      <t>upper</t>
    </r>
    <r>
      <rPr>
        <b/>
        <sz val="10"/>
        <color indexed="14"/>
        <rFont val="Arial"/>
        <family val="2"/>
      </rPr>
      <t xml:space="preserve"> =</t>
    </r>
  </si>
  <si>
    <t>errors in the cells above.  The</t>
  </si>
  <si>
    <t>functions at the top of the page</t>
  </si>
  <si>
    <t>substitute Byar's method where</t>
  </si>
  <si>
    <r>
      <t>O</t>
    </r>
    <r>
      <rPr>
        <sz val="10"/>
        <color indexed="14"/>
        <rFont val="Arial"/>
        <family val="2"/>
      </rPr>
      <t>&gt;389 so they work for all cases.</t>
    </r>
  </si>
  <si>
    <r>
      <t>t</t>
    </r>
    <r>
      <rPr>
        <sz val="10"/>
        <color indexed="45"/>
        <rFont val="Arial"/>
        <family val="2"/>
      </rPr>
      <t xml:space="preserve"> is the 100(1–</t>
    </r>
    <r>
      <rPr>
        <i/>
        <sz val="10"/>
        <color indexed="45"/>
        <rFont val="Symbol"/>
        <family val="1"/>
        <charset val="2"/>
      </rPr>
      <t>a</t>
    </r>
    <r>
      <rPr>
        <sz val="10"/>
        <color indexed="45"/>
        <rFont val="Symbol"/>
        <family val="1"/>
        <charset val="2"/>
      </rPr>
      <t>/2</t>
    </r>
    <r>
      <rPr>
        <sz val="10"/>
        <color indexed="45"/>
        <rFont val="Arial"/>
        <family val="2"/>
      </rPr>
      <t xml:space="preserve">)th percentile value from Student's </t>
    </r>
    <r>
      <rPr>
        <i/>
        <sz val="10"/>
        <color indexed="45"/>
        <rFont val="Arial"/>
        <family val="2"/>
      </rPr>
      <t>t</t>
    </r>
    <r>
      <rPr>
        <sz val="10"/>
        <color indexed="45"/>
        <rFont val="Arial"/>
        <family val="2"/>
      </rPr>
      <t xml:space="preserve">-distribution with </t>
    </r>
    <r>
      <rPr>
        <i/>
        <sz val="10"/>
        <color indexed="45"/>
        <rFont val="Arial"/>
        <family val="2"/>
      </rPr>
      <t>n</t>
    </r>
    <r>
      <rPr>
        <sz val="10"/>
        <color indexed="45"/>
        <rFont val="Arial"/>
        <family val="2"/>
      </rPr>
      <t>–1</t>
    </r>
  </si>
  <si>
    <r>
      <t>Using the Wilson Score method</t>
    </r>
    <r>
      <rPr>
        <b/>
        <vertAlign val="superscript"/>
        <sz val="10"/>
        <color indexed="14"/>
        <rFont val="Arial"/>
        <family val="2"/>
      </rPr>
      <t>1,2</t>
    </r>
    <r>
      <rPr>
        <sz val="10"/>
        <color indexed="45"/>
        <rFont val="Arial"/>
        <family val="2"/>
      </rPr>
      <t>, the 100(1–</t>
    </r>
    <r>
      <rPr>
        <i/>
        <sz val="10"/>
        <color indexed="45"/>
        <rFont val="Symbol"/>
        <family val="1"/>
        <charset val="2"/>
      </rPr>
      <t>a</t>
    </r>
    <r>
      <rPr>
        <sz val="10"/>
        <color indexed="45"/>
        <rFont val="Arial"/>
        <family val="2"/>
      </rPr>
      <t>)% confidence limits for the proportion</t>
    </r>
  </si>
  <si>
    <t>This spreadsheet uses Excel's built-in functions for exact probabilities for all cases</t>
  </si>
  <si>
    <t>based on numerators under 389, in order to give the most accurate results.  For</t>
  </si>
  <si>
    <t>higher numerators, Excel's statistical functions fail (intermittently), and while macros</t>
  </si>
  <si>
    <t>are available to calculate exact Poisson probabilities, it is simpler to use Byar's</t>
  </si>
  <si>
    <t>method, and extremely accurate to do so.</t>
  </si>
  <si>
    <t>97.5th percentile value from the Standard Normal distribution).</t>
  </si>
  <si>
    <t>estimate of the true mean are given by:</t>
  </si>
  <si>
    <r>
      <t xml:space="preserve">distribution.  Using the </t>
    </r>
    <r>
      <rPr>
        <i/>
        <sz val="10"/>
        <color indexed="45"/>
        <rFont val="Arial"/>
        <family val="2"/>
      </rPr>
      <t>t</t>
    </r>
    <r>
      <rPr>
        <sz val="10"/>
        <color indexed="45"/>
        <rFont val="Arial"/>
        <family val="2"/>
      </rPr>
      <t>-distribution, 100(1–</t>
    </r>
    <r>
      <rPr>
        <i/>
        <sz val="10"/>
        <color indexed="45"/>
        <rFont val="Symbol"/>
        <family val="1"/>
        <charset val="2"/>
      </rPr>
      <t>a</t>
    </r>
    <r>
      <rPr>
        <sz val="10"/>
        <color indexed="45"/>
        <rFont val="Arial"/>
        <family val="2"/>
      </rPr>
      <t>)% confidence limits for the estimate</t>
    </r>
  </si>
  <si>
    <t>of the true mean are given by:</t>
  </si>
  <si>
    <t>each tail separately.  Excel follows the same convention in its built-in distributions.</t>
  </si>
  <si>
    <r>
      <t xml:space="preserve">Note that Excel's built-in STDEV function calculates </t>
    </r>
    <r>
      <rPr>
        <i/>
        <sz val="10"/>
        <color indexed="45"/>
        <rFont val="Arial"/>
        <family val="2"/>
      </rPr>
      <t>s</t>
    </r>
    <r>
      <rPr>
        <sz val="10"/>
        <color indexed="45"/>
        <rFont val="Arial"/>
        <family val="2"/>
      </rPr>
      <t>.</t>
    </r>
  </si>
  <si>
    <r>
      <t>n</t>
    </r>
    <r>
      <rPr>
        <b/>
        <i/>
        <vertAlign val="subscript"/>
        <sz val="10"/>
        <color indexed="9"/>
        <rFont val="Arial"/>
        <family val="2"/>
      </rPr>
      <t>i</t>
    </r>
    <r>
      <rPr>
        <b/>
        <i/>
        <vertAlign val="superscript"/>
        <sz val="10"/>
        <color indexed="9"/>
        <rFont val="Arial"/>
        <family val="2"/>
      </rPr>
      <t>2</t>
    </r>
  </si>
  <si>
    <t>lower</t>
  </si>
  <si>
    <t>upper</t>
  </si>
  <si>
    <t>Indirectly</t>
  </si>
  <si>
    <t>Standardised Rate</t>
  </si>
  <si>
    <t>generate automatically from the table above.</t>
  </si>
  <si>
    <t>automatically from the table above.</t>
  </si>
  <si>
    <t>however that if cells B19:D19 are overwritten, they will no longer generate</t>
  </si>
  <si>
    <t>with the statistical formulæ.</t>
  </si>
  <si>
    <r>
      <t xml:space="preserve">For example, for a 95% confidence interval, </t>
    </r>
    <r>
      <rPr>
        <i/>
        <sz val="10"/>
        <color indexed="45"/>
        <rFont val="Symbol"/>
        <family val="1"/>
        <charset val="2"/>
      </rPr>
      <t>a</t>
    </r>
    <r>
      <rPr>
        <sz val="10"/>
        <color indexed="45"/>
        <rFont val="Arial"/>
        <family val="2"/>
      </rPr>
      <t xml:space="preserve"> = 0.05 and </t>
    </r>
    <r>
      <rPr>
        <i/>
        <sz val="10"/>
        <color indexed="45"/>
        <rFont val="Arial"/>
        <family val="2"/>
      </rPr>
      <t>z</t>
    </r>
    <r>
      <rPr>
        <sz val="10"/>
        <color indexed="45"/>
        <rFont val="Arial"/>
        <family val="2"/>
      </rPr>
      <t xml:space="preserve"> = 1.96 (i.e. the</t>
    </r>
  </si>
  <si>
    <r>
      <t>Cell B6</t>
    </r>
    <r>
      <rPr>
        <sz val="10"/>
        <rFont val="Arial"/>
        <family val="2"/>
      </rPr>
      <t xml:space="preserve"> is the numerator number of observed events (</t>
    </r>
    <r>
      <rPr>
        <i/>
        <sz val="10"/>
        <rFont val="Arial"/>
        <family val="2"/>
      </rPr>
      <t>O</t>
    </r>
    <r>
      <rPr>
        <sz val="10"/>
        <rFont val="Arial"/>
        <family val="2"/>
      </rPr>
      <t>).</t>
    </r>
  </si>
  <si>
    <r>
      <t>O</t>
    </r>
    <r>
      <rPr>
        <i/>
        <vertAlign val="subscript"/>
        <sz val="10"/>
        <color indexed="45"/>
        <rFont val="Arial"/>
        <family val="2"/>
      </rPr>
      <t>lower</t>
    </r>
    <r>
      <rPr>
        <i/>
        <sz val="10"/>
        <color indexed="45"/>
        <rFont val="Arial"/>
        <family val="2"/>
      </rPr>
      <t xml:space="preserve"> and O</t>
    </r>
    <r>
      <rPr>
        <i/>
        <vertAlign val="subscript"/>
        <sz val="10"/>
        <color indexed="45"/>
        <rFont val="Arial"/>
        <family val="2"/>
      </rPr>
      <t>upper</t>
    </r>
    <r>
      <rPr>
        <sz val="10"/>
        <color indexed="45"/>
        <rFont val="Arial"/>
        <family val="2"/>
      </rPr>
      <t xml:space="preserve"> are the lower and upper confidence limits for the observed</t>
    </r>
  </si>
  <si>
    <r>
      <t>Cells B6:B15</t>
    </r>
    <r>
      <rPr>
        <sz val="10"/>
        <rFont val="Arial"/>
        <family val="2"/>
      </rPr>
      <t xml:space="preserve"> are the individual observed values (</t>
    </r>
    <r>
      <rPr>
        <i/>
        <sz val="10"/>
        <rFont val="Arial"/>
        <family val="2"/>
      </rPr>
      <t>x</t>
    </r>
    <r>
      <rPr>
        <i/>
        <vertAlign val="subscript"/>
        <sz val="10"/>
        <rFont val="Arial"/>
        <family val="2"/>
      </rPr>
      <t>i</t>
    </r>
    <r>
      <rPr>
        <sz val="10"/>
        <rFont val="Arial"/>
        <family val="2"/>
      </rPr>
      <t>) in the sample.</t>
    </r>
  </si>
  <si>
    <r>
      <t>Cell C19</t>
    </r>
    <r>
      <rPr>
        <sz val="10"/>
        <rFont val="Arial"/>
        <family val="2"/>
      </rPr>
      <t xml:space="preserve"> is the observed sample standard deviation (</t>
    </r>
    <r>
      <rPr>
        <i/>
        <sz val="10"/>
        <rFont val="Arial"/>
        <family val="2"/>
      </rPr>
      <t>s</t>
    </r>
    <r>
      <rPr>
        <sz val="10"/>
        <rFont val="Arial"/>
        <family val="2"/>
      </rPr>
      <t>).</t>
    </r>
  </si>
  <si>
    <r>
      <t>Cell D19</t>
    </r>
    <r>
      <rPr>
        <sz val="10"/>
        <rFont val="Arial"/>
        <family val="2"/>
      </rPr>
      <t xml:space="preserve"> is the total number of observations in the sample (</t>
    </r>
    <r>
      <rPr>
        <i/>
        <sz val="10"/>
        <rFont val="Arial"/>
        <family val="2"/>
      </rPr>
      <t>n</t>
    </r>
    <r>
      <rPr>
        <sz val="10"/>
        <rFont val="Arial"/>
        <family val="2"/>
      </rPr>
      <t>).</t>
    </r>
  </si>
  <si>
    <r>
      <t>t</t>
    </r>
    <r>
      <rPr>
        <sz val="10"/>
        <color indexed="45"/>
        <rFont val="Arial"/>
        <family val="2"/>
      </rPr>
      <t>-distribution with 9 degrees of freedom).</t>
    </r>
  </si>
  <si>
    <r>
      <t xml:space="preserve">Because Excel has the distributions built in, it is as easy always to use the </t>
    </r>
    <r>
      <rPr>
        <i/>
        <sz val="10"/>
        <color indexed="45"/>
        <rFont val="Arial"/>
        <family val="2"/>
      </rPr>
      <t>t</t>
    </r>
    <r>
      <rPr>
        <sz val="10"/>
        <color indexed="45"/>
        <rFont val="Arial"/>
        <family val="2"/>
      </rPr>
      <t>-</t>
    </r>
  </si>
  <si>
    <r>
      <t>O</t>
    </r>
    <r>
      <rPr>
        <i/>
        <vertAlign val="subscript"/>
        <sz val="10"/>
        <color indexed="45"/>
        <rFont val="Arial"/>
        <family val="2"/>
      </rPr>
      <t>i</t>
    </r>
    <r>
      <rPr>
        <sz val="10"/>
        <color indexed="45"/>
        <rFont val="Arial"/>
        <family val="2"/>
      </rPr>
      <t xml:space="preserve"> is the observed numbers of events in the local or subject population in age</t>
    </r>
  </si>
  <si>
    <r>
      <t>E</t>
    </r>
    <r>
      <rPr>
        <i/>
        <vertAlign val="subscript"/>
        <sz val="10"/>
        <color indexed="45"/>
        <rFont val="Arial"/>
        <family val="2"/>
      </rPr>
      <t>i</t>
    </r>
    <r>
      <rPr>
        <sz val="10"/>
        <color indexed="45"/>
        <rFont val="Arial"/>
        <family val="2"/>
      </rPr>
      <t xml:space="preserve"> is the expected number of events in the local or subject population in age</t>
    </r>
  </si>
  <si>
    <r>
      <t>n</t>
    </r>
    <r>
      <rPr>
        <i/>
        <vertAlign val="subscript"/>
        <sz val="10"/>
        <color indexed="45"/>
        <rFont val="Arial"/>
        <family val="2"/>
      </rPr>
      <t>i</t>
    </r>
    <r>
      <rPr>
        <sz val="10"/>
        <color indexed="45"/>
        <rFont val="Arial"/>
        <family val="2"/>
      </rPr>
      <t xml:space="preserve"> is the number of individuals in the local or subject population in age group </t>
    </r>
    <r>
      <rPr>
        <i/>
        <sz val="10"/>
        <color indexed="45"/>
        <rFont val="Arial"/>
        <family val="2"/>
      </rPr>
      <t>i</t>
    </r>
    <r>
      <rPr>
        <sz val="10"/>
        <color indexed="45"/>
        <rFont val="Arial"/>
        <family val="2"/>
      </rPr>
      <t>;</t>
    </r>
  </si>
  <si>
    <r>
      <t>l</t>
    </r>
    <r>
      <rPr>
        <i/>
        <vertAlign val="subscript"/>
        <sz val="10"/>
        <color indexed="45"/>
        <rFont val="Arial"/>
        <family val="2"/>
      </rPr>
      <t>i</t>
    </r>
    <r>
      <rPr>
        <sz val="10"/>
        <color indexed="45"/>
        <rFont val="Arial"/>
        <family val="2"/>
      </rPr>
      <t xml:space="preserve"> is the crude age-specific rate in the reference or standard population in age </t>
    </r>
  </si>
  <si>
    <t>or rate is being calculated: these are most commonly age groups, as in this example,</t>
  </si>
  <si>
    <t>but they could be age/sex groups or deprivation groups, for example.</t>
  </si>
  <si>
    <t>population.</t>
  </si>
  <si>
    <t>subject population.</t>
  </si>
  <si>
    <t>population, required only if the ISR is to be presented as a rate.</t>
  </si>
  <si>
    <t>most commonly 95% but 99% or 99.8% confidence intervals are also frequently used.</t>
  </si>
  <si>
    <r>
      <t>that only the total O is used in the calculations, not the individual O</t>
    </r>
    <r>
      <rPr>
        <i/>
        <vertAlign val="subscript"/>
        <sz val="10"/>
        <rFont val="Arial"/>
        <family val="2"/>
      </rPr>
      <t>i</t>
    </r>
    <r>
      <rPr>
        <i/>
        <sz val="10"/>
        <rFont val="Arial"/>
        <family val="2"/>
      </rPr>
      <t>.</t>
    </r>
  </si>
  <si>
    <r>
      <t>population in each subgroup (age group, age/sex group or other subgroup).</t>
    </r>
    <r>
      <rPr>
        <i/>
        <sz val="10"/>
        <rFont val="Arial"/>
        <family val="2"/>
      </rPr>
      <t xml:space="preserve">  Note</t>
    </r>
  </si>
  <si>
    <r>
      <t>The indirectly standardised ratio (</t>
    </r>
    <r>
      <rPr>
        <i/>
        <sz val="10"/>
        <rFont val="Arial"/>
        <family val="2"/>
      </rPr>
      <t>ISR</t>
    </r>
    <r>
      <rPr>
        <sz val="10"/>
        <rFont val="Arial"/>
        <family val="2"/>
      </rPr>
      <t>) is given by:</t>
    </r>
  </si>
  <si>
    <r>
      <t>O</t>
    </r>
    <r>
      <rPr>
        <i/>
        <vertAlign val="subscript"/>
        <sz val="10"/>
        <color indexed="45"/>
        <rFont val="Arial"/>
        <family val="2"/>
      </rPr>
      <t>i</t>
    </r>
    <r>
      <rPr>
        <sz val="10"/>
        <color indexed="45"/>
        <rFont val="Arial"/>
        <family val="2"/>
      </rPr>
      <t xml:space="preserve"> is the observed number of events in the local or subject population in age</t>
    </r>
  </si>
  <si>
    <r>
      <t xml:space="preserve">age group </t>
    </r>
    <r>
      <rPr>
        <i/>
        <sz val="10"/>
        <color indexed="45"/>
        <rFont val="Arial"/>
        <family val="2"/>
      </rPr>
      <t>i</t>
    </r>
    <r>
      <rPr>
        <sz val="10"/>
        <color indexed="45"/>
        <rFont val="Arial"/>
        <family val="2"/>
      </rPr>
      <t>, or the population × period at risk (e.g. 'person-years');</t>
    </r>
  </si>
  <si>
    <r>
      <t xml:space="preserve">population in age group </t>
    </r>
    <r>
      <rPr>
        <i/>
        <sz val="10"/>
        <color indexed="45"/>
        <rFont val="Arial"/>
        <family val="2"/>
      </rPr>
      <t>i</t>
    </r>
    <r>
      <rPr>
        <sz val="10"/>
        <color indexed="45"/>
        <rFont val="Arial"/>
        <family val="2"/>
      </rPr>
      <t>.</t>
    </r>
  </si>
  <si>
    <t>population in each subgroup (age group, age/sex group or other subgroup).</t>
  </si>
  <si>
    <r>
      <t>The directly standardised rate (</t>
    </r>
    <r>
      <rPr>
        <i/>
        <sz val="10"/>
        <rFont val="Arial"/>
        <family val="2"/>
      </rPr>
      <t>DSR</t>
    </r>
    <r>
      <rPr>
        <sz val="10"/>
        <rFont val="Arial"/>
        <family val="2"/>
      </rPr>
      <t>) is given by:</t>
    </r>
  </si>
  <si>
    <r>
      <t>Var(DSR)</t>
    </r>
    <r>
      <rPr>
        <sz val="10"/>
        <color indexed="45"/>
        <rFont val="Arial"/>
        <family val="2"/>
      </rPr>
      <t xml:space="preserve"> is the variance of the directly standardised rate.</t>
    </r>
  </si>
  <si>
    <r>
      <t>1</t>
    </r>
    <r>
      <rPr>
        <sz val="8"/>
        <color indexed="45"/>
        <rFont val="Arial"/>
        <family val="2"/>
      </rPr>
      <t>: Wilson EB. Probable inference, the law of succession, and statistical inference. J Am Stat Assoc</t>
    </r>
  </si>
  <si>
    <r>
      <t>2</t>
    </r>
    <r>
      <rPr>
        <sz val="8"/>
        <color indexed="45"/>
        <rFont val="Arial"/>
        <family val="2"/>
      </rPr>
      <t>: Newcombe RG, Altman DG. Proportions and their differences. In Altman DG et al. (eds). Statistics</t>
    </r>
  </si>
  <si>
    <r>
      <t xml:space="preserve">    </t>
    </r>
    <r>
      <rPr>
        <sz val="8"/>
        <color indexed="45"/>
        <rFont val="Arial"/>
        <family val="2"/>
      </rPr>
      <t>1927; 22: 209–12.</t>
    </r>
  </si>
  <si>
    <t xml:space="preserve">    with confidence (2nd edn). London: BMJ Books; 2000: 46–8.</t>
  </si>
  <si>
    <r>
      <t>1</t>
    </r>
    <r>
      <rPr>
        <sz val="8"/>
        <color indexed="45"/>
        <rFont val="Arial"/>
        <family val="2"/>
      </rPr>
      <t>: Breslow NE, Day NE. Statistical methods in cancer research, volume II: The design and analysis of</t>
    </r>
  </si>
  <si>
    <t xml:space="preserve">    cohort studies. Lyon: International Agency for Research on Cancer, World Health Organisation; 1987.</t>
  </si>
  <si>
    <r>
      <t>2</t>
    </r>
    <r>
      <rPr>
        <sz val="8"/>
        <color indexed="45"/>
        <rFont val="Arial"/>
        <family val="2"/>
      </rPr>
      <t>: Armitage P, Berry G. Statistical methods in medical research (3rd edn). Oxford: Blackwell; 1994.</t>
    </r>
  </si>
  <si>
    <t>Percentage</t>
  </si>
  <si>
    <t>p%</t>
  </si>
  <si>
    <r>
      <t>p</t>
    </r>
    <r>
      <rPr>
        <b/>
        <i/>
        <vertAlign val="subscript"/>
        <sz val="10"/>
        <color indexed="9"/>
        <rFont val="Arial"/>
        <family val="2"/>
      </rPr>
      <t>lower</t>
    </r>
    <r>
      <rPr>
        <b/>
        <i/>
        <sz val="10"/>
        <color indexed="9"/>
        <rFont val="Arial"/>
        <family val="2"/>
      </rPr>
      <t>%</t>
    </r>
  </si>
  <si>
    <r>
      <t>p</t>
    </r>
    <r>
      <rPr>
        <b/>
        <i/>
        <vertAlign val="subscript"/>
        <sz val="10"/>
        <color indexed="9"/>
        <rFont val="Arial"/>
        <family val="2"/>
      </rPr>
      <t>upper</t>
    </r>
    <r>
      <rPr>
        <b/>
        <i/>
        <sz val="10"/>
        <color indexed="9"/>
        <rFont val="Arial"/>
        <family val="2"/>
      </rPr>
      <t>%</t>
    </r>
  </si>
  <si>
    <r>
      <t>Cell B10</t>
    </r>
    <r>
      <rPr>
        <sz val="10"/>
        <rFont val="Arial"/>
        <family val="2"/>
      </rPr>
      <t xml:space="preserve"> is the confidence level required for the confidence interval, most commonly</t>
    </r>
  </si>
  <si>
    <t>The calculations return the results as a proportion and as a percentage: the latter is</t>
  </si>
  <si>
    <t>simply the proportion multiplied by 100.  If copying the formula and pasting into other</t>
  </si>
  <si>
    <t>spreadsheets, either format works independently of the other, so the cells not required</t>
  </si>
  <si>
    <t>can be deleted and the cells moved into an appropriate arrangement.</t>
  </si>
  <si>
    <t>may be appropriate to use the Rates worksheet.</t>
  </si>
  <si>
    <t>be returned.  If O can legitimately be greater than n then this is not a proportion: it</t>
  </si>
  <si>
    <t>Indirectly Standardised Rates and Ratios (e.g. SMRs)</t>
  </si>
  <si>
    <t>Ratio ("SMR")</t>
  </si>
  <si>
    <t>mortality ratio (SMR) but the same method is used for data other than deaths, e.g.</t>
  </si>
  <si>
    <t>standardised registration ratio or standardised admission ratio.</t>
  </si>
  <si>
    <t>Indirectly Standardised
Ratios (e.g. SMRs)</t>
  </si>
  <si>
    <t>Directly Standardised
Rates</t>
  </si>
  <si>
    <r>
      <t></t>
    </r>
    <r>
      <rPr>
        <b/>
        <i/>
        <vertAlign val="subscript"/>
        <sz val="10"/>
        <color indexed="9"/>
        <rFont val="Arial"/>
        <family val="2"/>
      </rPr>
      <t>lower</t>
    </r>
  </si>
  <si>
    <r>
      <t></t>
    </r>
    <r>
      <rPr>
        <b/>
        <i/>
        <vertAlign val="subscript"/>
        <sz val="10"/>
        <color indexed="9"/>
        <rFont val="Arial"/>
        <family val="2"/>
      </rPr>
      <t>upper</t>
    </r>
  </si>
  <si>
    <t></t>
  </si>
  <si>
    <r>
      <t>Cell B19</t>
    </r>
    <r>
      <rPr>
        <sz val="10"/>
        <rFont val="Arial"/>
        <family val="2"/>
      </rPr>
      <t xml:space="preserve"> is the observed sample mean (</t>
    </r>
    <r>
      <rPr>
        <i/>
        <sz val="10"/>
        <rFont val="MS Reference Sans Serif"/>
        <family val="2"/>
      </rPr>
      <t></t>
    </r>
    <r>
      <rPr>
        <sz val="10"/>
        <rFont val="Arial"/>
        <family val="2"/>
      </rPr>
      <t>).</t>
    </r>
  </si>
  <si>
    <r>
      <t xml:space="preserve">The sample mean </t>
    </r>
    <r>
      <rPr>
        <i/>
        <sz val="10"/>
        <color indexed="45"/>
        <rFont val="MS Reference Sans Serif"/>
        <family val="2"/>
      </rPr>
      <t></t>
    </r>
    <r>
      <rPr>
        <sz val="10"/>
        <color indexed="45"/>
        <rFont val="Arial"/>
        <family val="2"/>
      </rPr>
      <t xml:space="preserve"> is given by:</t>
    </r>
  </si>
  <si>
    <r>
      <t></t>
    </r>
    <r>
      <rPr>
        <b/>
        <sz val="10"/>
        <color indexed="14"/>
        <rFont val="Arial"/>
        <family val="2"/>
      </rPr>
      <t xml:space="preserve"> =</t>
    </r>
  </si>
  <si>
    <r>
      <t></t>
    </r>
    <r>
      <rPr>
        <b/>
        <i/>
        <vertAlign val="subscript"/>
        <sz val="10"/>
        <color indexed="14"/>
        <rFont val="Arial"/>
        <family val="2"/>
      </rPr>
      <t>lower</t>
    </r>
    <r>
      <rPr>
        <b/>
        <sz val="10"/>
        <color indexed="14"/>
        <rFont val="Arial"/>
        <family val="2"/>
      </rPr>
      <t xml:space="preserve"> =</t>
    </r>
  </si>
  <si>
    <r>
      <t></t>
    </r>
    <r>
      <rPr>
        <b/>
        <i/>
        <vertAlign val="subscript"/>
        <sz val="10"/>
        <color indexed="14"/>
        <rFont val="Arial"/>
        <family val="2"/>
      </rPr>
      <t>upper</t>
    </r>
    <r>
      <rPr>
        <b/>
        <sz val="10"/>
        <color indexed="14"/>
        <rFont val="Arial"/>
        <family val="2"/>
      </rPr>
      <t xml:space="preserve"> =</t>
    </r>
  </si>
  <si>
    <r>
      <t xml:space="preserve">Cells with a white background are intended to be overwritten by the user.  </t>
    </r>
    <r>
      <rPr>
        <b/>
        <i/>
        <sz val="10"/>
        <rFont val="Arial"/>
        <family val="2"/>
      </rPr>
      <t>Note</t>
    </r>
  </si>
  <si>
    <t>90+</t>
  </si>
  <si>
    <t>85-89</t>
  </si>
  <si>
    <t>however that if cells B32:C32 or B41:C41 are overwritten, they will no longer</t>
  </si>
  <si>
    <r>
      <t>Cells B7:B25</t>
    </r>
    <r>
      <rPr>
        <sz val="10"/>
        <rFont val="Arial"/>
        <family val="2"/>
      </rPr>
      <t xml:space="preserve"> are the subgroups of the population, across which the standardised ratio</t>
    </r>
  </si>
  <si>
    <r>
      <t>Cells C7:C25</t>
    </r>
    <r>
      <rPr>
        <sz val="10"/>
        <rFont val="Arial"/>
        <family val="2"/>
      </rPr>
      <t xml:space="preserve"> are the observed numbers of events (</t>
    </r>
    <r>
      <rPr>
        <i/>
        <sz val="10"/>
        <rFont val="Arial"/>
        <family val="2"/>
      </rPr>
      <t>O</t>
    </r>
    <r>
      <rPr>
        <i/>
        <vertAlign val="subscript"/>
        <sz val="10"/>
        <rFont val="Arial"/>
        <family val="2"/>
      </rPr>
      <t>i</t>
    </r>
    <r>
      <rPr>
        <sz val="10"/>
        <rFont val="Arial"/>
        <family val="2"/>
      </rPr>
      <t>) in the local or subject</t>
    </r>
  </si>
  <si>
    <r>
      <t>Cells D7:D25</t>
    </r>
    <r>
      <rPr>
        <sz val="10"/>
        <rFont val="Arial"/>
        <family val="2"/>
      </rPr>
      <t xml:space="preserve"> are the numbers of individuals (</t>
    </r>
    <r>
      <rPr>
        <i/>
        <sz val="10"/>
        <rFont val="Arial"/>
        <family val="2"/>
      </rPr>
      <t>n</t>
    </r>
    <r>
      <rPr>
        <i/>
        <vertAlign val="subscript"/>
        <sz val="10"/>
        <rFont val="Arial"/>
        <family val="2"/>
      </rPr>
      <t>i</t>
    </r>
    <r>
      <rPr>
        <sz val="10"/>
        <rFont val="Arial"/>
        <family val="2"/>
      </rPr>
      <t>) in the local or subject population.</t>
    </r>
  </si>
  <si>
    <r>
      <t>Cells E7:E25</t>
    </r>
    <r>
      <rPr>
        <sz val="10"/>
        <rFont val="Arial"/>
        <family val="2"/>
      </rPr>
      <t xml:space="preserve"> are the observed numbers of events in the reference or standard</t>
    </r>
  </si>
  <si>
    <r>
      <t>Cells F7:F25</t>
    </r>
    <r>
      <rPr>
        <sz val="10"/>
        <rFont val="Arial"/>
        <family val="2"/>
      </rPr>
      <t xml:space="preserve"> are the numbers of individuals in the reference or standard population.</t>
    </r>
  </si>
  <si>
    <r>
      <t>Cell B32</t>
    </r>
    <r>
      <rPr>
        <sz val="10"/>
        <rFont val="Arial"/>
        <family val="2"/>
      </rPr>
      <t xml:space="preserve"> (or </t>
    </r>
    <r>
      <rPr>
        <sz val="10"/>
        <color indexed="14"/>
        <rFont val="Arial"/>
        <family val="2"/>
      </rPr>
      <t>cell B41</t>
    </r>
    <r>
      <rPr>
        <sz val="10"/>
        <rFont val="Arial"/>
        <family val="2"/>
      </rPr>
      <t>) is the total number of observed events (</t>
    </r>
    <r>
      <rPr>
        <i/>
        <sz val="10"/>
        <rFont val="Arial"/>
        <family val="2"/>
      </rPr>
      <t>O</t>
    </r>
    <r>
      <rPr>
        <sz val="10"/>
        <rFont val="Arial"/>
        <family val="2"/>
      </rPr>
      <t>) in the local or</t>
    </r>
  </si>
  <si>
    <r>
      <t>Cell C32</t>
    </r>
    <r>
      <rPr>
        <sz val="10"/>
        <rFont val="Arial"/>
        <family val="2"/>
      </rPr>
      <t xml:space="preserve"> (or </t>
    </r>
    <r>
      <rPr>
        <sz val="10"/>
        <color indexed="14"/>
        <rFont val="Arial"/>
        <family val="2"/>
      </rPr>
      <t>cell C41</t>
    </r>
    <r>
      <rPr>
        <sz val="10"/>
        <rFont val="Arial"/>
        <family val="2"/>
      </rPr>
      <t>) is the total number of expected events (</t>
    </r>
    <r>
      <rPr>
        <i/>
        <sz val="10"/>
        <rFont val="Arial"/>
        <family val="2"/>
      </rPr>
      <t>E</t>
    </r>
    <r>
      <rPr>
        <sz val="10"/>
        <rFont val="Arial"/>
        <family val="2"/>
      </rPr>
      <t xml:space="preserve">) in the local or </t>
    </r>
  </si>
  <si>
    <r>
      <t>Cell D45</t>
    </r>
    <r>
      <rPr>
        <sz val="10"/>
        <rFont val="Arial"/>
        <family val="2"/>
      </rPr>
      <t xml:space="preserve"> is the overall crude rate (total events/total population) in the reference</t>
    </r>
  </si>
  <si>
    <r>
      <t xml:space="preserve">Note that </t>
    </r>
    <r>
      <rPr>
        <i/>
        <sz val="10"/>
        <color indexed="14"/>
        <rFont val="Arial"/>
        <family val="2"/>
      </rPr>
      <t>cells B32:C32</t>
    </r>
    <r>
      <rPr>
        <i/>
        <sz val="10"/>
        <color indexed="45"/>
        <rFont val="Arial"/>
        <family val="2"/>
      </rPr>
      <t xml:space="preserve"> (or </t>
    </r>
    <r>
      <rPr>
        <i/>
        <sz val="10"/>
        <color indexed="14"/>
        <rFont val="Arial"/>
        <family val="2"/>
      </rPr>
      <t>cells B41:C41</t>
    </r>
    <r>
      <rPr>
        <i/>
        <sz val="10"/>
        <rFont val="Arial"/>
        <family val="2"/>
      </rPr>
      <t xml:space="preserve"> and </t>
    </r>
    <r>
      <rPr>
        <i/>
        <sz val="10"/>
        <color indexed="14"/>
        <rFont val="Arial"/>
        <family val="2"/>
      </rPr>
      <t>cell D45</t>
    </r>
    <r>
      <rPr>
        <i/>
        <sz val="10"/>
        <color indexed="45"/>
        <rFont val="Arial"/>
        <family val="2"/>
      </rPr>
      <t>) are calculated from the</t>
    </r>
  </si>
  <si>
    <r>
      <t>events if required: then the table above (</t>
    </r>
    <r>
      <rPr>
        <i/>
        <sz val="10"/>
        <color indexed="14"/>
        <rFont val="Arial"/>
        <family val="2"/>
      </rPr>
      <t>cells B4:H26</t>
    </r>
    <r>
      <rPr>
        <i/>
        <sz val="10"/>
        <color indexed="45"/>
        <rFont val="Arial"/>
        <family val="2"/>
      </rPr>
      <t>) will not be required.</t>
    </r>
  </si>
  <si>
    <r>
      <t xml:space="preserve">Cell E36 </t>
    </r>
    <r>
      <rPr>
        <sz val="10"/>
        <rFont val="Arial"/>
        <family val="2"/>
      </rPr>
      <t xml:space="preserve">(or </t>
    </r>
    <r>
      <rPr>
        <sz val="10"/>
        <color indexed="14"/>
        <rFont val="Arial"/>
        <family val="2"/>
      </rPr>
      <t>cell E45</t>
    </r>
    <r>
      <rPr>
        <sz val="10"/>
        <rFont val="Arial"/>
        <family val="2"/>
      </rPr>
      <t>) is the confidence level required for the confidence interval,</t>
    </r>
  </si>
  <si>
    <r>
      <t>Cell F36</t>
    </r>
    <r>
      <rPr>
        <sz val="10"/>
        <rFont val="Arial"/>
        <family val="2"/>
      </rPr>
      <t xml:space="preserve"> allows the user to enter a multiplier for presentation of the ratio and its</t>
    </r>
  </si>
  <si>
    <r>
      <t>Cell F45</t>
    </r>
    <r>
      <rPr>
        <sz val="10"/>
        <rFont val="Arial"/>
        <family val="2"/>
      </rPr>
      <t xml:space="preserve"> allows the user to enter a multiplier for presentation of the ratio as a rate.</t>
    </r>
  </si>
  <si>
    <r>
      <t>Cells E7:E25</t>
    </r>
    <r>
      <rPr>
        <sz val="10"/>
        <rFont val="Arial"/>
        <family val="2"/>
      </rPr>
      <t xml:space="preserve"> are the numbers of individuals in the reference or standard population.</t>
    </r>
  </si>
  <si>
    <r>
      <t>Cell E32</t>
    </r>
    <r>
      <rPr>
        <sz val="10"/>
        <rFont val="Arial"/>
        <family val="2"/>
      </rPr>
      <t xml:space="preserve"> is the confidence level required for the confidence interval, most commonly</t>
    </r>
  </si>
  <si>
    <r>
      <t xml:space="preserve">Cell F32 </t>
    </r>
    <r>
      <rPr>
        <sz val="10"/>
        <rFont val="Arial"/>
        <family val="2"/>
      </rPr>
      <t>allows the user to enter a multiplier for presentation of the rate and its</t>
    </r>
  </si>
  <si>
    <t>March 2008 - updated February 2014</t>
  </si>
  <si>
    <t>This tool was designed and produced specifically to accompany</t>
  </si>
  <si>
    <t>the APHO Technical Briefing on Commonly used public health</t>
  </si>
  <si>
    <t>statistics and their confidence intervals, available at</t>
  </si>
  <si>
    <t>for multiple calculations.</t>
  </si>
  <si>
    <t>The tool has been updated in February 2014 to accommodate the</t>
  </si>
  <si>
    <t>Standard Population.</t>
  </si>
  <si>
    <r>
      <rPr>
        <b/>
        <sz val="10"/>
        <rFont val="Arial"/>
        <family val="2"/>
      </rPr>
      <t>Note</t>
    </r>
    <r>
      <rPr>
        <sz val="10"/>
        <rFont val="Arial"/>
        <family val="2"/>
      </rPr>
      <t xml:space="preserve"> that the default reference population in the spreadsheet tool is the </t>
    </r>
    <r>
      <rPr>
        <b/>
        <sz val="10"/>
        <rFont val="Arial"/>
        <family val="2"/>
      </rPr>
      <t>2013</t>
    </r>
    <r>
      <rPr>
        <sz val="10"/>
        <rFont val="Arial"/>
        <family val="2"/>
      </rPr>
      <t xml:space="preserve"> European</t>
    </r>
  </si>
  <si>
    <t>extended age groups available in the 2011 Census-based ONS</t>
  </si>
  <si>
    <t>mid-year estimates of population: the oldest age groups in the</t>
  </si>
  <si>
    <t>Indirect and Direct Standardisation worksheets are now 85-89</t>
  </si>
  <si>
    <t>and 90+.  The Direct Standardisation worksheet also now</t>
  </si>
  <si>
    <t>includes the 2013 European Standard Population as the default.</t>
  </si>
  <si>
    <t>Directly Standardised Rates</t>
  </si>
  <si>
    <t>All the formulæ in the</t>
  </si>
  <si>
    <t>https://fingertips.phe.org.uk/profile/guidance.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</si>
</sst>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0.0"/>
    <numFmt numFmtId="165" formatCode="0.000"/>
    <numFmt numFmtId="166" formatCode="0.000000"/>
    <numFmt numFmtId="167" formatCode="0.0000"/>
    <numFmt numFmtId="168" formatCode="?,???,??0"/>
    <numFmt numFmtId="169" formatCode="?,??0"/>
    <numFmt numFmtId="170" formatCode="??,??0"/>
    <numFmt numFmtId="171" formatCode="0.000000000"/>
    <numFmt numFmtId="172" formatCode="?0.0&quot;%&quot;"/>
    <numFmt numFmtId="173" formatCode="??0.00"/>
    <numFmt numFmtId="174" formatCode="??0.00000"/>
    <numFmt numFmtId="175" formatCode="???,??0"/>
    <numFmt numFmtId="176" formatCode="0.0000E+00"/>
    <numFmt numFmtId="177" formatCode="0.00000"/>
  </numFmts>
  <fonts count="69" x14ac:knownFonts="1">
    <font>
      <sz val="10"/>
      <name val="Arial Narrow"/>
    </font>
    <font>
      <sz val="10"/>
      <name val="Arial"/>
      <family val="2"/>
    </font>
    <font>
      <sz val="8"/>
      <name val="Arial Narrow"/>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45"/>
      <name val="Arial"/>
      <family val="2"/>
    </font>
    <font>
      <sz val="10"/>
      <color indexed="22"/>
      <name val="Arial"/>
      <family val="2"/>
    </font>
    <font>
      <b/>
      <i/>
      <sz val="10"/>
      <color indexed="22"/>
      <name val="Arial"/>
      <family val="2"/>
    </font>
    <font>
      <sz val="10"/>
      <color indexed="15"/>
      <name val="Arial"/>
      <family val="2"/>
    </font>
    <font>
      <sz val="10"/>
      <color indexed="45"/>
      <name val="Arial"/>
      <family val="2"/>
    </font>
    <font>
      <b/>
      <sz val="10"/>
      <color indexed="9"/>
      <name val="Arial"/>
      <family val="2"/>
    </font>
    <font>
      <sz val="24"/>
      <color indexed="22"/>
      <name val="Arial Narrow"/>
      <family val="2"/>
    </font>
    <font>
      <b/>
      <u/>
      <sz val="10"/>
      <color indexed="14"/>
      <name val="Arial Narrow"/>
      <family val="2"/>
    </font>
    <font>
      <b/>
      <sz val="12"/>
      <color indexed="14"/>
      <name val="Arial"/>
      <family val="2"/>
    </font>
    <font>
      <i/>
      <sz val="10"/>
      <color indexed="45"/>
      <name val="Arial"/>
      <family val="2"/>
    </font>
    <font>
      <b/>
      <i/>
      <sz val="10"/>
      <color indexed="9"/>
      <name val="Arial"/>
      <family val="2"/>
    </font>
    <font>
      <b/>
      <i/>
      <vertAlign val="subscript"/>
      <sz val="10"/>
      <color indexed="9"/>
      <name val="Arial"/>
      <family val="2"/>
    </font>
    <font>
      <i/>
      <vertAlign val="subscript"/>
      <sz val="10"/>
      <color indexed="45"/>
      <name val="Arial"/>
      <family val="2"/>
    </font>
    <font>
      <sz val="36"/>
      <color indexed="22"/>
      <name val="Arial Narrow"/>
      <family val="2"/>
    </font>
    <font>
      <i/>
      <sz val="10"/>
      <color indexed="14"/>
      <name val="Arial"/>
      <family val="2"/>
    </font>
    <font>
      <b/>
      <vertAlign val="superscript"/>
      <sz val="10"/>
      <color indexed="14"/>
      <name val="Arial"/>
      <family val="2"/>
    </font>
    <font>
      <sz val="8"/>
      <color indexed="45"/>
      <name val="Arial"/>
      <family val="2"/>
    </font>
    <font>
      <b/>
      <sz val="8"/>
      <color indexed="14"/>
      <name val="Arial"/>
      <family val="2"/>
    </font>
    <font>
      <i/>
      <sz val="8"/>
      <color indexed="45"/>
      <name val="Arial"/>
      <family val="2"/>
    </font>
    <font>
      <b/>
      <sz val="10"/>
      <color indexed="14"/>
      <name val="Arial"/>
      <family val="2"/>
    </font>
    <font>
      <vertAlign val="superscript"/>
      <sz val="10"/>
      <color indexed="45"/>
      <name val="Arial"/>
      <family val="2"/>
    </font>
    <font>
      <i/>
      <sz val="10"/>
      <name val="Arial"/>
      <family val="2"/>
    </font>
    <font>
      <sz val="10"/>
      <color indexed="14"/>
      <name val="Arial"/>
      <family val="2"/>
    </font>
    <font>
      <i/>
      <vertAlign val="subscript"/>
      <sz val="10"/>
      <name val="Arial"/>
      <family val="2"/>
    </font>
    <font>
      <i/>
      <sz val="10"/>
      <color indexed="45"/>
      <name val="Symbol"/>
      <family val="1"/>
      <charset val="2"/>
    </font>
    <font>
      <b/>
      <i/>
      <sz val="10"/>
      <color indexed="9"/>
      <name val="Symbol"/>
      <family val="1"/>
      <charset val="2"/>
    </font>
    <font>
      <b/>
      <i/>
      <vertAlign val="superscript"/>
      <sz val="10"/>
      <color indexed="9"/>
      <name val="Arial"/>
      <family val="2"/>
    </font>
    <font>
      <b/>
      <i/>
      <sz val="10"/>
      <color indexed="14"/>
      <name val="Arial"/>
      <family val="2"/>
    </font>
    <font>
      <b/>
      <i/>
      <vertAlign val="subscript"/>
      <sz val="10"/>
      <color indexed="14"/>
      <name val="Arial"/>
      <family val="2"/>
    </font>
    <font>
      <b/>
      <i/>
      <sz val="10"/>
      <color indexed="14"/>
      <name val="Symbol"/>
      <family val="1"/>
      <charset val="2"/>
    </font>
    <font>
      <i/>
      <sz val="10"/>
      <color indexed="14"/>
      <name val="Symbol"/>
      <family val="1"/>
      <charset val="2"/>
    </font>
    <font>
      <vertAlign val="superscript"/>
      <sz val="10"/>
      <color indexed="14"/>
      <name val="Arial"/>
      <family val="2"/>
    </font>
    <font>
      <sz val="20"/>
      <name val="Arial"/>
      <family val="2"/>
    </font>
    <font>
      <sz val="10"/>
      <color indexed="9"/>
      <name val="Arial"/>
      <family val="2"/>
    </font>
    <font>
      <sz val="10"/>
      <color indexed="9"/>
      <name val="Arial"/>
      <family val="2"/>
    </font>
    <font>
      <sz val="10"/>
      <color indexed="45"/>
      <name val="Symbol"/>
      <family val="1"/>
      <charset val="2"/>
    </font>
    <font>
      <i/>
      <sz val="10"/>
      <color indexed="45"/>
      <name val="MS Reference Sans Serif"/>
      <family val="2"/>
    </font>
    <font>
      <i/>
      <sz val="10"/>
      <color indexed="9"/>
      <name val="MS Reference Sans Serif"/>
      <family val="2"/>
    </font>
    <font>
      <i/>
      <sz val="10"/>
      <name val="MS Reference Sans Serif"/>
      <family val="2"/>
    </font>
    <font>
      <i/>
      <sz val="10"/>
      <color indexed="14"/>
      <name val="MS Reference Sans Serif"/>
      <family val="2"/>
    </font>
    <font>
      <b/>
      <i/>
      <sz val="10"/>
      <name val="Arial"/>
      <family val="2"/>
    </font>
    <font>
      <sz val="8"/>
      <color indexed="81"/>
      <name val="Tahoma"/>
      <family val="2"/>
    </font>
    <font>
      <b/>
      <sz val="8"/>
      <color indexed="81"/>
      <name val="Tahoma"/>
      <family val="2"/>
    </font>
    <font>
      <i/>
      <sz val="8"/>
      <color indexed="81"/>
      <name val="Tahoma"/>
      <family val="2"/>
    </font>
    <font>
      <sz val="10"/>
      <name val="MS Sans Serif"/>
      <family val="2"/>
    </font>
    <font>
      <sz val="11"/>
      <color theme="1"/>
      <name val="Calibri"/>
      <family val="2"/>
      <scheme val="minor"/>
    </font>
  </fonts>
  <fills count="27">
    <fill>
      <patternFill patternType="none"/>
    </fill>
    <fill>
      <patternFill patternType="gray125"/>
    </fill>
    <fill>
      <patternFill patternType="solid">
        <fgColor indexed="31"/>
      </patternFill>
    </fill>
    <fill>
      <patternFill patternType="solid">
        <fgColor indexed="53"/>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3"/>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26"/>
      </patternFill>
    </fill>
    <fill>
      <patternFill patternType="solid">
        <fgColor indexed="51"/>
        <bgColor indexed="64"/>
      </patternFill>
    </fill>
    <fill>
      <patternFill patternType="solid">
        <fgColor indexed="14"/>
        <bgColor indexed="64"/>
      </patternFill>
    </fill>
    <fill>
      <patternFill patternType="solid">
        <fgColor indexed="9"/>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style="medium">
        <color indexed="64"/>
      </top>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bottom style="medium">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medium">
        <color indexed="64"/>
      </bottom>
      <diagonal/>
    </border>
  </borders>
  <cellStyleXfs count="45">
    <xf numFmtId="0" fontId="0" fillId="0" borderId="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21" borderId="1" applyNumberFormat="0" applyAlignment="0" applyProtection="0"/>
    <xf numFmtId="0" fontId="9" fillId="22" borderId="2" applyNumberFormat="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15" borderId="0" applyNumberFormat="0" applyBorder="0" applyAlignment="0" applyProtection="0"/>
    <xf numFmtId="0" fontId="67" fillId="0" borderId="0"/>
    <xf numFmtId="0" fontId="68" fillId="0" borderId="0"/>
    <xf numFmtId="0" fontId="4" fillId="23" borderId="7" applyNumberFormat="0" applyFont="0" applyAlignment="0" applyProtection="0"/>
    <xf numFmtId="0" fontId="19" fillId="21"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61">
    <xf numFmtId="0" fontId="0" fillId="0" borderId="0" xfId="0"/>
    <xf numFmtId="0" fontId="1" fillId="0" borderId="0" xfId="0" applyFont="1"/>
    <xf numFmtId="0" fontId="27" fillId="24" borderId="0" xfId="0" applyFont="1" applyFill="1" applyBorder="1" applyAlignment="1" applyProtection="1">
      <alignment horizontal="center" vertical="center"/>
    </xf>
    <xf numFmtId="0" fontId="1" fillId="25" borderId="0" xfId="0" applyFont="1" applyFill="1"/>
    <xf numFmtId="0" fontId="29" fillId="25" borderId="0" xfId="0" applyFont="1" applyFill="1"/>
    <xf numFmtId="0" fontId="24" fillId="25" borderId="0" xfId="0" applyFont="1" applyFill="1"/>
    <xf numFmtId="0" fontId="1" fillId="24" borderId="0" xfId="0" applyFont="1" applyFill="1"/>
    <xf numFmtId="0" fontId="3" fillId="24" borderId="0" xfId="0" applyFont="1" applyFill="1"/>
    <xf numFmtId="0" fontId="26" fillId="24" borderId="0" xfId="0" applyFont="1" applyFill="1"/>
    <xf numFmtId="0" fontId="27" fillId="24" borderId="0" xfId="0" applyFont="1" applyFill="1" applyBorder="1" applyAlignment="1" applyProtection="1">
      <alignment vertical="center"/>
    </xf>
    <xf numFmtId="0" fontId="27" fillId="24" borderId="0" xfId="0" applyFont="1" applyFill="1" applyBorder="1" applyAlignment="1" applyProtection="1">
      <alignment horizontal="left" vertical="center"/>
    </xf>
    <xf numFmtId="0" fontId="27" fillId="24" borderId="0" xfId="0" applyFont="1" applyFill="1" applyBorder="1" applyAlignment="1" applyProtection="1">
      <alignment horizontal="left" vertical="center" indent="1"/>
    </xf>
    <xf numFmtId="0" fontId="30" fillId="24" borderId="0" xfId="34" applyFont="1" applyFill="1" applyAlignment="1" applyProtection="1"/>
    <xf numFmtId="0" fontId="31" fillId="24" borderId="0" xfId="0" applyFont="1" applyFill="1" applyBorder="1" applyAlignment="1" applyProtection="1"/>
    <xf numFmtId="0" fontId="32" fillId="24" borderId="0" xfId="0" applyFont="1" applyFill="1" applyBorder="1" applyAlignment="1" applyProtection="1">
      <alignment horizontal="center" vertical="center"/>
    </xf>
    <xf numFmtId="0" fontId="32" fillId="24" borderId="0" xfId="0" applyFont="1" applyFill="1" applyBorder="1" applyAlignment="1" applyProtection="1">
      <alignment horizontal="center" vertical="center" wrapText="1"/>
    </xf>
    <xf numFmtId="0" fontId="23" fillId="24" borderId="0" xfId="0" applyFont="1" applyFill="1" applyBorder="1" applyAlignment="1" applyProtection="1">
      <alignment horizontal="left" vertical="center"/>
    </xf>
    <xf numFmtId="0" fontId="32" fillId="24" borderId="0" xfId="0" applyFont="1" applyFill="1" applyBorder="1" applyAlignment="1" applyProtection="1">
      <alignment horizontal="left" vertical="center" indent="1"/>
    </xf>
    <xf numFmtId="0" fontId="32" fillId="24" borderId="0" xfId="0" applyFont="1" applyFill="1" applyBorder="1" applyAlignment="1" applyProtection="1">
      <alignment horizontal="left" vertical="center"/>
    </xf>
    <xf numFmtId="0" fontId="36" fillId="25" borderId="0" xfId="0" applyFont="1" applyFill="1"/>
    <xf numFmtId="0" fontId="32" fillId="24" borderId="0" xfId="0" applyFont="1" applyFill="1" applyBorder="1" applyAlignment="1" applyProtection="1">
      <alignment horizontal="left" vertical="center" indent="3"/>
    </xf>
    <xf numFmtId="0" fontId="27" fillId="24" borderId="0" xfId="0" applyFont="1" applyFill="1" applyBorder="1" applyAlignment="1" applyProtection="1">
      <alignment horizontal="left" vertical="center" indent="3"/>
    </xf>
    <xf numFmtId="0" fontId="37" fillId="24" borderId="0" xfId="0" applyFont="1" applyFill="1" applyBorder="1" applyAlignment="1" applyProtection="1">
      <alignment horizontal="left" vertical="center" indent="1"/>
    </xf>
    <xf numFmtId="0" fontId="27" fillId="24" borderId="0" xfId="0" applyFont="1" applyFill="1" applyBorder="1" applyAlignment="1" applyProtection="1">
      <alignment horizontal="left" indent="1"/>
    </xf>
    <xf numFmtId="0" fontId="27" fillId="24" borderId="0" xfId="0" applyFont="1" applyFill="1" applyBorder="1" applyAlignment="1" applyProtection="1">
      <alignment horizontal="center"/>
    </xf>
    <xf numFmtId="0" fontId="27" fillId="24" borderId="0" xfId="0" applyFont="1" applyFill="1" applyBorder="1" applyAlignment="1" applyProtection="1">
      <alignment horizontal="left"/>
    </xf>
    <xf numFmtId="0" fontId="27" fillId="24" borderId="0" xfId="0" applyFont="1" applyFill="1" applyBorder="1" applyAlignment="1" applyProtection="1"/>
    <xf numFmtId="0" fontId="32" fillId="24" borderId="0" xfId="0" applyFont="1" applyFill="1" applyBorder="1" applyAlignment="1" applyProtection="1">
      <alignment horizontal="left"/>
    </xf>
    <xf numFmtId="0" fontId="28" fillId="25" borderId="10" xfId="0" applyFont="1" applyFill="1" applyBorder="1" applyAlignment="1" applyProtection="1">
      <alignment horizontal="center"/>
    </xf>
    <xf numFmtId="0" fontId="28" fillId="25" borderId="11" xfId="0" applyFont="1" applyFill="1" applyBorder="1" applyAlignment="1" applyProtection="1">
      <alignment horizontal="center"/>
    </xf>
    <xf numFmtId="0" fontId="28" fillId="25" borderId="12" xfId="0" applyFont="1" applyFill="1" applyBorder="1" applyAlignment="1" applyProtection="1">
      <alignment horizontal="center"/>
    </xf>
    <xf numFmtId="0" fontId="28" fillId="25" borderId="13" xfId="0" applyFont="1" applyFill="1" applyBorder="1" applyAlignment="1" applyProtection="1">
      <alignment horizontal="center"/>
    </xf>
    <xf numFmtId="172" fontId="27" fillId="26" borderId="14" xfId="0" applyNumberFormat="1" applyFont="1" applyFill="1" applyBorder="1" applyAlignment="1" applyProtection="1">
      <alignment horizontal="center"/>
      <protection locked="0"/>
    </xf>
    <xf numFmtId="0" fontId="28" fillId="25" borderId="15" xfId="0" applyFont="1" applyFill="1" applyBorder="1" applyAlignment="1" applyProtection="1">
      <alignment horizontal="center"/>
    </xf>
    <xf numFmtId="0" fontId="33" fillId="25" borderId="16" xfId="0" applyFont="1" applyFill="1" applyBorder="1" applyAlignment="1" applyProtection="1">
      <alignment horizontal="center"/>
    </xf>
    <xf numFmtId="0" fontId="33" fillId="25" borderId="17" xfId="0" applyFont="1" applyFill="1" applyBorder="1" applyAlignment="1" applyProtection="1">
      <alignment horizontal="center"/>
    </xf>
    <xf numFmtId="0" fontId="33" fillId="25" borderId="13" xfId="0" applyFont="1" applyFill="1" applyBorder="1" applyAlignment="1" applyProtection="1">
      <alignment horizontal="center"/>
    </xf>
    <xf numFmtId="0" fontId="27" fillId="26" borderId="14" xfId="0" applyNumberFormat="1" applyFont="1" applyFill="1" applyBorder="1" applyAlignment="1" applyProtection="1">
      <alignment horizontal="center"/>
      <protection locked="0"/>
    </xf>
    <xf numFmtId="0" fontId="27" fillId="26" borderId="18" xfId="0" applyFont="1" applyFill="1" applyBorder="1" applyAlignment="1" applyProtection="1">
      <alignment horizontal="center"/>
      <protection locked="0"/>
    </xf>
    <xf numFmtId="0" fontId="39" fillId="24" borderId="0" xfId="0" applyFont="1" applyFill="1" applyBorder="1" applyAlignment="1" applyProtection="1">
      <alignment horizontal="left"/>
    </xf>
    <xf numFmtId="0" fontId="39" fillId="24" borderId="0" xfId="0" applyFont="1" applyFill="1" applyBorder="1" applyAlignment="1" applyProtection="1">
      <alignment horizontal="center"/>
    </xf>
    <xf numFmtId="0" fontId="39" fillId="24" borderId="0" xfId="0" applyFont="1" applyFill="1" applyBorder="1" applyAlignment="1" applyProtection="1"/>
    <xf numFmtId="0" fontId="42" fillId="24" borderId="0" xfId="0" applyFont="1" applyFill="1" applyBorder="1" applyAlignment="1" applyProtection="1">
      <alignment horizontal="left" indent="1"/>
    </xf>
    <xf numFmtId="0" fontId="40" fillId="24" borderId="0" xfId="0" applyFont="1" applyFill="1" applyBorder="1" applyAlignment="1" applyProtection="1">
      <alignment horizontal="left" indent="1"/>
    </xf>
    <xf numFmtId="0" fontId="39" fillId="24" borderId="0" xfId="0" applyFont="1" applyFill="1" applyBorder="1" applyAlignment="1" applyProtection="1">
      <alignment horizontal="left" indent="1"/>
    </xf>
    <xf numFmtId="0" fontId="1" fillId="24" borderId="0" xfId="0" applyFont="1" applyFill="1" applyBorder="1" applyAlignment="1" applyProtection="1">
      <alignment horizontal="left" indent="1"/>
    </xf>
    <xf numFmtId="165" fontId="27" fillId="24" borderId="0" xfId="0" applyNumberFormat="1" applyFont="1" applyFill="1" applyBorder="1" applyAlignment="1" applyProtection="1">
      <alignment horizontal="left"/>
    </xf>
    <xf numFmtId="166" fontId="27" fillId="24" borderId="0" xfId="0" applyNumberFormat="1" applyFont="1" applyFill="1" applyBorder="1" applyAlignment="1" applyProtection="1">
      <alignment horizontal="left"/>
    </xf>
    <xf numFmtId="0" fontId="32" fillId="24" borderId="0" xfId="0" applyFont="1" applyFill="1" applyBorder="1" applyAlignment="1" applyProtection="1">
      <alignment horizontal="left" indent="1"/>
    </xf>
    <xf numFmtId="0" fontId="41" fillId="24" borderId="0" xfId="0" applyFont="1" applyFill="1" applyBorder="1" applyAlignment="1" applyProtection="1">
      <alignment horizontal="left" indent="1"/>
    </xf>
    <xf numFmtId="0" fontId="45" fillId="24" borderId="0" xfId="0" applyFont="1" applyFill="1" applyBorder="1" applyAlignment="1" applyProtection="1">
      <alignment horizontal="left" indent="1"/>
    </xf>
    <xf numFmtId="0" fontId="28" fillId="25" borderId="19" xfId="0" applyFont="1" applyFill="1" applyBorder="1" applyAlignment="1" applyProtection="1">
      <alignment horizontal="center"/>
    </xf>
    <xf numFmtId="0" fontId="33" fillId="25" borderId="20" xfId="0" applyFont="1" applyFill="1" applyBorder="1" applyAlignment="1" applyProtection="1">
      <alignment horizontal="center"/>
    </xf>
    <xf numFmtId="173" fontId="27" fillId="26" borderId="21" xfId="0" applyNumberFormat="1" applyFont="1" applyFill="1" applyBorder="1" applyAlignment="1" applyProtection="1">
      <alignment horizontal="center"/>
      <protection locked="0"/>
    </xf>
    <xf numFmtId="173" fontId="27" fillId="26" borderId="22" xfId="0" applyNumberFormat="1" applyFont="1" applyFill="1" applyBorder="1" applyAlignment="1" applyProtection="1">
      <alignment horizontal="center"/>
      <protection locked="0"/>
    </xf>
    <xf numFmtId="173" fontId="27" fillId="26" borderId="23" xfId="0" applyNumberFormat="1" applyFont="1" applyFill="1" applyBorder="1" applyAlignment="1" applyProtection="1">
      <alignment horizontal="center"/>
      <protection locked="0"/>
    </xf>
    <xf numFmtId="173" fontId="27" fillId="26" borderId="14" xfId="0" applyNumberFormat="1" applyFont="1" applyFill="1" applyBorder="1" applyAlignment="1" applyProtection="1">
      <alignment horizontal="center"/>
      <protection locked="0"/>
    </xf>
    <xf numFmtId="2" fontId="27" fillId="24" borderId="0" xfId="0" applyNumberFormat="1" applyFont="1" applyFill="1" applyBorder="1" applyAlignment="1" applyProtection="1">
      <alignment horizontal="center"/>
    </xf>
    <xf numFmtId="171" fontId="27" fillId="24" borderId="0" xfId="0" applyNumberFormat="1" applyFont="1" applyFill="1" applyBorder="1" applyAlignment="1" applyProtection="1">
      <alignment horizontal="center"/>
    </xf>
    <xf numFmtId="2" fontId="27" fillId="26" borderId="18" xfId="0" applyNumberFormat="1" applyFont="1" applyFill="1" applyBorder="1" applyAlignment="1" applyProtection="1">
      <alignment horizontal="center"/>
      <protection locked="0"/>
    </xf>
    <xf numFmtId="173" fontId="27" fillId="24" borderId="0" xfId="0" applyNumberFormat="1" applyFont="1" applyFill="1" applyBorder="1" applyAlignment="1" applyProtection="1">
      <alignment horizontal="center"/>
    </xf>
    <xf numFmtId="174" fontId="27" fillId="24" borderId="0" xfId="0" applyNumberFormat="1" applyFont="1" applyFill="1" applyBorder="1" applyAlignment="1" applyProtection="1">
      <alignment horizontal="center"/>
    </xf>
    <xf numFmtId="0" fontId="28" fillId="25" borderId="20" xfId="0" applyFont="1" applyFill="1" applyBorder="1" applyAlignment="1" applyProtection="1">
      <alignment horizontal="center"/>
    </xf>
    <xf numFmtId="172" fontId="27" fillId="26" borderId="24" xfId="0" applyNumberFormat="1" applyFont="1" applyFill="1" applyBorder="1" applyAlignment="1" applyProtection="1">
      <alignment horizontal="center"/>
      <protection locked="0"/>
    </xf>
    <xf numFmtId="173" fontId="27" fillId="26" borderId="25" xfId="0" applyNumberFormat="1" applyFont="1" applyFill="1" applyBorder="1" applyAlignment="1" applyProtection="1">
      <alignment horizontal="center"/>
      <protection locked="0"/>
    </xf>
    <xf numFmtId="173" fontId="27" fillId="26" borderId="26" xfId="0" quotePrefix="1" applyNumberFormat="1" applyFont="1" applyFill="1" applyBorder="1" applyAlignment="1" applyProtection="1">
      <alignment horizontal="center"/>
      <protection locked="0"/>
    </xf>
    <xf numFmtId="173" fontId="27" fillId="26" borderId="26" xfId="0" applyNumberFormat="1" applyFont="1" applyFill="1" applyBorder="1" applyAlignment="1" applyProtection="1">
      <alignment horizontal="center"/>
      <protection locked="0"/>
    </xf>
    <xf numFmtId="173" fontId="27" fillId="26" borderId="27" xfId="0" applyNumberFormat="1" applyFont="1" applyFill="1" applyBorder="1" applyAlignment="1" applyProtection="1">
      <alignment horizontal="center"/>
      <protection locked="0"/>
    </xf>
    <xf numFmtId="173" fontId="27" fillId="26" borderId="28" xfId="0" applyNumberFormat="1" applyFont="1" applyFill="1" applyBorder="1" applyAlignment="1" applyProtection="1">
      <alignment horizontal="center"/>
      <protection locked="0"/>
    </xf>
    <xf numFmtId="0" fontId="28" fillId="25" borderId="17" xfId="0" applyFont="1" applyFill="1" applyBorder="1" applyAlignment="1" applyProtection="1">
      <alignment horizontal="center"/>
    </xf>
    <xf numFmtId="169" fontId="27" fillId="26" borderId="29" xfId="0" applyNumberFormat="1" applyFont="1" applyFill="1" applyBorder="1" applyAlignment="1" applyProtection="1">
      <alignment horizontal="center"/>
      <protection locked="0"/>
    </xf>
    <xf numFmtId="169" fontId="27" fillId="26" borderId="30" xfId="0" quotePrefix="1" applyNumberFormat="1" applyFont="1" applyFill="1" applyBorder="1" applyAlignment="1" applyProtection="1">
      <alignment horizontal="center"/>
      <protection locked="0"/>
    </xf>
    <xf numFmtId="169" fontId="27" fillId="26" borderId="30" xfId="0" applyNumberFormat="1" applyFont="1" applyFill="1" applyBorder="1" applyAlignment="1" applyProtection="1">
      <alignment horizontal="center"/>
      <protection locked="0"/>
    </xf>
    <xf numFmtId="169" fontId="27" fillId="26" borderId="31" xfId="0" applyNumberFormat="1" applyFont="1" applyFill="1" applyBorder="1" applyAlignment="1" applyProtection="1">
      <alignment horizontal="center"/>
      <protection locked="0"/>
    </xf>
    <xf numFmtId="175" fontId="27" fillId="26" borderId="29" xfId="0" applyNumberFormat="1" applyFont="1" applyFill="1" applyBorder="1" applyAlignment="1" applyProtection="1">
      <alignment horizontal="center"/>
      <protection locked="0"/>
    </xf>
    <xf numFmtId="175" fontId="27" fillId="26" borderId="30" xfId="0" quotePrefix="1" applyNumberFormat="1" applyFont="1" applyFill="1" applyBorder="1" applyAlignment="1" applyProtection="1">
      <alignment horizontal="center"/>
      <protection locked="0"/>
    </xf>
    <xf numFmtId="175" fontId="27" fillId="26" borderId="30" xfId="0" applyNumberFormat="1" applyFont="1" applyFill="1" applyBorder="1" applyAlignment="1" applyProtection="1">
      <alignment horizontal="center"/>
      <protection locked="0"/>
    </xf>
    <xf numFmtId="175" fontId="27" fillId="26" borderId="31" xfId="0" applyNumberFormat="1" applyFont="1" applyFill="1" applyBorder="1" applyAlignment="1" applyProtection="1">
      <alignment horizontal="center"/>
      <protection locked="0"/>
    </xf>
    <xf numFmtId="170" fontId="27" fillId="26" borderId="29" xfId="0" applyNumberFormat="1" applyFont="1" applyFill="1" applyBorder="1" applyAlignment="1" applyProtection="1">
      <alignment horizontal="center"/>
      <protection locked="0"/>
    </xf>
    <xf numFmtId="170" fontId="27" fillId="26" borderId="30" xfId="0" quotePrefix="1" applyNumberFormat="1" applyFont="1" applyFill="1" applyBorder="1" applyAlignment="1" applyProtection="1">
      <alignment horizontal="center"/>
      <protection locked="0"/>
    </xf>
    <xf numFmtId="170" fontId="27" fillId="26" borderId="30" xfId="0" applyNumberFormat="1" applyFont="1" applyFill="1" applyBorder="1" applyAlignment="1" applyProtection="1">
      <alignment horizontal="center"/>
      <protection locked="0"/>
    </xf>
    <xf numFmtId="170" fontId="27" fillId="26" borderId="31" xfId="0" applyNumberFormat="1" applyFont="1" applyFill="1" applyBorder="1" applyAlignment="1" applyProtection="1">
      <alignment horizontal="center"/>
      <protection locked="0"/>
    </xf>
    <xf numFmtId="169" fontId="27" fillId="26" borderId="14" xfId="0" applyNumberFormat="1" applyFont="1" applyFill="1" applyBorder="1" applyAlignment="1" applyProtection="1">
      <alignment horizontal="center"/>
      <protection locked="0"/>
    </xf>
    <xf numFmtId="0" fontId="28" fillId="25" borderId="16" xfId="0" applyFont="1" applyFill="1" applyBorder="1" applyAlignment="1" applyProtection="1">
      <alignment horizontal="center"/>
    </xf>
    <xf numFmtId="0" fontId="48" fillId="25" borderId="17" xfId="0" applyFont="1" applyFill="1" applyBorder="1" applyAlignment="1" applyProtection="1">
      <alignment horizontal="center"/>
    </xf>
    <xf numFmtId="168" fontId="27" fillId="26" borderId="29" xfId="0" applyNumberFormat="1" applyFont="1" applyFill="1" applyBorder="1" applyAlignment="1" applyProtection="1">
      <alignment horizontal="center"/>
      <protection locked="0"/>
    </xf>
    <xf numFmtId="168" fontId="27" fillId="26" borderId="30" xfId="0" quotePrefix="1" applyNumberFormat="1" applyFont="1" applyFill="1" applyBorder="1" applyAlignment="1" applyProtection="1">
      <alignment horizontal="center"/>
      <protection locked="0"/>
    </xf>
    <xf numFmtId="168" fontId="27" fillId="26" borderId="30" xfId="0" applyNumberFormat="1" applyFont="1" applyFill="1" applyBorder="1" applyAlignment="1" applyProtection="1">
      <alignment horizontal="center"/>
      <protection locked="0"/>
    </xf>
    <xf numFmtId="168" fontId="27" fillId="26" borderId="31" xfId="0" applyNumberFormat="1" applyFont="1" applyFill="1" applyBorder="1" applyAlignment="1" applyProtection="1">
      <alignment horizontal="center"/>
      <protection locked="0"/>
    </xf>
    <xf numFmtId="164" fontId="27" fillId="26" borderId="18" xfId="0" applyNumberFormat="1" applyFont="1" applyFill="1" applyBorder="1" applyAlignment="1" applyProtection="1">
      <alignment horizontal="center"/>
      <protection locked="0"/>
    </xf>
    <xf numFmtId="172" fontId="27" fillId="26" borderId="18" xfId="0" applyNumberFormat="1" applyFont="1" applyFill="1" applyBorder="1" applyAlignment="1" applyProtection="1">
      <alignment horizontal="center"/>
      <protection locked="0"/>
    </xf>
    <xf numFmtId="3" fontId="27" fillId="26" borderId="14" xfId="0" applyNumberFormat="1" applyFont="1" applyFill="1" applyBorder="1" applyAlignment="1" applyProtection="1">
      <alignment horizontal="center"/>
      <protection locked="0"/>
    </xf>
    <xf numFmtId="3" fontId="27" fillId="26" borderId="32" xfId="0" applyNumberFormat="1" applyFont="1" applyFill="1" applyBorder="1" applyAlignment="1" applyProtection="1">
      <alignment horizontal="center"/>
      <protection locked="0"/>
    </xf>
    <xf numFmtId="164" fontId="27" fillId="24" borderId="18" xfId="0" applyNumberFormat="1" applyFont="1" applyFill="1" applyBorder="1" applyAlignment="1" applyProtection="1">
      <alignment horizontal="center"/>
    </xf>
    <xf numFmtId="164" fontId="27" fillId="24" borderId="32" xfId="0" applyNumberFormat="1" applyFont="1" applyFill="1" applyBorder="1" applyAlignment="1" applyProtection="1">
      <alignment horizontal="center"/>
    </xf>
    <xf numFmtId="3" fontId="27" fillId="24" borderId="18" xfId="0" applyNumberFormat="1" applyFont="1" applyFill="1" applyBorder="1" applyAlignment="1" applyProtection="1">
      <alignment horizontal="center"/>
    </xf>
    <xf numFmtId="3" fontId="27" fillId="24" borderId="32" xfId="0" applyNumberFormat="1" applyFont="1" applyFill="1" applyBorder="1" applyAlignment="1" applyProtection="1">
      <alignment horizontal="center"/>
    </xf>
    <xf numFmtId="0" fontId="44" fillId="24" borderId="0" xfId="0" applyFont="1" applyFill="1" applyBorder="1" applyAlignment="1" applyProtection="1">
      <alignment horizontal="left" indent="1"/>
    </xf>
    <xf numFmtId="0" fontId="47" fillId="24" borderId="0" xfId="0" applyFont="1" applyFill="1" applyBorder="1" applyAlignment="1" applyProtection="1">
      <alignment horizontal="left" vertical="center" indent="3"/>
    </xf>
    <xf numFmtId="165" fontId="27" fillId="24" borderId="29" xfId="0" applyNumberFormat="1" applyFont="1" applyFill="1" applyBorder="1" applyAlignment="1" applyProtection="1">
      <alignment horizontal="center"/>
    </xf>
    <xf numFmtId="169" fontId="27" fillId="24" borderId="33" xfId="0" applyNumberFormat="1" applyFont="1" applyFill="1" applyBorder="1" applyAlignment="1" applyProtection="1">
      <alignment horizontal="center"/>
    </xf>
    <xf numFmtId="165" fontId="27" fillId="24" borderId="30" xfId="0" quotePrefix="1" applyNumberFormat="1" applyFont="1" applyFill="1" applyBorder="1" applyAlignment="1" applyProtection="1">
      <alignment horizontal="center"/>
    </xf>
    <xf numFmtId="169" fontId="27" fillId="24" borderId="34" xfId="0" quotePrefix="1" applyNumberFormat="1" applyFont="1" applyFill="1" applyBorder="1" applyAlignment="1" applyProtection="1">
      <alignment horizontal="center"/>
    </xf>
    <xf numFmtId="165" fontId="27" fillId="24" borderId="30" xfId="0" applyNumberFormat="1" applyFont="1" applyFill="1" applyBorder="1" applyAlignment="1" applyProtection="1">
      <alignment horizontal="center"/>
    </xf>
    <xf numFmtId="169" fontId="27" fillId="24" borderId="34" xfId="0" applyNumberFormat="1" applyFont="1" applyFill="1" applyBorder="1" applyAlignment="1" applyProtection="1">
      <alignment horizontal="center"/>
    </xf>
    <xf numFmtId="165" fontId="27" fillId="24" borderId="31" xfId="0" applyNumberFormat="1" applyFont="1" applyFill="1" applyBorder="1" applyAlignment="1" applyProtection="1">
      <alignment horizontal="center"/>
    </xf>
    <xf numFmtId="169" fontId="27" fillId="24" borderId="35" xfId="0" applyNumberFormat="1" applyFont="1" applyFill="1" applyBorder="1" applyAlignment="1" applyProtection="1">
      <alignment horizontal="center"/>
    </xf>
    <xf numFmtId="173" fontId="27" fillId="24" borderId="36" xfId="0" applyNumberFormat="1" applyFont="1" applyFill="1" applyBorder="1" applyAlignment="1" applyProtection="1">
      <alignment horizontal="center"/>
    </xf>
    <xf numFmtId="169" fontId="27" fillId="24" borderId="37" xfId="0" applyNumberFormat="1" applyFont="1" applyFill="1" applyBorder="1" applyAlignment="1" applyProtection="1">
      <alignment horizontal="center"/>
    </xf>
    <xf numFmtId="170" fontId="27" fillId="24" borderId="37" xfId="0" applyNumberFormat="1" applyFont="1" applyFill="1" applyBorder="1" applyAlignment="1" applyProtection="1">
      <alignment horizontal="center"/>
    </xf>
    <xf numFmtId="175" fontId="27" fillId="24" borderId="37" xfId="0" applyNumberFormat="1" applyFont="1" applyFill="1" applyBorder="1" applyAlignment="1" applyProtection="1">
      <alignment horizontal="center"/>
    </xf>
    <xf numFmtId="168" fontId="27" fillId="24" borderId="37" xfId="0" applyNumberFormat="1" applyFont="1" applyFill="1" applyBorder="1" applyAlignment="1" applyProtection="1">
      <alignment horizontal="center"/>
    </xf>
    <xf numFmtId="165" fontId="27" fillId="24" borderId="37" xfId="0" applyNumberFormat="1" applyFont="1" applyFill="1" applyBorder="1" applyAlignment="1" applyProtection="1">
      <alignment horizontal="center"/>
    </xf>
    <xf numFmtId="169" fontId="27" fillId="24" borderId="38" xfId="0" applyNumberFormat="1" applyFont="1" applyFill="1" applyBorder="1" applyAlignment="1" applyProtection="1">
      <alignment horizontal="center"/>
    </xf>
    <xf numFmtId="173" fontId="27" fillId="24" borderId="18" xfId="0" applyNumberFormat="1" applyFont="1" applyFill="1" applyBorder="1" applyAlignment="1" applyProtection="1">
      <alignment horizontal="center"/>
    </xf>
    <xf numFmtId="173" fontId="27" fillId="24" borderId="32" xfId="0" applyNumberFormat="1" applyFont="1" applyFill="1" applyBorder="1" applyAlignment="1" applyProtection="1">
      <alignment horizontal="center"/>
    </xf>
    <xf numFmtId="169" fontId="27" fillId="24" borderId="29" xfId="0" applyNumberFormat="1" applyFont="1" applyFill="1" applyBorder="1" applyAlignment="1" applyProtection="1">
      <alignment horizontal="center"/>
    </xf>
    <xf numFmtId="169" fontId="27" fillId="26" borderId="39" xfId="0" applyNumberFormat="1" applyFont="1" applyFill="1" applyBorder="1" applyAlignment="1" applyProtection="1">
      <alignment horizontal="center"/>
      <protection locked="0"/>
    </xf>
    <xf numFmtId="170" fontId="27" fillId="26" borderId="39" xfId="0" applyNumberFormat="1" applyFont="1" applyFill="1" applyBorder="1" applyAlignment="1" applyProtection="1">
      <alignment horizontal="center"/>
      <protection locked="0"/>
    </xf>
    <xf numFmtId="168" fontId="27" fillId="26" borderId="39" xfId="0" applyNumberFormat="1" applyFont="1" applyFill="1" applyBorder="1" applyAlignment="1" applyProtection="1">
      <alignment horizontal="center"/>
      <protection locked="0"/>
    </xf>
    <xf numFmtId="169" fontId="27" fillId="24" borderId="18" xfId="0" applyNumberFormat="1" applyFont="1" applyFill="1" applyBorder="1" applyAlignment="1" applyProtection="1">
      <alignment horizontal="center"/>
    </xf>
    <xf numFmtId="0" fontId="45" fillId="24" borderId="0" xfId="0" applyFont="1" applyFill="1" applyBorder="1" applyAlignment="1" applyProtection="1">
      <alignment horizontal="left" vertical="center"/>
    </xf>
    <xf numFmtId="0" fontId="42" fillId="24" borderId="0" xfId="0" applyFont="1" applyFill="1" applyBorder="1" applyAlignment="1" applyProtection="1">
      <alignment horizontal="left" vertical="center"/>
    </xf>
    <xf numFmtId="167" fontId="42" fillId="24" borderId="0" xfId="0" applyNumberFormat="1" applyFont="1" applyFill="1" applyBorder="1" applyAlignment="1" applyProtection="1">
      <alignment horizontal="left" vertical="center"/>
    </xf>
    <xf numFmtId="0" fontId="50" fillId="24" borderId="0" xfId="0" applyFont="1" applyFill="1" applyBorder="1" applyAlignment="1" applyProtection="1">
      <alignment horizontal="right" vertical="center"/>
    </xf>
    <xf numFmtId="0" fontId="42" fillId="24" borderId="0" xfId="0" applyFont="1" applyFill="1" applyBorder="1" applyAlignment="1" applyProtection="1">
      <alignment horizontal="right" vertical="center"/>
    </xf>
    <xf numFmtId="0" fontId="52" fillId="24" borderId="0" xfId="0" applyFont="1" applyFill="1" applyBorder="1" applyAlignment="1" applyProtection="1">
      <alignment horizontal="right" vertical="center"/>
    </xf>
    <xf numFmtId="0" fontId="42" fillId="24" borderId="0" xfId="0" applyNumberFormat="1" applyFont="1" applyFill="1" applyBorder="1" applyAlignment="1" applyProtection="1">
      <alignment horizontal="left" vertical="center"/>
    </xf>
    <xf numFmtId="169" fontId="42" fillId="24" borderId="0" xfId="0" applyNumberFormat="1" applyFont="1" applyFill="1" applyBorder="1" applyAlignment="1" applyProtection="1">
      <alignment horizontal="left" vertical="center"/>
    </xf>
    <xf numFmtId="2" fontId="42" fillId="24" borderId="0" xfId="0" applyNumberFormat="1" applyFont="1" applyFill="1" applyBorder="1" applyAlignment="1" applyProtection="1">
      <alignment horizontal="left" vertical="center"/>
    </xf>
    <xf numFmtId="176" fontId="42" fillId="24" borderId="0" xfId="0" applyNumberFormat="1" applyFont="1" applyFill="1" applyBorder="1" applyAlignment="1" applyProtection="1">
      <alignment horizontal="left" vertical="center"/>
    </xf>
    <xf numFmtId="164" fontId="27" fillId="24" borderId="14" xfId="0" applyNumberFormat="1" applyFont="1" applyFill="1" applyBorder="1" applyAlignment="1" applyProtection="1">
      <alignment horizontal="center"/>
    </xf>
    <xf numFmtId="0" fontId="55" fillId="0" borderId="0" xfId="0" applyFont="1"/>
    <xf numFmtId="0" fontId="57" fillId="25" borderId="0" xfId="0" applyFont="1" applyFill="1"/>
    <xf numFmtId="0" fontId="37" fillId="24" borderId="0" xfId="0" applyFont="1" applyFill="1" applyBorder="1" applyAlignment="1" applyProtection="1">
      <alignment horizontal="left" vertical="center"/>
    </xf>
    <xf numFmtId="170" fontId="27" fillId="24" borderId="33" xfId="0" applyNumberFormat="1" applyFont="1" applyFill="1" applyBorder="1" applyAlignment="1" applyProtection="1">
      <alignment horizontal="center"/>
    </xf>
    <xf numFmtId="170" fontId="27" fillId="24" borderId="32" xfId="0" applyNumberFormat="1" applyFont="1" applyFill="1" applyBorder="1" applyAlignment="1" applyProtection="1">
      <alignment horizontal="center"/>
    </xf>
    <xf numFmtId="170" fontId="27" fillId="24" borderId="38" xfId="0" applyNumberFormat="1" applyFont="1" applyFill="1" applyBorder="1" applyAlignment="1" applyProtection="1">
      <alignment horizontal="center"/>
    </xf>
    <xf numFmtId="2" fontId="27" fillId="24" borderId="18" xfId="0" applyNumberFormat="1" applyFont="1" applyFill="1" applyBorder="1" applyAlignment="1" applyProtection="1">
      <alignment horizontal="center"/>
    </xf>
    <xf numFmtId="165" fontId="27" fillId="24" borderId="18" xfId="0" applyNumberFormat="1" applyFont="1" applyFill="1" applyBorder="1" applyAlignment="1" applyProtection="1">
      <alignment horizontal="center"/>
    </xf>
    <xf numFmtId="165" fontId="27" fillId="24" borderId="32" xfId="0" applyNumberFormat="1" applyFont="1" applyFill="1" applyBorder="1" applyAlignment="1" applyProtection="1">
      <alignment horizontal="center"/>
    </xf>
    <xf numFmtId="0" fontId="60" fillId="25" borderId="17" xfId="0" applyFont="1" applyFill="1" applyBorder="1" applyAlignment="1" applyProtection="1">
      <alignment horizontal="center"/>
    </xf>
    <xf numFmtId="0" fontId="60" fillId="25" borderId="13" xfId="0" applyFont="1" applyFill="1" applyBorder="1" applyAlignment="1" applyProtection="1">
      <alignment horizontal="center"/>
    </xf>
    <xf numFmtId="0" fontId="60" fillId="25" borderId="16" xfId="0" applyFont="1" applyFill="1" applyBorder="1" applyAlignment="1" applyProtection="1">
      <alignment horizontal="center"/>
    </xf>
    <xf numFmtId="0" fontId="62" fillId="24" borderId="0" xfId="0" applyFont="1" applyFill="1" applyBorder="1" applyAlignment="1" applyProtection="1">
      <alignment horizontal="right" vertical="center"/>
    </xf>
    <xf numFmtId="0" fontId="63" fillId="24" borderId="0" xfId="0" applyFont="1" applyFill="1" applyBorder="1" applyAlignment="1" applyProtection="1">
      <alignment horizontal="left" indent="1"/>
    </xf>
    <xf numFmtId="0" fontId="56" fillId="25" borderId="0" xfId="0" applyFont="1" applyFill="1"/>
    <xf numFmtId="166" fontId="27" fillId="24" borderId="14" xfId="0" applyNumberFormat="1" applyFont="1" applyFill="1" applyBorder="1" applyAlignment="1" applyProtection="1">
      <alignment horizontal="center"/>
    </xf>
    <xf numFmtId="166" fontId="27" fillId="24" borderId="18" xfId="0" applyNumberFormat="1" applyFont="1" applyFill="1" applyBorder="1" applyAlignment="1" applyProtection="1">
      <alignment horizontal="center"/>
    </xf>
    <xf numFmtId="166" fontId="27" fillId="24" borderId="32" xfId="0" applyNumberFormat="1" applyFont="1" applyFill="1" applyBorder="1" applyAlignment="1" applyProtection="1">
      <alignment horizontal="center"/>
    </xf>
    <xf numFmtId="0" fontId="30" fillId="24" borderId="0" xfId="34" applyFont="1" applyFill="1" applyAlignment="1" applyProtection="1">
      <alignment horizontal="left" wrapText="1"/>
    </xf>
    <xf numFmtId="0" fontId="30" fillId="24" borderId="0" xfId="34" applyFont="1" applyFill="1" applyAlignment="1" applyProtection="1">
      <alignment horizontal="left"/>
    </xf>
    <xf numFmtId="17" fontId="25" fillId="25" borderId="0" xfId="0" quotePrefix="1" applyNumberFormat="1" applyFont="1" applyFill="1" applyAlignment="1">
      <alignment horizontal="right" wrapText="1" indent="1"/>
    </xf>
    <xf numFmtId="0" fontId="15" fillId="25" borderId="0" xfId="34" applyFill="1" applyAlignment="1" applyProtection="1">
      <alignment horizontal="left"/>
    </xf>
    <xf numFmtId="0" fontId="28" fillId="25" borderId="15" xfId="0" applyFont="1" applyFill="1" applyBorder="1" applyAlignment="1" applyProtection="1">
      <alignment horizontal="center"/>
    </xf>
    <xf numFmtId="0" fontId="28" fillId="25" borderId="11" xfId="0" applyFont="1" applyFill="1" applyBorder="1" applyAlignment="1" applyProtection="1">
      <alignment horizontal="center"/>
    </xf>
    <xf numFmtId="0" fontId="0" fillId="0" borderId="11" xfId="0" applyBorder="1" applyProtection="1"/>
    <xf numFmtId="0" fontId="33" fillId="25" borderId="11" xfId="0" applyFont="1" applyFill="1" applyBorder="1" applyAlignment="1" applyProtection="1">
      <alignment horizontal="center" vertical="center"/>
    </xf>
    <xf numFmtId="0" fontId="33" fillId="25" borderId="13" xfId="0" applyFont="1" applyFill="1" applyBorder="1" applyAlignment="1" applyProtection="1">
      <alignment horizontal="center" vertical="center"/>
    </xf>
    <xf numFmtId="177" fontId="27" fillId="24" borderId="18" xfId="0" applyNumberFormat="1" applyFont="1" applyFill="1" applyBorder="1" applyAlignment="1" applyProtection="1">
      <alignment horizontal="center"/>
    </xf>
    <xf numFmtId="177" fontId="27" fillId="24" borderId="32" xfId="0" applyNumberFormat="1" applyFont="1" applyFill="1" applyBorder="1" applyAlignment="1" applyProtection="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2" xfId="38"/>
    <cellStyle name="Normal 2 3" xfId="39"/>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7AC2"/>
      <rgbColor rgb="00FFFFFF"/>
      <rgbColor rgb="00004FB3"/>
      <rgbColor rgb="00E5F2FF"/>
      <rgbColor rgb="00FFB200"/>
      <rgbColor rgb="00FFFFFF"/>
      <rgbColor rgb="00BD007A"/>
      <rgbColor rgb="0000408C"/>
      <rgbColor rgb="00C7E0EF"/>
      <rgbColor rgb="00C52800"/>
      <rgbColor rgb="007CB7DC"/>
      <rgbColor rgb="00FFFFFF"/>
      <rgbColor rgb="0077B5FF"/>
      <rgbColor rgb="00FF3300"/>
      <rgbColor rgb="00FFFFFF"/>
      <rgbColor rgb="00FFFFF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FFFFF"/>
      <rgbColor rgb="005F5F5F"/>
      <rgbColor rgb="00808080"/>
      <rgbColor rgb="00B2B2B2"/>
      <rgbColor rgb="00333333"/>
      <rgbColor rgb="00000000"/>
      <rgbColor rgb="001C1C1C"/>
      <rgbColor rgb="00DDDDDD"/>
      <rgbColor rgb="0059A4FF"/>
      <rgbColor rgb="003B94FF"/>
      <rgbColor rgb="000068E6"/>
      <rgbColor rgb="00EACBDD"/>
      <rgbColor rgb="00005AC6"/>
      <rgbColor rgb="00E2EEF6"/>
      <rgbColor rgb="00FF9900"/>
      <rgbColor rgb="0097C6FF"/>
      <rgbColor rgb="0064ABD6"/>
      <rgbColor rgb="000F7CFF"/>
      <rgbColor rgb="00479CD1"/>
      <rgbColor rgb="00008ACB"/>
      <rgbColor rgb="000082C6"/>
      <rgbColor rgb="00FFFFFF"/>
      <rgbColor rgb="0093C5E3"/>
      <rgbColor rgb="00ADD2E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wmf"/></Relationships>
</file>

<file path=xl/drawings/_rels/drawing4.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 Id="rId4" Type="http://schemas.openxmlformats.org/officeDocument/2006/relationships/image" Target="../media/image17.emf"/></Relationships>
</file>

<file path=xl/drawings/_rels/drawing5.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wmf"/><Relationship Id="rId2" Type="http://schemas.openxmlformats.org/officeDocument/2006/relationships/image" Target="../media/image6.wmf"/><Relationship Id="rId1" Type="http://schemas.openxmlformats.org/officeDocument/2006/relationships/image" Target="../media/image5.wmf"/><Relationship Id="rId4" Type="http://schemas.openxmlformats.org/officeDocument/2006/relationships/image" Target="../media/image8.w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3.wmf"/><Relationship Id="rId1" Type="http://schemas.openxmlformats.org/officeDocument/2006/relationships/image" Target="../media/image12.w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0.wmf"/><Relationship Id="rId2" Type="http://schemas.openxmlformats.org/officeDocument/2006/relationships/image" Target="../media/image19.wmf"/><Relationship Id="rId1" Type="http://schemas.openxmlformats.org/officeDocument/2006/relationships/image" Target="../media/image18.wmf"/><Relationship Id="rId5" Type="http://schemas.openxmlformats.org/officeDocument/2006/relationships/image" Target="../media/image5.wmf"/><Relationship Id="rId4" Type="http://schemas.openxmlformats.org/officeDocument/2006/relationships/image" Target="../media/image21.w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4.wmf"/><Relationship Id="rId7" Type="http://schemas.openxmlformats.org/officeDocument/2006/relationships/image" Target="../media/image5.wmf"/><Relationship Id="rId2" Type="http://schemas.openxmlformats.org/officeDocument/2006/relationships/image" Target="../media/image23.wmf"/><Relationship Id="rId1" Type="http://schemas.openxmlformats.org/officeDocument/2006/relationships/image" Target="../media/image22.wmf"/><Relationship Id="rId6" Type="http://schemas.openxmlformats.org/officeDocument/2006/relationships/image" Target="../media/image21.wmf"/><Relationship Id="rId5" Type="http://schemas.openxmlformats.org/officeDocument/2006/relationships/image" Target="../media/image26.wmf"/><Relationship Id="rId4" Type="http://schemas.openxmlformats.org/officeDocument/2006/relationships/image" Target="../media/image25.wmf"/></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0</xdr:row>
      <xdr:rowOff>66675</xdr:rowOff>
    </xdr:from>
    <xdr:to>
      <xdr:col>10</xdr:col>
      <xdr:colOff>523875</xdr:colOff>
      <xdr:row>4</xdr:row>
      <xdr:rowOff>9525</xdr:rowOff>
    </xdr:to>
    <xdr:pic>
      <xdr:nvPicPr>
        <xdr:cNvPr id="23568" name="Picture 1" descr="APHO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95800" y="66675"/>
          <a:ext cx="10191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552450</xdr:colOff>
          <xdr:row>47</xdr:row>
          <xdr:rowOff>38100</xdr:rowOff>
        </xdr:from>
        <xdr:to>
          <xdr:col>3</xdr:col>
          <xdr:colOff>1133475</xdr:colOff>
          <xdr:row>49</xdr:row>
          <xdr:rowOff>133350</xdr:rowOff>
        </xdr:to>
        <xdr:sp macro="" textlink="">
          <xdr:nvSpPr>
            <xdr:cNvPr id="2074" name="Object 26" hidden="1">
              <a:extLst>
                <a:ext uri="{63B3BB69-23CF-44E3-9099-C40C66FF867C}">
                  <a14:compatExt spid="_x0000_s2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34</xdr:row>
          <xdr:rowOff>95250</xdr:rowOff>
        </xdr:from>
        <xdr:to>
          <xdr:col>2</xdr:col>
          <xdr:colOff>904875</xdr:colOff>
          <xdr:row>36</xdr:row>
          <xdr:rowOff>95250</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44</xdr:row>
          <xdr:rowOff>85725</xdr:rowOff>
        </xdr:from>
        <xdr:to>
          <xdr:col>4</xdr:col>
          <xdr:colOff>0</xdr:colOff>
          <xdr:row>46</xdr:row>
          <xdr:rowOff>133350</xdr:rowOff>
        </xdr:to>
        <xdr:sp macro="" textlink="">
          <xdr:nvSpPr>
            <xdr:cNvPr id="2078" name="Object 30" hidden="1">
              <a:extLst>
                <a:ext uri="{63B3BB69-23CF-44E3-9099-C40C66FF867C}">
                  <a14:compatExt spid="_x0000_s2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714375</xdr:colOff>
      <xdr:row>51</xdr:row>
      <xdr:rowOff>19050</xdr:rowOff>
    </xdr:from>
    <xdr:to>
      <xdr:col>4</xdr:col>
      <xdr:colOff>819150</xdr:colOff>
      <xdr:row>54</xdr:row>
      <xdr:rowOff>9525</xdr:rowOff>
    </xdr:to>
    <xdr:pic>
      <xdr:nvPicPr>
        <xdr:cNvPr id="39002" name="Picture 3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66925" y="8867775"/>
          <a:ext cx="23907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714375</xdr:colOff>
      <xdr:row>67</xdr:row>
      <xdr:rowOff>76200</xdr:rowOff>
    </xdr:from>
    <xdr:to>
      <xdr:col>3</xdr:col>
      <xdr:colOff>361950</xdr:colOff>
      <xdr:row>69</xdr:row>
      <xdr:rowOff>95250</xdr:rowOff>
    </xdr:to>
    <xdr:pic>
      <xdr:nvPicPr>
        <xdr:cNvPr id="39003" name="Picture 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66925" y="11553825"/>
          <a:ext cx="7905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714375</xdr:colOff>
      <xdr:row>70</xdr:row>
      <xdr:rowOff>66675</xdr:rowOff>
    </xdr:from>
    <xdr:to>
      <xdr:col>3</xdr:col>
      <xdr:colOff>381000</xdr:colOff>
      <xdr:row>72</xdr:row>
      <xdr:rowOff>95250</xdr:rowOff>
    </xdr:to>
    <xdr:pic>
      <xdr:nvPicPr>
        <xdr:cNvPr id="39004" name="Picture 5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66925" y="12030075"/>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714375</xdr:colOff>
          <xdr:row>48</xdr:row>
          <xdr:rowOff>38100</xdr:rowOff>
        </xdr:from>
        <xdr:to>
          <xdr:col>4</xdr:col>
          <xdr:colOff>123825</xdr:colOff>
          <xdr:row>50</xdr:row>
          <xdr:rowOff>142875</xdr:rowOff>
        </xdr:to>
        <xdr:sp macro="" textlink="">
          <xdr:nvSpPr>
            <xdr:cNvPr id="38957" name="Object 45" hidden="1">
              <a:extLst>
                <a:ext uri="{63B3BB69-23CF-44E3-9099-C40C66FF867C}">
                  <a14:compatExt spid="_x0000_s389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39</xdr:row>
          <xdr:rowOff>76200</xdr:rowOff>
        </xdr:from>
        <xdr:to>
          <xdr:col>3</xdr:col>
          <xdr:colOff>304800</xdr:colOff>
          <xdr:row>41</xdr:row>
          <xdr:rowOff>95250</xdr:rowOff>
        </xdr:to>
        <xdr:sp macro="" textlink="">
          <xdr:nvSpPr>
            <xdr:cNvPr id="38924" name="Object 12" hidden="1">
              <a:extLst>
                <a:ext uri="{63B3BB69-23CF-44E3-9099-C40C66FF867C}">
                  <a14:compatExt spid="_x0000_s389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36</xdr:row>
          <xdr:rowOff>152400</xdr:rowOff>
        </xdr:from>
        <xdr:to>
          <xdr:col>3</xdr:col>
          <xdr:colOff>285750</xdr:colOff>
          <xdr:row>38</xdr:row>
          <xdr:rowOff>95250</xdr:rowOff>
        </xdr:to>
        <xdr:sp macro="" textlink="">
          <xdr:nvSpPr>
            <xdr:cNvPr id="38925" name="Object 13" hidden="1">
              <a:extLst>
                <a:ext uri="{63B3BB69-23CF-44E3-9099-C40C66FF867C}">
                  <a14:compatExt spid="_x0000_s389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28</xdr:row>
          <xdr:rowOff>95250</xdr:rowOff>
        </xdr:from>
        <xdr:to>
          <xdr:col>2</xdr:col>
          <xdr:colOff>1057275</xdr:colOff>
          <xdr:row>30</xdr:row>
          <xdr:rowOff>95250</xdr:rowOff>
        </xdr:to>
        <xdr:sp macro="" textlink="">
          <xdr:nvSpPr>
            <xdr:cNvPr id="38926" name="Object 14" hidden="1">
              <a:extLst>
                <a:ext uri="{63B3BB69-23CF-44E3-9099-C40C66FF867C}">
                  <a14:compatExt spid="_x0000_s389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742950</xdr:colOff>
      <xdr:row>57</xdr:row>
      <xdr:rowOff>66675</xdr:rowOff>
    </xdr:from>
    <xdr:to>
      <xdr:col>3</xdr:col>
      <xdr:colOff>609600</xdr:colOff>
      <xdr:row>60</xdr:row>
      <xdr:rowOff>28575</xdr:rowOff>
    </xdr:to>
    <xdr:pic>
      <xdr:nvPicPr>
        <xdr:cNvPr id="40048" name="Picture 5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 y="9934575"/>
          <a:ext cx="10096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742950</xdr:colOff>
      <xdr:row>60</xdr:row>
      <xdr:rowOff>66675</xdr:rowOff>
    </xdr:from>
    <xdr:to>
      <xdr:col>3</xdr:col>
      <xdr:colOff>619125</xdr:colOff>
      <xdr:row>62</xdr:row>
      <xdr:rowOff>152400</xdr:rowOff>
    </xdr:to>
    <xdr:pic>
      <xdr:nvPicPr>
        <xdr:cNvPr id="40049" name="Picture 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0" y="10372725"/>
          <a:ext cx="10191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742950</xdr:colOff>
      <xdr:row>72</xdr:row>
      <xdr:rowOff>66675</xdr:rowOff>
    </xdr:from>
    <xdr:to>
      <xdr:col>3</xdr:col>
      <xdr:colOff>581025</xdr:colOff>
      <xdr:row>75</xdr:row>
      <xdr:rowOff>28575</xdr:rowOff>
    </xdr:to>
    <xdr:pic>
      <xdr:nvPicPr>
        <xdr:cNvPr id="40050" name="Picture 5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95500" y="12382500"/>
          <a:ext cx="9810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733425</xdr:colOff>
      <xdr:row>75</xdr:row>
      <xdr:rowOff>66675</xdr:rowOff>
    </xdr:from>
    <xdr:to>
      <xdr:col>3</xdr:col>
      <xdr:colOff>581025</xdr:colOff>
      <xdr:row>77</xdr:row>
      <xdr:rowOff>152400</xdr:rowOff>
    </xdr:to>
    <xdr:pic>
      <xdr:nvPicPr>
        <xdr:cNvPr id="40051" name="Picture 5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85975" y="12820650"/>
          <a:ext cx="9906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733425</xdr:colOff>
          <xdr:row>42</xdr:row>
          <xdr:rowOff>38100</xdr:rowOff>
        </xdr:from>
        <xdr:to>
          <xdr:col>3</xdr:col>
          <xdr:colOff>114300</xdr:colOff>
          <xdr:row>44</xdr:row>
          <xdr:rowOff>95250</xdr:rowOff>
        </xdr:to>
        <xdr:sp macro="" textlink="">
          <xdr:nvSpPr>
            <xdr:cNvPr id="39956" name="Object 20" hidden="1">
              <a:extLst>
                <a:ext uri="{63B3BB69-23CF-44E3-9099-C40C66FF867C}">
                  <a14:compatExt spid="_x0000_s399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247650</xdr:colOff>
          <xdr:row>48</xdr:row>
          <xdr:rowOff>123825</xdr:rowOff>
        </xdr:from>
        <xdr:to>
          <xdr:col>4</xdr:col>
          <xdr:colOff>19050</xdr:colOff>
          <xdr:row>51</xdr:row>
          <xdr:rowOff>133350</xdr:rowOff>
        </xdr:to>
        <xdr:sp macro="" textlink="">
          <xdr:nvSpPr>
            <xdr:cNvPr id="39959" name="Object 23" hidden="1">
              <a:extLst>
                <a:ext uri="{63B3BB69-23CF-44E3-9099-C40C66FF867C}">
                  <a14:compatExt spid="_x0000_s399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152400</xdr:colOff>
      <xdr:row>134</xdr:row>
      <xdr:rowOff>76200</xdr:rowOff>
    </xdr:from>
    <xdr:to>
      <xdr:col>2</xdr:col>
      <xdr:colOff>933450</xdr:colOff>
      <xdr:row>136</xdr:row>
      <xdr:rowOff>95250</xdr:rowOff>
    </xdr:to>
    <xdr:pic>
      <xdr:nvPicPr>
        <xdr:cNvPr id="41029" name="Picture 4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 y="22974300"/>
          <a:ext cx="78105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137</xdr:row>
      <xdr:rowOff>66675</xdr:rowOff>
    </xdr:from>
    <xdr:to>
      <xdr:col>2</xdr:col>
      <xdr:colOff>962025</xdr:colOff>
      <xdr:row>139</xdr:row>
      <xdr:rowOff>95250</xdr:rowOff>
    </xdr:to>
    <xdr:pic>
      <xdr:nvPicPr>
        <xdr:cNvPr id="41030" name="Picture 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04950" y="23450550"/>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152400</xdr:colOff>
          <xdr:row>87</xdr:row>
          <xdr:rowOff>38100</xdr:rowOff>
        </xdr:from>
        <xdr:to>
          <xdr:col>3</xdr:col>
          <xdr:colOff>1057275</xdr:colOff>
          <xdr:row>90</xdr:row>
          <xdr:rowOff>66675</xdr:rowOff>
        </xdr:to>
        <xdr:sp macro="" textlink="">
          <xdr:nvSpPr>
            <xdr:cNvPr id="40977" name="Object 17" hidden="1">
              <a:extLst>
                <a:ext uri="{63B3BB69-23CF-44E3-9099-C40C66FF867C}">
                  <a14:compatExt spid="_x0000_s409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104</xdr:row>
          <xdr:rowOff>85725</xdr:rowOff>
        </xdr:from>
        <xdr:to>
          <xdr:col>2</xdr:col>
          <xdr:colOff>1095375</xdr:colOff>
          <xdr:row>106</xdr:row>
          <xdr:rowOff>95250</xdr:rowOff>
        </xdr:to>
        <xdr:sp macro="" textlink="">
          <xdr:nvSpPr>
            <xdr:cNvPr id="40982" name="Object 22" hidden="1">
              <a:extLst>
                <a:ext uri="{63B3BB69-23CF-44E3-9099-C40C66FF867C}">
                  <a14:compatExt spid="_x0000_s409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107</xdr:row>
          <xdr:rowOff>76200</xdr:rowOff>
        </xdr:from>
        <xdr:to>
          <xdr:col>2</xdr:col>
          <xdr:colOff>1104900</xdr:colOff>
          <xdr:row>109</xdr:row>
          <xdr:rowOff>95250</xdr:rowOff>
        </xdr:to>
        <xdr:sp macro="" textlink="">
          <xdr:nvSpPr>
            <xdr:cNvPr id="40983" name="Object 23" hidden="1">
              <a:extLst>
                <a:ext uri="{63B3BB69-23CF-44E3-9099-C40C66FF867C}">
                  <a14:compatExt spid="_x0000_s409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119</xdr:row>
          <xdr:rowOff>19050</xdr:rowOff>
        </xdr:from>
        <xdr:to>
          <xdr:col>4</xdr:col>
          <xdr:colOff>247650</xdr:colOff>
          <xdr:row>122</xdr:row>
          <xdr:rowOff>9525</xdr:rowOff>
        </xdr:to>
        <xdr:sp macro="" textlink="">
          <xdr:nvSpPr>
            <xdr:cNvPr id="40992" name="Object 32" hidden="1">
              <a:extLst>
                <a:ext uri="{63B3BB69-23CF-44E3-9099-C40C66FF867C}">
                  <a14:compatExt spid="_x0000_s409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116</xdr:row>
          <xdr:rowOff>38100</xdr:rowOff>
        </xdr:from>
        <xdr:to>
          <xdr:col>3</xdr:col>
          <xdr:colOff>695325</xdr:colOff>
          <xdr:row>118</xdr:row>
          <xdr:rowOff>142875</xdr:rowOff>
        </xdr:to>
        <xdr:sp macro="" textlink="">
          <xdr:nvSpPr>
            <xdr:cNvPr id="40993" name="Object 33" hidden="1">
              <a:extLst>
                <a:ext uri="{63B3BB69-23CF-44E3-9099-C40C66FF867C}">
                  <a14:compatExt spid="_x0000_s409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5</xdr:col>
      <xdr:colOff>381000</xdr:colOff>
      <xdr:row>5</xdr:row>
      <xdr:rowOff>19050</xdr:rowOff>
    </xdr:from>
    <xdr:to>
      <xdr:col>5</xdr:col>
      <xdr:colOff>695325</xdr:colOff>
      <xdr:row>5</xdr:row>
      <xdr:rowOff>19050</xdr:rowOff>
    </xdr:to>
    <xdr:sp macro="" textlink="">
      <xdr:nvSpPr>
        <xdr:cNvPr id="42061" name="Line 4"/>
        <xdr:cNvSpPr>
          <a:spLocks noChangeShapeType="1"/>
        </xdr:cNvSpPr>
      </xdr:nvSpPr>
      <xdr:spPr bwMode="auto">
        <a:xfrm>
          <a:off x="5162550" y="866775"/>
          <a:ext cx="314325"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352425</xdr:colOff>
      <xdr:row>4</xdr:row>
      <xdr:rowOff>133350</xdr:rowOff>
    </xdr:from>
    <xdr:to>
      <xdr:col>6</xdr:col>
      <xdr:colOff>733425</xdr:colOff>
      <xdr:row>4</xdr:row>
      <xdr:rowOff>133350</xdr:rowOff>
    </xdr:to>
    <xdr:sp macro="" textlink="">
      <xdr:nvSpPr>
        <xdr:cNvPr id="42062" name="Line 5"/>
        <xdr:cNvSpPr>
          <a:spLocks noChangeShapeType="1"/>
        </xdr:cNvSpPr>
      </xdr:nvSpPr>
      <xdr:spPr bwMode="auto">
        <a:xfrm>
          <a:off x="6276975" y="819150"/>
          <a:ext cx="381000"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152400</xdr:colOff>
      <xdr:row>112</xdr:row>
      <xdr:rowOff>76200</xdr:rowOff>
    </xdr:from>
    <xdr:to>
      <xdr:col>2</xdr:col>
      <xdr:colOff>933450</xdr:colOff>
      <xdr:row>114</xdr:row>
      <xdr:rowOff>95250</xdr:rowOff>
    </xdr:to>
    <xdr:pic>
      <xdr:nvPicPr>
        <xdr:cNvPr id="42063"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 y="18992850"/>
          <a:ext cx="78105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115</xdr:row>
      <xdr:rowOff>66675</xdr:rowOff>
    </xdr:from>
    <xdr:to>
      <xdr:col>2</xdr:col>
      <xdr:colOff>962025</xdr:colOff>
      <xdr:row>117</xdr:row>
      <xdr:rowOff>95250</xdr:rowOff>
    </xdr:to>
    <xdr:pic>
      <xdr:nvPicPr>
        <xdr:cNvPr id="42064" name="Picture 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04950" y="19469100"/>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75</xdr:row>
          <xdr:rowOff>57150</xdr:rowOff>
        </xdr:from>
        <xdr:to>
          <xdr:col>4</xdr:col>
          <xdr:colOff>180975</xdr:colOff>
          <xdr:row>77</xdr:row>
          <xdr:rowOff>133350</xdr:rowOff>
        </xdr:to>
        <xdr:sp macro="" textlink="">
          <xdr:nvSpPr>
            <xdr:cNvPr id="41992" name="Object 8" hidden="1">
              <a:extLst>
                <a:ext uri="{63B3BB69-23CF-44E3-9099-C40C66FF867C}">
                  <a14:compatExt spid="_x0000_s419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72</xdr:row>
          <xdr:rowOff>57150</xdr:rowOff>
        </xdr:from>
        <xdr:to>
          <xdr:col>4</xdr:col>
          <xdr:colOff>161925</xdr:colOff>
          <xdr:row>75</xdr:row>
          <xdr:rowOff>9525</xdr:rowOff>
        </xdr:to>
        <xdr:sp macro="" textlink="">
          <xdr:nvSpPr>
            <xdr:cNvPr id="41991" name="Object 7" hidden="1">
              <a:extLst>
                <a:ext uri="{63B3BB69-23CF-44E3-9099-C40C66FF867C}">
                  <a14:compatExt spid="_x0000_s419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59</xdr:row>
          <xdr:rowOff>152400</xdr:rowOff>
        </xdr:from>
        <xdr:to>
          <xdr:col>3</xdr:col>
          <xdr:colOff>266700</xdr:colOff>
          <xdr:row>62</xdr:row>
          <xdr:rowOff>66675</xdr:rowOff>
        </xdr:to>
        <xdr:sp macro="" textlink="">
          <xdr:nvSpPr>
            <xdr:cNvPr id="41990" name="Object 6" hidden="1">
              <a:extLst>
                <a:ext uri="{63B3BB69-23CF-44E3-9099-C40C66FF867C}">
                  <a14:compatExt spid="_x0000_s419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98</xdr:row>
          <xdr:rowOff>142875</xdr:rowOff>
        </xdr:from>
        <xdr:to>
          <xdr:col>2</xdr:col>
          <xdr:colOff>942975</xdr:colOff>
          <xdr:row>100</xdr:row>
          <xdr:rowOff>123825</xdr:rowOff>
        </xdr:to>
        <xdr:sp macro="" textlink="">
          <xdr:nvSpPr>
            <xdr:cNvPr id="41994" name="Object 10" hidden="1">
              <a:extLst>
                <a:ext uri="{63B3BB69-23CF-44E3-9099-C40C66FF867C}">
                  <a14:compatExt spid="_x0000_s419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100</xdr:row>
          <xdr:rowOff>76200</xdr:rowOff>
        </xdr:from>
        <xdr:to>
          <xdr:col>3</xdr:col>
          <xdr:colOff>714375</xdr:colOff>
          <xdr:row>104</xdr:row>
          <xdr:rowOff>19050</xdr:rowOff>
        </xdr:to>
        <xdr:sp macro="" textlink="">
          <xdr:nvSpPr>
            <xdr:cNvPr id="41995" name="Object 11" hidden="1">
              <a:extLst>
                <a:ext uri="{63B3BB69-23CF-44E3-9099-C40C66FF867C}">
                  <a14:compatExt spid="_x0000_s419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89</xdr:row>
          <xdr:rowOff>19050</xdr:rowOff>
        </xdr:from>
        <xdr:to>
          <xdr:col>4</xdr:col>
          <xdr:colOff>247650</xdr:colOff>
          <xdr:row>92</xdr:row>
          <xdr:rowOff>9525</xdr:rowOff>
        </xdr:to>
        <xdr:sp macro="" textlink="">
          <xdr:nvSpPr>
            <xdr:cNvPr id="42001" name="Object 17" hidden="1">
              <a:extLst>
                <a:ext uri="{63B3BB69-23CF-44E3-9099-C40C66FF867C}">
                  <a14:compatExt spid="_x0000_s420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86</xdr:row>
          <xdr:rowOff>38100</xdr:rowOff>
        </xdr:from>
        <xdr:to>
          <xdr:col>3</xdr:col>
          <xdr:colOff>695325</xdr:colOff>
          <xdr:row>88</xdr:row>
          <xdr:rowOff>142875</xdr:rowOff>
        </xdr:to>
        <xdr:sp macro="" textlink="">
          <xdr:nvSpPr>
            <xdr:cNvPr id="42002" name="Object 18" hidden="1">
              <a:extLst>
                <a:ext uri="{63B3BB69-23CF-44E3-9099-C40C66FF867C}">
                  <a14:compatExt spid="_x0000_s420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ingertips.phe.org.uk/profile/guidance" TargetMode="External"/></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2.wmf"/><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6.w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5.bin"/><Relationship Id="rId11" Type="http://schemas.openxmlformats.org/officeDocument/2006/relationships/image" Target="../media/image8.wmf"/><Relationship Id="rId5" Type="http://schemas.openxmlformats.org/officeDocument/2006/relationships/image" Target="../media/image5.w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7.wmf"/></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image" Target="../media/image13.w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9.bin"/><Relationship Id="rId5" Type="http://schemas.openxmlformats.org/officeDocument/2006/relationships/image" Target="../media/image12.wmf"/><Relationship Id="rId4" Type="http://schemas.openxmlformats.org/officeDocument/2006/relationships/oleObject" Target="../embeddings/oleObject8.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2.bin"/><Relationship Id="rId13" Type="http://schemas.openxmlformats.org/officeDocument/2006/relationships/image" Target="../media/image5.wmf"/><Relationship Id="rId3" Type="http://schemas.openxmlformats.org/officeDocument/2006/relationships/vmlDrawing" Target="../drawings/vmlDrawing4.vml"/><Relationship Id="rId7" Type="http://schemas.openxmlformats.org/officeDocument/2006/relationships/image" Target="../media/image19.wmf"/><Relationship Id="rId12" Type="http://schemas.openxmlformats.org/officeDocument/2006/relationships/oleObject" Target="../embeddings/oleObject14.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1.bin"/><Relationship Id="rId11" Type="http://schemas.openxmlformats.org/officeDocument/2006/relationships/image" Target="../media/image21.wmf"/><Relationship Id="rId5" Type="http://schemas.openxmlformats.org/officeDocument/2006/relationships/image" Target="../media/image18.wmf"/><Relationship Id="rId10" Type="http://schemas.openxmlformats.org/officeDocument/2006/relationships/oleObject" Target="../embeddings/oleObject13.bin"/><Relationship Id="rId4" Type="http://schemas.openxmlformats.org/officeDocument/2006/relationships/oleObject" Target="../embeddings/oleObject10.bin"/><Relationship Id="rId9" Type="http://schemas.openxmlformats.org/officeDocument/2006/relationships/image" Target="../media/image20.wmf"/></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17.bin"/><Relationship Id="rId13" Type="http://schemas.openxmlformats.org/officeDocument/2006/relationships/image" Target="../media/image26.wmf"/><Relationship Id="rId3" Type="http://schemas.openxmlformats.org/officeDocument/2006/relationships/vmlDrawing" Target="../drawings/vmlDrawing5.vml"/><Relationship Id="rId7" Type="http://schemas.openxmlformats.org/officeDocument/2006/relationships/image" Target="../media/image23.wmf"/><Relationship Id="rId12" Type="http://schemas.openxmlformats.org/officeDocument/2006/relationships/oleObject" Target="../embeddings/oleObject19.bin"/><Relationship Id="rId17" Type="http://schemas.openxmlformats.org/officeDocument/2006/relationships/image" Target="../media/image5.wmf"/><Relationship Id="rId2" Type="http://schemas.openxmlformats.org/officeDocument/2006/relationships/drawing" Target="../drawings/drawing6.xml"/><Relationship Id="rId16" Type="http://schemas.openxmlformats.org/officeDocument/2006/relationships/oleObject" Target="../embeddings/oleObject21.bin"/><Relationship Id="rId1" Type="http://schemas.openxmlformats.org/officeDocument/2006/relationships/printerSettings" Target="../printerSettings/printerSettings6.bin"/><Relationship Id="rId6" Type="http://schemas.openxmlformats.org/officeDocument/2006/relationships/oleObject" Target="../embeddings/oleObject16.bin"/><Relationship Id="rId11" Type="http://schemas.openxmlformats.org/officeDocument/2006/relationships/image" Target="../media/image25.wmf"/><Relationship Id="rId5" Type="http://schemas.openxmlformats.org/officeDocument/2006/relationships/image" Target="../media/image22.wmf"/><Relationship Id="rId15" Type="http://schemas.openxmlformats.org/officeDocument/2006/relationships/image" Target="../media/image21.wmf"/><Relationship Id="rId10" Type="http://schemas.openxmlformats.org/officeDocument/2006/relationships/oleObject" Target="../embeddings/oleObject18.bin"/><Relationship Id="rId4" Type="http://schemas.openxmlformats.org/officeDocument/2006/relationships/oleObject" Target="../embeddings/oleObject15.bin"/><Relationship Id="rId9" Type="http://schemas.openxmlformats.org/officeDocument/2006/relationships/image" Target="../media/image24.wmf"/><Relationship Id="rId14"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57"/>
  <sheetViews>
    <sheetView showGridLines="0" workbookViewId="0">
      <selection activeCell="M23" sqref="M23"/>
    </sheetView>
  </sheetViews>
  <sheetFormatPr defaultColWidth="9" defaultRowHeight="12.75" x14ac:dyDescent="0.2"/>
  <cols>
    <col min="1" max="1" width="5" style="1" customWidth="1"/>
    <col min="2" max="5" width="10" style="1" customWidth="1"/>
    <col min="6" max="6" width="3.33203125" style="1" customWidth="1"/>
    <col min="7" max="7" width="16.6640625" style="1" customWidth="1"/>
    <col min="8" max="8" width="10" style="1" customWidth="1"/>
    <col min="9" max="9" width="1.1640625" style="1" customWidth="1"/>
    <col min="10" max="11" width="11.1640625" style="1" customWidth="1"/>
    <col min="12" max="17" width="9" style="1"/>
    <col min="18" max="18" width="14.1640625" style="1" bestFit="1" customWidth="1"/>
    <col min="19" max="16384" width="9" style="1"/>
  </cols>
  <sheetData>
    <row r="1" spans="1:11" ht="9.6" customHeight="1" x14ac:dyDescent="0.2">
      <c r="A1" s="3"/>
      <c r="B1" s="3"/>
      <c r="C1" s="3"/>
      <c r="D1" s="3"/>
      <c r="E1" s="3"/>
      <c r="F1" s="3"/>
      <c r="G1" s="3"/>
      <c r="H1" s="3"/>
    </row>
    <row r="2" spans="1:11" ht="39.6" customHeight="1" x14ac:dyDescent="0.65">
      <c r="A2" s="3"/>
      <c r="B2" s="19" t="s">
        <v>3</v>
      </c>
      <c r="C2" s="3"/>
      <c r="D2" s="3"/>
      <c r="E2" s="3"/>
      <c r="F2" s="3"/>
      <c r="G2" s="3"/>
      <c r="H2" s="3"/>
    </row>
    <row r="3" spans="1:11" ht="30" customHeight="1" x14ac:dyDescent="0.4">
      <c r="A3" s="3"/>
      <c r="B3" s="4" t="s">
        <v>19</v>
      </c>
      <c r="C3" s="3"/>
      <c r="D3" s="3"/>
      <c r="E3" s="3"/>
      <c r="F3" s="152" t="s">
        <v>315</v>
      </c>
      <c r="G3" s="152"/>
      <c r="H3" s="152"/>
    </row>
    <row r="4" spans="1:11" ht="6" customHeight="1" x14ac:dyDescent="0.2">
      <c r="A4" s="3"/>
      <c r="B4" s="3"/>
      <c r="C4" s="3"/>
      <c r="D4" s="3"/>
      <c r="E4" s="3"/>
      <c r="F4" s="3"/>
      <c r="G4" s="3"/>
      <c r="H4" s="3"/>
    </row>
    <row r="6" spans="1:11" ht="25.5" x14ac:dyDescent="0.35">
      <c r="B6" s="132" t="s">
        <v>196</v>
      </c>
    </row>
    <row r="7" spans="1:11" ht="25.5" x14ac:dyDescent="0.35">
      <c r="B7" s="132" t="s">
        <v>197</v>
      </c>
    </row>
    <row r="9" spans="1:11" ht="13.15" customHeight="1" x14ac:dyDescent="0.2">
      <c r="A9" s="3"/>
      <c r="B9" s="5"/>
      <c r="C9" s="5"/>
      <c r="D9" s="5"/>
      <c r="E9" s="5"/>
      <c r="F9" s="5"/>
      <c r="G9" s="5"/>
      <c r="H9" s="5"/>
      <c r="I9" s="6"/>
      <c r="J9" s="6"/>
      <c r="K9" s="6"/>
    </row>
    <row r="10" spans="1:11" ht="13.15" customHeight="1" x14ac:dyDescent="0.2">
      <c r="A10" s="3"/>
      <c r="B10" s="133" t="s">
        <v>203</v>
      </c>
      <c r="C10" s="133"/>
      <c r="D10" s="133"/>
      <c r="E10" s="133"/>
      <c r="F10" s="133"/>
      <c r="G10" s="133"/>
      <c r="H10" s="5"/>
      <c r="I10" s="6"/>
      <c r="J10" s="7" t="s">
        <v>2</v>
      </c>
      <c r="K10" s="6"/>
    </row>
    <row r="11" spans="1:11" ht="13.15" customHeight="1" x14ac:dyDescent="0.2">
      <c r="A11" s="3"/>
      <c r="B11" s="133" t="s">
        <v>198</v>
      </c>
      <c r="C11" s="133"/>
      <c r="D11" s="133"/>
      <c r="E11" s="133"/>
      <c r="F11" s="133"/>
      <c r="G11" s="133"/>
      <c r="H11" s="5"/>
      <c r="I11" s="6"/>
      <c r="J11" s="6"/>
      <c r="K11" s="6"/>
    </row>
    <row r="12" spans="1:11" ht="13.15" customHeight="1" x14ac:dyDescent="0.2">
      <c r="A12" s="3"/>
      <c r="B12" s="133" t="s">
        <v>199</v>
      </c>
      <c r="C12" s="133"/>
      <c r="D12" s="133"/>
      <c r="E12" s="133"/>
      <c r="F12" s="133"/>
      <c r="G12" s="133"/>
      <c r="H12" s="5"/>
      <c r="I12" s="6"/>
      <c r="J12" s="12" t="s">
        <v>8</v>
      </c>
      <c r="K12" s="6"/>
    </row>
    <row r="13" spans="1:11" ht="13.15" customHeight="1" x14ac:dyDescent="0.2">
      <c r="A13" s="3"/>
      <c r="B13" s="133" t="s">
        <v>204</v>
      </c>
      <c r="C13" s="133"/>
      <c r="D13" s="133"/>
      <c r="E13" s="133"/>
      <c r="F13" s="133"/>
      <c r="G13" s="133"/>
      <c r="H13" s="5"/>
      <c r="I13" s="6"/>
      <c r="J13" s="8"/>
      <c r="K13" s="6"/>
    </row>
    <row r="14" spans="1:11" ht="13.15" customHeight="1" x14ac:dyDescent="0.2">
      <c r="A14" s="3"/>
      <c r="B14" s="133" t="s">
        <v>200</v>
      </c>
      <c r="C14" s="133"/>
      <c r="D14" s="133"/>
      <c r="E14" s="133"/>
      <c r="F14" s="133"/>
      <c r="G14" s="133"/>
      <c r="H14" s="5"/>
      <c r="I14" s="6"/>
      <c r="J14" s="12" t="s">
        <v>21</v>
      </c>
      <c r="K14" s="6"/>
    </row>
    <row r="15" spans="1:11" ht="13.15" customHeight="1" x14ac:dyDescent="0.2">
      <c r="A15" s="3"/>
      <c r="B15" s="133"/>
      <c r="C15" s="133"/>
      <c r="D15" s="133"/>
      <c r="E15" s="133"/>
      <c r="F15" s="133"/>
      <c r="G15" s="133"/>
      <c r="H15" s="5"/>
      <c r="I15" s="6"/>
      <c r="J15" s="8"/>
      <c r="K15" s="6"/>
    </row>
    <row r="16" spans="1:11" ht="13.15" customHeight="1" x14ac:dyDescent="0.2">
      <c r="A16" s="3"/>
      <c r="B16" s="146" t="s">
        <v>316</v>
      </c>
      <c r="C16" s="133"/>
      <c r="D16" s="133"/>
      <c r="E16" s="133"/>
      <c r="F16" s="133"/>
      <c r="G16" s="133"/>
      <c r="H16" s="5"/>
      <c r="I16" s="6"/>
      <c r="J16" s="12" t="s">
        <v>45</v>
      </c>
      <c r="K16" s="6"/>
    </row>
    <row r="17" spans="1:11" ht="13.15" customHeight="1" x14ac:dyDescent="0.2">
      <c r="A17" s="3"/>
      <c r="B17" s="146" t="s">
        <v>317</v>
      </c>
      <c r="C17" s="133"/>
      <c r="D17" s="133"/>
      <c r="E17" s="133"/>
      <c r="F17" s="133"/>
      <c r="G17" s="133"/>
      <c r="H17" s="5"/>
      <c r="I17" s="6"/>
      <c r="J17" s="6"/>
      <c r="K17" s="6"/>
    </row>
    <row r="18" spans="1:11" ht="13.15" customHeight="1" x14ac:dyDescent="0.2">
      <c r="A18" s="3"/>
      <c r="B18" s="146" t="s">
        <v>318</v>
      </c>
      <c r="C18" s="133"/>
      <c r="D18" s="133"/>
      <c r="E18" s="133"/>
      <c r="F18" s="133"/>
      <c r="G18" s="133"/>
      <c r="H18" s="5"/>
      <c r="I18" s="6"/>
      <c r="J18" s="150" t="s">
        <v>285</v>
      </c>
      <c r="K18" s="151"/>
    </row>
    <row r="19" spans="1:11" ht="13.15" customHeight="1" x14ac:dyDescent="0.2">
      <c r="A19" s="3"/>
      <c r="B19" s="153" t="s">
        <v>330</v>
      </c>
      <c r="C19" s="153"/>
      <c r="D19" s="153"/>
      <c r="E19" s="153"/>
      <c r="F19" s="153"/>
      <c r="G19" s="133" t="s">
        <v>329</v>
      </c>
      <c r="H19" s="5"/>
      <c r="I19" s="6"/>
      <c r="J19" s="151"/>
      <c r="K19" s="151"/>
    </row>
    <row r="20" spans="1:11" ht="13.15" customHeight="1" x14ac:dyDescent="0.2">
      <c r="A20" s="3"/>
      <c r="B20" s="133" t="s">
        <v>201</v>
      </c>
      <c r="C20" s="133"/>
      <c r="D20" s="133"/>
      <c r="E20" s="133"/>
      <c r="F20" s="133"/>
      <c r="G20" s="133"/>
      <c r="H20" s="5"/>
      <c r="I20" s="6"/>
      <c r="J20" s="12"/>
      <c r="K20" s="6"/>
    </row>
    <row r="21" spans="1:11" ht="13.15" customHeight="1" x14ac:dyDescent="0.2">
      <c r="A21" s="3"/>
      <c r="B21" s="133" t="s">
        <v>202</v>
      </c>
      <c r="C21" s="133"/>
      <c r="D21" s="133"/>
      <c r="E21" s="133"/>
      <c r="F21" s="133"/>
      <c r="G21" s="133"/>
      <c r="H21" s="5"/>
      <c r="I21" s="6"/>
      <c r="J21" s="150" t="s">
        <v>286</v>
      </c>
      <c r="K21" s="151"/>
    </row>
    <row r="22" spans="1:11" ht="13.15" customHeight="1" x14ac:dyDescent="0.2">
      <c r="A22" s="3"/>
      <c r="B22" s="133" t="s">
        <v>235</v>
      </c>
      <c r="C22" s="133"/>
      <c r="D22" s="133"/>
      <c r="E22" s="133"/>
      <c r="F22" s="133"/>
      <c r="G22" s="133"/>
      <c r="H22" s="5"/>
      <c r="I22" s="6"/>
      <c r="J22" s="151"/>
      <c r="K22" s="151"/>
    </row>
    <row r="23" spans="1:11" ht="13.15" customHeight="1" x14ac:dyDescent="0.2">
      <c r="A23" s="3"/>
      <c r="B23" s="133"/>
      <c r="C23" s="133"/>
      <c r="D23" s="133"/>
      <c r="E23" s="133"/>
      <c r="F23" s="133"/>
      <c r="G23" s="133"/>
      <c r="H23" s="5"/>
      <c r="I23" s="6"/>
      <c r="J23" s="6"/>
      <c r="K23" s="6"/>
    </row>
    <row r="24" spans="1:11" ht="13.15" customHeight="1" x14ac:dyDescent="0.2">
      <c r="A24" s="3"/>
      <c r="B24" s="133" t="s">
        <v>205</v>
      </c>
      <c r="C24" s="133"/>
      <c r="D24" s="133"/>
      <c r="E24" s="133"/>
      <c r="F24" s="133"/>
      <c r="G24" s="133"/>
      <c r="H24" s="5"/>
      <c r="I24" s="6"/>
      <c r="J24" s="6"/>
      <c r="K24" s="6"/>
    </row>
    <row r="25" spans="1:11" ht="13.15" customHeight="1" x14ac:dyDescent="0.2">
      <c r="A25" s="3"/>
      <c r="B25" s="146" t="s">
        <v>319</v>
      </c>
      <c r="C25" s="133"/>
      <c r="D25" s="133"/>
      <c r="E25" s="133"/>
      <c r="F25" s="133"/>
      <c r="G25" s="133"/>
      <c r="H25" s="5"/>
      <c r="I25" s="6"/>
      <c r="J25" s="6"/>
      <c r="K25" s="6"/>
    </row>
    <row r="26" spans="1:11" ht="13.15" customHeight="1" x14ac:dyDescent="0.2">
      <c r="A26" s="3"/>
      <c r="B26" s="133"/>
      <c r="C26" s="133"/>
      <c r="D26" s="133"/>
      <c r="E26" s="133"/>
      <c r="F26" s="133"/>
      <c r="G26" s="133"/>
      <c r="H26" s="5"/>
      <c r="I26" s="6"/>
      <c r="J26" s="6"/>
      <c r="K26" s="6"/>
    </row>
    <row r="27" spans="1:11" ht="13.15" customHeight="1" x14ac:dyDescent="0.2">
      <c r="A27" s="3"/>
      <c r="B27" s="146" t="s">
        <v>320</v>
      </c>
      <c r="C27" s="133"/>
      <c r="D27" s="133"/>
      <c r="E27" s="133"/>
      <c r="F27" s="133"/>
      <c r="G27" s="133"/>
      <c r="H27" s="5"/>
      <c r="I27" s="6"/>
      <c r="J27" s="6"/>
      <c r="K27" s="6"/>
    </row>
    <row r="28" spans="1:11" ht="13.15" customHeight="1" x14ac:dyDescent="0.2">
      <c r="A28" s="3"/>
      <c r="B28" s="146" t="s">
        <v>323</v>
      </c>
      <c r="C28" s="133"/>
      <c r="D28" s="133"/>
      <c r="E28" s="133"/>
      <c r="F28" s="133"/>
      <c r="G28" s="133"/>
      <c r="H28" s="5"/>
      <c r="I28" s="6"/>
      <c r="J28" s="6"/>
      <c r="K28" s="6"/>
    </row>
    <row r="29" spans="1:11" ht="13.15" customHeight="1" x14ac:dyDescent="0.2">
      <c r="A29" s="3"/>
      <c r="B29" s="146" t="s">
        <v>324</v>
      </c>
      <c r="C29" s="133"/>
      <c r="D29" s="133"/>
      <c r="E29" s="133"/>
      <c r="F29" s="133"/>
      <c r="G29" s="133"/>
      <c r="H29" s="5"/>
      <c r="I29" s="6"/>
      <c r="J29" s="6"/>
      <c r="K29" s="6"/>
    </row>
    <row r="30" spans="1:11" ht="13.15" customHeight="1" x14ac:dyDescent="0.2">
      <c r="A30" s="3"/>
      <c r="B30" s="146" t="s">
        <v>325</v>
      </c>
      <c r="C30" s="133"/>
      <c r="D30" s="133"/>
      <c r="E30" s="133"/>
      <c r="F30" s="133"/>
      <c r="G30" s="133"/>
      <c r="H30" s="5"/>
      <c r="I30" s="6"/>
      <c r="J30" s="6"/>
      <c r="K30" s="6"/>
    </row>
    <row r="31" spans="1:11" ht="13.15" customHeight="1" x14ac:dyDescent="0.2">
      <c r="A31" s="3"/>
      <c r="B31" s="146" t="s">
        <v>326</v>
      </c>
      <c r="C31" s="133"/>
      <c r="D31" s="133"/>
      <c r="E31" s="133"/>
      <c r="F31" s="133"/>
      <c r="G31" s="133"/>
      <c r="H31" s="5"/>
      <c r="I31" s="6"/>
      <c r="J31" s="6"/>
      <c r="K31" s="6"/>
    </row>
    <row r="32" spans="1:11" ht="13.15" customHeight="1" x14ac:dyDescent="0.2">
      <c r="A32" s="3"/>
      <c r="B32" s="146" t="s">
        <v>327</v>
      </c>
      <c r="C32" s="133"/>
      <c r="D32" s="133"/>
      <c r="E32" s="133"/>
      <c r="F32" s="133"/>
      <c r="G32" s="133"/>
      <c r="H32" s="5"/>
      <c r="I32" s="6"/>
      <c r="J32" s="6"/>
      <c r="K32" s="6"/>
    </row>
    <row r="33" spans="1:11" ht="13.15" customHeight="1" x14ac:dyDescent="0.2">
      <c r="A33" s="3"/>
      <c r="B33" s="146"/>
      <c r="C33" s="133"/>
      <c r="D33" s="133"/>
      <c r="E33" s="133"/>
      <c r="F33" s="133"/>
      <c r="G33" s="133"/>
      <c r="H33" s="5"/>
      <c r="I33" s="6"/>
      <c r="J33" s="6"/>
      <c r="K33" s="6"/>
    </row>
    <row r="34" spans="1:11" ht="13.15" customHeight="1" x14ac:dyDescent="0.2">
      <c r="A34" s="3"/>
      <c r="B34" s="5"/>
      <c r="C34" s="5"/>
      <c r="D34" s="5"/>
      <c r="E34" s="5"/>
      <c r="F34" s="5"/>
      <c r="G34" s="5"/>
      <c r="H34" s="5"/>
      <c r="I34" s="6"/>
      <c r="J34" s="6"/>
      <c r="K34" s="6"/>
    </row>
    <row r="35" spans="1:11" ht="13.15" customHeight="1" x14ac:dyDescent="0.2">
      <c r="A35" s="3"/>
      <c r="B35" s="5"/>
      <c r="C35" s="5"/>
      <c r="D35" s="5"/>
      <c r="E35" s="5"/>
      <c r="F35" s="5"/>
      <c r="G35" s="5"/>
      <c r="H35" s="5"/>
      <c r="I35" s="6"/>
      <c r="J35" s="6"/>
      <c r="K35" s="6"/>
    </row>
    <row r="36" spans="1:11" ht="13.15" customHeight="1" x14ac:dyDescent="0.2">
      <c r="A36" s="3"/>
      <c r="B36" s="5"/>
      <c r="C36" s="5"/>
      <c r="D36" s="5"/>
      <c r="E36" s="5"/>
      <c r="F36" s="5"/>
      <c r="G36" s="5"/>
      <c r="H36" s="5"/>
      <c r="I36" s="6"/>
      <c r="J36" s="6"/>
      <c r="K36" s="6"/>
    </row>
    <row r="37" spans="1:11" ht="13.15" customHeight="1" x14ac:dyDescent="0.2">
      <c r="A37" s="3"/>
      <c r="B37" s="5"/>
      <c r="C37" s="5"/>
      <c r="D37" s="5"/>
      <c r="E37" s="5"/>
      <c r="F37" s="5"/>
      <c r="G37" s="5"/>
      <c r="H37" s="5"/>
      <c r="I37" s="6"/>
      <c r="J37" s="6"/>
      <c r="K37" s="6"/>
    </row>
    <row r="38" spans="1:11" ht="13.15" customHeight="1" x14ac:dyDescent="0.2">
      <c r="A38" s="3"/>
      <c r="B38" s="5"/>
      <c r="C38" s="5"/>
      <c r="D38" s="5"/>
      <c r="E38" s="5"/>
      <c r="F38" s="5"/>
      <c r="G38" s="5"/>
      <c r="H38" s="5"/>
      <c r="I38" s="6"/>
      <c r="J38" s="6"/>
      <c r="K38" s="6"/>
    </row>
    <row r="39" spans="1:11" ht="13.15" customHeight="1" x14ac:dyDescent="0.2">
      <c r="A39" s="3"/>
      <c r="B39" s="5"/>
      <c r="C39" s="5"/>
      <c r="D39" s="5"/>
      <c r="E39" s="5"/>
      <c r="F39" s="5"/>
      <c r="G39" s="5"/>
      <c r="H39" s="5"/>
      <c r="I39" s="6"/>
      <c r="J39" s="6"/>
      <c r="K39" s="6"/>
    </row>
    <row r="40" spans="1:11" ht="13.15" customHeight="1" x14ac:dyDescent="0.2">
      <c r="A40" s="3"/>
      <c r="B40" s="5"/>
      <c r="C40" s="5"/>
      <c r="D40" s="5"/>
      <c r="E40" s="5"/>
      <c r="F40" s="5"/>
      <c r="G40" s="5"/>
      <c r="H40" s="5"/>
      <c r="I40" s="6"/>
      <c r="J40" s="6"/>
      <c r="K40" s="6"/>
    </row>
    <row r="41" spans="1:11" ht="13.15" customHeight="1" x14ac:dyDescent="0.2">
      <c r="A41" s="3"/>
      <c r="B41" s="5"/>
      <c r="C41" s="5"/>
      <c r="D41" s="5"/>
      <c r="E41" s="5"/>
      <c r="F41" s="5"/>
      <c r="G41" s="5"/>
      <c r="H41" s="5"/>
      <c r="I41" s="6"/>
      <c r="J41" s="6"/>
      <c r="K41" s="6"/>
    </row>
    <row r="42" spans="1:11" ht="13.15" customHeight="1" x14ac:dyDescent="0.2">
      <c r="A42" s="3"/>
      <c r="B42" s="5"/>
      <c r="C42" s="5"/>
      <c r="D42" s="5"/>
      <c r="E42" s="5"/>
      <c r="F42" s="5"/>
      <c r="G42" s="5"/>
      <c r="H42" s="5"/>
      <c r="I42" s="6"/>
      <c r="J42" s="6"/>
      <c r="K42" s="6"/>
    </row>
    <row r="43" spans="1:11" ht="13.15" customHeight="1" x14ac:dyDescent="0.2">
      <c r="A43" s="3"/>
      <c r="B43" s="5"/>
      <c r="C43" s="5"/>
      <c r="D43" s="5"/>
      <c r="E43" s="5"/>
      <c r="F43" s="5"/>
      <c r="G43" s="5"/>
      <c r="H43" s="5"/>
      <c r="I43" s="6"/>
      <c r="J43" s="6"/>
      <c r="K43" s="6"/>
    </row>
    <row r="44" spans="1:11" ht="13.15" customHeight="1" x14ac:dyDescent="0.2">
      <c r="A44" s="3"/>
      <c r="B44" s="5"/>
      <c r="C44" s="5"/>
      <c r="D44" s="5"/>
      <c r="E44" s="5"/>
      <c r="F44" s="5"/>
      <c r="G44" s="5"/>
      <c r="H44" s="5"/>
      <c r="I44" s="6"/>
      <c r="J44" s="6"/>
      <c r="K44" s="6"/>
    </row>
    <row r="45" spans="1:11" ht="13.15" customHeight="1" x14ac:dyDescent="0.2">
      <c r="A45" s="3"/>
      <c r="B45" s="5"/>
      <c r="C45" s="5"/>
      <c r="D45" s="5"/>
      <c r="E45" s="5"/>
      <c r="F45" s="5"/>
      <c r="G45" s="5"/>
      <c r="H45" s="5"/>
      <c r="I45" s="6"/>
      <c r="J45" s="6"/>
      <c r="K45" s="6"/>
    </row>
    <row r="46" spans="1:11" ht="13.15" customHeight="1" x14ac:dyDescent="0.2">
      <c r="A46" s="3"/>
      <c r="B46" s="5"/>
      <c r="C46" s="5"/>
      <c r="D46" s="5"/>
      <c r="E46" s="5"/>
      <c r="F46" s="5"/>
      <c r="G46" s="5"/>
      <c r="H46" s="5"/>
      <c r="I46" s="6"/>
      <c r="J46" s="6"/>
      <c r="K46" s="6"/>
    </row>
    <row r="47" spans="1:11" ht="13.15" customHeight="1" x14ac:dyDescent="0.2">
      <c r="A47" s="3"/>
      <c r="B47" s="5"/>
      <c r="C47" s="5"/>
      <c r="D47" s="5"/>
      <c r="E47" s="5"/>
      <c r="F47" s="5"/>
      <c r="G47" s="5"/>
      <c r="H47" s="5"/>
      <c r="I47" s="6"/>
      <c r="J47" s="6"/>
      <c r="K47" s="6"/>
    </row>
    <row r="48" spans="1:11" ht="13.15" customHeight="1" x14ac:dyDescent="0.2">
      <c r="A48" s="3"/>
      <c r="B48" s="5"/>
      <c r="C48" s="5"/>
      <c r="D48" s="5"/>
      <c r="E48" s="5"/>
      <c r="F48" s="5"/>
      <c r="G48" s="5"/>
      <c r="H48" s="5"/>
      <c r="I48" s="6"/>
      <c r="J48" s="6"/>
      <c r="K48" s="6"/>
    </row>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sheetProtection sheet="1"/>
  <mergeCells count="4">
    <mergeCell ref="J18:K19"/>
    <mergeCell ref="J21:K22"/>
    <mergeCell ref="F3:H3"/>
    <mergeCell ref="B19:F19"/>
  </mergeCells>
  <phoneticPr fontId="2" type="noConversion"/>
  <hyperlinks>
    <hyperlink ref="J12" location="Proportions!A1" display="Proportions"/>
    <hyperlink ref="J14" location="Rates!A1" display="Rates"/>
    <hyperlink ref="J16" location="Means!A1" display="Means"/>
    <hyperlink ref="J18" location="'Indirect Standardisation'!A1" display="Indirect Standardisation"/>
    <hyperlink ref="J21" location="'Direct Standardisation'!A1" display="Direct Standardisation"/>
    <hyperlink ref="B19:F19" r:id="rId1" display="https://fingertips.phe.org.uk/profile/guidance."/>
  </hyperlinks>
  <pageMargins left="0.75" right="0.75" top="1" bottom="1" header="0.5" footer="0.5"/>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Q60"/>
  <sheetViews>
    <sheetView zoomScaleNormal="75" workbookViewId="0"/>
  </sheetViews>
  <sheetFormatPr defaultRowHeight="12.75" x14ac:dyDescent="0.2"/>
  <cols>
    <col min="1" max="1" width="3.6640625" style="9" customWidth="1"/>
    <col min="2" max="2" width="20" style="11" customWidth="1"/>
    <col min="3" max="6" width="20" style="2" customWidth="1"/>
    <col min="7" max="7" width="11.6640625" style="2" customWidth="1"/>
    <col min="8" max="8" width="20" style="10" customWidth="1"/>
    <col min="9" max="11" width="9.33203125" style="2" customWidth="1"/>
    <col min="12" max="12" width="9.33203125" style="10" customWidth="1"/>
    <col min="13" max="17" width="9.33203125" style="2" customWidth="1"/>
    <col min="18" max="16384" width="9.33203125" style="9"/>
  </cols>
  <sheetData>
    <row r="1" spans="2:17" s="26" customFormat="1" x14ac:dyDescent="0.2">
      <c r="B1" s="25"/>
      <c r="C1" s="24"/>
      <c r="D1" s="24"/>
      <c r="E1" s="24"/>
      <c r="F1" s="24"/>
      <c r="G1" s="24"/>
      <c r="H1" s="25"/>
      <c r="I1" s="24"/>
      <c r="J1" s="24"/>
      <c r="K1" s="24"/>
      <c r="L1" s="25"/>
      <c r="M1" s="24"/>
      <c r="N1" s="24"/>
      <c r="O1" s="24"/>
      <c r="P1" s="24"/>
      <c r="Q1" s="24"/>
    </row>
    <row r="2" spans="2:17" s="26" customFormat="1" ht="15.75" x14ac:dyDescent="0.25">
      <c r="B2" s="13" t="s">
        <v>8</v>
      </c>
      <c r="C2" s="24"/>
      <c r="D2" s="24"/>
      <c r="E2" s="24"/>
      <c r="F2" s="24"/>
      <c r="G2" s="24"/>
      <c r="H2" s="25"/>
      <c r="I2" s="24"/>
      <c r="J2" s="24"/>
      <c r="K2" s="24"/>
      <c r="L2" s="25"/>
      <c r="M2" s="24"/>
      <c r="N2" s="24"/>
      <c r="O2" s="24"/>
      <c r="P2" s="24"/>
      <c r="Q2" s="24"/>
    </row>
    <row r="3" spans="2:17" s="26" customFormat="1" ht="13.15" customHeight="1" thickBot="1" x14ac:dyDescent="0.25">
      <c r="B3" s="27"/>
      <c r="C3" s="24"/>
      <c r="D3" s="24"/>
      <c r="E3" s="24"/>
      <c r="F3" s="24"/>
      <c r="G3" s="24"/>
      <c r="H3" s="25"/>
      <c r="I3" s="24"/>
      <c r="J3" s="24"/>
      <c r="K3" s="24"/>
      <c r="L3" s="25"/>
      <c r="M3" s="24"/>
      <c r="N3" s="24"/>
      <c r="O3" s="24"/>
      <c r="P3" s="24"/>
      <c r="Q3" s="24"/>
    </row>
    <row r="4" spans="2:17" s="26" customFormat="1" ht="13.15" customHeight="1" x14ac:dyDescent="0.2">
      <c r="B4" s="28" t="s">
        <v>20</v>
      </c>
      <c r="C4" s="33" t="s">
        <v>4</v>
      </c>
      <c r="D4" s="33" t="s">
        <v>14</v>
      </c>
      <c r="E4" s="154" t="str">
        <f>TEXT(B10,"General")&amp;"% Confidence Interval"</f>
        <v>95% Confidence Interval</v>
      </c>
      <c r="F4" s="155"/>
      <c r="G4" s="25"/>
      <c r="H4" s="25"/>
      <c r="I4" s="24"/>
      <c r="J4" s="24"/>
      <c r="K4" s="24"/>
      <c r="L4" s="25"/>
      <c r="M4" s="24"/>
      <c r="N4" s="24"/>
      <c r="O4" s="24"/>
      <c r="P4" s="24"/>
      <c r="Q4" s="24"/>
    </row>
    <row r="5" spans="2:17" s="26" customFormat="1" ht="13.15" customHeight="1" x14ac:dyDescent="0.25">
      <c r="B5" s="34" t="s">
        <v>10</v>
      </c>
      <c r="C5" s="35" t="s">
        <v>5</v>
      </c>
      <c r="D5" s="35" t="s">
        <v>15</v>
      </c>
      <c r="E5" s="35" t="s">
        <v>16</v>
      </c>
      <c r="F5" s="36" t="s">
        <v>17</v>
      </c>
      <c r="G5" s="25"/>
      <c r="H5" s="25"/>
      <c r="I5" s="24"/>
      <c r="J5" s="24"/>
      <c r="K5" s="24"/>
      <c r="L5" s="25"/>
      <c r="M5" s="24"/>
      <c r="N5" s="24"/>
      <c r="O5" s="24"/>
      <c r="P5" s="24"/>
      <c r="Q5" s="24"/>
    </row>
    <row r="6" spans="2:17" s="26" customFormat="1" ht="13.15" customHeight="1" thickBot="1" x14ac:dyDescent="0.25">
      <c r="B6" s="37">
        <v>65</v>
      </c>
      <c r="C6" s="38">
        <v>100</v>
      </c>
      <c r="D6" s="138">
        <f>IF(OR(B6&lt;0,B6&gt;C6),"#NUM!",B6/C6)</f>
        <v>0.65</v>
      </c>
      <c r="E6" s="139">
        <f>(2*B6+NORMSINV((100+$B$10)/200)^2-NORMSINV((100+$B$10)/200)*SQRT(NORMSINV((100+$B$10)/200)^2+4*B6*(1-D6)))/2/(C6+NORMSINV((100+$B$10)/200)^2)</f>
        <v>0.55254443296887967</v>
      </c>
      <c r="F6" s="140">
        <f>(2*B6+NORMSINV((100+$B$10)/200)^2+NORMSINV((100+$B$10)/200)*SQRT(NORMSINV((100+$B$10)/200)^2+4*B6*(1-D6)))/2/(C6+NORMSINV((100+$B$10)/200)^2)</f>
        <v>0.73635751756902468</v>
      </c>
      <c r="G6" s="25"/>
      <c r="H6" s="25"/>
      <c r="I6" s="24"/>
      <c r="J6" s="24"/>
      <c r="K6" s="24"/>
      <c r="L6" s="25"/>
      <c r="M6" s="24"/>
      <c r="N6" s="24"/>
      <c r="O6" s="24"/>
      <c r="P6" s="24"/>
      <c r="Q6" s="24"/>
    </row>
    <row r="7" spans="2:17" s="26" customFormat="1" ht="13.15" customHeight="1" thickBot="1" x14ac:dyDescent="0.25">
      <c r="B7" s="25"/>
      <c r="C7" s="24"/>
      <c r="D7" s="24"/>
      <c r="E7" s="24"/>
      <c r="F7" s="24"/>
      <c r="G7" s="25"/>
      <c r="H7" s="25"/>
      <c r="I7" s="24"/>
      <c r="J7" s="24"/>
      <c r="K7" s="24"/>
      <c r="L7" s="25"/>
      <c r="M7" s="24"/>
      <c r="N7" s="24"/>
      <c r="O7" s="24"/>
      <c r="P7" s="24"/>
      <c r="Q7" s="24"/>
    </row>
    <row r="8" spans="2:17" s="26" customFormat="1" ht="13.15" customHeight="1" x14ac:dyDescent="0.2">
      <c r="B8" s="51" t="s">
        <v>6</v>
      </c>
      <c r="C8" s="24"/>
      <c r="D8" s="28" t="s">
        <v>270</v>
      </c>
      <c r="E8" s="154" t="str">
        <f>TEXT(B10,"General")&amp;"% Confidence Interval"</f>
        <v>95% Confidence Interval</v>
      </c>
      <c r="F8" s="155"/>
      <c r="G8" s="25"/>
      <c r="H8" s="25"/>
      <c r="I8" s="24"/>
      <c r="J8" s="24"/>
      <c r="K8" s="24"/>
      <c r="L8" s="25"/>
      <c r="M8" s="24"/>
      <c r="N8" s="24"/>
      <c r="O8" s="24"/>
      <c r="P8" s="24"/>
      <c r="Q8" s="24"/>
    </row>
    <row r="9" spans="2:17" s="26" customFormat="1" ht="13.15" customHeight="1" x14ac:dyDescent="0.25">
      <c r="B9" s="62" t="s">
        <v>137</v>
      </c>
      <c r="C9" s="24"/>
      <c r="D9" s="34" t="s">
        <v>271</v>
      </c>
      <c r="E9" s="35" t="s">
        <v>272</v>
      </c>
      <c r="F9" s="36" t="s">
        <v>273</v>
      </c>
      <c r="G9" s="25"/>
      <c r="H9" s="25"/>
      <c r="I9" s="24"/>
      <c r="J9" s="24"/>
      <c r="K9" s="24"/>
      <c r="L9" s="25"/>
      <c r="M9" s="24"/>
      <c r="N9" s="24"/>
      <c r="O9" s="24"/>
      <c r="P9" s="24"/>
      <c r="Q9" s="24"/>
    </row>
    <row r="10" spans="2:17" s="26" customFormat="1" ht="13.15" customHeight="1" thickBot="1" x14ac:dyDescent="0.25">
      <c r="B10" s="63">
        <v>95</v>
      </c>
      <c r="C10" s="24"/>
      <c r="D10" s="131">
        <f>IF(OR(B6&lt;0,B6&gt;C6),"#NUM!",B6/C6*100)</f>
        <v>65</v>
      </c>
      <c r="E10" s="93">
        <f>(2*B6+NORMSINV((100+$B$10)/200)^2-NORMSINV((100+$B$10)/200)*SQRT(NORMSINV((100+$B$10)/200)^2+4*B6*(1-D10/100)))/2/(C6+NORMSINV((100+$B$10)/200)^2)*100</f>
        <v>55.25444329688797</v>
      </c>
      <c r="F10" s="94">
        <f>(2*B6+NORMSINV((100+$B$10)/200)^2+NORMSINV((100+$B$10)/200)*SQRT(NORMSINV((100+$B$10)/200)^2+4*B6*(1-D10/100)))/2/(C6+NORMSINV((100+$B$10)/200)^2)*100</f>
        <v>73.635751756902465</v>
      </c>
      <c r="G10" s="126" t="s">
        <v>135</v>
      </c>
      <c r="H10" s="127">
        <f>1-B10/100</f>
        <v>5.0000000000000044E-2</v>
      </c>
      <c r="I10" s="24"/>
      <c r="J10" s="24"/>
      <c r="K10" s="24"/>
      <c r="L10" s="25"/>
      <c r="M10" s="24"/>
      <c r="N10" s="24"/>
      <c r="O10" s="24"/>
      <c r="P10" s="24"/>
      <c r="Q10" s="24"/>
    </row>
    <row r="11" spans="2:17" s="26" customFormat="1" ht="13.15" customHeight="1" x14ac:dyDescent="0.2">
      <c r="B11" s="25"/>
      <c r="C11" s="24"/>
      <c r="D11" s="24"/>
      <c r="E11" s="24"/>
      <c r="F11" s="24"/>
      <c r="G11" s="25"/>
      <c r="H11" s="25"/>
      <c r="I11" s="24"/>
      <c r="J11" s="24"/>
      <c r="K11" s="24"/>
      <c r="L11" s="25"/>
      <c r="M11" s="24"/>
      <c r="N11" s="24"/>
      <c r="O11" s="24"/>
      <c r="P11" s="24"/>
      <c r="Q11" s="24"/>
    </row>
    <row r="12" spans="2:17" s="26" customFormat="1" x14ac:dyDescent="0.2">
      <c r="B12" s="42" t="s">
        <v>32</v>
      </c>
      <c r="C12" s="24"/>
      <c r="D12" s="24"/>
      <c r="E12" s="24"/>
      <c r="F12" s="24"/>
      <c r="G12" s="24"/>
      <c r="H12" s="25"/>
      <c r="I12" s="24"/>
      <c r="J12" s="24"/>
      <c r="K12" s="24"/>
      <c r="L12" s="25"/>
      <c r="M12" s="24"/>
      <c r="N12" s="24"/>
      <c r="O12" s="24"/>
      <c r="P12" s="24"/>
      <c r="Q12" s="24"/>
    </row>
    <row r="13" spans="2:17" s="26" customFormat="1" ht="18" customHeight="1" x14ac:dyDescent="0.2">
      <c r="B13" s="45" t="s">
        <v>100</v>
      </c>
      <c r="C13" s="24"/>
      <c r="D13" s="24"/>
      <c r="E13" s="24"/>
      <c r="F13" s="24"/>
      <c r="G13" s="24"/>
      <c r="H13" s="25"/>
      <c r="I13" s="24"/>
      <c r="J13" s="24"/>
      <c r="K13" s="24"/>
      <c r="L13" s="25"/>
      <c r="M13" s="24"/>
      <c r="N13" s="24"/>
      <c r="O13" s="24"/>
      <c r="P13" s="24"/>
      <c r="Q13" s="24"/>
    </row>
    <row r="14" spans="2:17" s="26" customFormat="1" ht="18" customHeight="1" x14ac:dyDescent="0.2">
      <c r="B14" s="50" t="s">
        <v>41</v>
      </c>
      <c r="C14" s="24"/>
      <c r="D14" s="24"/>
      <c r="E14" s="24"/>
      <c r="F14" s="24"/>
      <c r="G14" s="24"/>
      <c r="H14" s="25"/>
      <c r="I14" s="24"/>
      <c r="J14" s="24"/>
      <c r="K14" s="24"/>
      <c r="L14" s="25"/>
      <c r="M14" s="24"/>
      <c r="N14" s="24"/>
      <c r="O14" s="24"/>
      <c r="P14" s="24"/>
      <c r="Q14" s="24"/>
    </row>
    <row r="15" spans="2:17" s="26" customFormat="1" x14ac:dyDescent="0.2">
      <c r="B15" s="45" t="s">
        <v>37</v>
      </c>
      <c r="C15" s="24"/>
      <c r="D15" s="24"/>
      <c r="E15" s="24"/>
      <c r="F15" s="24"/>
      <c r="G15" s="24"/>
      <c r="H15" s="25"/>
      <c r="I15" s="24"/>
      <c r="J15" s="24"/>
      <c r="K15" s="24"/>
      <c r="L15" s="25"/>
      <c r="M15" s="24"/>
      <c r="N15" s="24"/>
      <c r="O15" s="24"/>
      <c r="P15" s="24"/>
      <c r="Q15" s="24"/>
    </row>
    <row r="16" spans="2:17" s="26" customFormat="1" ht="18" customHeight="1" x14ac:dyDescent="0.2">
      <c r="B16" s="50" t="s">
        <v>42</v>
      </c>
      <c r="C16" s="24"/>
      <c r="D16" s="24"/>
      <c r="E16" s="24"/>
      <c r="F16" s="24"/>
      <c r="G16" s="24"/>
      <c r="H16" s="25"/>
      <c r="I16" s="24"/>
      <c r="J16" s="24"/>
      <c r="K16" s="24"/>
      <c r="L16" s="25"/>
      <c r="M16" s="24"/>
      <c r="N16" s="24"/>
      <c r="O16" s="24"/>
      <c r="P16" s="24"/>
      <c r="Q16" s="24"/>
    </row>
    <row r="17" spans="2:17" s="26" customFormat="1" ht="18" customHeight="1" x14ac:dyDescent="0.2">
      <c r="B17" s="48" t="s">
        <v>108</v>
      </c>
      <c r="C17" s="24"/>
      <c r="D17" s="24"/>
      <c r="E17" s="24"/>
      <c r="F17" s="24"/>
      <c r="G17" s="24"/>
      <c r="H17" s="25"/>
      <c r="I17" s="24"/>
      <c r="J17" s="24"/>
      <c r="K17" s="24"/>
      <c r="L17" s="25"/>
      <c r="M17" s="24"/>
      <c r="N17" s="24"/>
      <c r="O17" s="24"/>
      <c r="P17" s="24"/>
      <c r="Q17" s="24"/>
    </row>
    <row r="18" spans="2:17" s="26" customFormat="1" x14ac:dyDescent="0.2">
      <c r="B18" s="48" t="s">
        <v>280</v>
      </c>
      <c r="C18" s="24"/>
      <c r="D18" s="24"/>
      <c r="E18" s="24"/>
      <c r="F18" s="24"/>
      <c r="G18" s="24"/>
      <c r="H18" s="25"/>
      <c r="I18" s="24"/>
      <c r="J18" s="24"/>
      <c r="K18" s="24"/>
      <c r="L18" s="25"/>
      <c r="M18" s="24"/>
      <c r="N18" s="24"/>
      <c r="O18" s="24"/>
      <c r="P18" s="24"/>
      <c r="Q18" s="24"/>
    </row>
    <row r="19" spans="2:17" s="26" customFormat="1" x14ac:dyDescent="0.2">
      <c r="B19" s="48" t="s">
        <v>279</v>
      </c>
      <c r="C19" s="24"/>
      <c r="D19" s="24"/>
      <c r="E19" s="24"/>
      <c r="F19" s="24"/>
      <c r="G19" s="24"/>
      <c r="H19" s="25"/>
      <c r="I19" s="24"/>
      <c r="J19" s="24"/>
      <c r="K19" s="24"/>
      <c r="L19" s="25"/>
      <c r="M19" s="24"/>
      <c r="N19" s="24"/>
      <c r="O19" s="24"/>
      <c r="P19" s="24"/>
      <c r="Q19" s="24"/>
    </row>
    <row r="20" spans="2:17" s="26" customFormat="1" ht="18" customHeight="1" x14ac:dyDescent="0.2">
      <c r="B20" s="50" t="s">
        <v>274</v>
      </c>
      <c r="C20" s="24"/>
      <c r="D20" s="24"/>
      <c r="E20" s="24"/>
      <c r="F20" s="24"/>
      <c r="G20" s="24"/>
      <c r="H20" s="25"/>
      <c r="I20" s="24"/>
      <c r="J20" s="24"/>
      <c r="K20" s="24"/>
      <c r="L20" s="25"/>
      <c r="M20" s="24"/>
      <c r="N20" s="24"/>
      <c r="O20" s="24"/>
      <c r="P20" s="24"/>
      <c r="Q20" s="24"/>
    </row>
    <row r="21" spans="2:17" s="26" customFormat="1" x14ac:dyDescent="0.2">
      <c r="B21" s="45" t="s">
        <v>0</v>
      </c>
      <c r="C21" s="24"/>
      <c r="D21" s="24"/>
      <c r="E21" s="24"/>
      <c r="F21" s="24"/>
      <c r="G21" s="24"/>
      <c r="H21" s="25"/>
      <c r="I21" s="24"/>
      <c r="J21" s="24"/>
      <c r="K21" s="24"/>
      <c r="L21" s="25"/>
      <c r="M21" s="24"/>
      <c r="N21" s="24"/>
      <c r="O21" s="24"/>
      <c r="P21" s="24"/>
      <c r="Q21" s="24"/>
    </row>
    <row r="22" spans="2:17" s="26" customFormat="1" ht="18" customHeight="1" x14ac:dyDescent="0.2">
      <c r="B22" s="45" t="s">
        <v>275</v>
      </c>
      <c r="C22" s="24"/>
      <c r="D22" s="24"/>
      <c r="E22" s="24"/>
      <c r="F22" s="24"/>
      <c r="G22" s="24"/>
      <c r="H22" s="25"/>
      <c r="I22" s="24"/>
      <c r="J22" s="24"/>
      <c r="K22" s="24"/>
      <c r="L22" s="25"/>
      <c r="M22" s="24"/>
      <c r="N22" s="24"/>
      <c r="O22" s="24"/>
      <c r="P22" s="24"/>
      <c r="Q22" s="24"/>
    </row>
    <row r="23" spans="2:17" s="26" customFormat="1" x14ac:dyDescent="0.2">
      <c r="B23" s="45" t="s">
        <v>276</v>
      </c>
      <c r="C23" s="24"/>
      <c r="D23" s="24"/>
      <c r="E23" s="24"/>
      <c r="F23" s="24"/>
      <c r="G23" s="24"/>
      <c r="H23" s="25"/>
      <c r="I23" s="24"/>
      <c r="J23" s="24"/>
      <c r="K23" s="24"/>
      <c r="L23" s="25"/>
      <c r="M23" s="24"/>
      <c r="N23" s="24"/>
      <c r="O23" s="24"/>
      <c r="P23" s="24"/>
      <c r="Q23" s="24"/>
    </row>
    <row r="24" spans="2:17" s="26" customFormat="1" x14ac:dyDescent="0.2">
      <c r="B24" s="45" t="s">
        <v>277</v>
      </c>
      <c r="C24" s="24"/>
      <c r="D24" s="24"/>
      <c r="E24" s="24"/>
      <c r="F24" s="24"/>
      <c r="G24" s="24"/>
      <c r="H24" s="25"/>
      <c r="I24" s="24"/>
      <c r="J24" s="24"/>
      <c r="K24" s="24"/>
      <c r="L24" s="25"/>
      <c r="M24" s="24"/>
      <c r="N24" s="24"/>
      <c r="O24" s="24"/>
      <c r="P24" s="24"/>
      <c r="Q24" s="24"/>
    </row>
    <row r="25" spans="2:17" s="26" customFormat="1" x14ac:dyDescent="0.2">
      <c r="B25" s="45" t="s">
        <v>278</v>
      </c>
      <c r="C25" s="24"/>
      <c r="D25" s="24"/>
      <c r="E25" s="24"/>
      <c r="F25" s="24"/>
      <c r="G25" s="24"/>
      <c r="H25" s="25"/>
      <c r="I25" s="24"/>
      <c r="J25" s="24"/>
      <c r="K25" s="24"/>
      <c r="L25" s="25"/>
      <c r="M25" s="24"/>
      <c r="N25" s="24"/>
      <c r="O25" s="24"/>
      <c r="P25" s="24"/>
      <c r="Q25" s="24"/>
    </row>
    <row r="26" spans="2:17" s="26" customFormat="1" x14ac:dyDescent="0.2">
      <c r="B26" s="45"/>
      <c r="C26" s="24"/>
      <c r="D26" s="24"/>
      <c r="E26" s="24"/>
      <c r="F26" s="24"/>
      <c r="G26" s="24"/>
      <c r="H26" s="25"/>
      <c r="I26" s="24"/>
      <c r="J26" s="24"/>
      <c r="K26" s="24"/>
      <c r="L26" s="25"/>
      <c r="M26" s="24"/>
      <c r="N26" s="24"/>
      <c r="O26" s="24"/>
      <c r="P26" s="24"/>
      <c r="Q26" s="24"/>
    </row>
    <row r="27" spans="2:17" s="26" customFormat="1" x14ac:dyDescent="0.2">
      <c r="B27" s="42" t="s">
        <v>33</v>
      </c>
      <c r="C27" s="24"/>
      <c r="D27" s="24"/>
      <c r="E27" s="24"/>
      <c r="F27" s="24"/>
      <c r="G27" s="24"/>
      <c r="H27" s="25"/>
      <c r="I27" s="24"/>
      <c r="J27" s="24"/>
      <c r="K27" s="24"/>
      <c r="L27" s="25"/>
      <c r="M27" s="24"/>
      <c r="N27" s="24"/>
      <c r="O27" s="24"/>
      <c r="P27" s="24"/>
      <c r="Q27" s="24"/>
    </row>
    <row r="28" spans="2:17" s="26" customFormat="1" ht="18" customHeight="1" x14ac:dyDescent="0.2">
      <c r="B28" s="45" t="s">
        <v>34</v>
      </c>
      <c r="C28" s="24"/>
      <c r="D28" s="24"/>
      <c r="E28" s="24"/>
      <c r="F28" s="24"/>
      <c r="G28" s="24"/>
      <c r="H28" s="25"/>
      <c r="I28" s="24"/>
      <c r="J28" s="24"/>
      <c r="K28" s="24"/>
      <c r="L28" s="25"/>
      <c r="M28" s="24"/>
      <c r="N28" s="24"/>
      <c r="O28" s="24"/>
      <c r="P28" s="24"/>
      <c r="Q28" s="24"/>
    </row>
    <row r="29" spans="2:17" s="26" customFormat="1" x14ac:dyDescent="0.2">
      <c r="B29" s="45" t="s">
        <v>35</v>
      </c>
      <c r="C29" s="24"/>
      <c r="D29" s="24"/>
      <c r="E29" s="24"/>
      <c r="F29" s="24"/>
      <c r="G29" s="24"/>
      <c r="H29" s="25"/>
      <c r="I29" s="24"/>
      <c r="J29" s="24"/>
      <c r="K29" s="24"/>
      <c r="L29" s="25"/>
      <c r="M29" s="24"/>
      <c r="N29" s="24"/>
      <c r="O29" s="24"/>
      <c r="P29" s="24"/>
      <c r="Q29" s="24"/>
    </row>
    <row r="30" spans="2:17" s="26" customFormat="1" x14ac:dyDescent="0.2">
      <c r="B30" s="45" t="s">
        <v>109</v>
      </c>
      <c r="C30" s="24"/>
      <c r="D30" s="24"/>
      <c r="E30" s="24"/>
      <c r="F30" s="24"/>
      <c r="G30" s="24"/>
      <c r="H30" s="25"/>
      <c r="I30" s="24"/>
      <c r="J30" s="24"/>
      <c r="K30" s="24"/>
      <c r="L30" s="25"/>
      <c r="M30" s="24"/>
      <c r="N30" s="24"/>
      <c r="O30" s="24"/>
      <c r="P30" s="24"/>
      <c r="Q30" s="24"/>
    </row>
    <row r="31" spans="2:17" s="26" customFormat="1" x14ac:dyDescent="0.2">
      <c r="B31" s="45"/>
      <c r="C31" s="24"/>
      <c r="D31" s="24"/>
      <c r="E31" s="24"/>
      <c r="F31" s="24"/>
      <c r="G31" s="24"/>
      <c r="H31" s="25"/>
      <c r="I31" s="24"/>
      <c r="J31" s="24"/>
      <c r="K31" s="24"/>
      <c r="L31" s="25"/>
      <c r="M31" s="24"/>
      <c r="N31" s="24"/>
      <c r="O31" s="24"/>
      <c r="P31" s="24"/>
      <c r="Q31" s="24"/>
    </row>
    <row r="32" spans="2:17" s="26" customFormat="1" x14ac:dyDescent="0.2">
      <c r="B32" s="45" t="s">
        <v>180</v>
      </c>
      <c r="C32" s="24"/>
      <c r="D32" s="24"/>
      <c r="E32" s="24"/>
      <c r="F32" s="24"/>
      <c r="G32" s="24"/>
      <c r="H32" s="24"/>
      <c r="I32" s="24"/>
      <c r="J32" s="25"/>
      <c r="K32" s="24"/>
      <c r="L32" s="24"/>
      <c r="M32" s="24"/>
      <c r="N32" s="24"/>
      <c r="O32" s="24"/>
    </row>
    <row r="33" spans="2:15" s="26" customFormat="1" x14ac:dyDescent="0.2">
      <c r="B33" s="45" t="s">
        <v>181</v>
      </c>
      <c r="C33" s="24"/>
      <c r="D33" s="24"/>
      <c r="E33" s="24"/>
      <c r="F33" s="24"/>
      <c r="G33" s="24"/>
      <c r="H33" s="24"/>
      <c r="I33" s="24"/>
      <c r="J33" s="25"/>
      <c r="K33" s="24"/>
      <c r="L33" s="24"/>
      <c r="M33" s="24"/>
      <c r="N33" s="24"/>
      <c r="O33" s="24"/>
    </row>
    <row r="34" spans="2:15" s="26" customFormat="1" x14ac:dyDescent="0.2">
      <c r="B34" s="45" t="s">
        <v>182</v>
      </c>
      <c r="C34" s="24"/>
      <c r="D34" s="24"/>
      <c r="E34" s="24"/>
      <c r="F34" s="24"/>
      <c r="G34" s="24"/>
      <c r="H34" s="24"/>
      <c r="I34" s="24"/>
      <c r="J34" s="25"/>
      <c r="K34" s="24"/>
      <c r="L34" s="24"/>
      <c r="M34" s="24"/>
      <c r="N34" s="24"/>
      <c r="O34" s="24"/>
    </row>
    <row r="35" spans="2:15" ht="13.15" customHeight="1" x14ac:dyDescent="0.2"/>
    <row r="36" spans="2:15" ht="13.15" customHeight="1" x14ac:dyDescent="0.2">
      <c r="B36" s="11" t="s">
        <v>9</v>
      </c>
      <c r="C36" s="16"/>
      <c r="D36" s="15"/>
      <c r="F36" s="16" t="s">
        <v>11</v>
      </c>
      <c r="G36" s="124" t="s">
        <v>118</v>
      </c>
      <c r="H36" s="122">
        <f>H39/H41</f>
        <v>0.65</v>
      </c>
      <c r="I36" s="22"/>
    </row>
    <row r="37" spans="2:15" ht="13.15" customHeight="1" x14ac:dyDescent="0.2">
      <c r="G37" s="125"/>
      <c r="I37" s="11"/>
    </row>
    <row r="38" spans="2:15" x14ac:dyDescent="0.2">
      <c r="B38" s="23" t="s">
        <v>18</v>
      </c>
      <c r="G38" s="125"/>
    </row>
    <row r="39" spans="2:15" x14ac:dyDescent="0.2">
      <c r="B39" s="20" t="s">
        <v>36</v>
      </c>
      <c r="E39" s="9"/>
      <c r="G39" s="124" t="s">
        <v>121</v>
      </c>
      <c r="H39" s="122">
        <f>B6</f>
        <v>65</v>
      </c>
    </row>
    <row r="40" spans="2:15" x14ac:dyDescent="0.2">
      <c r="B40" s="21" t="s">
        <v>92</v>
      </c>
      <c r="E40" s="9"/>
      <c r="F40" s="9"/>
      <c r="G40" s="125"/>
    </row>
    <row r="41" spans="2:15" x14ac:dyDescent="0.2">
      <c r="B41" s="20" t="s">
        <v>183</v>
      </c>
      <c r="G41" s="124" t="s">
        <v>122</v>
      </c>
      <c r="H41" s="122">
        <f>C6</f>
        <v>100</v>
      </c>
    </row>
    <row r="42" spans="2:15" ht="13.15" customHeight="1" x14ac:dyDescent="0.2">
      <c r="F42" s="18"/>
      <c r="G42" s="124"/>
      <c r="I42" s="11"/>
    </row>
    <row r="43" spans="2:15" ht="14.25" x14ac:dyDescent="0.2">
      <c r="B43" s="11" t="s">
        <v>215</v>
      </c>
      <c r="F43" s="10"/>
      <c r="G43" s="125"/>
      <c r="I43" s="11"/>
    </row>
    <row r="44" spans="2:15" ht="13.15" customHeight="1" x14ac:dyDescent="0.2">
      <c r="B44" s="17" t="s">
        <v>125</v>
      </c>
      <c r="F44" s="10"/>
      <c r="G44" s="125"/>
    </row>
    <row r="45" spans="2:15" ht="22.9" customHeight="1" x14ac:dyDescent="0.2">
      <c r="F45" s="10"/>
      <c r="G45" s="125"/>
    </row>
    <row r="46" spans="2:15" ht="13.15" customHeight="1" x14ac:dyDescent="0.2">
      <c r="C46" s="14"/>
      <c r="F46" s="16" t="s">
        <v>12</v>
      </c>
      <c r="G46" s="124" t="s">
        <v>119</v>
      </c>
      <c r="H46" s="123">
        <f>(2*H39+H52^2-H52*SQRT(H52^2+4*H39*H51))/(2*(H41+H52^2))</f>
        <v>0.55254443296887967</v>
      </c>
    </row>
    <row r="47" spans="2:15" x14ac:dyDescent="0.2">
      <c r="G47" s="125"/>
    </row>
    <row r="48" spans="2:15" ht="19.149999999999999" customHeight="1" x14ac:dyDescent="0.2">
      <c r="F48" s="10"/>
      <c r="G48" s="125"/>
    </row>
    <row r="49" spans="2:17" ht="13.15" customHeight="1" x14ac:dyDescent="0.2">
      <c r="F49" s="16" t="s">
        <v>13</v>
      </c>
      <c r="G49" s="124" t="s">
        <v>120</v>
      </c>
      <c r="H49" s="123">
        <f>(2*H39+H52^2+H52*SQRT(H52^2+4*H39*H51))/(2*(H41+H52^2))</f>
        <v>0.73635751756902468</v>
      </c>
    </row>
    <row r="50" spans="2:17" ht="18" customHeight="1" x14ac:dyDescent="0.2">
      <c r="B50" s="23" t="s">
        <v>18</v>
      </c>
      <c r="G50" s="125"/>
    </row>
    <row r="51" spans="2:17" ht="13.15" customHeight="1" x14ac:dyDescent="0.2">
      <c r="B51" s="20" t="s">
        <v>93</v>
      </c>
      <c r="G51" s="124" t="s">
        <v>123</v>
      </c>
      <c r="H51" s="122">
        <f>1-H36</f>
        <v>0.35</v>
      </c>
    </row>
    <row r="52" spans="2:17" ht="13.15" customHeight="1" x14ac:dyDescent="0.2">
      <c r="B52" s="20" t="s">
        <v>139</v>
      </c>
      <c r="G52" s="124" t="s">
        <v>124</v>
      </c>
      <c r="H52" s="123">
        <f>NORMSINV(1-H10/2)</f>
        <v>1.9599639845400536</v>
      </c>
    </row>
    <row r="53" spans="2:17" ht="13.15" customHeight="1" x14ac:dyDescent="0.2">
      <c r="B53" s="21" t="s">
        <v>236</v>
      </c>
      <c r="G53" s="124"/>
      <c r="H53" s="123"/>
    </row>
    <row r="54" spans="2:17" ht="13.15" customHeight="1" x14ac:dyDescent="0.2">
      <c r="B54" s="21" t="s">
        <v>221</v>
      </c>
      <c r="G54" s="124"/>
      <c r="H54" s="123"/>
    </row>
    <row r="56" spans="2:17" s="26" customFormat="1" x14ac:dyDescent="0.2">
      <c r="B56" s="42" t="s">
        <v>24</v>
      </c>
      <c r="C56" s="24"/>
      <c r="D56" s="24"/>
      <c r="E56" s="24"/>
      <c r="F56" s="24"/>
      <c r="G56" s="24"/>
      <c r="H56" s="25"/>
      <c r="I56" s="24"/>
      <c r="J56" s="24"/>
      <c r="K56" s="24"/>
      <c r="L56" s="25"/>
      <c r="M56" s="24"/>
      <c r="N56" s="24"/>
      <c r="O56" s="24"/>
      <c r="P56" s="24"/>
      <c r="Q56" s="24"/>
    </row>
    <row r="57" spans="2:17" s="41" customFormat="1" ht="13.15" customHeight="1" x14ac:dyDescent="0.2">
      <c r="B57" s="43" t="s">
        <v>263</v>
      </c>
      <c r="C57" s="40"/>
      <c r="D57" s="40"/>
      <c r="E57" s="40"/>
      <c r="F57" s="40"/>
      <c r="G57" s="40"/>
      <c r="H57" s="39"/>
      <c r="I57" s="40"/>
      <c r="J57" s="40"/>
      <c r="K57" s="40"/>
      <c r="L57" s="39"/>
      <c r="M57" s="40"/>
      <c r="N57" s="40"/>
      <c r="O57" s="40"/>
      <c r="P57" s="40"/>
      <c r="Q57" s="40"/>
    </row>
    <row r="58" spans="2:17" s="41" customFormat="1" ht="11.25" x14ac:dyDescent="0.2">
      <c r="B58" s="49" t="s">
        <v>265</v>
      </c>
      <c r="C58" s="40"/>
      <c r="D58" s="40"/>
      <c r="E58" s="40"/>
      <c r="F58" s="40"/>
      <c r="G58" s="40"/>
      <c r="H58" s="39"/>
      <c r="I58" s="40"/>
      <c r="J58" s="40"/>
      <c r="K58" s="40"/>
      <c r="L58" s="39"/>
      <c r="M58" s="40"/>
      <c r="N58" s="40"/>
      <c r="O58" s="40"/>
      <c r="P58" s="40"/>
      <c r="Q58" s="40"/>
    </row>
    <row r="59" spans="2:17" s="41" customFormat="1" ht="13.15" customHeight="1" x14ac:dyDescent="0.2">
      <c r="B59" s="43" t="s">
        <v>264</v>
      </c>
      <c r="C59" s="40"/>
      <c r="D59" s="40"/>
      <c r="E59" s="40"/>
      <c r="F59" s="40"/>
      <c r="G59" s="40"/>
      <c r="H59" s="39"/>
      <c r="I59" s="40"/>
      <c r="J59" s="40"/>
      <c r="K59" s="40"/>
      <c r="L59" s="39"/>
      <c r="M59" s="40"/>
      <c r="N59" s="40"/>
      <c r="O59" s="40"/>
      <c r="P59" s="40"/>
      <c r="Q59" s="40"/>
    </row>
    <row r="60" spans="2:17" s="41" customFormat="1" ht="11.25" x14ac:dyDescent="0.2">
      <c r="B60" s="44" t="s">
        <v>266</v>
      </c>
      <c r="C60" s="40"/>
      <c r="D60" s="40"/>
      <c r="E60" s="40"/>
      <c r="F60" s="40"/>
      <c r="G60" s="40"/>
      <c r="H60" s="39"/>
      <c r="I60" s="40"/>
      <c r="J60" s="40"/>
      <c r="K60" s="40"/>
      <c r="L60" s="39"/>
      <c r="M60" s="40"/>
      <c r="N60" s="40"/>
      <c r="O60" s="40"/>
      <c r="P60" s="40"/>
      <c r="Q60" s="40"/>
    </row>
  </sheetData>
  <sheetProtection sheet="1" objects="1" scenarios="1"/>
  <mergeCells count="2">
    <mergeCell ref="E4:F4"/>
    <mergeCell ref="E8:F8"/>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2074" r:id="rId4">
          <objectPr defaultSize="0" autoPict="0" r:id="rId5">
            <anchor moveWithCells="1">
              <from>
                <xdr:col>2</xdr:col>
                <xdr:colOff>552450</xdr:colOff>
                <xdr:row>47</xdr:row>
                <xdr:rowOff>38100</xdr:rowOff>
              </from>
              <to>
                <xdr:col>3</xdr:col>
                <xdr:colOff>1133475</xdr:colOff>
                <xdr:row>49</xdr:row>
                <xdr:rowOff>133350</xdr:rowOff>
              </to>
            </anchor>
          </objectPr>
        </oleObject>
      </mc:Choice>
      <mc:Fallback>
        <oleObject progId="Equation.3" shapeId="2074" r:id="rId4"/>
      </mc:Fallback>
    </mc:AlternateContent>
    <mc:AlternateContent xmlns:mc="http://schemas.openxmlformats.org/markup-compatibility/2006">
      <mc:Choice Requires="x14">
        <oleObject progId="Equation.3" shapeId="2077" r:id="rId6">
          <objectPr defaultSize="0" autoPict="0" r:id="rId7">
            <anchor moveWithCells="1">
              <from>
                <xdr:col>2</xdr:col>
                <xdr:colOff>552450</xdr:colOff>
                <xdr:row>34</xdr:row>
                <xdr:rowOff>95250</xdr:rowOff>
              </from>
              <to>
                <xdr:col>2</xdr:col>
                <xdr:colOff>904875</xdr:colOff>
                <xdr:row>36</xdr:row>
                <xdr:rowOff>95250</xdr:rowOff>
              </to>
            </anchor>
          </objectPr>
        </oleObject>
      </mc:Choice>
      <mc:Fallback>
        <oleObject progId="Equation.3" shapeId="2077" r:id="rId6"/>
      </mc:Fallback>
    </mc:AlternateContent>
    <mc:AlternateContent xmlns:mc="http://schemas.openxmlformats.org/markup-compatibility/2006">
      <mc:Choice Requires="x14">
        <oleObject progId="Equation.3" shapeId="2078" r:id="rId8">
          <objectPr defaultSize="0" autoPict="0" r:id="rId9">
            <anchor moveWithCells="1">
              <from>
                <xdr:col>2</xdr:col>
                <xdr:colOff>552450</xdr:colOff>
                <xdr:row>44</xdr:row>
                <xdr:rowOff>85725</xdr:rowOff>
              </from>
              <to>
                <xdr:col>4</xdr:col>
                <xdr:colOff>0</xdr:colOff>
                <xdr:row>46</xdr:row>
                <xdr:rowOff>133350</xdr:rowOff>
              </to>
            </anchor>
          </objectPr>
        </oleObject>
      </mc:Choice>
      <mc:Fallback>
        <oleObject progId="Equation.3" shapeId="2078" r:id="rId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Q122"/>
  <sheetViews>
    <sheetView zoomScaleNormal="75" workbookViewId="0">
      <selection activeCell="H14" sqref="H14"/>
    </sheetView>
  </sheetViews>
  <sheetFormatPr defaultRowHeight="12.75" x14ac:dyDescent="0.2"/>
  <cols>
    <col min="1" max="1" width="3.6640625" style="9" customWidth="1"/>
    <col min="2" max="2" width="20" style="11" customWidth="1"/>
    <col min="3" max="6" width="20" style="2" customWidth="1"/>
    <col min="7" max="7" width="14.5" style="2" customWidth="1"/>
    <col min="8" max="9" width="20" style="2" customWidth="1"/>
    <col min="10" max="10" width="9.33203125" style="2" customWidth="1"/>
    <col min="11" max="11" width="9.33203125" style="10" customWidth="1"/>
    <col min="12" max="16" width="9.33203125" style="2" customWidth="1"/>
    <col min="17" max="16384" width="9.33203125" style="9"/>
  </cols>
  <sheetData>
    <row r="1" spans="2:16" s="26" customFormat="1" x14ac:dyDescent="0.2">
      <c r="B1" s="25"/>
      <c r="C1" s="24"/>
      <c r="D1" s="24"/>
      <c r="E1" s="24"/>
      <c r="F1" s="24"/>
      <c r="G1" s="24"/>
      <c r="H1" s="24"/>
      <c r="I1" s="24"/>
      <c r="J1" s="24"/>
      <c r="K1" s="25"/>
      <c r="L1" s="24"/>
      <c r="M1" s="24"/>
      <c r="N1" s="24"/>
      <c r="O1" s="24"/>
      <c r="P1" s="24"/>
    </row>
    <row r="2" spans="2:16" s="26" customFormat="1" ht="15.75" x14ac:dyDescent="0.25">
      <c r="B2" s="13" t="s">
        <v>21</v>
      </c>
      <c r="C2" s="24"/>
      <c r="D2" s="24"/>
      <c r="E2" s="24"/>
      <c r="F2" s="24"/>
      <c r="G2" s="24"/>
      <c r="H2" s="24"/>
      <c r="I2" s="24"/>
      <c r="J2" s="24"/>
      <c r="K2" s="25"/>
      <c r="L2" s="24"/>
      <c r="M2" s="24"/>
      <c r="N2" s="24"/>
      <c r="O2" s="24"/>
      <c r="P2" s="24"/>
    </row>
    <row r="3" spans="2:16" s="26" customFormat="1" ht="13.15" customHeight="1" thickBot="1" x14ac:dyDescent="0.25">
      <c r="B3" s="27"/>
      <c r="C3" s="24"/>
      <c r="D3" s="24"/>
      <c r="E3" s="24"/>
      <c r="F3" s="24"/>
      <c r="G3" s="24"/>
      <c r="H3" s="24"/>
      <c r="I3" s="24"/>
      <c r="J3" s="24"/>
      <c r="K3" s="25"/>
      <c r="L3" s="24"/>
      <c r="M3" s="24"/>
      <c r="N3" s="24"/>
      <c r="O3" s="24"/>
      <c r="P3" s="24"/>
    </row>
    <row r="4" spans="2:16" s="26" customFormat="1" ht="13.15" customHeight="1" x14ac:dyDescent="0.2">
      <c r="B4" s="28" t="s">
        <v>20</v>
      </c>
      <c r="C4" s="33" t="s">
        <v>4</v>
      </c>
      <c r="D4" s="33" t="s">
        <v>23</v>
      </c>
      <c r="E4" s="154" t="str">
        <f>TEXT(E10,"General")&amp;"% Confidence Interval"</f>
        <v>95% Confidence Interval</v>
      </c>
      <c r="F4" s="155"/>
      <c r="G4" s="24"/>
      <c r="H4" s="24"/>
      <c r="I4" s="24"/>
      <c r="J4" s="24"/>
      <c r="K4" s="25"/>
      <c r="L4" s="24"/>
      <c r="M4" s="24"/>
      <c r="N4" s="24"/>
      <c r="O4" s="24"/>
      <c r="P4" s="24"/>
    </row>
    <row r="5" spans="2:16" s="26" customFormat="1" ht="13.15" customHeight="1" x14ac:dyDescent="0.2">
      <c r="B5" s="34" t="s">
        <v>10</v>
      </c>
      <c r="C5" s="35" t="s">
        <v>5</v>
      </c>
      <c r="D5" s="35" t="str">
        <f>"(r×"&amp;TEXT($F$10,"###,##0")&amp;")"</f>
        <v>(r×100,000)</v>
      </c>
      <c r="E5" s="35" t="s">
        <v>228</v>
      </c>
      <c r="F5" s="36" t="s">
        <v>229</v>
      </c>
      <c r="G5" s="24"/>
      <c r="H5" s="24"/>
      <c r="I5" s="24"/>
      <c r="J5" s="24"/>
      <c r="K5" s="25"/>
      <c r="L5" s="24"/>
      <c r="M5" s="24"/>
      <c r="N5" s="24"/>
      <c r="O5" s="24"/>
      <c r="P5" s="24"/>
    </row>
    <row r="6" spans="2:16" s="26" customFormat="1" ht="13.15" customHeight="1" thickBot="1" x14ac:dyDescent="0.25">
      <c r="B6" s="37">
        <v>65</v>
      </c>
      <c r="C6" s="38">
        <v>100</v>
      </c>
      <c r="D6" s="93">
        <f>IF(B6&lt;0,"#NUM!",B6/C6*$F$10)</f>
        <v>65000</v>
      </c>
      <c r="E6" s="93">
        <f>IF(B6=0,0,IF(B6&lt;10,CHIINV(0.5+$E$10/200,2*B6)/2,B6*(1-1/(9*B6)-NORMSINV(0.5+$E$10/200)/3/SQRT(B6))^3))/C6*$F$10</f>
        <v>50163.187710459453</v>
      </c>
      <c r="F6" s="94">
        <f>IF(B6&lt;10,CHIINV(0.5-$E$10/200,2*B6+2)/2,(B6+1)*(1-1/(9*(B6+1))+NORMSINV(0.5+$E$10/200)/3/SQRT(B6+1))^3)/C6*$F$10</f>
        <v>82849.138545939844</v>
      </c>
      <c r="G6" s="24"/>
      <c r="H6" s="24"/>
      <c r="I6" s="24"/>
      <c r="J6" s="24"/>
      <c r="K6" s="25"/>
      <c r="L6" s="24"/>
      <c r="M6" s="24"/>
      <c r="N6" s="24"/>
      <c r="O6" s="24"/>
      <c r="P6" s="24"/>
    </row>
    <row r="7" spans="2:16" s="25" customFormat="1" ht="13.15" customHeight="1" thickBot="1" x14ac:dyDescent="0.25">
      <c r="D7" s="46"/>
      <c r="E7" s="47"/>
      <c r="F7" s="47"/>
    </row>
    <row r="8" spans="2:16" s="25" customFormat="1" ht="13.15" customHeight="1" x14ac:dyDescent="0.2">
      <c r="D8" s="46"/>
      <c r="E8" s="28" t="s">
        <v>6</v>
      </c>
      <c r="F8" s="29" t="s">
        <v>7</v>
      </c>
    </row>
    <row r="9" spans="2:16" s="25" customFormat="1" ht="13.15" customHeight="1" x14ac:dyDescent="0.2">
      <c r="D9" s="46"/>
      <c r="E9" s="30" t="s">
        <v>137</v>
      </c>
      <c r="F9" s="31"/>
    </row>
    <row r="10" spans="2:16" s="25" customFormat="1" ht="13.15" customHeight="1" thickBot="1" x14ac:dyDescent="0.25">
      <c r="D10" s="46"/>
      <c r="E10" s="32">
        <v>95</v>
      </c>
      <c r="F10" s="92">
        <v>100000</v>
      </c>
      <c r="G10" s="126" t="s">
        <v>135</v>
      </c>
      <c r="H10" s="127">
        <f>1-E10/100</f>
        <v>5.0000000000000044E-2</v>
      </c>
    </row>
    <row r="11" spans="2:16" s="26" customFormat="1" x14ac:dyDescent="0.2">
      <c r="B11" s="42" t="s">
        <v>32</v>
      </c>
      <c r="C11" s="24"/>
      <c r="D11" s="24"/>
      <c r="E11" s="24"/>
      <c r="F11" s="24"/>
      <c r="G11" s="24"/>
      <c r="H11" s="24"/>
      <c r="I11" s="24"/>
      <c r="J11" s="24"/>
      <c r="K11" s="25"/>
      <c r="L11" s="24"/>
      <c r="M11" s="24"/>
      <c r="N11" s="24"/>
      <c r="O11" s="24"/>
      <c r="P11" s="24"/>
    </row>
    <row r="12" spans="2:16" s="26" customFormat="1" ht="18" customHeight="1" x14ac:dyDescent="0.2">
      <c r="B12" s="45" t="s">
        <v>100</v>
      </c>
      <c r="C12" s="24"/>
      <c r="D12" s="24"/>
      <c r="E12" s="24"/>
      <c r="F12" s="24"/>
      <c r="G12" s="24"/>
      <c r="H12" s="24"/>
      <c r="I12" s="24"/>
      <c r="J12" s="24"/>
      <c r="K12" s="25"/>
      <c r="L12" s="24"/>
      <c r="M12" s="24"/>
      <c r="N12" s="24"/>
      <c r="O12" s="24"/>
      <c r="P12" s="24"/>
    </row>
    <row r="13" spans="2:16" s="26" customFormat="1" ht="18" customHeight="1" x14ac:dyDescent="0.2">
      <c r="B13" s="50" t="s">
        <v>237</v>
      </c>
      <c r="C13" s="24"/>
      <c r="D13" s="24"/>
      <c r="E13" s="24"/>
      <c r="F13" s="24"/>
      <c r="G13" s="24"/>
      <c r="H13" s="24"/>
      <c r="I13" s="24"/>
      <c r="J13" s="24"/>
      <c r="K13" s="25"/>
      <c r="L13" s="24"/>
      <c r="M13" s="24"/>
      <c r="N13" s="24"/>
      <c r="O13" s="24"/>
      <c r="P13" s="24"/>
    </row>
    <row r="14" spans="2:16" s="26" customFormat="1" ht="18" customHeight="1" x14ac:dyDescent="0.2">
      <c r="B14" s="50" t="s">
        <v>43</v>
      </c>
      <c r="C14" s="24"/>
      <c r="D14" s="24"/>
      <c r="E14" s="24"/>
      <c r="F14" s="24"/>
      <c r="G14" s="24"/>
      <c r="H14" s="24"/>
      <c r="I14" s="24"/>
      <c r="J14" s="24"/>
      <c r="K14" s="25"/>
      <c r="L14" s="24"/>
      <c r="M14" s="24"/>
      <c r="N14" s="24"/>
      <c r="O14" s="24"/>
      <c r="P14" s="24"/>
    </row>
    <row r="15" spans="2:16" s="26" customFormat="1" ht="18" customHeight="1" x14ac:dyDescent="0.2">
      <c r="B15" s="48" t="s">
        <v>107</v>
      </c>
      <c r="C15" s="24"/>
      <c r="D15" s="24"/>
      <c r="E15" s="24"/>
      <c r="F15" s="24"/>
      <c r="G15" s="24"/>
      <c r="H15" s="24"/>
      <c r="I15" s="24"/>
      <c r="J15" s="24"/>
      <c r="K15" s="25"/>
      <c r="L15" s="24"/>
      <c r="M15" s="24"/>
      <c r="N15" s="24"/>
      <c r="O15" s="24"/>
      <c r="P15" s="24"/>
    </row>
    <row r="16" spans="2:16" s="26" customFormat="1" ht="18" customHeight="1" x14ac:dyDescent="0.2">
      <c r="B16" s="50" t="s">
        <v>111</v>
      </c>
      <c r="C16" s="24"/>
      <c r="D16" s="24"/>
      <c r="E16" s="24"/>
      <c r="F16" s="24"/>
      <c r="G16" s="24"/>
      <c r="H16" s="24"/>
      <c r="I16" s="24"/>
      <c r="J16" s="24"/>
      <c r="K16" s="25"/>
      <c r="L16" s="24"/>
      <c r="M16" s="24"/>
      <c r="N16" s="24"/>
      <c r="O16" s="24"/>
      <c r="P16" s="24"/>
    </row>
    <row r="17" spans="2:16" s="26" customFormat="1" x14ac:dyDescent="0.2">
      <c r="B17" s="45" t="s">
        <v>0</v>
      </c>
      <c r="C17" s="24"/>
      <c r="D17" s="24"/>
      <c r="E17" s="24"/>
      <c r="F17" s="24"/>
      <c r="G17" s="24"/>
      <c r="H17" s="24"/>
      <c r="I17" s="24"/>
      <c r="J17" s="24"/>
      <c r="K17" s="25"/>
      <c r="L17" s="24"/>
      <c r="M17" s="24"/>
      <c r="N17" s="24"/>
      <c r="O17" s="24"/>
      <c r="P17" s="24"/>
    </row>
    <row r="18" spans="2:16" s="26" customFormat="1" ht="18" customHeight="1" x14ac:dyDescent="0.2">
      <c r="B18" s="50" t="s">
        <v>44</v>
      </c>
      <c r="C18" s="24"/>
      <c r="D18" s="24"/>
      <c r="E18" s="24"/>
      <c r="F18" s="24"/>
      <c r="G18" s="24"/>
      <c r="H18" s="24"/>
      <c r="I18" s="24"/>
      <c r="J18" s="24"/>
      <c r="K18" s="25"/>
      <c r="L18" s="24"/>
      <c r="M18" s="24"/>
      <c r="N18" s="24"/>
      <c r="O18" s="24"/>
      <c r="P18" s="24"/>
    </row>
    <row r="19" spans="2:16" s="26" customFormat="1" x14ac:dyDescent="0.2">
      <c r="B19" s="45" t="s">
        <v>1</v>
      </c>
      <c r="C19" s="24"/>
      <c r="D19" s="24"/>
      <c r="E19" s="24"/>
      <c r="F19" s="24"/>
      <c r="G19" s="24"/>
      <c r="H19" s="24"/>
      <c r="I19" s="24"/>
      <c r="J19" s="24"/>
      <c r="K19" s="25"/>
      <c r="L19" s="24"/>
      <c r="M19" s="24"/>
      <c r="N19" s="24"/>
      <c r="O19" s="24"/>
      <c r="P19" s="24"/>
    </row>
    <row r="20" spans="2:16" s="26" customFormat="1" x14ac:dyDescent="0.2">
      <c r="B20" s="45"/>
      <c r="C20" s="24"/>
      <c r="D20" s="24"/>
      <c r="E20" s="24"/>
      <c r="F20" s="24"/>
      <c r="G20" s="24"/>
      <c r="H20" s="24"/>
      <c r="I20" s="24"/>
      <c r="J20" s="24"/>
      <c r="K20" s="25"/>
      <c r="L20" s="24"/>
      <c r="M20" s="24"/>
      <c r="N20" s="24"/>
      <c r="O20" s="24"/>
      <c r="P20" s="24"/>
    </row>
    <row r="21" spans="2:16" s="26" customFormat="1" x14ac:dyDescent="0.2">
      <c r="B21" s="42" t="s">
        <v>33</v>
      </c>
      <c r="C21" s="24"/>
      <c r="D21" s="24"/>
      <c r="E21" s="24"/>
      <c r="F21" s="24"/>
      <c r="G21" s="24"/>
      <c r="H21" s="24"/>
      <c r="I21" s="24"/>
      <c r="J21" s="24"/>
      <c r="K21" s="25"/>
      <c r="L21" s="24"/>
      <c r="M21" s="24"/>
      <c r="N21" s="24"/>
      <c r="O21" s="24"/>
      <c r="P21" s="24"/>
    </row>
    <row r="22" spans="2:16" s="26" customFormat="1" ht="18" customHeight="1" x14ac:dyDescent="0.2">
      <c r="B22" s="45" t="s">
        <v>34</v>
      </c>
      <c r="C22" s="24"/>
      <c r="D22" s="24"/>
      <c r="E22" s="24"/>
      <c r="F22" s="24"/>
      <c r="G22" s="24"/>
      <c r="H22" s="24"/>
      <c r="I22" s="24"/>
      <c r="J22" s="24"/>
      <c r="K22" s="25"/>
      <c r="L22" s="24"/>
      <c r="M22" s="24"/>
      <c r="N22" s="24"/>
      <c r="O22" s="24"/>
      <c r="P22" s="24"/>
    </row>
    <row r="23" spans="2:16" s="26" customFormat="1" x14ac:dyDescent="0.2">
      <c r="B23" s="45" t="s">
        <v>35</v>
      </c>
      <c r="C23" s="24"/>
      <c r="D23" s="24"/>
      <c r="E23" s="24"/>
      <c r="F23" s="24"/>
      <c r="G23" s="24"/>
      <c r="H23" s="24"/>
      <c r="I23" s="24"/>
      <c r="J23" s="24"/>
      <c r="K23" s="25"/>
      <c r="L23" s="24"/>
      <c r="M23" s="24"/>
      <c r="N23" s="24"/>
      <c r="O23" s="24"/>
      <c r="P23" s="24"/>
    </row>
    <row r="24" spans="2:16" s="26" customFormat="1" x14ac:dyDescent="0.2">
      <c r="B24" s="45" t="s">
        <v>109</v>
      </c>
      <c r="C24" s="24"/>
      <c r="D24" s="24"/>
      <c r="E24" s="24"/>
      <c r="F24" s="24"/>
      <c r="G24" s="24"/>
      <c r="H24" s="24"/>
      <c r="I24" s="24"/>
      <c r="J24" s="24"/>
      <c r="K24" s="25"/>
      <c r="L24" s="24"/>
      <c r="M24" s="24"/>
      <c r="N24" s="24"/>
      <c r="O24" s="24"/>
      <c r="P24" s="24"/>
    </row>
    <row r="25" spans="2:16" s="26" customFormat="1" x14ac:dyDescent="0.2">
      <c r="B25" s="45"/>
      <c r="C25" s="24"/>
      <c r="D25" s="24"/>
      <c r="E25" s="24"/>
      <c r="F25" s="24"/>
      <c r="G25" s="24"/>
      <c r="H25" s="24"/>
      <c r="I25" s="24"/>
      <c r="J25" s="24"/>
      <c r="K25" s="25"/>
      <c r="L25" s="24"/>
      <c r="M25" s="24"/>
      <c r="N25" s="24"/>
      <c r="O25" s="24"/>
      <c r="P25" s="24"/>
    </row>
    <row r="26" spans="2:16" s="26" customFormat="1" x14ac:dyDescent="0.2">
      <c r="B26" s="45" t="s">
        <v>180</v>
      </c>
      <c r="C26" s="24"/>
      <c r="D26" s="24"/>
      <c r="E26" s="24"/>
      <c r="F26" s="24"/>
      <c r="G26" s="24"/>
      <c r="H26" s="24"/>
      <c r="I26" s="24"/>
      <c r="J26" s="25"/>
      <c r="K26" s="24"/>
      <c r="L26" s="24"/>
      <c r="M26" s="24"/>
      <c r="N26" s="24"/>
      <c r="O26" s="24"/>
    </row>
    <row r="27" spans="2:16" s="26" customFormat="1" x14ac:dyDescent="0.2">
      <c r="B27" s="45" t="s">
        <v>181</v>
      </c>
      <c r="C27" s="24"/>
      <c r="D27" s="24"/>
      <c r="E27" s="24"/>
      <c r="F27" s="24"/>
      <c r="G27" s="24"/>
      <c r="H27" s="24"/>
      <c r="I27" s="24"/>
      <c r="J27" s="25"/>
      <c r="K27" s="24"/>
      <c r="L27" s="24"/>
      <c r="M27" s="24"/>
      <c r="N27" s="24"/>
      <c r="O27" s="24"/>
    </row>
    <row r="28" spans="2:16" s="26" customFormat="1" x14ac:dyDescent="0.2">
      <c r="B28" s="45" t="s">
        <v>182</v>
      </c>
      <c r="C28" s="24"/>
      <c r="D28" s="24"/>
      <c r="E28" s="24"/>
      <c r="F28" s="24"/>
      <c r="G28" s="24"/>
      <c r="H28" s="24"/>
      <c r="I28" s="24"/>
      <c r="J28" s="25"/>
      <c r="K28" s="24"/>
      <c r="L28" s="24"/>
      <c r="M28" s="24"/>
      <c r="N28" s="24"/>
      <c r="O28" s="24"/>
    </row>
    <row r="29" spans="2:16" ht="13.15" customHeight="1" x14ac:dyDescent="0.2"/>
    <row r="30" spans="2:16" ht="13.15" customHeight="1" x14ac:dyDescent="0.2">
      <c r="B30" s="11" t="s">
        <v>22</v>
      </c>
      <c r="C30" s="16"/>
      <c r="F30" s="16" t="s">
        <v>38</v>
      </c>
      <c r="G30" s="124" t="s">
        <v>129</v>
      </c>
      <c r="H30" s="122">
        <f>H33/H34</f>
        <v>0.65</v>
      </c>
    </row>
    <row r="31" spans="2:16" ht="13.15" customHeight="1" x14ac:dyDescent="0.2">
      <c r="F31" s="18"/>
    </row>
    <row r="32" spans="2:16" ht="13.15" customHeight="1" x14ac:dyDescent="0.2">
      <c r="B32" s="23" t="s">
        <v>18</v>
      </c>
    </row>
    <row r="33" spans="2:8" ht="13.15" customHeight="1" x14ac:dyDescent="0.2">
      <c r="B33" s="20" t="s">
        <v>126</v>
      </c>
      <c r="E33" s="9"/>
      <c r="F33" s="9"/>
      <c r="G33" s="124" t="s">
        <v>121</v>
      </c>
      <c r="H33" s="122">
        <f>B6</f>
        <v>65</v>
      </c>
    </row>
    <row r="34" spans="2:8" ht="13.15" customHeight="1" x14ac:dyDescent="0.2">
      <c r="B34" s="20" t="s">
        <v>127</v>
      </c>
      <c r="G34" s="124" t="s">
        <v>122</v>
      </c>
      <c r="H34" s="122">
        <f>C6</f>
        <v>100</v>
      </c>
    </row>
    <row r="35" spans="2:8" ht="13.15" customHeight="1" x14ac:dyDescent="0.2">
      <c r="F35" s="18"/>
    </row>
    <row r="36" spans="2:8" x14ac:dyDescent="0.2">
      <c r="B36" s="11" t="s">
        <v>178</v>
      </c>
      <c r="F36" s="18"/>
    </row>
    <row r="37" spans="2:8" ht="18" customHeight="1" x14ac:dyDescent="0.2">
      <c r="F37" s="10"/>
    </row>
    <row r="38" spans="2:8" ht="13.15" customHeight="1" x14ac:dyDescent="0.2">
      <c r="F38" s="16" t="s">
        <v>167</v>
      </c>
      <c r="G38" s="124" t="s">
        <v>131</v>
      </c>
      <c r="H38" s="123">
        <f>H50/H34</f>
        <v>0.50163187710459456</v>
      </c>
    </row>
    <row r="39" spans="2:8" x14ac:dyDescent="0.2">
      <c r="F39" s="10"/>
      <c r="H39" s="122"/>
    </row>
    <row r="40" spans="2:8" ht="13.15" customHeight="1" x14ac:dyDescent="0.2">
      <c r="F40" s="10"/>
      <c r="H40" s="22"/>
    </row>
    <row r="41" spans="2:8" ht="13.15" customHeight="1" x14ac:dyDescent="0.2">
      <c r="F41" s="16" t="s">
        <v>168</v>
      </c>
      <c r="G41" s="124" t="s">
        <v>133</v>
      </c>
      <c r="H41" s="123">
        <f>H53/H34</f>
        <v>0.82849138545939838</v>
      </c>
    </row>
    <row r="42" spans="2:8" ht="13.15" customHeight="1" x14ac:dyDescent="0.2">
      <c r="B42" s="9"/>
      <c r="H42" s="122"/>
    </row>
    <row r="43" spans="2:8" ht="13.15" customHeight="1" x14ac:dyDescent="0.2">
      <c r="B43" s="23" t="s">
        <v>18</v>
      </c>
    </row>
    <row r="44" spans="2:8" ht="13.15" customHeight="1" x14ac:dyDescent="0.2">
      <c r="B44" s="20" t="s">
        <v>238</v>
      </c>
      <c r="E44" s="9"/>
      <c r="F44" s="9"/>
      <c r="G44" s="9"/>
      <c r="H44" s="9"/>
    </row>
    <row r="45" spans="2:8" ht="13.15" customHeight="1" x14ac:dyDescent="0.2">
      <c r="B45" s="21" t="s">
        <v>175</v>
      </c>
      <c r="G45" s="9"/>
      <c r="H45" s="9"/>
    </row>
    <row r="46" spans="2:8" ht="13.15" customHeight="1" x14ac:dyDescent="0.2">
      <c r="B46" s="21"/>
      <c r="G46" s="9"/>
      <c r="H46" s="9"/>
    </row>
    <row r="47" spans="2:8" ht="14.25" x14ac:dyDescent="0.2">
      <c r="B47" s="11" t="s">
        <v>176</v>
      </c>
      <c r="G47" s="9"/>
      <c r="H47" s="9"/>
    </row>
    <row r="48" spans="2:8" x14ac:dyDescent="0.2">
      <c r="B48" s="11" t="s">
        <v>177</v>
      </c>
      <c r="F48" s="18"/>
    </row>
    <row r="49" spans="2:17" x14ac:dyDescent="0.2">
      <c r="F49" s="10"/>
    </row>
    <row r="50" spans="2:17" ht="13.15" customHeight="1" x14ac:dyDescent="0.2">
      <c r="F50" s="16" t="s">
        <v>169</v>
      </c>
      <c r="G50" s="124" t="s">
        <v>130</v>
      </c>
      <c r="H50" s="123">
        <f>H33*(1-1/(9*H33)-H56/(3*SQRT(H33)))^3</f>
        <v>50.163187710459454</v>
      </c>
    </row>
    <row r="51" spans="2:17" x14ac:dyDescent="0.2">
      <c r="F51" s="10"/>
      <c r="G51" s="9"/>
      <c r="H51" s="9"/>
    </row>
    <row r="52" spans="2:17" ht="13.15" customHeight="1" x14ac:dyDescent="0.2">
      <c r="F52" s="10"/>
      <c r="H52" s="22"/>
    </row>
    <row r="53" spans="2:17" ht="13.15" customHeight="1" x14ac:dyDescent="0.2">
      <c r="F53" s="16" t="s">
        <v>170</v>
      </c>
      <c r="G53" s="124" t="s">
        <v>132</v>
      </c>
      <c r="H53" s="123">
        <f>(H33+1)*(1-1/(9*(H33+1))+H56/(3*SQRT(H33+1)))^3</f>
        <v>82.849138545939837</v>
      </c>
    </row>
    <row r="54" spans="2:17" ht="13.15" customHeight="1" x14ac:dyDescent="0.2">
      <c r="B54" s="9"/>
      <c r="H54" s="122"/>
    </row>
    <row r="55" spans="2:17" ht="13.15" customHeight="1" x14ac:dyDescent="0.2">
      <c r="B55" s="23" t="s">
        <v>18</v>
      </c>
    </row>
    <row r="56" spans="2:17" ht="13.15" customHeight="1" x14ac:dyDescent="0.2">
      <c r="B56" s="20" t="s">
        <v>139</v>
      </c>
      <c r="G56" s="124" t="s">
        <v>124</v>
      </c>
      <c r="H56" s="123">
        <f>NORMSINV(1-H10/2)</f>
        <v>1.9599639845400536</v>
      </c>
    </row>
    <row r="57" spans="2:17" ht="13.15" customHeight="1" x14ac:dyDescent="0.2">
      <c r="B57" s="21" t="s">
        <v>236</v>
      </c>
      <c r="G57" s="124"/>
      <c r="H57" s="123"/>
      <c r="K57" s="2"/>
      <c r="L57" s="10"/>
      <c r="Q57" s="2"/>
    </row>
    <row r="58" spans="2:17" ht="13.15" customHeight="1" x14ac:dyDescent="0.2">
      <c r="B58" s="21" t="s">
        <v>221</v>
      </c>
      <c r="G58" s="124"/>
      <c r="H58" s="123"/>
      <c r="K58" s="2"/>
      <c r="L58" s="10"/>
      <c r="Q58" s="2"/>
    </row>
    <row r="60" spans="2:17" s="23" customFormat="1" x14ac:dyDescent="0.2">
      <c r="B60" s="23" t="s">
        <v>26</v>
      </c>
    </row>
    <row r="61" spans="2:17" s="23" customFormat="1" ht="13.15" customHeight="1" x14ac:dyDescent="0.2">
      <c r="B61" s="23" t="s">
        <v>144</v>
      </c>
    </row>
    <row r="62" spans="2:17" s="23" customFormat="1" ht="13.15" customHeight="1" x14ac:dyDescent="0.2">
      <c r="B62" s="23" t="s">
        <v>145</v>
      </c>
    </row>
    <row r="63" spans="2:17" s="23" customFormat="1" ht="13.15" customHeight="1" x14ac:dyDescent="0.2">
      <c r="B63" s="23" t="s">
        <v>148</v>
      </c>
    </row>
    <row r="64" spans="2:17" ht="13.15" customHeight="1" x14ac:dyDescent="0.2">
      <c r="B64" s="11" t="s">
        <v>149</v>
      </c>
    </row>
    <row r="65" spans="2:8" ht="13.15" customHeight="1" x14ac:dyDescent="0.2"/>
    <row r="66" spans="2:8" ht="15.75" x14ac:dyDescent="0.2">
      <c r="B66" s="11" t="s">
        <v>134</v>
      </c>
      <c r="F66" s="18"/>
    </row>
    <row r="67" spans="2:8" ht="13.15" customHeight="1" x14ac:dyDescent="0.2">
      <c r="B67" s="17" t="s">
        <v>28</v>
      </c>
      <c r="F67" s="18"/>
    </row>
    <row r="68" spans="2:8" ht="13.15" customHeight="1" x14ac:dyDescent="0.2">
      <c r="F68" s="10"/>
    </row>
    <row r="69" spans="2:8" ht="13.15" customHeight="1" x14ac:dyDescent="0.2">
      <c r="D69" s="10"/>
      <c r="F69" s="16"/>
      <c r="G69" s="124" t="s">
        <v>130</v>
      </c>
      <c r="H69" s="123">
        <f>H74/2</f>
        <v>50.165627729234266</v>
      </c>
    </row>
    <row r="70" spans="2:8" ht="13.15" customHeight="1" x14ac:dyDescent="0.2">
      <c r="D70" s="10"/>
      <c r="F70" s="10"/>
      <c r="G70" s="9"/>
      <c r="H70" s="9"/>
    </row>
    <row r="71" spans="2:8" ht="13.15" customHeight="1" x14ac:dyDescent="0.2">
      <c r="D71" s="10"/>
      <c r="F71" s="10"/>
      <c r="G71" s="124"/>
      <c r="H71" s="123"/>
    </row>
    <row r="72" spans="2:8" ht="13.15" customHeight="1" x14ac:dyDescent="0.2">
      <c r="D72" s="10"/>
      <c r="F72" s="16"/>
      <c r="G72" s="124" t="s">
        <v>132</v>
      </c>
      <c r="H72" s="123">
        <f>H76/2</f>
        <v>82.847835815871576</v>
      </c>
    </row>
    <row r="73" spans="2:8" ht="18" customHeight="1" x14ac:dyDescent="0.2">
      <c r="B73" s="23" t="s">
        <v>18</v>
      </c>
      <c r="D73" s="10"/>
      <c r="F73" s="16"/>
      <c r="G73" s="124"/>
      <c r="H73" s="123"/>
    </row>
    <row r="74" spans="2:8" ht="15.75" x14ac:dyDescent="0.2">
      <c r="B74" s="98" t="s">
        <v>206</v>
      </c>
      <c r="G74" s="126" t="s">
        <v>208</v>
      </c>
      <c r="H74" s="123">
        <f>CHIINV(1-H10/2,2*H33)</f>
        <v>100.33125545846853</v>
      </c>
    </row>
    <row r="75" spans="2:8" x14ac:dyDescent="0.2">
      <c r="B75" s="21" t="s">
        <v>29</v>
      </c>
      <c r="H75" s="123"/>
    </row>
    <row r="76" spans="2:8" ht="15.75" x14ac:dyDescent="0.2">
      <c r="B76" s="98" t="s">
        <v>207</v>
      </c>
      <c r="G76" s="126" t="s">
        <v>209</v>
      </c>
      <c r="H76" s="123">
        <f>CHIINV(H10/2,2*H33+2)</f>
        <v>165.69567163174315</v>
      </c>
    </row>
    <row r="77" spans="2:8" x14ac:dyDescent="0.2">
      <c r="B77" s="21" t="s">
        <v>30</v>
      </c>
    </row>
    <row r="78" spans="2:8" ht="14.25" x14ac:dyDescent="0.2">
      <c r="B78" s="21"/>
      <c r="G78" s="121" t="s">
        <v>151</v>
      </c>
    </row>
    <row r="79" spans="2:8" s="23" customFormat="1" ht="13.15" customHeight="1" x14ac:dyDescent="0.2">
      <c r="B79" s="23" t="s">
        <v>216</v>
      </c>
      <c r="G79" s="121" t="s">
        <v>150</v>
      </c>
    </row>
    <row r="80" spans="2:8" s="23" customFormat="1" ht="13.15" customHeight="1" x14ac:dyDescent="0.2">
      <c r="B80" s="23" t="s">
        <v>217</v>
      </c>
      <c r="G80" s="121" t="s">
        <v>210</v>
      </c>
    </row>
    <row r="81" spans="2:16" s="23" customFormat="1" ht="13.15" customHeight="1" x14ac:dyDescent="0.2">
      <c r="B81" s="23" t="s">
        <v>218</v>
      </c>
      <c r="G81" s="121" t="s">
        <v>211</v>
      </c>
    </row>
    <row r="82" spans="2:16" s="23" customFormat="1" ht="13.15" customHeight="1" x14ac:dyDescent="0.2">
      <c r="B82" s="23" t="s">
        <v>219</v>
      </c>
      <c r="G82" s="121" t="s">
        <v>212</v>
      </c>
    </row>
    <row r="83" spans="2:16" s="23" customFormat="1" ht="13.15" customHeight="1" x14ac:dyDescent="0.2">
      <c r="B83" s="23" t="s">
        <v>220</v>
      </c>
      <c r="G83" s="134" t="s">
        <v>213</v>
      </c>
    </row>
    <row r="84" spans="2:16" s="26" customFormat="1" x14ac:dyDescent="0.2">
      <c r="B84" s="25"/>
      <c r="C84" s="24"/>
      <c r="D84" s="24"/>
      <c r="E84" s="24"/>
      <c r="F84" s="24"/>
      <c r="G84" s="24"/>
      <c r="H84" s="24"/>
      <c r="I84" s="24"/>
      <c r="J84" s="24"/>
      <c r="K84" s="25"/>
      <c r="L84" s="24"/>
      <c r="M84" s="24"/>
      <c r="N84" s="24"/>
      <c r="O84" s="24"/>
      <c r="P84" s="24"/>
    </row>
    <row r="85" spans="2:16" s="26" customFormat="1" x14ac:dyDescent="0.2">
      <c r="B85" s="42" t="s">
        <v>31</v>
      </c>
      <c r="C85" s="24"/>
      <c r="D85" s="24"/>
      <c r="E85" s="24"/>
      <c r="F85" s="24"/>
      <c r="G85" s="24"/>
      <c r="H85" s="24"/>
      <c r="I85" s="24"/>
      <c r="J85" s="24"/>
      <c r="K85" s="25"/>
      <c r="L85" s="24"/>
      <c r="M85" s="24"/>
      <c r="N85" s="24"/>
      <c r="O85" s="24"/>
      <c r="P85" s="24"/>
    </row>
    <row r="86" spans="2:16" s="41" customFormat="1" ht="13.15" customHeight="1" x14ac:dyDescent="0.2">
      <c r="B86" s="43" t="s">
        <v>267</v>
      </c>
      <c r="C86" s="40"/>
      <c r="D86" s="40"/>
      <c r="E86" s="40"/>
      <c r="F86" s="40"/>
      <c r="G86" s="40"/>
      <c r="H86" s="40"/>
      <c r="I86" s="40"/>
      <c r="J86" s="40"/>
      <c r="K86" s="39"/>
      <c r="L86" s="40"/>
      <c r="M86" s="40"/>
      <c r="N86" s="40"/>
      <c r="O86" s="40"/>
      <c r="P86" s="40"/>
    </row>
    <row r="87" spans="2:16" s="41" customFormat="1" ht="11.25" x14ac:dyDescent="0.2">
      <c r="B87" s="44" t="s">
        <v>268</v>
      </c>
      <c r="C87" s="40"/>
      <c r="D87" s="40"/>
      <c r="E87" s="40"/>
      <c r="F87" s="40"/>
      <c r="G87" s="40"/>
      <c r="H87" s="40"/>
      <c r="I87" s="40"/>
      <c r="J87" s="40"/>
      <c r="K87" s="39"/>
      <c r="L87" s="40"/>
      <c r="M87" s="40"/>
      <c r="N87" s="40"/>
      <c r="O87" s="40"/>
      <c r="P87" s="40"/>
    </row>
    <row r="88" spans="2:16" s="41" customFormat="1" ht="13.15" customHeight="1" x14ac:dyDescent="0.2">
      <c r="B88" s="43" t="s">
        <v>269</v>
      </c>
      <c r="C88" s="40"/>
      <c r="D88" s="40"/>
      <c r="E88" s="40"/>
      <c r="F88" s="40"/>
      <c r="G88" s="40"/>
      <c r="H88" s="40"/>
      <c r="I88" s="40"/>
      <c r="J88" s="40"/>
      <c r="K88" s="39"/>
      <c r="L88" s="40"/>
      <c r="M88" s="40"/>
      <c r="N88" s="40"/>
      <c r="O88" s="40"/>
      <c r="P88" s="40"/>
    </row>
    <row r="89" spans="2:16" s="26" customFormat="1" x14ac:dyDescent="0.2">
      <c r="B89" s="25"/>
      <c r="C89" s="24"/>
      <c r="D89" s="24"/>
      <c r="E89" s="24"/>
      <c r="F89" s="24"/>
      <c r="G89" s="24"/>
      <c r="H89" s="24"/>
      <c r="I89" s="24"/>
      <c r="J89" s="24"/>
      <c r="K89" s="25"/>
      <c r="L89" s="24"/>
      <c r="M89" s="24"/>
      <c r="N89" s="24"/>
      <c r="O89" s="24"/>
      <c r="P89" s="24"/>
    </row>
    <row r="90" spans="2:16" s="26" customFormat="1" x14ac:dyDescent="0.2">
      <c r="B90" s="25"/>
      <c r="C90" s="24"/>
      <c r="D90" s="24"/>
      <c r="E90" s="24"/>
      <c r="F90" s="24"/>
      <c r="G90" s="24"/>
      <c r="H90" s="24"/>
      <c r="I90" s="24"/>
      <c r="J90" s="24"/>
      <c r="K90" s="25"/>
      <c r="L90" s="24"/>
      <c r="M90" s="24"/>
      <c r="N90" s="24"/>
      <c r="O90" s="24"/>
      <c r="P90" s="24"/>
    </row>
    <row r="91" spans="2:16" s="26" customFormat="1" x14ac:dyDescent="0.2">
      <c r="B91" s="25"/>
      <c r="C91" s="24"/>
      <c r="D91" s="24"/>
      <c r="E91" s="24"/>
      <c r="F91" s="24"/>
      <c r="G91" s="24"/>
      <c r="H91" s="24"/>
      <c r="I91" s="24"/>
      <c r="J91" s="24"/>
      <c r="K91" s="25"/>
      <c r="L91" s="24"/>
      <c r="M91" s="24"/>
      <c r="N91" s="24"/>
      <c r="O91" s="24"/>
      <c r="P91" s="24"/>
    </row>
    <row r="92" spans="2:16" s="26" customFormat="1" x14ac:dyDescent="0.2">
      <c r="B92" s="25"/>
      <c r="C92" s="24"/>
      <c r="D92" s="24"/>
      <c r="E92" s="24"/>
      <c r="F92" s="24"/>
      <c r="G92" s="24"/>
      <c r="H92" s="24"/>
      <c r="I92" s="24"/>
      <c r="J92" s="24"/>
      <c r="K92" s="25"/>
      <c r="L92" s="24"/>
      <c r="M92" s="24"/>
      <c r="N92" s="24"/>
      <c r="O92" s="24"/>
      <c r="P92" s="24"/>
    </row>
    <row r="93" spans="2:16" s="26" customFormat="1" x14ac:dyDescent="0.2">
      <c r="B93" s="25"/>
      <c r="C93" s="24"/>
      <c r="D93" s="24"/>
      <c r="E93" s="24"/>
      <c r="F93" s="24"/>
      <c r="G93" s="24"/>
      <c r="H93" s="24"/>
      <c r="I93" s="24"/>
      <c r="J93" s="24"/>
      <c r="K93" s="25"/>
      <c r="L93" s="24"/>
      <c r="M93" s="24"/>
      <c r="N93" s="24"/>
      <c r="O93" s="24"/>
      <c r="P93" s="24"/>
    </row>
    <row r="94" spans="2:16" s="26" customFormat="1" x14ac:dyDescent="0.2">
      <c r="B94" s="25"/>
      <c r="C94" s="24"/>
      <c r="D94" s="24"/>
      <c r="E94" s="24"/>
      <c r="F94" s="24"/>
      <c r="G94" s="24"/>
      <c r="H94" s="24"/>
      <c r="I94" s="24"/>
      <c r="J94" s="24"/>
      <c r="K94" s="25"/>
      <c r="L94" s="24"/>
      <c r="M94" s="24"/>
      <c r="N94" s="24"/>
      <c r="O94" s="24"/>
      <c r="P94" s="24"/>
    </row>
    <row r="95" spans="2:16" s="26" customFormat="1" x14ac:dyDescent="0.2">
      <c r="B95" s="25"/>
      <c r="C95" s="24"/>
      <c r="D95" s="24"/>
      <c r="E95" s="24"/>
      <c r="F95" s="24"/>
      <c r="G95" s="24"/>
      <c r="H95" s="24"/>
      <c r="I95" s="24"/>
      <c r="J95" s="24"/>
      <c r="K95" s="25"/>
      <c r="L95" s="24"/>
      <c r="M95" s="24"/>
      <c r="N95" s="24"/>
      <c r="O95" s="24"/>
      <c r="P95" s="24"/>
    </row>
    <row r="96" spans="2:16" s="26" customFormat="1" x14ac:dyDescent="0.2">
      <c r="B96" s="25"/>
      <c r="C96" s="24"/>
      <c r="D96" s="24"/>
      <c r="E96" s="24"/>
      <c r="F96" s="24"/>
      <c r="G96" s="24"/>
      <c r="H96" s="24"/>
      <c r="I96" s="24"/>
      <c r="J96" s="24"/>
      <c r="K96" s="25"/>
      <c r="L96" s="24"/>
      <c r="M96" s="24"/>
      <c r="N96" s="24"/>
      <c r="O96" s="24"/>
      <c r="P96" s="24"/>
    </row>
    <row r="97" spans="2:16" s="26" customFormat="1" x14ac:dyDescent="0.2">
      <c r="B97" s="25"/>
      <c r="C97" s="24"/>
      <c r="D97" s="24"/>
      <c r="E97" s="24"/>
      <c r="F97" s="24"/>
      <c r="G97" s="24"/>
      <c r="H97" s="24"/>
      <c r="I97" s="24"/>
      <c r="J97" s="24"/>
      <c r="K97" s="25"/>
      <c r="L97" s="24"/>
      <c r="M97" s="24"/>
      <c r="N97" s="24"/>
      <c r="O97" s="24"/>
      <c r="P97" s="24"/>
    </row>
    <row r="98" spans="2:16" s="26" customFormat="1" x14ac:dyDescent="0.2">
      <c r="B98" s="25"/>
      <c r="C98" s="24"/>
      <c r="D98" s="24"/>
      <c r="E98" s="24"/>
      <c r="F98" s="24"/>
      <c r="G98" s="24"/>
      <c r="H98" s="24"/>
      <c r="I98" s="24"/>
      <c r="J98" s="24"/>
      <c r="K98" s="25"/>
      <c r="L98" s="24"/>
      <c r="M98" s="24"/>
      <c r="N98" s="24"/>
      <c r="O98" s="24"/>
      <c r="P98" s="24"/>
    </row>
    <row r="99" spans="2:16" s="26" customFormat="1" x14ac:dyDescent="0.2">
      <c r="B99" s="25"/>
      <c r="C99" s="24"/>
      <c r="D99" s="24"/>
      <c r="E99" s="24"/>
      <c r="F99" s="24"/>
      <c r="G99" s="24"/>
      <c r="H99" s="24"/>
      <c r="I99" s="24"/>
      <c r="J99" s="24"/>
      <c r="K99" s="25"/>
      <c r="L99" s="24"/>
      <c r="M99" s="24"/>
      <c r="N99" s="24"/>
      <c r="O99" s="24"/>
      <c r="P99" s="24"/>
    </row>
    <row r="100" spans="2:16" s="26" customFormat="1" x14ac:dyDescent="0.2">
      <c r="B100" s="25"/>
      <c r="C100" s="24"/>
      <c r="D100" s="24"/>
      <c r="E100" s="24"/>
      <c r="F100" s="24"/>
      <c r="G100" s="24"/>
      <c r="H100" s="24"/>
      <c r="I100" s="24"/>
      <c r="J100" s="24"/>
      <c r="K100" s="25"/>
      <c r="L100" s="24"/>
      <c r="M100" s="24"/>
      <c r="N100" s="24"/>
      <c r="O100" s="24"/>
      <c r="P100" s="24"/>
    </row>
    <row r="101" spans="2:16" s="26" customFormat="1" x14ac:dyDescent="0.2">
      <c r="B101" s="25"/>
      <c r="C101" s="24"/>
      <c r="D101" s="24"/>
      <c r="E101" s="24"/>
      <c r="F101" s="24"/>
      <c r="G101" s="24"/>
      <c r="H101" s="24"/>
      <c r="I101" s="24"/>
      <c r="J101" s="24"/>
      <c r="K101" s="25"/>
      <c r="L101" s="24"/>
      <c r="M101" s="24"/>
      <c r="N101" s="24"/>
      <c r="O101" s="24"/>
      <c r="P101" s="24"/>
    </row>
    <row r="102" spans="2:16" s="26" customFormat="1" x14ac:dyDescent="0.2">
      <c r="B102" s="25"/>
      <c r="C102" s="24"/>
      <c r="D102" s="24"/>
      <c r="E102" s="24"/>
      <c r="F102" s="24"/>
      <c r="G102" s="24"/>
      <c r="H102" s="24"/>
      <c r="I102" s="24"/>
      <c r="J102" s="24"/>
      <c r="K102" s="25"/>
      <c r="L102" s="24"/>
      <c r="M102" s="24"/>
      <c r="N102" s="24"/>
      <c r="O102" s="24"/>
      <c r="P102" s="24"/>
    </row>
    <row r="103" spans="2:16" s="26" customFormat="1" x14ac:dyDescent="0.2">
      <c r="B103" s="25"/>
      <c r="C103" s="24"/>
      <c r="D103" s="24"/>
      <c r="E103" s="24"/>
      <c r="F103" s="24"/>
      <c r="G103" s="24"/>
      <c r="H103" s="24"/>
      <c r="I103" s="24"/>
      <c r="J103" s="24"/>
      <c r="K103" s="25"/>
      <c r="L103" s="24"/>
      <c r="M103" s="24"/>
      <c r="N103" s="24"/>
      <c r="O103" s="24"/>
      <c r="P103" s="24"/>
    </row>
    <row r="104" spans="2:16" s="26" customFormat="1" x14ac:dyDescent="0.2">
      <c r="B104" s="25"/>
      <c r="C104" s="24"/>
      <c r="D104" s="24"/>
      <c r="E104" s="24"/>
      <c r="F104" s="24"/>
      <c r="G104" s="24"/>
      <c r="H104" s="24"/>
      <c r="I104" s="24"/>
      <c r="J104" s="24"/>
      <c r="K104" s="25"/>
      <c r="L104" s="24"/>
      <c r="M104" s="24"/>
      <c r="N104" s="24"/>
      <c r="O104" s="24"/>
      <c r="P104" s="24"/>
    </row>
    <row r="105" spans="2:16" s="26" customFormat="1" x14ac:dyDescent="0.2">
      <c r="B105" s="25"/>
      <c r="C105" s="24"/>
      <c r="D105" s="24"/>
      <c r="E105" s="24"/>
      <c r="F105" s="24"/>
      <c r="G105" s="24"/>
      <c r="H105" s="24"/>
      <c r="I105" s="24"/>
      <c r="J105" s="24"/>
      <c r="K105" s="25"/>
      <c r="L105" s="24"/>
      <c r="M105" s="24"/>
      <c r="N105" s="24"/>
      <c r="O105" s="24"/>
      <c r="P105" s="24"/>
    </row>
    <row r="106" spans="2:16" s="26" customFormat="1" x14ac:dyDescent="0.2">
      <c r="B106" s="25"/>
      <c r="C106" s="24"/>
      <c r="D106" s="24"/>
      <c r="E106" s="24"/>
      <c r="F106" s="24"/>
      <c r="G106" s="24"/>
      <c r="H106" s="24"/>
      <c r="I106" s="24"/>
      <c r="J106" s="24"/>
      <c r="K106" s="25"/>
      <c r="L106" s="24"/>
      <c r="M106" s="24"/>
      <c r="N106" s="24"/>
      <c r="O106" s="24"/>
      <c r="P106" s="24"/>
    </row>
    <row r="107" spans="2:16" s="26" customFormat="1" x14ac:dyDescent="0.2">
      <c r="B107" s="25"/>
      <c r="C107" s="24"/>
      <c r="D107" s="24"/>
      <c r="E107" s="24"/>
      <c r="F107" s="24"/>
      <c r="G107" s="24"/>
      <c r="H107" s="24"/>
      <c r="I107" s="24"/>
      <c r="J107" s="24"/>
      <c r="K107" s="25"/>
      <c r="L107" s="24"/>
      <c r="M107" s="24"/>
      <c r="N107" s="24"/>
      <c r="O107" s="24"/>
      <c r="P107" s="24"/>
    </row>
    <row r="108" spans="2:16" s="26" customFormat="1" x14ac:dyDescent="0.2">
      <c r="B108" s="25"/>
      <c r="C108" s="24"/>
      <c r="D108" s="24"/>
      <c r="E108" s="24"/>
      <c r="F108" s="24"/>
      <c r="G108" s="24"/>
      <c r="H108" s="24"/>
      <c r="I108" s="24"/>
      <c r="J108" s="24"/>
      <c r="K108" s="25"/>
      <c r="L108" s="24"/>
      <c r="M108" s="24"/>
      <c r="N108" s="24"/>
      <c r="O108" s="24"/>
      <c r="P108" s="24"/>
    </row>
    <row r="109" spans="2:16" s="26" customFormat="1" x14ac:dyDescent="0.2">
      <c r="B109" s="25"/>
      <c r="C109" s="24"/>
      <c r="D109" s="24"/>
      <c r="E109" s="24"/>
      <c r="F109" s="24"/>
      <c r="G109" s="24"/>
      <c r="H109" s="24"/>
      <c r="I109" s="24"/>
      <c r="J109" s="24"/>
      <c r="K109" s="25"/>
      <c r="L109" s="24"/>
      <c r="M109" s="24"/>
      <c r="N109" s="24"/>
      <c r="O109" s="24"/>
      <c r="P109" s="24"/>
    </row>
    <row r="110" spans="2:16" s="26" customFormat="1" x14ac:dyDescent="0.2">
      <c r="B110" s="25"/>
      <c r="C110" s="24"/>
      <c r="D110" s="24"/>
      <c r="E110" s="24"/>
      <c r="F110" s="24"/>
      <c r="G110" s="24"/>
      <c r="H110" s="24"/>
      <c r="I110" s="24"/>
      <c r="J110" s="24"/>
      <c r="K110" s="25"/>
      <c r="L110" s="24"/>
      <c r="M110" s="24"/>
      <c r="N110" s="24"/>
      <c r="O110" s="24"/>
      <c r="P110" s="24"/>
    </row>
    <row r="111" spans="2:16" s="26" customFormat="1" x14ac:dyDescent="0.2">
      <c r="B111" s="25"/>
      <c r="C111" s="24"/>
      <c r="D111" s="24"/>
      <c r="E111" s="24"/>
      <c r="F111" s="24"/>
      <c r="G111" s="24"/>
      <c r="H111" s="24"/>
      <c r="I111" s="24"/>
      <c r="J111" s="24"/>
      <c r="K111" s="25"/>
      <c r="L111" s="24"/>
      <c r="M111" s="24"/>
      <c r="N111" s="24"/>
      <c r="O111" s="24"/>
      <c r="P111" s="24"/>
    </row>
    <row r="112" spans="2:16" s="26" customFormat="1" x14ac:dyDescent="0.2">
      <c r="B112" s="25"/>
      <c r="C112" s="24"/>
      <c r="D112" s="24"/>
      <c r="E112" s="24"/>
      <c r="F112" s="24"/>
      <c r="G112" s="24"/>
      <c r="H112" s="24"/>
      <c r="I112" s="24"/>
      <c r="J112" s="24"/>
      <c r="K112" s="25"/>
      <c r="L112" s="24"/>
      <c r="M112" s="24"/>
      <c r="N112" s="24"/>
      <c r="O112" s="24"/>
      <c r="P112" s="24"/>
    </row>
    <row r="113" spans="2:16" s="26" customFormat="1" x14ac:dyDescent="0.2">
      <c r="B113" s="25"/>
      <c r="C113" s="24"/>
      <c r="D113" s="24"/>
      <c r="E113" s="24"/>
      <c r="F113" s="24"/>
      <c r="G113" s="24"/>
      <c r="H113" s="24"/>
      <c r="I113" s="24"/>
      <c r="J113" s="24"/>
      <c r="K113" s="25"/>
      <c r="L113" s="24"/>
      <c r="M113" s="24"/>
      <c r="N113" s="24"/>
      <c r="O113" s="24"/>
      <c r="P113" s="24"/>
    </row>
    <row r="114" spans="2:16" s="26" customFormat="1" x14ac:dyDescent="0.2">
      <c r="B114" s="25"/>
      <c r="C114" s="24"/>
      <c r="D114" s="24"/>
      <c r="E114" s="24"/>
      <c r="F114" s="24"/>
      <c r="G114" s="24"/>
      <c r="H114" s="24"/>
      <c r="I114" s="24"/>
      <c r="J114" s="24"/>
      <c r="K114" s="25"/>
      <c r="L114" s="24"/>
      <c r="M114" s="24"/>
      <c r="N114" s="24"/>
      <c r="O114" s="24"/>
      <c r="P114" s="24"/>
    </row>
    <row r="115" spans="2:16" s="26" customFormat="1" x14ac:dyDescent="0.2">
      <c r="B115" s="25"/>
      <c r="C115" s="24"/>
      <c r="D115" s="24"/>
      <c r="E115" s="24"/>
      <c r="F115" s="24"/>
      <c r="G115" s="24"/>
      <c r="H115" s="24"/>
      <c r="I115" s="24"/>
      <c r="J115" s="24"/>
      <c r="K115" s="25"/>
      <c r="L115" s="24"/>
      <c r="M115" s="24"/>
      <c r="N115" s="24"/>
      <c r="O115" s="24"/>
      <c r="P115" s="24"/>
    </row>
    <row r="116" spans="2:16" s="26" customFormat="1" x14ac:dyDescent="0.2">
      <c r="B116" s="25"/>
      <c r="C116" s="24"/>
      <c r="D116" s="24"/>
      <c r="E116" s="24"/>
      <c r="F116" s="24"/>
      <c r="G116" s="24"/>
      <c r="H116" s="24"/>
      <c r="I116" s="24"/>
      <c r="J116" s="24"/>
      <c r="K116" s="25"/>
      <c r="L116" s="24"/>
      <c r="M116" s="24"/>
      <c r="N116" s="24"/>
      <c r="O116" s="24"/>
      <c r="P116" s="24"/>
    </row>
    <row r="117" spans="2:16" s="26" customFormat="1" x14ac:dyDescent="0.2">
      <c r="B117" s="25"/>
      <c r="C117" s="24"/>
      <c r="D117" s="24"/>
      <c r="E117" s="24"/>
      <c r="F117" s="24"/>
      <c r="G117" s="24"/>
      <c r="H117" s="24"/>
      <c r="I117" s="24"/>
      <c r="J117" s="24"/>
      <c r="K117" s="25"/>
      <c r="L117" s="24"/>
      <c r="M117" s="24"/>
      <c r="N117" s="24"/>
      <c r="O117" s="24"/>
      <c r="P117" s="24"/>
    </row>
    <row r="118" spans="2:16" s="26" customFormat="1" x14ac:dyDescent="0.2">
      <c r="B118" s="25"/>
      <c r="C118" s="24"/>
      <c r="D118" s="24"/>
      <c r="E118" s="24"/>
      <c r="F118" s="24"/>
      <c r="G118" s="24"/>
      <c r="H118" s="24"/>
      <c r="I118" s="24"/>
      <c r="J118" s="24"/>
      <c r="K118" s="25"/>
      <c r="L118" s="24"/>
      <c r="M118" s="24"/>
      <c r="N118" s="24"/>
      <c r="O118" s="24"/>
      <c r="P118" s="24"/>
    </row>
    <row r="119" spans="2:16" s="26" customFormat="1" x14ac:dyDescent="0.2">
      <c r="B119" s="25"/>
      <c r="C119" s="24"/>
      <c r="D119" s="24"/>
      <c r="E119" s="24"/>
      <c r="F119" s="24"/>
      <c r="G119" s="24"/>
      <c r="H119" s="24"/>
      <c r="I119" s="24"/>
      <c r="J119" s="24"/>
      <c r="K119" s="25"/>
      <c r="L119" s="24"/>
      <c r="M119" s="24"/>
      <c r="N119" s="24"/>
      <c r="O119" s="24"/>
      <c r="P119" s="24"/>
    </row>
    <row r="120" spans="2:16" s="26" customFormat="1" x14ac:dyDescent="0.2">
      <c r="B120" s="25"/>
      <c r="C120" s="24"/>
      <c r="D120" s="24"/>
      <c r="E120" s="24"/>
      <c r="F120" s="24"/>
      <c r="G120" s="24"/>
      <c r="H120" s="24"/>
      <c r="I120" s="24"/>
      <c r="J120" s="24"/>
      <c r="K120" s="25"/>
      <c r="L120" s="24"/>
      <c r="M120" s="24"/>
      <c r="N120" s="24"/>
      <c r="O120" s="24"/>
      <c r="P120" s="24"/>
    </row>
    <row r="121" spans="2:16" s="26" customFormat="1" x14ac:dyDescent="0.2">
      <c r="B121" s="25"/>
      <c r="C121" s="24"/>
      <c r="D121" s="24"/>
      <c r="E121" s="24"/>
      <c r="F121" s="24"/>
      <c r="G121" s="24"/>
      <c r="H121" s="24"/>
      <c r="I121" s="24"/>
      <c r="J121" s="24"/>
      <c r="K121" s="25"/>
      <c r="L121" s="24"/>
      <c r="M121" s="24"/>
      <c r="N121" s="24"/>
      <c r="O121" s="24"/>
      <c r="P121" s="24"/>
    </row>
    <row r="122" spans="2:16" s="26" customFormat="1" x14ac:dyDescent="0.2">
      <c r="B122" s="25"/>
      <c r="C122" s="24"/>
      <c r="D122" s="24"/>
      <c r="E122" s="24"/>
      <c r="F122" s="24"/>
      <c r="G122" s="24"/>
      <c r="H122" s="24"/>
      <c r="I122" s="24"/>
      <c r="J122" s="24"/>
      <c r="K122" s="25"/>
      <c r="L122" s="24"/>
      <c r="M122" s="24"/>
      <c r="N122" s="24"/>
      <c r="O122" s="24"/>
      <c r="P122" s="24"/>
    </row>
  </sheetData>
  <mergeCells count="1">
    <mergeCell ref="E4:F4"/>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38957" r:id="rId4">
          <objectPr defaultSize="0" autoPict="0" r:id="rId5">
            <anchor moveWithCells="1">
              <from>
                <xdr:col>2</xdr:col>
                <xdr:colOff>714375</xdr:colOff>
                <xdr:row>48</xdr:row>
                <xdr:rowOff>38100</xdr:rowOff>
              </from>
              <to>
                <xdr:col>4</xdr:col>
                <xdr:colOff>123825</xdr:colOff>
                <xdr:row>50</xdr:row>
                <xdr:rowOff>142875</xdr:rowOff>
              </to>
            </anchor>
          </objectPr>
        </oleObject>
      </mc:Choice>
      <mc:Fallback>
        <oleObject progId="Equation.3" shapeId="38957" r:id="rId4"/>
      </mc:Fallback>
    </mc:AlternateContent>
    <mc:AlternateContent xmlns:mc="http://schemas.openxmlformats.org/markup-compatibility/2006">
      <mc:Choice Requires="x14">
        <oleObject progId="Equation.3" shapeId="38924" r:id="rId6">
          <objectPr defaultSize="0" autoPict="0" r:id="rId7">
            <anchor moveWithCells="1">
              <from>
                <xdr:col>2</xdr:col>
                <xdr:colOff>714375</xdr:colOff>
                <xdr:row>39</xdr:row>
                <xdr:rowOff>76200</xdr:rowOff>
              </from>
              <to>
                <xdr:col>3</xdr:col>
                <xdr:colOff>304800</xdr:colOff>
                <xdr:row>41</xdr:row>
                <xdr:rowOff>95250</xdr:rowOff>
              </to>
            </anchor>
          </objectPr>
        </oleObject>
      </mc:Choice>
      <mc:Fallback>
        <oleObject progId="Equation.3" shapeId="38924" r:id="rId6"/>
      </mc:Fallback>
    </mc:AlternateContent>
    <mc:AlternateContent xmlns:mc="http://schemas.openxmlformats.org/markup-compatibility/2006">
      <mc:Choice Requires="x14">
        <oleObject progId="Equation.3" shapeId="38925" r:id="rId8">
          <objectPr defaultSize="0" autoPict="0" r:id="rId9">
            <anchor moveWithCells="1">
              <from>
                <xdr:col>2</xdr:col>
                <xdr:colOff>714375</xdr:colOff>
                <xdr:row>36</xdr:row>
                <xdr:rowOff>152400</xdr:rowOff>
              </from>
              <to>
                <xdr:col>3</xdr:col>
                <xdr:colOff>285750</xdr:colOff>
                <xdr:row>38</xdr:row>
                <xdr:rowOff>95250</xdr:rowOff>
              </to>
            </anchor>
          </objectPr>
        </oleObject>
      </mc:Choice>
      <mc:Fallback>
        <oleObject progId="Equation.3" shapeId="38925" r:id="rId8"/>
      </mc:Fallback>
    </mc:AlternateContent>
    <mc:AlternateContent xmlns:mc="http://schemas.openxmlformats.org/markup-compatibility/2006">
      <mc:Choice Requires="x14">
        <oleObject progId="Equation.3" shapeId="38926" r:id="rId10">
          <objectPr defaultSize="0" autoPict="0" r:id="rId11">
            <anchor moveWithCells="1">
              <from>
                <xdr:col>2</xdr:col>
                <xdr:colOff>714375</xdr:colOff>
                <xdr:row>28</xdr:row>
                <xdr:rowOff>95250</xdr:rowOff>
              </from>
              <to>
                <xdr:col>2</xdr:col>
                <xdr:colOff>1057275</xdr:colOff>
                <xdr:row>30</xdr:row>
                <xdr:rowOff>95250</xdr:rowOff>
              </to>
            </anchor>
          </objectPr>
        </oleObject>
      </mc:Choice>
      <mc:Fallback>
        <oleObject progId="Equation.3" shapeId="38926" r:id="rId10"/>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Q123"/>
  <sheetViews>
    <sheetView zoomScaleNormal="75" workbookViewId="0"/>
  </sheetViews>
  <sheetFormatPr defaultRowHeight="12.75" x14ac:dyDescent="0.2"/>
  <cols>
    <col min="1" max="1" width="3.6640625" style="9" customWidth="1"/>
    <col min="2" max="2" width="20" style="11" customWidth="1"/>
    <col min="3" max="6" width="20" style="2" customWidth="1"/>
    <col min="7" max="7" width="12.83203125" style="2" customWidth="1"/>
    <col min="8" max="8" width="20" style="2" customWidth="1"/>
    <col min="9" max="9" width="9.33203125" style="2" customWidth="1"/>
    <col min="10" max="10" width="9.33203125" style="10" customWidth="1"/>
    <col min="11" max="15" width="9.33203125" style="2" customWidth="1"/>
    <col min="16" max="16384" width="9.33203125" style="9"/>
  </cols>
  <sheetData>
    <row r="1" spans="2:15" s="26" customFormat="1" x14ac:dyDescent="0.2">
      <c r="B1" s="25"/>
      <c r="C1" s="24"/>
      <c r="D1" s="24"/>
      <c r="E1" s="24"/>
      <c r="F1" s="24"/>
      <c r="G1" s="24"/>
      <c r="H1" s="24"/>
      <c r="I1" s="24"/>
      <c r="J1" s="25"/>
      <c r="K1" s="24"/>
      <c r="L1" s="24"/>
      <c r="M1" s="24"/>
      <c r="N1" s="24"/>
      <c r="O1" s="24"/>
    </row>
    <row r="2" spans="2:15" s="26" customFormat="1" ht="15.75" x14ac:dyDescent="0.25">
      <c r="B2" s="13" t="s">
        <v>45</v>
      </c>
      <c r="C2" s="24"/>
      <c r="D2" s="24"/>
      <c r="E2" s="24"/>
      <c r="F2" s="24"/>
      <c r="G2" s="24"/>
      <c r="H2" s="24"/>
      <c r="I2" s="24"/>
      <c r="J2" s="25"/>
      <c r="K2" s="24"/>
      <c r="L2" s="24"/>
      <c r="M2" s="24"/>
      <c r="N2" s="24"/>
      <c r="O2" s="24"/>
    </row>
    <row r="3" spans="2:15" s="26" customFormat="1" ht="13.15" customHeight="1" thickBot="1" x14ac:dyDescent="0.3">
      <c r="B3" s="13"/>
      <c r="C3" s="24"/>
      <c r="D3" s="24"/>
      <c r="E3" s="24"/>
      <c r="F3" s="24"/>
      <c r="G3" s="24"/>
      <c r="H3" s="24"/>
      <c r="I3" s="24"/>
      <c r="J3" s="25"/>
      <c r="K3" s="24"/>
      <c r="L3" s="24"/>
      <c r="M3" s="24"/>
      <c r="N3" s="24"/>
      <c r="O3" s="24"/>
    </row>
    <row r="4" spans="2:15" s="26" customFormat="1" ht="13.15" customHeight="1" x14ac:dyDescent="0.2">
      <c r="B4" s="51" t="s">
        <v>51</v>
      </c>
      <c r="C4" s="24"/>
      <c r="D4" s="24"/>
      <c r="E4" s="24"/>
      <c r="F4" s="24"/>
      <c r="G4" s="24"/>
      <c r="H4" s="24"/>
      <c r="I4" s="24"/>
      <c r="J4" s="25"/>
      <c r="K4" s="24"/>
      <c r="L4" s="24"/>
      <c r="M4" s="24"/>
      <c r="N4" s="24"/>
      <c r="O4" s="24"/>
    </row>
    <row r="5" spans="2:15" s="26" customFormat="1" ht="13.15" customHeight="1" x14ac:dyDescent="0.25">
      <c r="B5" s="52" t="s">
        <v>46</v>
      </c>
      <c r="C5" s="24"/>
      <c r="D5" s="24"/>
      <c r="E5" s="24"/>
      <c r="F5" s="24"/>
      <c r="G5" s="24"/>
      <c r="H5" s="24"/>
      <c r="I5" s="24"/>
      <c r="J5" s="25"/>
      <c r="K5" s="24"/>
      <c r="L5" s="24"/>
      <c r="M5" s="24"/>
      <c r="N5" s="24"/>
      <c r="O5" s="24"/>
    </row>
    <row r="6" spans="2:15" s="26" customFormat="1" ht="13.15" customHeight="1" x14ac:dyDescent="0.2">
      <c r="B6" s="53">
        <v>43.087706744394765</v>
      </c>
      <c r="C6" s="57"/>
      <c r="D6" s="24"/>
      <c r="E6" s="24"/>
      <c r="F6" s="24"/>
      <c r="G6" s="24"/>
      <c r="H6" s="24"/>
      <c r="I6" s="24"/>
      <c r="J6" s="25"/>
      <c r="K6" s="24"/>
      <c r="L6" s="24"/>
      <c r="M6" s="24"/>
      <c r="N6" s="24"/>
      <c r="O6" s="24"/>
    </row>
    <row r="7" spans="2:15" s="26" customFormat="1" ht="13.15" customHeight="1" x14ac:dyDescent="0.2">
      <c r="B7" s="54">
        <v>47.072794055494654</v>
      </c>
      <c r="C7" s="57"/>
      <c r="D7" s="24"/>
      <c r="E7" s="24"/>
      <c r="F7" s="24"/>
      <c r="G7" s="24"/>
      <c r="H7" s="24"/>
      <c r="I7" s="24"/>
      <c r="J7" s="25"/>
      <c r="K7" s="24"/>
      <c r="L7" s="24"/>
      <c r="M7" s="24"/>
      <c r="N7" s="24"/>
      <c r="O7" s="24"/>
    </row>
    <row r="8" spans="2:15" s="26" customFormat="1" ht="13.15" customHeight="1" x14ac:dyDescent="0.2">
      <c r="B8" s="54">
        <v>61.131945191102915</v>
      </c>
      <c r="C8" s="57"/>
      <c r="D8" s="24"/>
      <c r="E8" s="24"/>
      <c r="F8" s="24"/>
      <c r="G8" s="24"/>
      <c r="H8" s="24"/>
      <c r="I8" s="24"/>
      <c r="J8" s="25"/>
      <c r="K8" s="24"/>
      <c r="L8" s="24"/>
      <c r="M8" s="24"/>
      <c r="N8" s="24"/>
      <c r="O8" s="24"/>
    </row>
    <row r="9" spans="2:15" s="26" customFormat="1" ht="13.15" customHeight="1" x14ac:dyDescent="0.2">
      <c r="B9" s="54">
        <v>51.745397524113791</v>
      </c>
      <c r="C9" s="57"/>
      <c r="D9" s="58"/>
      <c r="E9" s="24"/>
      <c r="F9" s="24"/>
      <c r="G9" s="24"/>
      <c r="H9" s="24"/>
      <c r="I9" s="24"/>
      <c r="J9" s="25"/>
      <c r="K9" s="24"/>
      <c r="L9" s="24"/>
      <c r="M9" s="24"/>
      <c r="N9" s="24"/>
      <c r="O9" s="24"/>
    </row>
    <row r="10" spans="2:15" s="26" customFormat="1" ht="13.15" customHeight="1" x14ac:dyDescent="0.2">
      <c r="B10" s="54">
        <v>52.991945399587465</v>
      </c>
      <c r="C10" s="57"/>
      <c r="D10" s="24"/>
      <c r="E10" s="24"/>
      <c r="F10" s="24"/>
      <c r="G10" s="24"/>
      <c r="H10" s="24"/>
      <c r="I10" s="24"/>
      <c r="J10" s="25"/>
      <c r="K10" s="24"/>
      <c r="L10" s="24"/>
      <c r="M10" s="24"/>
      <c r="N10" s="24"/>
      <c r="O10" s="24"/>
    </row>
    <row r="11" spans="2:15" s="26" customFormat="1" ht="13.15" customHeight="1" x14ac:dyDescent="0.2">
      <c r="B11" s="54">
        <v>54.161452044632931</v>
      </c>
      <c r="C11" s="57"/>
      <c r="D11" s="24"/>
      <c r="E11" s="24"/>
      <c r="F11" s="24"/>
      <c r="G11" s="24"/>
      <c r="H11" s="24"/>
      <c r="I11" s="24"/>
      <c r="J11" s="25"/>
      <c r="K11" s="24"/>
      <c r="L11" s="24"/>
      <c r="M11" s="24"/>
      <c r="N11" s="24"/>
      <c r="O11" s="24"/>
    </row>
    <row r="12" spans="2:15" s="26" customFormat="1" ht="13.15" customHeight="1" thickBot="1" x14ac:dyDescent="0.25">
      <c r="B12" s="54">
        <v>68.472745259029125</v>
      </c>
      <c r="C12" s="57"/>
      <c r="D12" s="60"/>
      <c r="F12" s="24"/>
      <c r="G12" s="24"/>
      <c r="H12" s="24"/>
      <c r="I12" s="24"/>
      <c r="J12" s="25"/>
      <c r="K12" s="24"/>
      <c r="L12" s="24"/>
      <c r="M12" s="24"/>
      <c r="N12" s="24"/>
      <c r="O12" s="24"/>
    </row>
    <row r="13" spans="2:15" s="26" customFormat="1" ht="13.15" customHeight="1" x14ac:dyDescent="0.2">
      <c r="B13" s="54">
        <v>48.813709932841618</v>
      </c>
      <c r="C13" s="57"/>
      <c r="D13" s="61"/>
      <c r="E13" s="60"/>
      <c r="F13" s="51" t="s">
        <v>6</v>
      </c>
      <c r="G13" s="24"/>
      <c r="H13" s="24"/>
      <c r="I13" s="24"/>
      <c r="J13" s="25"/>
      <c r="K13" s="24"/>
      <c r="L13" s="24"/>
      <c r="M13" s="24"/>
      <c r="N13" s="24"/>
      <c r="O13" s="24"/>
    </row>
    <row r="14" spans="2:15" s="26" customFormat="1" ht="13.15" customHeight="1" x14ac:dyDescent="0.2">
      <c r="B14" s="54">
        <v>48.937861173948008</v>
      </c>
      <c r="C14" s="57"/>
      <c r="D14" s="24"/>
      <c r="E14" s="24"/>
      <c r="F14" s="62" t="s">
        <v>137</v>
      </c>
      <c r="G14" s="24"/>
      <c r="H14" s="24"/>
      <c r="I14" s="24"/>
      <c r="J14" s="25"/>
      <c r="K14" s="24"/>
      <c r="L14" s="24"/>
      <c r="M14" s="24"/>
      <c r="N14" s="24"/>
      <c r="O14" s="24"/>
    </row>
    <row r="15" spans="2:15" s="26" customFormat="1" ht="13.15" customHeight="1" thickBot="1" x14ac:dyDescent="0.25">
      <c r="B15" s="55">
        <v>33.261069638528156</v>
      </c>
      <c r="C15" s="57"/>
      <c r="D15" s="24"/>
      <c r="E15" s="24"/>
      <c r="F15" s="63">
        <v>95</v>
      </c>
      <c r="G15" s="126" t="s">
        <v>135</v>
      </c>
      <c r="H15" s="127">
        <f>1-F15/100</f>
        <v>5.0000000000000044E-2</v>
      </c>
      <c r="I15" s="24"/>
      <c r="J15" s="25"/>
      <c r="K15" s="24"/>
      <c r="L15" s="24"/>
      <c r="M15" s="24"/>
      <c r="N15" s="24"/>
      <c r="O15" s="24"/>
    </row>
    <row r="16" spans="2:15" s="26" customFormat="1" ht="13.15" customHeight="1" thickBot="1" x14ac:dyDescent="0.25">
      <c r="B16" s="27"/>
      <c r="C16" s="24"/>
      <c r="D16" s="24"/>
      <c r="E16" s="24"/>
      <c r="F16" s="24"/>
      <c r="G16" s="24"/>
      <c r="H16" s="24"/>
      <c r="I16" s="24"/>
      <c r="J16" s="25"/>
      <c r="K16" s="24"/>
      <c r="L16" s="24"/>
      <c r="M16" s="24"/>
      <c r="N16" s="24"/>
      <c r="O16" s="24"/>
    </row>
    <row r="17" spans="2:16" s="26" customFormat="1" ht="13.15" customHeight="1" x14ac:dyDescent="0.2">
      <c r="B17" s="28" t="s">
        <v>47</v>
      </c>
      <c r="C17" s="33" t="s">
        <v>49</v>
      </c>
      <c r="D17" s="33" t="s">
        <v>50</v>
      </c>
      <c r="E17" s="154" t="str">
        <f>TEXT($F$15,"General")&amp;"% Confidence Interval"</f>
        <v>95% Confidence Interval</v>
      </c>
      <c r="F17" s="156"/>
      <c r="G17" s="24"/>
      <c r="H17" s="24"/>
      <c r="I17" s="24"/>
      <c r="J17" s="25"/>
      <c r="K17" s="24"/>
      <c r="L17" s="24"/>
      <c r="M17" s="24"/>
      <c r="N17" s="24"/>
      <c r="O17" s="24"/>
    </row>
    <row r="18" spans="2:16" s="26" customFormat="1" ht="13.15" customHeight="1" x14ac:dyDescent="0.25">
      <c r="B18" s="143" t="s">
        <v>289</v>
      </c>
      <c r="C18" s="35" t="s">
        <v>48</v>
      </c>
      <c r="D18" s="35" t="s">
        <v>5</v>
      </c>
      <c r="E18" s="141" t="s">
        <v>287</v>
      </c>
      <c r="F18" s="142" t="s">
        <v>288</v>
      </c>
      <c r="G18" s="24"/>
      <c r="H18" s="24"/>
      <c r="I18" s="24"/>
      <c r="J18" s="25"/>
      <c r="K18" s="24"/>
      <c r="L18" s="24"/>
      <c r="M18" s="24"/>
      <c r="N18" s="24"/>
      <c r="O18" s="24"/>
    </row>
    <row r="19" spans="2:16" s="26" customFormat="1" ht="13.15" customHeight="1" thickBot="1" x14ac:dyDescent="0.25">
      <c r="B19" s="56">
        <f>AVERAGE($B$6:$B$15)</f>
        <v>50.967662696367348</v>
      </c>
      <c r="C19" s="59">
        <f>STDEV($B$6:$B$15)</f>
        <v>9.5695709207353321</v>
      </c>
      <c r="D19" s="89">
        <f>COUNT($B$6:$B$15)</f>
        <v>10</v>
      </c>
      <c r="E19" s="114">
        <f>B19-TINV(1-$F$15/100,D19-1)*C19/SQRT(D19)</f>
        <v>44.122004051043277</v>
      </c>
      <c r="F19" s="115">
        <f>B19+TINV(1-$F$15/100,D19-1)*C19/SQRT(D19)</f>
        <v>57.81332134169142</v>
      </c>
      <c r="G19" s="24"/>
      <c r="H19" s="24"/>
      <c r="I19" s="24"/>
      <c r="J19" s="25"/>
      <c r="K19" s="24"/>
      <c r="L19" s="24"/>
      <c r="M19" s="24"/>
      <c r="N19" s="24"/>
      <c r="O19" s="24"/>
    </row>
    <row r="20" spans="2:16" s="25" customFormat="1" ht="13.15" customHeight="1" x14ac:dyDescent="0.2">
      <c r="D20" s="46"/>
      <c r="E20" s="47"/>
      <c r="F20" s="47"/>
    </row>
    <row r="21" spans="2:16" s="26" customFormat="1" x14ac:dyDescent="0.2">
      <c r="B21" s="42" t="s">
        <v>32</v>
      </c>
      <c r="C21" s="24"/>
      <c r="D21" s="24"/>
      <c r="E21" s="24"/>
      <c r="F21" s="24"/>
      <c r="G21" s="24"/>
      <c r="H21" s="24"/>
      <c r="I21" s="24"/>
      <c r="J21" s="25"/>
      <c r="K21" s="24"/>
      <c r="L21" s="24"/>
      <c r="M21" s="24"/>
      <c r="N21" s="24"/>
      <c r="O21" s="24"/>
    </row>
    <row r="22" spans="2:16" s="26" customFormat="1" ht="18" customHeight="1" x14ac:dyDescent="0.2">
      <c r="B22" s="45" t="s">
        <v>295</v>
      </c>
      <c r="C22" s="24"/>
      <c r="D22" s="24"/>
      <c r="E22" s="24"/>
      <c r="F22" s="24"/>
      <c r="G22" s="24"/>
      <c r="H22" s="24"/>
      <c r="I22" s="24"/>
      <c r="J22" s="24"/>
      <c r="K22" s="25"/>
      <c r="L22" s="24"/>
      <c r="M22" s="24"/>
      <c r="N22" s="24"/>
      <c r="O22" s="24"/>
      <c r="P22" s="24"/>
    </row>
    <row r="23" spans="2:16" s="26" customFormat="1" x14ac:dyDescent="0.2">
      <c r="B23" s="145" t="s">
        <v>234</v>
      </c>
      <c r="C23" s="24"/>
      <c r="D23" s="24"/>
      <c r="E23" s="24"/>
      <c r="F23" s="24"/>
      <c r="G23" s="24"/>
      <c r="H23" s="24"/>
      <c r="I23" s="24"/>
      <c r="J23" s="24"/>
      <c r="K23" s="25"/>
      <c r="L23" s="24"/>
      <c r="M23" s="24"/>
      <c r="N23" s="24"/>
      <c r="O23" s="24"/>
      <c r="P23" s="24"/>
    </row>
    <row r="24" spans="2:16" s="26" customFormat="1" x14ac:dyDescent="0.2">
      <c r="B24" s="145" t="s">
        <v>233</v>
      </c>
      <c r="C24" s="24"/>
      <c r="D24" s="24"/>
      <c r="E24" s="24"/>
      <c r="F24" s="24"/>
      <c r="G24" s="24"/>
      <c r="H24" s="24"/>
      <c r="I24" s="24"/>
      <c r="J24" s="24"/>
      <c r="K24" s="25"/>
      <c r="L24" s="24"/>
      <c r="M24" s="24"/>
      <c r="N24" s="24"/>
      <c r="O24" s="24"/>
      <c r="P24" s="24"/>
    </row>
    <row r="25" spans="2:16" s="26" customFormat="1" ht="18" customHeight="1" x14ac:dyDescent="0.3">
      <c r="B25" s="50" t="s">
        <v>239</v>
      </c>
      <c r="C25" s="24"/>
      <c r="D25" s="24"/>
      <c r="E25" s="24"/>
      <c r="F25" s="24"/>
      <c r="G25" s="24"/>
      <c r="H25" s="24"/>
      <c r="I25" s="24"/>
      <c r="J25" s="25"/>
      <c r="K25" s="24"/>
      <c r="L25" s="24"/>
      <c r="M25" s="24"/>
      <c r="N25" s="24"/>
      <c r="O25" s="24"/>
    </row>
    <row r="26" spans="2:16" s="26" customFormat="1" ht="18" customHeight="1" x14ac:dyDescent="0.2">
      <c r="B26" s="50" t="s">
        <v>290</v>
      </c>
      <c r="C26" s="24"/>
      <c r="D26" s="24"/>
      <c r="E26" s="24"/>
      <c r="F26" s="24"/>
      <c r="G26" s="24"/>
      <c r="H26" s="24"/>
      <c r="I26" s="24"/>
      <c r="J26" s="25"/>
      <c r="K26" s="24"/>
      <c r="L26" s="24"/>
      <c r="M26" s="24"/>
      <c r="N26" s="24"/>
      <c r="O26" s="24"/>
    </row>
    <row r="27" spans="2:16" s="26" customFormat="1" ht="18" customHeight="1" x14ac:dyDescent="0.2">
      <c r="B27" s="50" t="s">
        <v>240</v>
      </c>
      <c r="C27" s="24"/>
      <c r="D27" s="24"/>
      <c r="E27" s="24"/>
      <c r="F27" s="24"/>
      <c r="G27" s="24"/>
      <c r="H27" s="24"/>
      <c r="I27" s="24"/>
      <c r="J27" s="25"/>
      <c r="K27" s="24"/>
      <c r="L27" s="24"/>
      <c r="M27" s="24"/>
      <c r="N27" s="24"/>
      <c r="O27" s="24"/>
    </row>
    <row r="28" spans="2:16" s="26" customFormat="1" ht="18" customHeight="1" x14ac:dyDescent="0.2">
      <c r="B28" s="50" t="s">
        <v>241</v>
      </c>
      <c r="C28" s="24"/>
      <c r="D28" s="24"/>
      <c r="E28" s="24"/>
      <c r="F28" s="24"/>
      <c r="G28" s="24"/>
      <c r="H28" s="24"/>
      <c r="I28" s="24"/>
      <c r="J28" s="25"/>
      <c r="K28" s="24"/>
      <c r="L28" s="24"/>
      <c r="M28" s="24"/>
      <c r="N28" s="24"/>
      <c r="O28" s="24"/>
    </row>
    <row r="29" spans="2:16" s="26" customFormat="1" ht="18" customHeight="1" x14ac:dyDescent="0.2">
      <c r="B29" s="48" t="s">
        <v>106</v>
      </c>
      <c r="C29" s="24"/>
      <c r="D29" s="24"/>
      <c r="E29" s="24"/>
      <c r="F29" s="24"/>
      <c r="G29" s="24"/>
      <c r="H29" s="24"/>
      <c r="I29" s="24"/>
      <c r="J29" s="25"/>
      <c r="K29" s="24"/>
      <c r="L29" s="24"/>
      <c r="M29" s="24"/>
      <c r="N29" s="24"/>
      <c r="O29" s="24"/>
    </row>
    <row r="30" spans="2:16" s="26" customFormat="1" x14ac:dyDescent="0.2">
      <c r="B30" s="48" t="s">
        <v>146</v>
      </c>
      <c r="C30" s="24"/>
      <c r="D30" s="24"/>
      <c r="E30" s="24"/>
      <c r="F30" s="24"/>
      <c r="G30" s="24"/>
      <c r="H30" s="24"/>
      <c r="I30" s="24"/>
      <c r="J30" s="25"/>
      <c r="K30" s="24"/>
      <c r="L30" s="24"/>
      <c r="M30" s="24"/>
      <c r="N30" s="24"/>
      <c r="O30" s="24"/>
    </row>
    <row r="31" spans="2:16" s="26" customFormat="1" x14ac:dyDescent="0.2">
      <c r="B31" s="97" t="s">
        <v>147</v>
      </c>
      <c r="C31" s="24"/>
      <c r="D31" s="24"/>
      <c r="E31" s="24"/>
      <c r="F31" s="24"/>
      <c r="G31" s="24"/>
      <c r="H31" s="24"/>
      <c r="I31" s="24"/>
      <c r="J31" s="25"/>
      <c r="K31" s="24"/>
      <c r="L31" s="24"/>
      <c r="M31" s="24"/>
      <c r="N31" s="24"/>
      <c r="O31" s="24"/>
    </row>
    <row r="32" spans="2:16" s="26" customFormat="1" ht="18" customHeight="1" x14ac:dyDescent="0.2">
      <c r="B32" s="50" t="s">
        <v>110</v>
      </c>
      <c r="C32" s="24"/>
      <c r="D32" s="24"/>
      <c r="E32" s="24"/>
      <c r="F32" s="24"/>
      <c r="G32" s="24"/>
      <c r="H32" s="24"/>
      <c r="I32" s="24"/>
      <c r="J32" s="25"/>
      <c r="K32" s="24"/>
      <c r="L32" s="24"/>
      <c r="M32" s="24"/>
      <c r="N32" s="24"/>
      <c r="O32" s="24"/>
    </row>
    <row r="33" spans="2:16" s="26" customFormat="1" x14ac:dyDescent="0.2">
      <c r="B33" s="45" t="s">
        <v>0</v>
      </c>
      <c r="C33" s="24"/>
      <c r="D33" s="24"/>
      <c r="E33" s="24"/>
      <c r="F33" s="24"/>
      <c r="G33" s="24"/>
      <c r="H33" s="24"/>
      <c r="I33" s="24"/>
      <c r="J33" s="25"/>
      <c r="K33" s="24"/>
      <c r="L33" s="24"/>
      <c r="M33" s="24"/>
      <c r="N33" s="24"/>
      <c r="O33" s="24"/>
    </row>
    <row r="34" spans="2:16" s="26" customFormat="1" x14ac:dyDescent="0.2">
      <c r="B34" s="45"/>
      <c r="C34" s="24"/>
      <c r="D34" s="24"/>
      <c r="E34" s="24"/>
      <c r="F34" s="24"/>
      <c r="G34" s="24"/>
      <c r="H34" s="24"/>
      <c r="I34" s="24"/>
      <c r="J34" s="25"/>
      <c r="K34" s="24"/>
      <c r="L34" s="24"/>
      <c r="M34" s="24"/>
      <c r="N34" s="24"/>
      <c r="O34" s="24"/>
    </row>
    <row r="35" spans="2:16" s="26" customFormat="1" x14ac:dyDescent="0.2">
      <c r="B35" s="42" t="s">
        <v>33</v>
      </c>
      <c r="C35" s="24"/>
      <c r="D35" s="24"/>
      <c r="E35" s="24"/>
      <c r="F35" s="24"/>
      <c r="G35" s="24"/>
      <c r="H35" s="24"/>
      <c r="I35" s="24"/>
      <c r="J35" s="25"/>
      <c r="K35" s="24"/>
      <c r="L35" s="24"/>
      <c r="M35" s="24"/>
      <c r="N35" s="24"/>
      <c r="O35" s="24"/>
    </row>
    <row r="36" spans="2:16" s="26" customFormat="1" ht="18" customHeight="1" x14ac:dyDescent="0.2">
      <c r="B36" s="45" t="s">
        <v>34</v>
      </c>
      <c r="C36" s="24"/>
      <c r="D36" s="24"/>
      <c r="E36" s="24"/>
      <c r="F36" s="24"/>
      <c r="G36" s="24"/>
      <c r="H36" s="24"/>
      <c r="I36" s="24"/>
      <c r="J36" s="25"/>
      <c r="K36" s="24"/>
      <c r="L36" s="24"/>
      <c r="M36" s="24"/>
      <c r="N36" s="24"/>
      <c r="O36" s="24"/>
    </row>
    <row r="37" spans="2:16" s="26" customFormat="1" x14ac:dyDescent="0.2">
      <c r="B37" s="45" t="s">
        <v>35</v>
      </c>
      <c r="C37" s="24"/>
      <c r="D37" s="24"/>
      <c r="E37" s="24"/>
      <c r="F37" s="24"/>
      <c r="G37" s="24"/>
      <c r="H37" s="24"/>
      <c r="I37" s="24"/>
      <c r="J37" s="25"/>
      <c r="K37" s="24"/>
      <c r="L37" s="24"/>
      <c r="M37" s="24"/>
      <c r="N37" s="24"/>
      <c r="O37" s="24"/>
    </row>
    <row r="38" spans="2:16" s="26" customFormat="1" x14ac:dyDescent="0.2">
      <c r="B38" s="45" t="s">
        <v>109</v>
      </c>
      <c r="C38" s="24"/>
      <c r="D38" s="24"/>
      <c r="E38" s="24"/>
      <c r="F38" s="24"/>
      <c r="G38" s="24"/>
      <c r="H38" s="24"/>
      <c r="I38" s="24"/>
      <c r="J38" s="25"/>
      <c r="K38" s="24"/>
      <c r="L38" s="24"/>
      <c r="M38" s="24"/>
      <c r="N38" s="24"/>
      <c r="O38" s="24"/>
    </row>
    <row r="39" spans="2:16" s="26" customFormat="1" x14ac:dyDescent="0.2">
      <c r="B39" s="45"/>
      <c r="C39" s="24"/>
      <c r="D39" s="24"/>
      <c r="E39" s="24"/>
      <c r="F39" s="24"/>
      <c r="G39" s="24"/>
      <c r="H39" s="24"/>
      <c r="I39" s="24"/>
      <c r="J39" s="25"/>
      <c r="K39" s="24"/>
      <c r="L39" s="24"/>
      <c r="M39" s="24"/>
      <c r="N39" s="24"/>
      <c r="O39" s="24"/>
    </row>
    <row r="40" spans="2:16" s="26" customFormat="1" x14ac:dyDescent="0.2">
      <c r="B40" s="45" t="s">
        <v>180</v>
      </c>
      <c r="C40" s="24"/>
      <c r="D40" s="24"/>
      <c r="E40" s="24"/>
      <c r="F40" s="24"/>
      <c r="G40" s="24"/>
      <c r="H40" s="24"/>
      <c r="I40" s="24"/>
      <c r="J40" s="25"/>
      <c r="K40" s="24"/>
      <c r="L40" s="24"/>
      <c r="M40" s="24"/>
      <c r="N40" s="24"/>
      <c r="O40" s="24"/>
    </row>
    <row r="41" spans="2:16" s="26" customFormat="1" x14ac:dyDescent="0.2">
      <c r="B41" s="45" t="s">
        <v>181</v>
      </c>
      <c r="C41" s="24"/>
      <c r="D41" s="24"/>
      <c r="E41" s="24"/>
      <c r="F41" s="24"/>
      <c r="G41" s="24"/>
      <c r="H41" s="24"/>
      <c r="I41" s="24"/>
      <c r="J41" s="25"/>
      <c r="K41" s="24"/>
      <c r="L41" s="24"/>
      <c r="M41" s="24"/>
      <c r="N41" s="24"/>
      <c r="O41" s="24"/>
    </row>
    <row r="42" spans="2:16" s="26" customFormat="1" x14ac:dyDescent="0.2">
      <c r="B42" s="45" t="s">
        <v>182</v>
      </c>
      <c r="C42" s="24"/>
      <c r="D42" s="24"/>
      <c r="E42" s="24"/>
      <c r="F42" s="24"/>
      <c r="G42" s="24"/>
      <c r="H42" s="24"/>
      <c r="I42" s="24"/>
      <c r="J42" s="25"/>
      <c r="K42" s="24"/>
      <c r="L42" s="24"/>
      <c r="M42" s="24"/>
      <c r="N42" s="24"/>
      <c r="O42" s="24"/>
    </row>
    <row r="43" spans="2:16" ht="18" customHeight="1" x14ac:dyDescent="0.2">
      <c r="D43" s="24"/>
    </row>
    <row r="44" spans="2:16" ht="13.15" customHeight="1" x14ac:dyDescent="0.2">
      <c r="B44" s="11" t="s">
        <v>291</v>
      </c>
      <c r="C44" s="16"/>
      <c r="F44" s="16" t="s">
        <v>52</v>
      </c>
      <c r="G44" s="144" t="s">
        <v>292</v>
      </c>
      <c r="H44" s="123">
        <f>SUM(B6:B15)/D19</f>
        <v>50.967662696367348</v>
      </c>
    </row>
    <row r="45" spans="2:16" ht="13.15" customHeight="1" x14ac:dyDescent="0.2">
      <c r="C45" s="16"/>
      <c r="F45" s="16"/>
    </row>
    <row r="46" spans="2:16" ht="13.15" customHeight="1" x14ac:dyDescent="0.2">
      <c r="B46" s="23" t="s">
        <v>18</v>
      </c>
      <c r="J46" s="2"/>
      <c r="K46" s="10"/>
      <c r="P46" s="2"/>
    </row>
    <row r="47" spans="2:16" ht="13.15" customHeight="1" x14ac:dyDescent="0.2">
      <c r="B47" s="20" t="s">
        <v>185</v>
      </c>
      <c r="E47" s="9"/>
      <c r="F47" s="9"/>
      <c r="J47" s="2"/>
      <c r="K47" s="10"/>
      <c r="P47" s="2"/>
    </row>
    <row r="48" spans="2:16" ht="13.15" customHeight="1" x14ac:dyDescent="0.2">
      <c r="B48" s="20" t="s">
        <v>184</v>
      </c>
      <c r="E48" s="9"/>
      <c r="F48" s="9"/>
      <c r="G48" s="124" t="s">
        <v>122</v>
      </c>
      <c r="H48" s="127">
        <f>COUNT(B6:B15)</f>
        <v>10</v>
      </c>
      <c r="J48" s="2"/>
      <c r="K48" s="10"/>
      <c r="P48" s="2"/>
    </row>
    <row r="49" spans="2:16" ht="13.15" customHeight="1" x14ac:dyDescent="0.2">
      <c r="B49" s="9"/>
      <c r="J49" s="2"/>
      <c r="K49" s="10"/>
      <c r="P49" s="2"/>
    </row>
    <row r="50" spans="2:16" ht="13.15" customHeight="1" x14ac:dyDescent="0.2">
      <c r="F50" s="18"/>
    </row>
    <row r="51" spans="2:16" ht="13.15" customHeight="1" x14ac:dyDescent="0.2">
      <c r="B51" s="11" t="s">
        <v>55</v>
      </c>
      <c r="F51" s="18"/>
      <c r="G51" s="124" t="s">
        <v>136</v>
      </c>
      <c r="H51" s="123">
        <f>SQRT((SUMSQ(B6:B15)-2*SUM(B6:B15)*H44+H48*H44^2)/(H48-1))</f>
        <v>9.5695709207353534</v>
      </c>
    </row>
    <row r="52" spans="2:16" ht="13.15" customHeight="1" x14ac:dyDescent="0.2">
      <c r="F52" s="18"/>
    </row>
    <row r="53" spans="2:16" ht="13.15" customHeight="1" x14ac:dyDescent="0.2">
      <c r="F53" s="18"/>
    </row>
    <row r="54" spans="2:16" ht="13.15" customHeight="1" x14ac:dyDescent="0.2">
      <c r="B54" s="11" t="s">
        <v>226</v>
      </c>
      <c r="F54" s="18"/>
    </row>
    <row r="55" spans="2:16" ht="13.15" customHeight="1" x14ac:dyDescent="0.2">
      <c r="F55" s="18"/>
    </row>
    <row r="56" spans="2:16" x14ac:dyDescent="0.2">
      <c r="B56" s="11" t="s">
        <v>138</v>
      </c>
      <c r="F56" s="18"/>
    </row>
    <row r="57" spans="2:16" ht="13.15" customHeight="1" x14ac:dyDescent="0.2">
      <c r="B57" s="11" t="s">
        <v>222</v>
      </c>
      <c r="F57" s="18"/>
    </row>
    <row r="58" spans="2:16" ht="13.15" customHeight="1" x14ac:dyDescent="0.2">
      <c r="F58" s="10"/>
    </row>
    <row r="59" spans="2:16" ht="13.15" customHeight="1" x14ac:dyDescent="0.2">
      <c r="F59" s="16" t="s">
        <v>53</v>
      </c>
      <c r="G59" s="144" t="s">
        <v>293</v>
      </c>
      <c r="H59" s="123">
        <f>H44-H65*H51/SQRT(H48)</f>
        <v>45.036490178409387</v>
      </c>
    </row>
    <row r="60" spans="2:16" ht="9.6" customHeight="1" x14ac:dyDescent="0.2">
      <c r="F60" s="10"/>
    </row>
    <row r="61" spans="2:16" ht="13.15" customHeight="1" x14ac:dyDescent="0.2">
      <c r="F61" s="10"/>
      <c r="H61" s="22"/>
    </row>
    <row r="62" spans="2:16" ht="13.15" customHeight="1" x14ac:dyDescent="0.2">
      <c r="F62" s="16" t="s">
        <v>54</v>
      </c>
      <c r="G62" s="144" t="s">
        <v>294</v>
      </c>
      <c r="H62" s="123">
        <f>H44+H65*H51/SQRT(H48)</f>
        <v>56.89883521432531</v>
      </c>
    </row>
    <row r="63" spans="2:16" ht="13.15" customHeight="1" x14ac:dyDescent="0.2">
      <c r="B63" s="9"/>
      <c r="H63" s="11"/>
    </row>
    <row r="64" spans="2:16" ht="18" customHeight="1" x14ac:dyDescent="0.2">
      <c r="B64" s="23" t="s">
        <v>18</v>
      </c>
    </row>
    <row r="65" spans="2:17" ht="13.15" customHeight="1" x14ac:dyDescent="0.2">
      <c r="B65" s="20" t="s">
        <v>139</v>
      </c>
      <c r="G65" s="124" t="s">
        <v>124</v>
      </c>
      <c r="H65" s="123">
        <f>NORMSINV(1-H15/2)</f>
        <v>1.9599639845400536</v>
      </c>
    </row>
    <row r="66" spans="2:17" ht="13.15" customHeight="1" x14ac:dyDescent="0.2">
      <c r="B66" s="21" t="s">
        <v>236</v>
      </c>
      <c r="G66" s="124"/>
      <c r="H66" s="123"/>
      <c r="J66" s="2"/>
      <c r="L66" s="10"/>
      <c r="P66" s="2"/>
      <c r="Q66" s="2"/>
    </row>
    <row r="67" spans="2:17" ht="13.15" customHeight="1" x14ac:dyDescent="0.2">
      <c r="B67" s="21" t="s">
        <v>221</v>
      </c>
      <c r="G67" s="124"/>
      <c r="H67" s="123"/>
      <c r="J67" s="2"/>
      <c r="L67" s="10"/>
      <c r="P67" s="2"/>
      <c r="Q67" s="2"/>
    </row>
    <row r="69" spans="2:17" s="23" customFormat="1" x14ac:dyDescent="0.2">
      <c r="B69" s="23" t="s">
        <v>56</v>
      </c>
      <c r="G69" s="2"/>
    </row>
    <row r="70" spans="2:17" s="23" customFormat="1" ht="13.15" customHeight="1" x14ac:dyDescent="0.2">
      <c r="B70" s="23" t="s">
        <v>57</v>
      </c>
      <c r="G70" s="2"/>
    </row>
    <row r="71" spans="2:17" s="23" customFormat="1" ht="13.15" customHeight="1" x14ac:dyDescent="0.2">
      <c r="B71" s="23" t="s">
        <v>223</v>
      </c>
      <c r="G71" s="2"/>
    </row>
    <row r="72" spans="2:17" ht="13.15" customHeight="1" x14ac:dyDescent="0.2">
      <c r="B72" s="11" t="s">
        <v>224</v>
      </c>
      <c r="F72" s="18"/>
    </row>
    <row r="73" spans="2:17" ht="13.15" customHeight="1" x14ac:dyDescent="0.2">
      <c r="F73" s="10"/>
    </row>
    <row r="74" spans="2:17" ht="13.15" customHeight="1" x14ac:dyDescent="0.2">
      <c r="F74" s="16" t="s">
        <v>60</v>
      </c>
      <c r="G74" s="144" t="s">
        <v>293</v>
      </c>
      <c r="H74" s="123">
        <f>H44-H80*H51/SQRT(H48)</f>
        <v>44.122004051043263</v>
      </c>
    </row>
    <row r="75" spans="2:17" ht="9.6" customHeight="1" x14ac:dyDescent="0.2">
      <c r="F75" s="10"/>
    </row>
    <row r="76" spans="2:17" ht="13.15" customHeight="1" x14ac:dyDescent="0.2">
      <c r="F76" s="10"/>
      <c r="H76" s="22"/>
    </row>
    <row r="77" spans="2:17" ht="13.15" customHeight="1" x14ac:dyDescent="0.2">
      <c r="F77" s="16" t="s">
        <v>61</v>
      </c>
      <c r="G77" s="144" t="s">
        <v>294</v>
      </c>
      <c r="H77" s="123">
        <f>H44+H80*H51/SQRT(H48)</f>
        <v>57.813321341691434</v>
      </c>
    </row>
    <row r="78" spans="2:17" ht="13.15" customHeight="1" x14ac:dyDescent="0.2">
      <c r="B78" s="9"/>
      <c r="H78" s="11"/>
    </row>
    <row r="79" spans="2:17" ht="13.15" customHeight="1" x14ac:dyDescent="0.2">
      <c r="B79" s="23" t="s">
        <v>18</v>
      </c>
    </row>
    <row r="80" spans="2:17" ht="13.15" customHeight="1" x14ac:dyDescent="0.2">
      <c r="B80" s="20" t="s">
        <v>214</v>
      </c>
      <c r="G80" s="124" t="s">
        <v>190</v>
      </c>
      <c r="H80" s="123">
        <f>TINV(H15,H48-1)</f>
        <v>2.2621571627982049</v>
      </c>
    </row>
    <row r="81" spans="2:15" ht="13.15" customHeight="1" x14ac:dyDescent="0.2">
      <c r="B81" s="21" t="s">
        <v>188</v>
      </c>
      <c r="G81" s="124"/>
      <c r="H81" s="123"/>
    </row>
    <row r="82" spans="2:15" ht="13.15" customHeight="1" x14ac:dyDescent="0.2">
      <c r="B82" s="21" t="s">
        <v>189</v>
      </c>
      <c r="G82" s="124"/>
      <c r="H82" s="123"/>
    </row>
    <row r="83" spans="2:15" ht="13.15" customHeight="1" x14ac:dyDescent="0.2">
      <c r="B83" s="20" t="s">
        <v>242</v>
      </c>
      <c r="G83" s="124"/>
      <c r="H83" s="123"/>
    </row>
    <row r="84" spans="2:15" ht="13.15" customHeight="1" x14ac:dyDescent="0.2">
      <c r="B84" s="21"/>
      <c r="G84" s="124"/>
      <c r="H84" s="123"/>
    </row>
    <row r="85" spans="2:15" ht="13.15" customHeight="1" x14ac:dyDescent="0.2">
      <c r="B85" s="11" t="s">
        <v>186</v>
      </c>
    </row>
    <row r="86" spans="2:15" ht="13.15" customHeight="1" x14ac:dyDescent="0.2">
      <c r="B86" s="11" t="s">
        <v>187</v>
      </c>
    </row>
    <row r="87" spans="2:15" ht="13.15" customHeight="1" x14ac:dyDescent="0.2">
      <c r="B87" s="11" t="s">
        <v>225</v>
      </c>
    </row>
    <row r="88" spans="2:15" ht="13.15" customHeight="1" x14ac:dyDescent="0.2">
      <c r="B88" s="11" t="s">
        <v>191</v>
      </c>
    </row>
    <row r="89" spans="2:15" ht="13.15" customHeight="1" x14ac:dyDescent="0.2">
      <c r="B89" s="20"/>
    </row>
    <row r="90" spans="2:15" ht="13.15" customHeight="1" x14ac:dyDescent="0.2">
      <c r="B90" s="23" t="s">
        <v>243</v>
      </c>
    </row>
    <row r="91" spans="2:15" ht="13.15" customHeight="1" x14ac:dyDescent="0.2">
      <c r="B91" s="23" t="s">
        <v>58</v>
      </c>
    </row>
    <row r="92" spans="2:15" ht="13.15" customHeight="1" x14ac:dyDescent="0.2">
      <c r="B92" s="23" t="s">
        <v>59</v>
      </c>
    </row>
    <row r="93" spans="2:15" s="26" customFormat="1" x14ac:dyDescent="0.2">
      <c r="B93" s="25"/>
      <c r="C93" s="24"/>
      <c r="D93" s="24"/>
      <c r="E93" s="24"/>
      <c r="F93" s="24"/>
      <c r="G93" s="24"/>
      <c r="H93" s="24"/>
      <c r="I93" s="24"/>
      <c r="J93" s="25"/>
      <c r="K93" s="24"/>
      <c r="L93" s="24"/>
      <c r="M93" s="24"/>
      <c r="N93" s="24"/>
      <c r="O93" s="24"/>
    </row>
    <row r="94" spans="2:15" s="26" customFormat="1" x14ac:dyDescent="0.2">
      <c r="B94" s="25"/>
      <c r="C94" s="24"/>
      <c r="D94" s="24"/>
      <c r="E94" s="24"/>
      <c r="F94" s="24"/>
      <c r="G94" s="24"/>
      <c r="H94" s="24"/>
      <c r="I94" s="24"/>
      <c r="J94" s="25"/>
      <c r="K94" s="24"/>
      <c r="L94" s="24"/>
      <c r="M94" s="24"/>
      <c r="N94" s="24"/>
      <c r="O94" s="24"/>
    </row>
    <row r="95" spans="2:15" s="26" customFormat="1" x14ac:dyDescent="0.2">
      <c r="B95" s="25"/>
      <c r="C95" s="24"/>
      <c r="D95" s="24"/>
      <c r="E95" s="24"/>
      <c r="F95" s="24"/>
      <c r="G95" s="24"/>
      <c r="H95" s="24"/>
      <c r="I95" s="24"/>
      <c r="J95" s="25"/>
      <c r="K95" s="24"/>
      <c r="L95" s="24"/>
      <c r="M95" s="24"/>
      <c r="N95" s="24"/>
      <c r="O95" s="24"/>
    </row>
    <row r="96" spans="2:15" s="26" customFormat="1" x14ac:dyDescent="0.2">
      <c r="B96" s="25"/>
      <c r="C96" s="24"/>
      <c r="D96" s="24"/>
      <c r="E96" s="24"/>
      <c r="F96" s="24"/>
      <c r="G96" s="24"/>
      <c r="H96" s="24"/>
      <c r="I96" s="24"/>
      <c r="J96" s="25"/>
      <c r="K96" s="24"/>
      <c r="L96" s="24"/>
      <c r="M96" s="24"/>
      <c r="N96" s="24"/>
      <c r="O96" s="24"/>
    </row>
    <row r="97" spans="2:15" s="26" customFormat="1" x14ac:dyDescent="0.2">
      <c r="B97" s="25"/>
      <c r="C97" s="24"/>
      <c r="D97" s="24"/>
      <c r="E97" s="24"/>
      <c r="F97" s="24"/>
      <c r="G97" s="24"/>
      <c r="H97" s="24"/>
      <c r="I97" s="24"/>
      <c r="J97" s="25"/>
      <c r="K97" s="24"/>
      <c r="L97" s="24"/>
      <c r="M97" s="24"/>
      <c r="N97" s="24"/>
      <c r="O97" s="24"/>
    </row>
    <row r="98" spans="2:15" s="26" customFormat="1" x14ac:dyDescent="0.2">
      <c r="B98" s="25"/>
      <c r="C98" s="24"/>
      <c r="D98" s="24"/>
      <c r="E98" s="24"/>
      <c r="F98" s="24"/>
      <c r="G98" s="24"/>
      <c r="H98" s="24"/>
      <c r="I98" s="24"/>
      <c r="J98" s="25"/>
      <c r="K98" s="24"/>
      <c r="L98" s="24"/>
      <c r="M98" s="24"/>
      <c r="N98" s="24"/>
      <c r="O98" s="24"/>
    </row>
    <row r="99" spans="2:15" s="26" customFormat="1" x14ac:dyDescent="0.2">
      <c r="B99" s="25"/>
      <c r="C99" s="24"/>
      <c r="D99" s="24"/>
      <c r="E99" s="24"/>
      <c r="F99" s="24"/>
      <c r="G99" s="24"/>
      <c r="H99" s="24"/>
      <c r="I99" s="24"/>
      <c r="J99" s="25"/>
      <c r="K99" s="24"/>
      <c r="L99" s="24"/>
      <c r="M99" s="24"/>
      <c r="N99" s="24"/>
      <c r="O99" s="24"/>
    </row>
    <row r="100" spans="2:15" s="26" customFormat="1" x14ac:dyDescent="0.2">
      <c r="B100" s="25"/>
      <c r="C100" s="24"/>
      <c r="D100" s="24"/>
      <c r="E100" s="24"/>
      <c r="F100" s="24"/>
      <c r="G100" s="24"/>
      <c r="H100" s="24"/>
      <c r="I100" s="24"/>
      <c r="J100" s="25"/>
      <c r="K100" s="24"/>
      <c r="L100" s="24"/>
      <c r="M100" s="24"/>
      <c r="N100" s="24"/>
      <c r="O100" s="24"/>
    </row>
    <row r="101" spans="2:15" s="26" customFormat="1" x14ac:dyDescent="0.2">
      <c r="B101" s="25"/>
      <c r="C101" s="24"/>
      <c r="D101" s="24"/>
      <c r="E101" s="24"/>
      <c r="F101" s="24"/>
      <c r="G101" s="24"/>
      <c r="H101" s="24"/>
      <c r="I101" s="24"/>
      <c r="J101" s="25"/>
      <c r="K101" s="24"/>
      <c r="L101" s="24"/>
      <c r="M101" s="24"/>
      <c r="N101" s="24"/>
      <c r="O101" s="24"/>
    </row>
    <row r="102" spans="2:15" s="26" customFormat="1" x14ac:dyDescent="0.2">
      <c r="B102" s="25"/>
      <c r="C102" s="24"/>
      <c r="D102" s="24"/>
      <c r="E102" s="24"/>
      <c r="F102" s="24"/>
      <c r="G102" s="24"/>
      <c r="H102" s="24"/>
      <c r="I102" s="24"/>
      <c r="J102" s="25"/>
      <c r="K102" s="24"/>
      <c r="L102" s="24"/>
      <c r="M102" s="24"/>
      <c r="N102" s="24"/>
      <c r="O102" s="24"/>
    </row>
    <row r="103" spans="2:15" s="26" customFormat="1" x14ac:dyDescent="0.2">
      <c r="B103" s="25"/>
      <c r="C103" s="24"/>
      <c r="D103" s="24"/>
      <c r="E103" s="24"/>
      <c r="F103" s="24"/>
      <c r="G103" s="24"/>
      <c r="H103" s="24"/>
      <c r="I103" s="24"/>
      <c r="J103" s="25"/>
      <c r="K103" s="24"/>
      <c r="L103" s="24"/>
      <c r="M103" s="24"/>
      <c r="N103" s="24"/>
      <c r="O103" s="24"/>
    </row>
    <row r="104" spans="2:15" s="26" customFormat="1" x14ac:dyDescent="0.2">
      <c r="B104" s="25"/>
      <c r="C104" s="24"/>
      <c r="D104" s="24"/>
      <c r="E104" s="24"/>
      <c r="F104" s="24"/>
      <c r="G104" s="24"/>
      <c r="H104" s="24"/>
      <c r="I104" s="24"/>
      <c r="J104" s="25"/>
      <c r="K104" s="24"/>
      <c r="L104" s="24"/>
      <c r="M104" s="24"/>
      <c r="N104" s="24"/>
      <c r="O104" s="24"/>
    </row>
    <row r="105" spans="2:15" s="26" customFormat="1" x14ac:dyDescent="0.2">
      <c r="B105" s="25"/>
      <c r="C105" s="24"/>
      <c r="D105" s="24"/>
      <c r="E105" s="24"/>
      <c r="F105" s="24"/>
      <c r="G105" s="24"/>
      <c r="H105" s="24"/>
      <c r="I105" s="24"/>
      <c r="J105" s="25"/>
      <c r="K105" s="24"/>
      <c r="L105" s="24"/>
      <c r="M105" s="24"/>
      <c r="N105" s="24"/>
      <c r="O105" s="24"/>
    </row>
    <row r="106" spans="2:15" s="26" customFormat="1" x14ac:dyDescent="0.2">
      <c r="B106" s="25"/>
      <c r="C106" s="24"/>
      <c r="D106" s="24"/>
      <c r="E106" s="24"/>
      <c r="F106" s="24"/>
      <c r="G106" s="24"/>
      <c r="H106" s="24"/>
      <c r="I106" s="24"/>
      <c r="J106" s="25"/>
      <c r="K106" s="24"/>
      <c r="L106" s="24"/>
      <c r="M106" s="24"/>
      <c r="N106" s="24"/>
      <c r="O106" s="24"/>
    </row>
    <row r="107" spans="2:15" s="26" customFormat="1" x14ac:dyDescent="0.2">
      <c r="B107" s="25"/>
      <c r="C107" s="24"/>
      <c r="D107" s="24"/>
      <c r="E107" s="24"/>
      <c r="F107" s="24"/>
      <c r="G107" s="24"/>
      <c r="H107" s="24"/>
      <c r="I107" s="24"/>
      <c r="J107" s="25"/>
      <c r="K107" s="24"/>
      <c r="L107" s="24"/>
      <c r="M107" s="24"/>
      <c r="N107" s="24"/>
      <c r="O107" s="24"/>
    </row>
    <row r="108" spans="2:15" s="26" customFormat="1" x14ac:dyDescent="0.2">
      <c r="B108" s="25"/>
      <c r="C108" s="24"/>
      <c r="D108" s="24"/>
      <c r="E108" s="24"/>
      <c r="F108" s="24"/>
      <c r="G108" s="24"/>
      <c r="H108" s="24"/>
      <c r="I108" s="24"/>
      <c r="J108" s="25"/>
      <c r="K108" s="24"/>
      <c r="L108" s="24"/>
      <c r="M108" s="24"/>
      <c r="N108" s="24"/>
      <c r="O108" s="24"/>
    </row>
    <row r="109" spans="2:15" s="26" customFormat="1" x14ac:dyDescent="0.2">
      <c r="B109" s="25"/>
      <c r="C109" s="24"/>
      <c r="D109" s="24"/>
      <c r="E109" s="24"/>
      <c r="F109" s="24"/>
      <c r="G109" s="24"/>
      <c r="H109" s="24"/>
      <c r="I109" s="24"/>
      <c r="J109" s="25"/>
      <c r="K109" s="24"/>
      <c r="L109" s="24"/>
      <c r="M109" s="24"/>
      <c r="N109" s="24"/>
      <c r="O109" s="24"/>
    </row>
    <row r="110" spans="2:15" s="26" customFormat="1" x14ac:dyDescent="0.2">
      <c r="B110" s="25"/>
      <c r="C110" s="24"/>
      <c r="D110" s="24"/>
      <c r="E110" s="24"/>
      <c r="F110" s="24"/>
      <c r="G110" s="24"/>
      <c r="H110" s="24"/>
      <c r="I110" s="24"/>
      <c r="J110" s="25"/>
      <c r="K110" s="24"/>
      <c r="L110" s="24"/>
      <c r="M110" s="24"/>
      <c r="N110" s="24"/>
      <c r="O110" s="24"/>
    </row>
    <row r="111" spans="2:15" s="26" customFormat="1" x14ac:dyDescent="0.2">
      <c r="B111" s="25"/>
      <c r="C111" s="24"/>
      <c r="D111" s="24"/>
      <c r="E111" s="24"/>
      <c r="F111" s="24"/>
      <c r="G111" s="24"/>
      <c r="H111" s="24"/>
      <c r="I111" s="24"/>
      <c r="J111" s="25"/>
      <c r="K111" s="24"/>
      <c r="L111" s="24"/>
      <c r="M111" s="24"/>
      <c r="N111" s="24"/>
      <c r="O111" s="24"/>
    </row>
    <row r="112" spans="2:15" s="26" customFormat="1" x14ac:dyDescent="0.2">
      <c r="B112" s="25"/>
      <c r="C112" s="24"/>
      <c r="D112" s="24"/>
      <c r="E112" s="24"/>
      <c r="F112" s="24"/>
      <c r="G112" s="24"/>
      <c r="H112" s="24"/>
      <c r="I112" s="24"/>
      <c r="J112" s="25"/>
      <c r="K112" s="24"/>
      <c r="L112" s="24"/>
      <c r="M112" s="24"/>
      <c r="N112" s="24"/>
      <c r="O112" s="24"/>
    </row>
    <row r="113" spans="2:15" s="26" customFormat="1" x14ac:dyDescent="0.2">
      <c r="B113" s="25"/>
      <c r="C113" s="24"/>
      <c r="D113" s="24"/>
      <c r="E113" s="24"/>
      <c r="F113" s="24"/>
      <c r="G113" s="24"/>
      <c r="H113" s="24"/>
      <c r="I113" s="24"/>
      <c r="J113" s="25"/>
      <c r="K113" s="24"/>
      <c r="L113" s="24"/>
      <c r="M113" s="24"/>
      <c r="N113" s="24"/>
      <c r="O113" s="24"/>
    </row>
    <row r="114" spans="2:15" s="26" customFormat="1" x14ac:dyDescent="0.2">
      <c r="B114" s="25"/>
      <c r="C114" s="24"/>
      <c r="D114" s="24"/>
      <c r="E114" s="24"/>
      <c r="F114" s="24"/>
      <c r="G114" s="24"/>
      <c r="H114" s="24"/>
      <c r="I114" s="24"/>
      <c r="J114" s="25"/>
      <c r="K114" s="24"/>
      <c r="L114" s="24"/>
      <c r="M114" s="24"/>
      <c r="N114" s="24"/>
      <c r="O114" s="24"/>
    </row>
    <row r="115" spans="2:15" s="26" customFormat="1" x14ac:dyDescent="0.2">
      <c r="B115" s="25"/>
      <c r="C115" s="24"/>
      <c r="D115" s="24"/>
      <c r="E115" s="24"/>
      <c r="F115" s="24"/>
      <c r="G115" s="24"/>
      <c r="H115" s="24"/>
      <c r="I115" s="24"/>
      <c r="J115" s="25"/>
      <c r="K115" s="24"/>
      <c r="L115" s="24"/>
      <c r="M115" s="24"/>
      <c r="N115" s="24"/>
      <c r="O115" s="24"/>
    </row>
    <row r="116" spans="2:15" s="26" customFormat="1" x14ac:dyDescent="0.2">
      <c r="B116" s="25"/>
      <c r="C116" s="24"/>
      <c r="D116" s="24"/>
      <c r="E116" s="24"/>
      <c r="F116" s="24"/>
      <c r="G116" s="24"/>
      <c r="H116" s="24"/>
      <c r="I116" s="24"/>
      <c r="J116" s="25"/>
      <c r="K116" s="24"/>
      <c r="L116" s="24"/>
      <c r="M116" s="24"/>
      <c r="N116" s="24"/>
      <c r="O116" s="24"/>
    </row>
    <row r="117" spans="2:15" s="26" customFormat="1" x14ac:dyDescent="0.2">
      <c r="B117" s="25"/>
      <c r="C117" s="24"/>
      <c r="D117" s="24"/>
      <c r="E117" s="24"/>
      <c r="F117" s="24"/>
      <c r="G117" s="24"/>
      <c r="H117" s="24"/>
      <c r="I117" s="24"/>
      <c r="J117" s="25"/>
      <c r="K117" s="24"/>
      <c r="L117" s="24"/>
      <c r="M117" s="24"/>
      <c r="N117" s="24"/>
      <c r="O117" s="24"/>
    </row>
    <row r="118" spans="2:15" s="26" customFormat="1" x14ac:dyDescent="0.2">
      <c r="B118" s="25"/>
      <c r="C118" s="24"/>
      <c r="D118" s="24"/>
      <c r="E118" s="24"/>
      <c r="F118" s="24"/>
      <c r="G118" s="24"/>
      <c r="H118" s="24"/>
      <c r="I118" s="24"/>
      <c r="J118" s="25"/>
      <c r="K118" s="24"/>
      <c r="L118" s="24"/>
      <c r="M118" s="24"/>
      <c r="N118" s="24"/>
      <c r="O118" s="24"/>
    </row>
    <row r="119" spans="2:15" s="26" customFormat="1" x14ac:dyDescent="0.2">
      <c r="B119" s="25"/>
      <c r="C119" s="24"/>
      <c r="D119" s="24"/>
      <c r="E119" s="24"/>
      <c r="F119" s="24"/>
      <c r="G119" s="24"/>
      <c r="H119" s="24"/>
      <c r="I119" s="24"/>
      <c r="J119" s="25"/>
      <c r="K119" s="24"/>
      <c r="L119" s="24"/>
      <c r="M119" s="24"/>
      <c r="N119" s="24"/>
      <c r="O119" s="24"/>
    </row>
    <row r="120" spans="2:15" s="26" customFormat="1" x14ac:dyDescent="0.2">
      <c r="B120" s="25"/>
      <c r="C120" s="24"/>
      <c r="D120" s="24"/>
      <c r="E120" s="24"/>
      <c r="F120" s="24"/>
      <c r="G120" s="24"/>
      <c r="H120" s="24"/>
      <c r="I120" s="24"/>
      <c r="J120" s="25"/>
      <c r="K120" s="24"/>
      <c r="L120" s="24"/>
      <c r="M120" s="24"/>
      <c r="N120" s="24"/>
      <c r="O120" s="24"/>
    </row>
    <row r="121" spans="2:15" s="26" customFormat="1" x14ac:dyDescent="0.2">
      <c r="B121" s="25"/>
      <c r="C121" s="24"/>
      <c r="D121" s="24"/>
      <c r="E121" s="24"/>
      <c r="F121" s="24"/>
      <c r="G121" s="24"/>
      <c r="H121" s="24"/>
      <c r="I121" s="24"/>
      <c r="J121" s="25"/>
      <c r="K121" s="24"/>
      <c r="L121" s="24"/>
      <c r="M121" s="24"/>
      <c r="N121" s="24"/>
      <c r="O121" s="24"/>
    </row>
    <row r="122" spans="2:15" s="26" customFormat="1" x14ac:dyDescent="0.2">
      <c r="B122" s="25"/>
      <c r="C122" s="24"/>
      <c r="D122" s="24"/>
      <c r="E122" s="24"/>
      <c r="F122" s="24"/>
      <c r="G122" s="24"/>
      <c r="H122" s="24"/>
      <c r="I122" s="24"/>
      <c r="J122" s="25"/>
      <c r="K122" s="24"/>
      <c r="L122" s="24"/>
      <c r="M122" s="24"/>
      <c r="N122" s="24"/>
      <c r="O122" s="24"/>
    </row>
    <row r="123" spans="2:15" s="26" customFormat="1" x14ac:dyDescent="0.2">
      <c r="B123" s="25"/>
      <c r="C123" s="24"/>
      <c r="D123" s="24"/>
      <c r="E123" s="24"/>
      <c r="F123" s="24"/>
      <c r="G123" s="24"/>
      <c r="H123" s="24"/>
      <c r="I123" s="24"/>
      <c r="J123" s="25"/>
      <c r="K123" s="24"/>
      <c r="L123" s="24"/>
      <c r="M123" s="24"/>
      <c r="N123" s="24"/>
      <c r="O123" s="24"/>
    </row>
  </sheetData>
  <sheetProtection sheet="1" objects="1" scenarios="1"/>
  <mergeCells count="1">
    <mergeCell ref="E17:F17"/>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39956" r:id="rId4">
          <objectPr defaultSize="0" autoPict="0" r:id="rId5">
            <anchor moveWithCells="1">
              <from>
                <xdr:col>2</xdr:col>
                <xdr:colOff>733425</xdr:colOff>
                <xdr:row>42</xdr:row>
                <xdr:rowOff>38100</xdr:rowOff>
              </from>
              <to>
                <xdr:col>3</xdr:col>
                <xdr:colOff>114300</xdr:colOff>
                <xdr:row>44</xdr:row>
                <xdr:rowOff>95250</xdr:rowOff>
              </to>
            </anchor>
          </objectPr>
        </oleObject>
      </mc:Choice>
      <mc:Fallback>
        <oleObject progId="Equation.3" shapeId="39956" r:id="rId4"/>
      </mc:Fallback>
    </mc:AlternateContent>
    <mc:AlternateContent xmlns:mc="http://schemas.openxmlformats.org/markup-compatibility/2006">
      <mc:Choice Requires="x14">
        <oleObject progId="Equation.3" shapeId="39959" r:id="rId6">
          <objectPr defaultSize="0" autoPict="0" r:id="rId7">
            <anchor moveWithCells="1">
              <from>
                <xdr:col>3</xdr:col>
                <xdr:colOff>247650</xdr:colOff>
                <xdr:row>48</xdr:row>
                <xdr:rowOff>123825</xdr:rowOff>
              </from>
              <to>
                <xdr:col>4</xdr:col>
                <xdr:colOff>19050</xdr:colOff>
                <xdr:row>51</xdr:row>
                <xdr:rowOff>133350</xdr:rowOff>
              </to>
            </anchor>
          </objectPr>
        </oleObject>
      </mc:Choice>
      <mc:Fallback>
        <oleObject progId="Equation.3" shapeId="39959" r:id="rId6"/>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Q167"/>
  <sheetViews>
    <sheetView tabSelected="1" topLeftCell="A4" zoomScaleNormal="75" workbookViewId="0">
      <selection activeCell="M18" sqref="M18"/>
    </sheetView>
  </sheetViews>
  <sheetFormatPr defaultRowHeight="12.75" x14ac:dyDescent="0.2"/>
  <cols>
    <col min="1" max="1" width="3.6640625" style="9" customWidth="1"/>
    <col min="2" max="2" width="20" style="11" customWidth="1"/>
    <col min="3" max="6" width="20" style="2" customWidth="1"/>
    <col min="7" max="7" width="14.83203125" style="2" customWidth="1"/>
    <col min="8" max="8" width="20" style="2" customWidth="1"/>
    <col min="9" max="9" width="9.33203125" style="2" customWidth="1"/>
    <col min="10" max="10" width="9.33203125" style="10" customWidth="1"/>
    <col min="11" max="15" width="9.33203125" style="2" customWidth="1"/>
    <col min="16" max="16384" width="9.33203125" style="9"/>
  </cols>
  <sheetData>
    <row r="1" spans="2:15" s="26" customFormat="1" x14ac:dyDescent="0.2">
      <c r="B1" s="25"/>
      <c r="C1" s="24"/>
      <c r="D1" s="24"/>
      <c r="E1" s="24"/>
      <c r="F1" s="24"/>
      <c r="G1" s="24"/>
      <c r="H1" s="24"/>
      <c r="I1" s="24"/>
      <c r="J1" s="25"/>
      <c r="K1" s="24"/>
      <c r="L1" s="24"/>
      <c r="M1" s="24"/>
      <c r="N1" s="24"/>
      <c r="O1" s="24"/>
    </row>
    <row r="2" spans="2:15" s="26" customFormat="1" ht="15.75" x14ac:dyDescent="0.25">
      <c r="B2" s="13" t="s">
        <v>281</v>
      </c>
      <c r="C2" s="24"/>
      <c r="D2" s="24"/>
      <c r="E2" s="24"/>
      <c r="F2" s="24"/>
      <c r="G2" s="24"/>
      <c r="H2" s="24"/>
      <c r="I2" s="24"/>
      <c r="J2" s="25"/>
      <c r="K2" s="24"/>
      <c r="L2" s="24"/>
      <c r="M2" s="24"/>
      <c r="N2" s="24"/>
      <c r="O2" s="24"/>
    </row>
    <row r="3" spans="2:15" s="26" customFormat="1" ht="13.15" customHeight="1" thickBot="1" x14ac:dyDescent="0.3">
      <c r="B3" s="13"/>
      <c r="C3" s="24"/>
      <c r="D3" s="24"/>
      <c r="E3" s="24"/>
      <c r="F3" s="24"/>
      <c r="G3" s="24"/>
      <c r="H3" s="24"/>
      <c r="I3" s="24"/>
      <c r="J3" s="25"/>
      <c r="K3" s="24"/>
      <c r="L3" s="24"/>
      <c r="M3" s="24"/>
      <c r="N3" s="24"/>
      <c r="O3" s="24"/>
    </row>
    <row r="4" spans="2:15" s="26" customFormat="1" ht="13.15" customHeight="1" x14ac:dyDescent="0.2">
      <c r="B4" s="28" t="s">
        <v>87</v>
      </c>
      <c r="C4" s="33" t="s">
        <v>90</v>
      </c>
      <c r="D4" s="33" t="s">
        <v>94</v>
      </c>
      <c r="E4" s="33" t="s">
        <v>24</v>
      </c>
      <c r="F4" s="33" t="s">
        <v>24</v>
      </c>
      <c r="G4" s="33" t="s">
        <v>24</v>
      </c>
      <c r="H4" s="29" t="s">
        <v>88</v>
      </c>
      <c r="I4" s="24"/>
      <c r="J4" s="25"/>
      <c r="K4" s="24"/>
      <c r="L4" s="24"/>
      <c r="M4" s="24"/>
      <c r="N4" s="24"/>
      <c r="O4" s="24"/>
    </row>
    <row r="5" spans="2:15" s="26" customFormat="1" ht="13.15" customHeight="1" x14ac:dyDescent="0.2">
      <c r="B5" s="83" t="s">
        <v>98</v>
      </c>
      <c r="C5" s="69" t="s">
        <v>89</v>
      </c>
      <c r="D5" s="69" t="s">
        <v>87</v>
      </c>
      <c r="E5" s="69" t="s">
        <v>89</v>
      </c>
      <c r="F5" s="69" t="s">
        <v>87</v>
      </c>
      <c r="G5" s="69" t="s">
        <v>21</v>
      </c>
      <c r="H5" s="31" t="s">
        <v>89</v>
      </c>
      <c r="I5" s="24"/>
      <c r="J5" s="25"/>
      <c r="K5" s="24"/>
      <c r="L5" s="24"/>
      <c r="M5" s="24"/>
      <c r="N5" s="24"/>
      <c r="O5" s="24"/>
    </row>
    <row r="6" spans="2:15" s="26" customFormat="1" ht="13.15" customHeight="1" x14ac:dyDescent="0.25">
      <c r="B6" s="34" t="s">
        <v>99</v>
      </c>
      <c r="C6" s="35" t="s">
        <v>84</v>
      </c>
      <c r="D6" s="35" t="s">
        <v>83</v>
      </c>
      <c r="E6" s="35"/>
      <c r="F6" s="35"/>
      <c r="G6" s="84" t="s">
        <v>85</v>
      </c>
      <c r="H6" s="36" t="s">
        <v>86</v>
      </c>
      <c r="I6" s="24"/>
      <c r="J6" s="25"/>
      <c r="K6" s="24"/>
      <c r="L6" s="24"/>
      <c r="M6" s="24"/>
      <c r="N6" s="24"/>
      <c r="O6" s="24"/>
    </row>
    <row r="7" spans="2:15" s="26" customFormat="1" ht="13.15" customHeight="1" x14ac:dyDescent="0.2">
      <c r="B7" s="64" t="s">
        <v>62</v>
      </c>
      <c r="C7" s="70">
        <v>12</v>
      </c>
      <c r="D7" s="78">
        <v>636</v>
      </c>
      <c r="E7" s="74">
        <v>10303</v>
      </c>
      <c r="F7" s="85">
        <v>50520</v>
      </c>
      <c r="G7" s="99">
        <f>E7/F7</f>
        <v>0.2039390340459224</v>
      </c>
      <c r="H7" s="100">
        <f>G7*D7</f>
        <v>129.70522565320664</v>
      </c>
      <c r="I7" s="24"/>
      <c r="J7" s="25"/>
      <c r="K7" s="24"/>
      <c r="L7" s="24"/>
      <c r="M7" s="24"/>
      <c r="N7" s="24"/>
      <c r="O7" s="24"/>
    </row>
    <row r="8" spans="2:15" s="26" customFormat="1" ht="13.15" customHeight="1" x14ac:dyDescent="0.2">
      <c r="B8" s="65" t="s">
        <v>63</v>
      </c>
      <c r="C8" s="71">
        <v>4</v>
      </c>
      <c r="D8" s="79">
        <v>558</v>
      </c>
      <c r="E8" s="75">
        <v>2824</v>
      </c>
      <c r="F8" s="86">
        <v>57173</v>
      </c>
      <c r="G8" s="101">
        <f t="shared" ref="G8:G25" si="0">E8/F8</f>
        <v>4.9393944694173825E-2</v>
      </c>
      <c r="H8" s="102">
        <f t="shared" ref="H8:H25" si="1">G8*D8</f>
        <v>27.561821139348993</v>
      </c>
      <c r="I8" s="24"/>
      <c r="J8" s="25"/>
      <c r="K8" s="24"/>
      <c r="L8" s="24"/>
      <c r="M8" s="24"/>
      <c r="N8" s="24"/>
      <c r="O8" s="24"/>
    </row>
    <row r="9" spans="2:15" s="26" customFormat="1" ht="13.15" customHeight="1" x14ac:dyDescent="0.2">
      <c r="B9" s="65" t="s">
        <v>64</v>
      </c>
      <c r="C9" s="71">
        <v>3</v>
      </c>
      <c r="D9" s="79">
        <v>609</v>
      </c>
      <c r="E9" s="75">
        <v>3225</v>
      </c>
      <c r="F9" s="86">
        <v>60213</v>
      </c>
      <c r="G9" s="101">
        <f t="shared" si="0"/>
        <v>5.3559862488167007E-2</v>
      </c>
      <c r="H9" s="102">
        <f t="shared" si="1"/>
        <v>32.617956255293706</v>
      </c>
      <c r="I9" s="24"/>
      <c r="J9" s="25"/>
      <c r="K9" s="24"/>
      <c r="L9" s="24"/>
      <c r="M9" s="24"/>
      <c r="N9" s="24"/>
      <c r="O9" s="24"/>
    </row>
    <row r="10" spans="2:15" s="26" customFormat="1" ht="13.15" customHeight="1" x14ac:dyDescent="0.2">
      <c r="B10" s="66" t="s">
        <v>65</v>
      </c>
      <c r="C10" s="72">
        <v>2</v>
      </c>
      <c r="D10" s="80">
        <v>543</v>
      </c>
      <c r="E10" s="76">
        <v>3615</v>
      </c>
      <c r="F10" s="87">
        <v>54659</v>
      </c>
      <c r="G10" s="103">
        <f t="shared" si="0"/>
        <v>6.6137324136921638E-2</v>
      </c>
      <c r="H10" s="104">
        <f t="shared" si="1"/>
        <v>35.912567006348446</v>
      </c>
      <c r="I10" s="24"/>
      <c r="J10" s="25"/>
      <c r="K10" s="24"/>
      <c r="L10" s="24"/>
      <c r="M10" s="24"/>
      <c r="N10" s="24"/>
      <c r="O10" s="24"/>
    </row>
    <row r="11" spans="2:15" s="26" customFormat="1" ht="13.15" customHeight="1" x14ac:dyDescent="0.2">
      <c r="B11" s="66" t="s">
        <v>71</v>
      </c>
      <c r="C11" s="72">
        <v>3</v>
      </c>
      <c r="D11" s="80">
        <v>384</v>
      </c>
      <c r="E11" s="76">
        <v>3641</v>
      </c>
      <c r="F11" s="87">
        <v>44345</v>
      </c>
      <c r="G11" s="103">
        <f t="shared" si="0"/>
        <v>8.2106212650806185E-2</v>
      </c>
      <c r="H11" s="104">
        <f t="shared" si="1"/>
        <v>31.528785657909573</v>
      </c>
      <c r="I11" s="24"/>
      <c r="J11" s="25"/>
      <c r="K11" s="24"/>
      <c r="L11" s="24"/>
      <c r="M11" s="24"/>
      <c r="N11" s="24"/>
      <c r="O11" s="24"/>
    </row>
    <row r="12" spans="2:15" s="26" customFormat="1" ht="13.15" customHeight="1" x14ac:dyDescent="0.2">
      <c r="B12" s="66" t="s">
        <v>72</v>
      </c>
      <c r="C12" s="72">
        <v>4</v>
      </c>
      <c r="D12" s="80">
        <v>594</v>
      </c>
      <c r="E12" s="76">
        <v>3490</v>
      </c>
      <c r="F12" s="87">
        <v>50128</v>
      </c>
      <c r="G12" s="103">
        <f t="shared" si="0"/>
        <v>6.9621768273220558E-2</v>
      </c>
      <c r="H12" s="104">
        <f t="shared" si="1"/>
        <v>41.35533035429301</v>
      </c>
      <c r="I12" s="24"/>
      <c r="J12" s="25"/>
      <c r="K12" s="24"/>
      <c r="L12" s="24"/>
      <c r="M12" s="24"/>
      <c r="N12" s="24"/>
      <c r="O12" s="24"/>
    </row>
    <row r="13" spans="2:15" s="26" customFormat="1" ht="13.15" customHeight="1" x14ac:dyDescent="0.2">
      <c r="B13" s="66" t="s">
        <v>73</v>
      </c>
      <c r="C13" s="72">
        <v>8</v>
      </c>
      <c r="D13" s="80">
        <v>669</v>
      </c>
      <c r="E13" s="76">
        <v>3789</v>
      </c>
      <c r="F13" s="87">
        <v>62163</v>
      </c>
      <c r="G13" s="103">
        <f t="shared" si="0"/>
        <v>6.0952656725061533E-2</v>
      </c>
      <c r="H13" s="104">
        <f t="shared" si="1"/>
        <v>40.777327349066162</v>
      </c>
      <c r="I13" s="24"/>
      <c r="J13" s="25"/>
      <c r="K13" s="24"/>
      <c r="L13" s="24"/>
      <c r="M13" s="24"/>
      <c r="N13" s="24"/>
      <c r="O13" s="24"/>
    </row>
    <row r="14" spans="2:15" s="26" customFormat="1" ht="13.15" customHeight="1" x14ac:dyDescent="0.2">
      <c r="B14" s="66" t="s">
        <v>74</v>
      </c>
      <c r="C14" s="72">
        <v>2</v>
      </c>
      <c r="D14" s="80">
        <v>843</v>
      </c>
      <c r="E14" s="76">
        <v>3213</v>
      </c>
      <c r="F14" s="87">
        <v>67423</v>
      </c>
      <c r="G14" s="103">
        <f t="shared" si="0"/>
        <v>4.7654361271376233E-2</v>
      </c>
      <c r="H14" s="104">
        <f t="shared" si="1"/>
        <v>40.172626551770165</v>
      </c>
      <c r="I14" s="24"/>
      <c r="J14" s="25"/>
      <c r="K14" s="24"/>
      <c r="L14" s="24"/>
      <c r="M14" s="24"/>
      <c r="N14" s="24"/>
      <c r="O14" s="24"/>
    </row>
    <row r="15" spans="2:15" s="26" customFormat="1" ht="13.15" customHeight="1" x14ac:dyDescent="0.2">
      <c r="B15" s="66" t="s">
        <v>75</v>
      </c>
      <c r="C15" s="72">
        <v>2</v>
      </c>
      <c r="D15" s="80">
        <v>660</v>
      </c>
      <c r="E15" s="76">
        <v>3031</v>
      </c>
      <c r="F15" s="87">
        <v>62899</v>
      </c>
      <c r="G15" s="103">
        <f t="shared" si="0"/>
        <v>4.8188365474808821E-2</v>
      </c>
      <c r="H15" s="104">
        <f t="shared" si="1"/>
        <v>31.804321213373822</v>
      </c>
      <c r="I15" s="24"/>
      <c r="J15" s="25"/>
      <c r="K15" s="24"/>
      <c r="L15" s="24"/>
      <c r="M15" s="24"/>
      <c r="N15" s="24"/>
      <c r="O15" s="24"/>
    </row>
    <row r="16" spans="2:15" s="26" customFormat="1" ht="13.15" customHeight="1" x14ac:dyDescent="0.2">
      <c r="B16" s="66" t="s">
        <v>76</v>
      </c>
      <c r="C16" s="72">
        <v>3</v>
      </c>
      <c r="D16" s="80">
        <v>576</v>
      </c>
      <c r="E16" s="76">
        <v>2771</v>
      </c>
      <c r="F16" s="87">
        <v>55463</v>
      </c>
      <c r="G16" s="103">
        <f t="shared" si="0"/>
        <v>4.9961235418206733E-2</v>
      </c>
      <c r="H16" s="104">
        <f t="shared" si="1"/>
        <v>28.777671600887079</v>
      </c>
      <c r="I16" s="24"/>
      <c r="J16" s="25"/>
      <c r="K16" s="24"/>
      <c r="L16" s="24"/>
      <c r="M16" s="24"/>
      <c r="N16" s="24"/>
      <c r="O16" s="24"/>
    </row>
    <row r="17" spans="2:15" s="26" customFormat="1" ht="13.15" customHeight="1" x14ac:dyDescent="0.2">
      <c r="B17" s="66" t="s">
        <v>70</v>
      </c>
      <c r="C17" s="72">
        <v>4</v>
      </c>
      <c r="D17" s="80">
        <v>606</v>
      </c>
      <c r="E17" s="76">
        <v>3089</v>
      </c>
      <c r="F17" s="87">
        <v>60479</v>
      </c>
      <c r="G17" s="103">
        <f t="shared" si="0"/>
        <v>5.1075579953372245E-2</v>
      </c>
      <c r="H17" s="104">
        <f t="shared" si="1"/>
        <v>30.951801451743581</v>
      </c>
      <c r="I17" s="24"/>
      <c r="J17" s="25"/>
      <c r="K17" s="24"/>
      <c r="L17" s="24"/>
      <c r="M17" s="24"/>
      <c r="N17" s="24"/>
      <c r="O17" s="24"/>
    </row>
    <row r="18" spans="2:15" s="26" customFormat="1" ht="13.15" customHeight="1" x14ac:dyDescent="0.2">
      <c r="B18" s="66" t="s">
        <v>69</v>
      </c>
      <c r="C18" s="72">
        <v>5</v>
      </c>
      <c r="D18" s="80">
        <v>522</v>
      </c>
      <c r="E18" s="76">
        <v>3490</v>
      </c>
      <c r="F18" s="87">
        <v>49974</v>
      </c>
      <c r="G18" s="103">
        <f t="shared" si="0"/>
        <v>6.983631488373955E-2</v>
      </c>
      <c r="H18" s="104">
        <f t="shared" si="1"/>
        <v>36.454556369312044</v>
      </c>
      <c r="I18" s="24"/>
      <c r="J18" s="25"/>
      <c r="K18" s="24"/>
      <c r="L18" s="24"/>
      <c r="M18" s="24"/>
      <c r="N18" s="24"/>
      <c r="O18" s="24"/>
    </row>
    <row r="19" spans="2:15" s="26" customFormat="1" ht="13.15" customHeight="1" x14ac:dyDescent="0.2">
      <c r="B19" s="66" t="s">
        <v>68</v>
      </c>
      <c r="C19" s="72">
        <v>6</v>
      </c>
      <c r="D19" s="80">
        <v>426</v>
      </c>
      <c r="E19" s="76">
        <v>3595</v>
      </c>
      <c r="F19" s="87">
        <v>44140</v>
      </c>
      <c r="G19" s="103">
        <f t="shared" si="0"/>
        <v>8.1445400996828274E-2</v>
      </c>
      <c r="H19" s="104">
        <f t="shared" si="1"/>
        <v>34.695740824648844</v>
      </c>
      <c r="I19" s="24"/>
      <c r="J19" s="25"/>
      <c r="K19" s="24"/>
      <c r="L19" s="24"/>
      <c r="M19" s="24"/>
      <c r="N19" s="24"/>
      <c r="O19" s="24"/>
    </row>
    <row r="20" spans="2:15" s="26" customFormat="1" ht="13.15" customHeight="1" x14ac:dyDescent="0.2">
      <c r="B20" s="66" t="s">
        <v>67</v>
      </c>
      <c r="C20" s="72">
        <v>8</v>
      </c>
      <c r="D20" s="80">
        <v>273</v>
      </c>
      <c r="E20" s="76">
        <v>4745</v>
      </c>
      <c r="F20" s="87">
        <v>40888</v>
      </c>
      <c r="G20" s="103">
        <f t="shared" si="0"/>
        <v>0.1160487184504011</v>
      </c>
      <c r="H20" s="104">
        <f t="shared" si="1"/>
        <v>31.6813001369595</v>
      </c>
      <c r="I20" s="24"/>
      <c r="J20" s="25"/>
      <c r="K20" s="24"/>
      <c r="L20" s="24"/>
      <c r="M20" s="24"/>
      <c r="N20" s="24"/>
      <c r="O20" s="24"/>
    </row>
    <row r="21" spans="2:15" s="26" customFormat="1" ht="13.15" customHeight="1" x14ac:dyDescent="0.2">
      <c r="B21" s="66" t="s">
        <v>66</v>
      </c>
      <c r="C21" s="72">
        <v>5</v>
      </c>
      <c r="D21" s="80">
        <v>300</v>
      </c>
      <c r="E21" s="76">
        <v>5514</v>
      </c>
      <c r="F21" s="87">
        <v>37239</v>
      </c>
      <c r="G21" s="103">
        <f t="shared" si="0"/>
        <v>0.14807057117538064</v>
      </c>
      <c r="H21" s="104">
        <f t="shared" si="1"/>
        <v>44.421171352614195</v>
      </c>
      <c r="I21" s="24"/>
      <c r="J21" s="25"/>
      <c r="K21" s="24"/>
      <c r="L21" s="24"/>
      <c r="M21" s="24"/>
      <c r="N21" s="24"/>
      <c r="O21" s="24"/>
    </row>
    <row r="22" spans="2:15" s="26" customFormat="1" ht="13.15" customHeight="1" x14ac:dyDescent="0.2">
      <c r="B22" s="68" t="s">
        <v>81</v>
      </c>
      <c r="C22" s="73">
        <v>6</v>
      </c>
      <c r="D22" s="81">
        <v>288</v>
      </c>
      <c r="E22" s="77">
        <v>7125</v>
      </c>
      <c r="F22" s="88">
        <v>30819</v>
      </c>
      <c r="G22" s="105">
        <f t="shared" si="0"/>
        <v>0.23118855251630488</v>
      </c>
      <c r="H22" s="106">
        <f t="shared" si="1"/>
        <v>66.582303124695812</v>
      </c>
      <c r="I22" s="24"/>
      <c r="J22" s="25"/>
      <c r="K22" s="24"/>
      <c r="L22" s="24"/>
      <c r="M22" s="24"/>
      <c r="N22" s="24"/>
      <c r="O22" s="24"/>
    </row>
    <row r="23" spans="2:15" s="26" customFormat="1" ht="13.15" customHeight="1" x14ac:dyDescent="0.2">
      <c r="B23" s="68" t="s">
        <v>82</v>
      </c>
      <c r="C23" s="73">
        <v>5</v>
      </c>
      <c r="D23" s="81">
        <v>153</v>
      </c>
      <c r="E23" s="77">
        <v>5694</v>
      </c>
      <c r="F23" s="88">
        <v>18136</v>
      </c>
      <c r="G23" s="105">
        <f t="shared" si="0"/>
        <v>0.3139611821790913</v>
      </c>
      <c r="H23" s="106">
        <f t="shared" si="1"/>
        <v>48.03606087340097</v>
      </c>
      <c r="I23" s="24"/>
      <c r="J23" s="25"/>
      <c r="K23" s="24"/>
      <c r="L23" s="24"/>
      <c r="M23" s="24"/>
      <c r="N23" s="24"/>
      <c r="O23" s="24"/>
    </row>
    <row r="24" spans="2:15" s="26" customFormat="1" ht="13.15" customHeight="1" x14ac:dyDescent="0.2">
      <c r="B24" s="68" t="s">
        <v>297</v>
      </c>
      <c r="C24" s="73">
        <v>5</v>
      </c>
      <c r="D24" s="81">
        <v>123</v>
      </c>
      <c r="E24" s="77">
        <v>6210</v>
      </c>
      <c r="F24" s="88">
        <v>15325</v>
      </c>
      <c r="G24" s="105">
        <f t="shared" si="0"/>
        <v>0.40522022838499183</v>
      </c>
      <c r="H24" s="106">
        <f t="shared" si="1"/>
        <v>49.842088091353993</v>
      </c>
      <c r="I24" s="24"/>
      <c r="J24" s="25"/>
      <c r="K24" s="24"/>
      <c r="L24" s="24"/>
      <c r="M24" s="24"/>
      <c r="N24" s="24"/>
      <c r="O24" s="24"/>
    </row>
    <row r="25" spans="2:15" s="26" customFormat="1" ht="13.15" customHeight="1" thickBot="1" x14ac:dyDescent="0.25">
      <c r="B25" s="68" t="s">
        <v>296</v>
      </c>
      <c r="C25" s="73">
        <v>4</v>
      </c>
      <c r="D25" s="81">
        <v>207</v>
      </c>
      <c r="E25" s="77">
        <v>5757</v>
      </c>
      <c r="F25" s="88">
        <v>13918</v>
      </c>
      <c r="G25" s="105">
        <f t="shared" si="0"/>
        <v>0.41363701681276044</v>
      </c>
      <c r="H25" s="106">
        <f t="shared" si="1"/>
        <v>85.622862480241409</v>
      </c>
      <c r="I25" s="24"/>
      <c r="J25" s="25"/>
      <c r="K25" s="24"/>
      <c r="L25" s="24"/>
      <c r="M25" s="24"/>
      <c r="N25" s="24"/>
      <c r="O25" s="24"/>
    </row>
    <row r="26" spans="2:15" s="26" customFormat="1" ht="13.15" customHeight="1" thickBot="1" x14ac:dyDescent="0.25">
      <c r="B26" s="107" t="s">
        <v>77</v>
      </c>
      <c r="C26" s="108">
        <f>SUM(C7:C25)</f>
        <v>91</v>
      </c>
      <c r="D26" s="109">
        <f>SUM(D7:D25)</f>
        <v>8970</v>
      </c>
      <c r="E26" s="110">
        <f>SUM(E7:E25)</f>
        <v>85121</v>
      </c>
      <c r="F26" s="111">
        <f>SUM(F7:F25)</f>
        <v>875904</v>
      </c>
      <c r="G26" s="112"/>
      <c r="H26" s="113">
        <f>SUM(H7:H25)</f>
        <v>868.50151748646806</v>
      </c>
      <c r="I26" s="24"/>
      <c r="J26" s="25"/>
      <c r="K26" s="24"/>
      <c r="L26" s="24"/>
      <c r="M26" s="24"/>
      <c r="N26" s="24"/>
      <c r="O26" s="24"/>
    </row>
    <row r="27" spans="2:15" s="26" customFormat="1" ht="13.15" customHeight="1" x14ac:dyDescent="0.25">
      <c r="B27" s="13"/>
      <c r="C27" s="24"/>
      <c r="D27" s="24"/>
      <c r="G27" s="24"/>
      <c r="H27" s="24"/>
      <c r="I27" s="24"/>
      <c r="J27" s="25"/>
      <c r="K27" s="24"/>
      <c r="L27" s="24"/>
      <c r="M27" s="24"/>
      <c r="N27" s="24"/>
      <c r="O27" s="24"/>
    </row>
    <row r="28" spans="2:15" s="26" customFormat="1" ht="13.15" customHeight="1" x14ac:dyDescent="0.2">
      <c r="B28" s="42" t="s">
        <v>95</v>
      </c>
      <c r="C28" s="24"/>
      <c r="D28" s="24"/>
      <c r="E28" s="24"/>
      <c r="F28" s="24"/>
      <c r="G28" s="24"/>
      <c r="H28" s="24"/>
      <c r="I28" s="24"/>
      <c r="J28" s="25"/>
      <c r="K28" s="24"/>
      <c r="L28" s="24"/>
      <c r="M28" s="24"/>
      <c r="N28" s="24"/>
      <c r="O28" s="24"/>
    </row>
    <row r="29" spans="2:15" s="26" customFormat="1" ht="13.15" customHeight="1" thickBot="1" x14ac:dyDescent="0.25">
      <c r="B29" s="27"/>
      <c r="C29" s="24"/>
      <c r="D29" s="24"/>
      <c r="E29" s="24"/>
      <c r="F29" s="24"/>
      <c r="G29" s="24"/>
      <c r="H29" s="24"/>
      <c r="I29" s="24"/>
      <c r="J29" s="25"/>
      <c r="K29" s="24"/>
      <c r="L29" s="24"/>
      <c r="M29" s="24"/>
      <c r="N29" s="24"/>
      <c r="O29" s="24"/>
    </row>
    <row r="30" spans="2:15" s="26" customFormat="1" ht="13.15" customHeight="1" x14ac:dyDescent="0.2">
      <c r="B30" s="28" t="s">
        <v>78</v>
      </c>
      <c r="C30" s="33" t="s">
        <v>79</v>
      </c>
      <c r="D30" s="33" t="s">
        <v>282</v>
      </c>
      <c r="E30" s="154" t="str">
        <f>TEXT($E$36,"General")&amp;"% Confidence Interval"</f>
        <v>99.8% Confidence Interval</v>
      </c>
      <c r="F30" s="156"/>
      <c r="G30" s="24"/>
      <c r="H30" s="24"/>
      <c r="I30" s="24"/>
      <c r="J30" s="25"/>
      <c r="K30" s="24"/>
      <c r="L30" s="24"/>
      <c r="M30" s="24"/>
      <c r="N30" s="24"/>
      <c r="O30" s="24"/>
    </row>
    <row r="31" spans="2:15" s="26" customFormat="1" ht="13.15" customHeight="1" x14ac:dyDescent="0.2">
      <c r="B31" s="34" t="s">
        <v>10</v>
      </c>
      <c r="C31" s="35" t="s">
        <v>80</v>
      </c>
      <c r="D31" s="35" t="str">
        <f>"(ISR×"&amp;TEXT($F$36,"###,##0")&amp;")"</f>
        <v>(ISR×100)</v>
      </c>
      <c r="E31" s="35" t="s">
        <v>228</v>
      </c>
      <c r="F31" s="36" t="s">
        <v>229</v>
      </c>
      <c r="G31" s="24"/>
      <c r="H31" s="24"/>
      <c r="I31" s="24"/>
      <c r="J31" s="25"/>
      <c r="K31" s="24"/>
      <c r="L31" s="24"/>
      <c r="M31" s="24"/>
      <c r="N31" s="24"/>
      <c r="O31" s="24"/>
    </row>
    <row r="32" spans="2:15" s="26" customFormat="1" ht="13.15" customHeight="1" thickBot="1" x14ac:dyDescent="0.25">
      <c r="B32" s="82">
        <f>$C$26</f>
        <v>91</v>
      </c>
      <c r="C32" s="89">
        <f>$H$26</f>
        <v>868.50151748646806</v>
      </c>
      <c r="D32" s="159">
        <f>IF(B32&lt;0,"#NUM!",B32/C32*$F$36)</f>
        <v>10.477817040937738</v>
      </c>
      <c r="E32" s="159">
        <f>IF(B32=0,0,IF(B32&lt;10,CHIINV(0.5+$E$36/200,2*B32)/2,B32*(1-1/(9*B32)-NORMSINV(0.5+$E$36/200)/3/SQRT(B32))^3))/C32*$F$36</f>
        <v>7.4064115794269885</v>
      </c>
      <c r="F32" s="160">
        <f>IF(B32&lt;10,CHIINV(0.5-$E$36/200,2*B32+2)/2,(B32+1)*(1-1/(9*(B32+1))+NORMSINV(0.5+$E$36/200)/3/SQRT(B32+1))^3)/C32*$F$36</f>
        <v>14.338405403444703</v>
      </c>
      <c r="G32" s="24"/>
      <c r="H32" s="24"/>
      <c r="I32" s="24"/>
      <c r="J32" s="25"/>
      <c r="K32" s="24"/>
      <c r="L32" s="24"/>
      <c r="M32" s="24"/>
      <c r="N32" s="24"/>
      <c r="O32" s="24"/>
    </row>
    <row r="33" spans="2:16" s="25" customFormat="1" ht="13.15" customHeight="1" thickBot="1" x14ac:dyDescent="0.25">
      <c r="D33" s="46"/>
      <c r="E33" s="47"/>
      <c r="F33" s="47"/>
    </row>
    <row r="34" spans="2:16" s="25" customFormat="1" ht="13.15" customHeight="1" x14ac:dyDescent="0.2">
      <c r="D34" s="46"/>
      <c r="E34" s="28" t="s">
        <v>6</v>
      </c>
      <c r="F34" s="29" t="s">
        <v>7</v>
      </c>
    </row>
    <row r="35" spans="2:16" s="25" customFormat="1" ht="13.15" customHeight="1" x14ac:dyDescent="0.2">
      <c r="D35" s="46"/>
      <c r="E35" s="30" t="s">
        <v>137</v>
      </c>
      <c r="F35" s="31"/>
    </row>
    <row r="36" spans="2:16" s="25" customFormat="1" ht="13.15" customHeight="1" thickBot="1" x14ac:dyDescent="0.25">
      <c r="D36" s="46"/>
      <c r="E36" s="32">
        <v>99.8</v>
      </c>
      <c r="F36" s="92">
        <v>100</v>
      </c>
      <c r="G36" s="126" t="s">
        <v>135</v>
      </c>
      <c r="H36" s="127">
        <f>1-E36/100</f>
        <v>2.0000000000000018E-3</v>
      </c>
    </row>
    <row r="37" spans="2:16" s="26" customFormat="1" ht="13.15" customHeight="1" x14ac:dyDescent="0.2">
      <c r="B37" s="42" t="s">
        <v>96</v>
      </c>
      <c r="C37" s="24"/>
      <c r="D37" s="24"/>
      <c r="E37" s="24"/>
      <c r="F37" s="24"/>
      <c r="G37" s="24"/>
      <c r="H37" s="24"/>
      <c r="I37" s="24"/>
      <c r="J37" s="25"/>
      <c r="K37" s="24"/>
      <c r="L37" s="24"/>
      <c r="M37" s="24"/>
      <c r="N37" s="24"/>
      <c r="O37" s="24"/>
    </row>
    <row r="38" spans="2:16" s="26" customFormat="1" ht="13.15" customHeight="1" thickBot="1" x14ac:dyDescent="0.25">
      <c r="B38" s="27"/>
      <c r="C38" s="24"/>
      <c r="D38" s="24"/>
      <c r="E38" s="24"/>
      <c r="F38" s="24"/>
      <c r="G38" s="24"/>
      <c r="H38" s="24"/>
      <c r="I38" s="24"/>
      <c r="J38" s="25"/>
      <c r="K38" s="24"/>
      <c r="L38" s="24"/>
      <c r="M38" s="24"/>
      <c r="N38" s="24"/>
      <c r="O38" s="24"/>
    </row>
    <row r="39" spans="2:16" s="26" customFormat="1" ht="13.15" customHeight="1" x14ac:dyDescent="0.2">
      <c r="B39" s="28" t="s">
        <v>78</v>
      </c>
      <c r="C39" s="33" t="s">
        <v>79</v>
      </c>
      <c r="D39" s="33" t="s">
        <v>230</v>
      </c>
      <c r="E39" s="154" t="str">
        <f>TEXT($E$36,"General")&amp;"% Confidence Interval"</f>
        <v>99.8% Confidence Interval</v>
      </c>
      <c r="F39" s="156"/>
      <c r="G39" s="24"/>
      <c r="H39" s="24"/>
      <c r="I39" s="24"/>
      <c r="J39" s="25"/>
      <c r="K39" s="24"/>
      <c r="L39" s="24"/>
      <c r="M39" s="24"/>
      <c r="N39" s="24"/>
      <c r="O39" s="24"/>
    </row>
    <row r="40" spans="2:16" s="26" customFormat="1" ht="13.15" customHeight="1" x14ac:dyDescent="0.2">
      <c r="B40" s="34" t="s">
        <v>10</v>
      </c>
      <c r="C40" s="35" t="s">
        <v>80</v>
      </c>
      <c r="D40" s="69" t="s">
        <v>231</v>
      </c>
      <c r="E40" s="35" t="s">
        <v>228</v>
      </c>
      <c r="F40" s="36" t="s">
        <v>229</v>
      </c>
      <c r="G40" s="24"/>
      <c r="H40" s="24"/>
      <c r="I40" s="24"/>
      <c r="J40" s="25"/>
      <c r="K40" s="24"/>
      <c r="L40" s="24"/>
      <c r="M40" s="24"/>
      <c r="N40" s="24"/>
      <c r="O40" s="24"/>
    </row>
    <row r="41" spans="2:16" s="26" customFormat="1" ht="13.15" customHeight="1" thickBot="1" x14ac:dyDescent="0.25">
      <c r="B41" s="82">
        <f>$C$26</f>
        <v>91</v>
      </c>
      <c r="C41" s="89">
        <f>$H$26</f>
        <v>868.50151748646806</v>
      </c>
      <c r="D41" s="95">
        <f>IF(B41&lt;0,"#NUM!",B41/C41*$D$45)</f>
        <v>1018.2420269135216</v>
      </c>
      <c r="E41" s="95">
        <f>IF(B41=0,0,IF(B41&lt;10,CHIINV(0.5+$E$45/200,2*B41)/2,B41*(1-1/(9*B41)-NORMSINV(0.5+$E$45/200)/3/SQRT(B41))^3))/C41*$D$45</f>
        <v>819.80264950202934</v>
      </c>
      <c r="F41" s="96">
        <f>IF(B41&lt;10,CHIINV(0.5-$E$45/200,2*B41+2)/2,(B41+1)*(1-1/(9*(B41+1))+NORMSINV(0.5+$E$45/200)/3/SQRT(B41+1))^3)/C41*$D$45</f>
        <v>1250.1887682774923</v>
      </c>
      <c r="G41" s="24"/>
      <c r="H41" s="24"/>
      <c r="I41" s="24"/>
      <c r="J41" s="25"/>
      <c r="K41" s="24"/>
      <c r="L41" s="24"/>
      <c r="M41" s="24"/>
      <c r="N41" s="24"/>
      <c r="O41" s="24"/>
    </row>
    <row r="42" spans="2:16" s="25" customFormat="1" ht="13.15" customHeight="1" thickBot="1" x14ac:dyDescent="0.25">
      <c r="D42" s="46"/>
      <c r="E42" s="47"/>
      <c r="F42" s="47"/>
    </row>
    <row r="43" spans="2:16" s="25" customFormat="1" ht="13.15" customHeight="1" x14ac:dyDescent="0.2">
      <c r="D43" s="28" t="s">
        <v>24</v>
      </c>
      <c r="E43" s="33" t="s">
        <v>6</v>
      </c>
      <c r="F43" s="29" t="s">
        <v>7</v>
      </c>
    </row>
    <row r="44" spans="2:16" s="25" customFormat="1" ht="13.15" customHeight="1" x14ac:dyDescent="0.2">
      <c r="D44" s="83" t="s">
        <v>97</v>
      </c>
      <c r="E44" s="69" t="s">
        <v>137</v>
      </c>
      <c r="F44" s="31"/>
    </row>
    <row r="45" spans="2:16" s="25" customFormat="1" ht="13.15" customHeight="1" thickBot="1" x14ac:dyDescent="0.25">
      <c r="D45" s="91">
        <f>$E$26/$F$26*$F$45</f>
        <v>9718.074126844951</v>
      </c>
      <c r="E45" s="90">
        <v>95</v>
      </c>
      <c r="F45" s="92">
        <v>100000</v>
      </c>
    </row>
    <row r="46" spans="2:16" s="26" customFormat="1" x14ac:dyDescent="0.2">
      <c r="B46" s="42" t="s">
        <v>32</v>
      </c>
      <c r="C46" s="24"/>
      <c r="D46" s="24"/>
      <c r="H46" s="24"/>
      <c r="I46" s="24"/>
      <c r="J46" s="25"/>
      <c r="K46" s="24"/>
      <c r="L46" s="24"/>
      <c r="M46" s="24"/>
      <c r="N46" s="24"/>
      <c r="O46" s="24"/>
    </row>
    <row r="47" spans="2:16" s="26" customFormat="1" ht="18" customHeight="1" x14ac:dyDescent="0.2">
      <c r="B47" s="45" t="s">
        <v>295</v>
      </c>
      <c r="C47" s="24"/>
      <c r="D47" s="24"/>
      <c r="E47" s="24"/>
      <c r="F47" s="24"/>
      <c r="G47" s="24"/>
      <c r="H47" s="24"/>
      <c r="I47" s="24"/>
      <c r="J47" s="24"/>
      <c r="K47" s="25"/>
      <c r="L47" s="24"/>
      <c r="M47" s="24"/>
      <c r="N47" s="24"/>
      <c r="O47" s="24"/>
      <c r="P47" s="24"/>
    </row>
    <row r="48" spans="2:16" s="26" customFormat="1" x14ac:dyDescent="0.2">
      <c r="B48" s="145" t="s">
        <v>298</v>
      </c>
      <c r="C48" s="24"/>
      <c r="D48" s="24"/>
      <c r="E48" s="24"/>
      <c r="F48" s="24"/>
      <c r="G48" s="24"/>
      <c r="H48" s="24"/>
      <c r="I48" s="24"/>
      <c r="J48" s="24"/>
      <c r="K48" s="25"/>
      <c r="L48" s="24"/>
      <c r="M48" s="24"/>
      <c r="N48" s="24"/>
      <c r="O48" s="24"/>
      <c r="P48" s="24"/>
    </row>
    <row r="49" spans="2:16" s="26" customFormat="1" x14ac:dyDescent="0.2">
      <c r="B49" s="145" t="s">
        <v>232</v>
      </c>
      <c r="C49" s="24"/>
      <c r="D49" s="24"/>
      <c r="E49" s="24"/>
      <c r="F49" s="24"/>
      <c r="G49" s="24"/>
      <c r="H49" s="24"/>
      <c r="I49" s="24"/>
      <c r="J49" s="24"/>
      <c r="K49" s="25"/>
      <c r="L49" s="24"/>
      <c r="M49" s="24"/>
      <c r="N49" s="24"/>
      <c r="O49" s="24"/>
      <c r="P49" s="24"/>
    </row>
    <row r="50" spans="2:16" s="26" customFormat="1" ht="18" customHeight="1" x14ac:dyDescent="0.2">
      <c r="B50" s="50" t="s">
        <v>299</v>
      </c>
      <c r="C50" s="24"/>
      <c r="D50" s="24"/>
      <c r="H50" s="24"/>
      <c r="I50" s="24"/>
      <c r="J50" s="25"/>
      <c r="K50" s="24"/>
      <c r="L50" s="24"/>
      <c r="M50" s="24"/>
      <c r="N50" s="24"/>
      <c r="O50" s="24"/>
    </row>
    <row r="51" spans="2:16" s="26" customFormat="1" x14ac:dyDescent="0.2">
      <c r="B51" s="45" t="s">
        <v>248</v>
      </c>
      <c r="C51" s="24"/>
      <c r="D51" s="24"/>
      <c r="H51" s="24"/>
      <c r="I51" s="24"/>
      <c r="J51" s="25"/>
      <c r="K51" s="24"/>
      <c r="L51" s="24"/>
      <c r="M51" s="24"/>
      <c r="N51" s="24"/>
      <c r="O51" s="24"/>
    </row>
    <row r="52" spans="2:16" s="26" customFormat="1" x14ac:dyDescent="0.2">
      <c r="B52" s="45" t="s">
        <v>249</v>
      </c>
      <c r="C52" s="24"/>
      <c r="D52" s="24"/>
      <c r="H52" s="24"/>
      <c r="I52" s="24"/>
      <c r="J52" s="25"/>
      <c r="K52" s="24"/>
      <c r="L52" s="24"/>
      <c r="M52" s="24"/>
      <c r="N52" s="24"/>
      <c r="O52" s="24"/>
    </row>
    <row r="53" spans="2:16" s="26" customFormat="1" ht="18" customHeight="1" x14ac:dyDescent="0.3">
      <c r="B53" s="50" t="s">
        <v>300</v>
      </c>
      <c r="C53" s="24"/>
      <c r="D53" s="24"/>
      <c r="H53" s="24"/>
      <c r="I53" s="24"/>
      <c r="J53" s="25"/>
      <c r="K53" s="24"/>
      <c r="L53" s="24"/>
      <c r="M53" s="24"/>
      <c r="N53" s="24"/>
      <c r="O53" s="24"/>
    </row>
    <row r="54" spans="2:16" s="26" customFormat="1" x14ac:dyDescent="0.2">
      <c r="B54" s="45" t="s">
        <v>255</v>
      </c>
      <c r="C54" s="24"/>
      <c r="D54" s="24"/>
      <c r="H54" s="24"/>
      <c r="I54" s="24"/>
      <c r="J54" s="25"/>
      <c r="K54" s="24"/>
      <c r="L54" s="24"/>
      <c r="M54" s="24"/>
      <c r="N54" s="24"/>
      <c r="O54" s="24"/>
    </row>
    <row r="55" spans="2:16" s="26" customFormat="1" ht="15.75" x14ac:dyDescent="0.3">
      <c r="B55" s="97" t="s">
        <v>254</v>
      </c>
      <c r="C55" s="24"/>
      <c r="D55" s="24"/>
      <c r="H55" s="24"/>
      <c r="I55" s="24"/>
      <c r="J55" s="25"/>
      <c r="K55" s="24"/>
      <c r="L55" s="24"/>
      <c r="M55" s="24"/>
      <c r="N55" s="24"/>
      <c r="O55" s="24"/>
    </row>
    <row r="56" spans="2:16" s="26" customFormat="1" ht="18" customHeight="1" x14ac:dyDescent="0.3">
      <c r="B56" s="50" t="s">
        <v>301</v>
      </c>
      <c r="C56" s="24"/>
      <c r="D56" s="24"/>
      <c r="E56" s="24"/>
      <c r="F56" s="24"/>
      <c r="G56" s="24"/>
      <c r="H56" s="24"/>
      <c r="I56" s="24"/>
      <c r="J56" s="25"/>
      <c r="K56" s="24"/>
      <c r="L56" s="24"/>
      <c r="M56" s="24"/>
      <c r="N56" s="24"/>
      <c r="O56" s="24"/>
    </row>
    <row r="57" spans="2:16" s="26" customFormat="1" ht="18" customHeight="1" x14ac:dyDescent="0.2">
      <c r="B57" s="50" t="s">
        <v>302</v>
      </c>
      <c r="C57" s="24"/>
      <c r="D57" s="24"/>
      <c r="E57" s="24"/>
      <c r="F57" s="24"/>
      <c r="G57" s="24"/>
      <c r="H57" s="24"/>
      <c r="I57" s="24"/>
      <c r="J57" s="25"/>
      <c r="K57" s="24"/>
      <c r="L57" s="24"/>
      <c r="M57" s="24"/>
      <c r="N57" s="24"/>
      <c r="O57" s="24"/>
    </row>
    <row r="58" spans="2:16" s="26" customFormat="1" x14ac:dyDescent="0.2">
      <c r="B58" s="45" t="s">
        <v>250</v>
      </c>
      <c r="C58" s="24"/>
      <c r="D58" s="24"/>
      <c r="E58" s="24"/>
      <c r="F58" s="24"/>
      <c r="G58" s="24"/>
      <c r="H58" s="24"/>
      <c r="I58" s="24"/>
      <c r="J58" s="25"/>
      <c r="K58" s="24"/>
      <c r="L58" s="24"/>
      <c r="M58" s="24"/>
      <c r="N58" s="24"/>
      <c r="O58" s="24"/>
    </row>
    <row r="59" spans="2:16" s="26" customFormat="1" ht="18" customHeight="1" x14ac:dyDescent="0.2">
      <c r="B59" s="50" t="s">
        <v>303</v>
      </c>
      <c r="C59" s="24"/>
      <c r="D59" s="24"/>
      <c r="E59" s="24"/>
      <c r="F59" s="24"/>
      <c r="G59" s="24"/>
      <c r="H59" s="24"/>
      <c r="I59" s="24"/>
      <c r="J59" s="25"/>
      <c r="K59" s="24"/>
      <c r="L59" s="24"/>
      <c r="M59" s="24"/>
      <c r="N59" s="24"/>
      <c r="O59" s="24"/>
    </row>
    <row r="60" spans="2:16" s="26" customFormat="1" ht="18" customHeight="1" x14ac:dyDescent="0.2">
      <c r="B60" s="50" t="s">
        <v>304</v>
      </c>
      <c r="C60" s="24"/>
      <c r="D60" s="24"/>
      <c r="E60" s="24"/>
      <c r="F60" s="24"/>
      <c r="G60" s="24"/>
      <c r="H60" s="24"/>
      <c r="I60" s="24"/>
      <c r="J60" s="25"/>
      <c r="K60" s="24"/>
      <c r="L60" s="24"/>
      <c r="M60" s="24"/>
      <c r="N60" s="24"/>
      <c r="O60" s="24"/>
    </row>
    <row r="61" spans="2:16" s="26" customFormat="1" x14ac:dyDescent="0.2">
      <c r="B61" s="45" t="s">
        <v>251</v>
      </c>
      <c r="C61" s="24"/>
      <c r="D61" s="24"/>
      <c r="E61" s="24"/>
      <c r="F61" s="24"/>
      <c r="G61" s="24"/>
      <c r="H61" s="24"/>
      <c r="I61" s="24"/>
      <c r="J61" s="25"/>
      <c r="K61" s="24"/>
      <c r="L61" s="24"/>
      <c r="M61" s="24"/>
      <c r="N61" s="24"/>
      <c r="O61" s="24"/>
    </row>
    <row r="62" spans="2:16" s="26" customFormat="1" ht="18" customHeight="1" x14ac:dyDescent="0.2">
      <c r="B62" s="50" t="s">
        <v>305</v>
      </c>
      <c r="C62" s="24"/>
      <c r="D62" s="24"/>
      <c r="E62" s="24"/>
      <c r="F62" s="24"/>
      <c r="G62" s="24"/>
      <c r="H62" s="24"/>
      <c r="I62" s="24"/>
      <c r="J62" s="25"/>
      <c r="K62" s="24"/>
      <c r="L62" s="24"/>
      <c r="M62" s="24"/>
      <c r="N62" s="24"/>
      <c r="O62" s="24"/>
    </row>
    <row r="63" spans="2:16" s="26" customFormat="1" x14ac:dyDescent="0.2">
      <c r="B63" s="45" t="s">
        <v>251</v>
      </c>
      <c r="C63" s="24"/>
      <c r="D63" s="24"/>
      <c r="E63" s="24"/>
      <c r="F63" s="24"/>
      <c r="G63" s="24"/>
      <c r="H63" s="24"/>
      <c r="I63" s="24"/>
      <c r="J63" s="25"/>
      <c r="K63" s="24"/>
      <c r="L63" s="24"/>
      <c r="M63" s="24"/>
      <c r="N63" s="24"/>
      <c r="O63" s="24"/>
    </row>
    <row r="64" spans="2:16" s="26" customFormat="1" ht="18" customHeight="1" x14ac:dyDescent="0.2">
      <c r="B64" s="50" t="s">
        <v>306</v>
      </c>
      <c r="C64" s="24"/>
      <c r="D64" s="24"/>
      <c r="E64" s="24"/>
      <c r="F64" s="24"/>
      <c r="G64" s="24"/>
      <c r="H64" s="24"/>
      <c r="I64" s="24"/>
      <c r="J64" s="25"/>
      <c r="K64" s="24"/>
      <c r="L64" s="24"/>
      <c r="M64" s="24"/>
      <c r="N64" s="24"/>
      <c r="O64" s="24"/>
    </row>
    <row r="65" spans="2:16" s="26" customFormat="1" x14ac:dyDescent="0.2">
      <c r="B65" s="45" t="s">
        <v>252</v>
      </c>
      <c r="C65" s="24"/>
      <c r="D65" s="24"/>
      <c r="E65" s="24"/>
      <c r="F65" s="24"/>
      <c r="G65" s="24"/>
      <c r="H65" s="24"/>
      <c r="I65" s="24"/>
      <c r="J65" s="25"/>
      <c r="K65" s="24"/>
      <c r="L65" s="24"/>
      <c r="M65" s="24"/>
      <c r="N65" s="24"/>
      <c r="O65" s="24"/>
    </row>
    <row r="66" spans="2:16" s="26" customFormat="1" ht="18" customHeight="1" x14ac:dyDescent="0.2">
      <c r="B66" s="48" t="s">
        <v>307</v>
      </c>
      <c r="C66" s="24"/>
      <c r="D66" s="24"/>
      <c r="E66" s="24"/>
      <c r="F66" s="24"/>
      <c r="G66" s="24"/>
      <c r="H66" s="24"/>
      <c r="I66" s="24"/>
      <c r="J66" s="25"/>
      <c r="K66" s="24"/>
      <c r="L66" s="24"/>
      <c r="M66" s="24"/>
      <c r="N66" s="24"/>
      <c r="O66" s="24"/>
    </row>
    <row r="67" spans="2:16" s="26" customFormat="1" x14ac:dyDescent="0.2">
      <c r="B67" s="48" t="s">
        <v>101</v>
      </c>
      <c r="C67" s="24"/>
      <c r="D67" s="24"/>
      <c r="E67" s="24"/>
      <c r="F67" s="24"/>
      <c r="G67" s="24"/>
      <c r="H67" s="24"/>
      <c r="I67" s="24"/>
      <c r="J67" s="25"/>
      <c r="K67" s="24"/>
      <c r="L67" s="24"/>
      <c r="M67" s="24"/>
      <c r="N67" s="24"/>
      <c r="O67" s="24"/>
    </row>
    <row r="68" spans="2:16" s="26" customFormat="1" x14ac:dyDescent="0.2">
      <c r="B68" s="97" t="s">
        <v>308</v>
      </c>
      <c r="C68" s="24"/>
      <c r="D68" s="24"/>
      <c r="E68" s="24"/>
      <c r="F68" s="24"/>
      <c r="G68" s="24"/>
      <c r="H68" s="24"/>
      <c r="I68" s="24"/>
      <c r="J68" s="25"/>
      <c r="K68" s="24"/>
      <c r="L68" s="24"/>
      <c r="M68" s="24"/>
      <c r="N68" s="24"/>
      <c r="O68" s="24"/>
    </row>
    <row r="69" spans="2:16" s="26" customFormat="1" ht="18" customHeight="1" x14ac:dyDescent="0.2">
      <c r="B69" s="50" t="s">
        <v>309</v>
      </c>
      <c r="C69" s="24"/>
      <c r="D69" s="24"/>
      <c r="E69" s="24"/>
      <c r="F69" s="24"/>
      <c r="G69" s="24"/>
      <c r="H69" s="24"/>
      <c r="I69" s="24"/>
      <c r="J69" s="25"/>
      <c r="K69" s="24"/>
      <c r="L69" s="24"/>
      <c r="M69" s="24"/>
      <c r="N69" s="24"/>
      <c r="O69" s="24"/>
    </row>
    <row r="70" spans="2:16" s="26" customFormat="1" x14ac:dyDescent="0.2">
      <c r="B70" s="45" t="s">
        <v>253</v>
      </c>
      <c r="C70" s="24"/>
      <c r="D70" s="24"/>
      <c r="E70" s="24"/>
      <c r="F70" s="24"/>
      <c r="G70" s="24"/>
      <c r="H70" s="24"/>
      <c r="I70" s="24"/>
      <c r="J70" s="25"/>
      <c r="K70" s="24"/>
      <c r="L70" s="24"/>
      <c r="M70" s="24"/>
      <c r="N70" s="24"/>
      <c r="O70" s="24"/>
    </row>
    <row r="71" spans="2:16" s="26" customFormat="1" ht="18" customHeight="1" x14ac:dyDescent="0.2">
      <c r="B71" s="50" t="s">
        <v>310</v>
      </c>
      <c r="C71" s="24"/>
      <c r="D71" s="24"/>
      <c r="E71" s="24"/>
      <c r="F71" s="24"/>
      <c r="G71" s="24"/>
      <c r="H71" s="24"/>
      <c r="I71" s="24"/>
      <c r="J71" s="24"/>
      <c r="K71" s="25"/>
      <c r="L71" s="24"/>
      <c r="M71" s="24"/>
      <c r="N71" s="24"/>
      <c r="O71" s="24"/>
      <c r="P71" s="24"/>
    </row>
    <row r="72" spans="2:16" s="26" customFormat="1" x14ac:dyDescent="0.2">
      <c r="B72" s="45" t="s">
        <v>105</v>
      </c>
      <c r="C72" s="24"/>
      <c r="D72" s="24"/>
      <c r="E72" s="24"/>
      <c r="F72" s="24"/>
      <c r="G72" s="24"/>
      <c r="H72" s="24"/>
      <c r="I72" s="24"/>
      <c r="J72" s="24"/>
      <c r="K72" s="25"/>
      <c r="L72" s="24"/>
      <c r="M72" s="24"/>
      <c r="N72" s="24"/>
      <c r="O72" s="24"/>
      <c r="P72" s="24"/>
    </row>
    <row r="73" spans="2:16" s="26" customFormat="1" x14ac:dyDescent="0.2">
      <c r="B73" s="97" t="s">
        <v>102</v>
      </c>
      <c r="C73" s="24"/>
      <c r="D73" s="24"/>
      <c r="E73" s="24"/>
      <c r="F73" s="24"/>
      <c r="G73" s="24"/>
      <c r="H73" s="24"/>
      <c r="I73" s="24"/>
      <c r="J73" s="24"/>
      <c r="K73" s="25"/>
      <c r="L73" s="24"/>
      <c r="M73" s="24"/>
      <c r="N73" s="24"/>
      <c r="O73" s="24"/>
      <c r="P73" s="24"/>
    </row>
    <row r="74" spans="2:16" s="26" customFormat="1" x14ac:dyDescent="0.2">
      <c r="B74" s="97" t="s">
        <v>283</v>
      </c>
      <c r="C74" s="24"/>
      <c r="D74" s="24"/>
      <c r="E74" s="24"/>
      <c r="F74" s="24"/>
      <c r="G74" s="24"/>
      <c r="H74" s="24"/>
      <c r="I74" s="24"/>
      <c r="J74" s="24"/>
      <c r="K74" s="25"/>
      <c r="L74" s="24"/>
      <c r="M74" s="24"/>
      <c r="N74" s="24"/>
      <c r="O74" s="24"/>
      <c r="P74" s="24"/>
    </row>
    <row r="75" spans="2:16" s="26" customFormat="1" x14ac:dyDescent="0.2">
      <c r="B75" s="97" t="s">
        <v>284</v>
      </c>
      <c r="C75" s="24"/>
      <c r="D75" s="24"/>
      <c r="E75" s="24"/>
      <c r="F75" s="24"/>
      <c r="G75" s="24"/>
      <c r="H75" s="24"/>
      <c r="I75" s="24"/>
      <c r="J75" s="24"/>
      <c r="K75" s="25"/>
      <c r="L75" s="24"/>
      <c r="M75" s="24"/>
      <c r="N75" s="24"/>
      <c r="O75" s="24"/>
      <c r="P75" s="24"/>
    </row>
    <row r="76" spans="2:16" s="26" customFormat="1" ht="18" customHeight="1" x14ac:dyDescent="0.2">
      <c r="B76" s="50" t="s">
        <v>311</v>
      </c>
      <c r="C76" s="24"/>
      <c r="D76" s="24"/>
      <c r="E76" s="24"/>
      <c r="F76" s="24"/>
      <c r="G76" s="24"/>
      <c r="H76" s="24"/>
      <c r="I76" s="24"/>
      <c r="J76" s="24"/>
      <c r="K76" s="25"/>
      <c r="L76" s="24"/>
      <c r="M76" s="24"/>
      <c r="N76" s="24"/>
      <c r="O76" s="24"/>
      <c r="P76" s="24"/>
    </row>
    <row r="77" spans="2:16" s="26" customFormat="1" x14ac:dyDescent="0.2">
      <c r="B77" s="45"/>
      <c r="C77" s="24"/>
      <c r="D77" s="24"/>
      <c r="E77" s="24"/>
      <c r="F77" s="24"/>
      <c r="G77" s="24"/>
      <c r="H77" s="24"/>
      <c r="I77" s="24"/>
      <c r="J77" s="25"/>
      <c r="K77" s="24"/>
      <c r="L77" s="24"/>
      <c r="M77" s="24"/>
      <c r="N77" s="24"/>
      <c r="O77" s="24"/>
    </row>
    <row r="78" spans="2:16" s="26" customFormat="1" x14ac:dyDescent="0.2">
      <c r="B78" s="42" t="s">
        <v>33</v>
      </c>
      <c r="C78" s="24"/>
      <c r="D78" s="24"/>
      <c r="E78" s="24"/>
      <c r="F78" s="24"/>
      <c r="G78" s="24"/>
      <c r="H78" s="24"/>
      <c r="I78" s="24"/>
      <c r="J78" s="25"/>
      <c r="K78" s="24"/>
      <c r="L78" s="24"/>
      <c r="M78" s="24"/>
      <c r="N78" s="24"/>
      <c r="O78" s="24"/>
    </row>
    <row r="79" spans="2:16" s="26" customFormat="1" ht="18" customHeight="1" x14ac:dyDescent="0.2">
      <c r="B79" s="45" t="s">
        <v>34</v>
      </c>
      <c r="C79" s="24"/>
      <c r="D79" s="24"/>
      <c r="E79" s="24"/>
      <c r="F79" s="24"/>
      <c r="G79" s="24"/>
      <c r="H79" s="24"/>
      <c r="I79" s="24"/>
      <c r="J79" s="25"/>
      <c r="K79" s="24"/>
      <c r="L79" s="24"/>
      <c r="M79" s="24"/>
      <c r="N79" s="24"/>
      <c r="O79" s="24"/>
    </row>
    <row r="80" spans="2:16" s="26" customFormat="1" x14ac:dyDescent="0.2">
      <c r="B80" s="45" t="s">
        <v>35</v>
      </c>
      <c r="C80" s="24"/>
      <c r="D80" s="24"/>
      <c r="E80" s="24"/>
      <c r="F80" s="24"/>
      <c r="G80" s="24"/>
      <c r="H80" s="24"/>
      <c r="I80" s="24"/>
      <c r="J80" s="25"/>
      <c r="K80" s="24"/>
      <c r="L80" s="24"/>
      <c r="M80" s="24"/>
      <c r="N80" s="24"/>
      <c r="O80" s="24"/>
    </row>
    <row r="81" spans="2:15" s="26" customFormat="1" x14ac:dyDescent="0.2">
      <c r="B81" s="45" t="s">
        <v>109</v>
      </c>
      <c r="C81" s="24"/>
      <c r="D81" s="24"/>
      <c r="E81" s="24"/>
      <c r="F81" s="24"/>
      <c r="G81" s="24"/>
      <c r="H81" s="24"/>
      <c r="I81" s="24"/>
      <c r="J81" s="25"/>
      <c r="K81" s="24"/>
      <c r="L81" s="24"/>
      <c r="M81" s="24"/>
      <c r="N81" s="24"/>
      <c r="O81" s="24"/>
    </row>
    <row r="82" spans="2:15" s="26" customFormat="1" x14ac:dyDescent="0.2">
      <c r="B82" s="45"/>
      <c r="C82" s="24"/>
      <c r="D82" s="24"/>
      <c r="E82" s="24"/>
      <c r="F82" s="24"/>
      <c r="G82" s="24"/>
      <c r="H82" s="24"/>
      <c r="I82" s="24"/>
      <c r="J82" s="25"/>
      <c r="K82" s="24"/>
      <c r="L82" s="24"/>
      <c r="M82" s="24"/>
      <c r="N82" s="24"/>
      <c r="O82" s="24"/>
    </row>
    <row r="83" spans="2:15" s="26" customFormat="1" x14ac:dyDescent="0.2">
      <c r="B83" s="45" t="s">
        <v>180</v>
      </c>
      <c r="C83" s="24"/>
      <c r="D83" s="24"/>
      <c r="E83" s="24"/>
      <c r="F83" s="24"/>
      <c r="G83" s="24"/>
      <c r="H83" s="24"/>
      <c r="I83" s="24"/>
      <c r="J83" s="25"/>
      <c r="K83" s="24"/>
      <c r="L83" s="24"/>
      <c r="M83" s="24"/>
      <c r="N83" s="24"/>
      <c r="O83" s="24"/>
    </row>
    <row r="84" spans="2:15" s="26" customFormat="1" x14ac:dyDescent="0.2">
      <c r="B84" s="45" t="s">
        <v>181</v>
      </c>
      <c r="C84" s="24"/>
      <c r="D84" s="24"/>
      <c r="E84" s="24"/>
      <c r="F84" s="24"/>
      <c r="G84" s="24"/>
      <c r="H84" s="24"/>
      <c r="I84" s="24"/>
      <c r="J84" s="25"/>
      <c r="K84" s="24"/>
      <c r="L84" s="24"/>
      <c r="M84" s="24"/>
      <c r="N84" s="24"/>
      <c r="O84" s="24"/>
    </row>
    <row r="85" spans="2:15" s="26" customFormat="1" x14ac:dyDescent="0.2">
      <c r="B85" s="45" t="s">
        <v>182</v>
      </c>
      <c r="C85" s="24"/>
      <c r="D85" s="24"/>
      <c r="E85" s="24"/>
      <c r="F85" s="24"/>
      <c r="G85" s="24"/>
      <c r="H85" s="24"/>
      <c r="I85" s="24"/>
      <c r="J85" s="25"/>
      <c r="K85" s="24"/>
      <c r="L85" s="24"/>
      <c r="M85" s="24"/>
      <c r="N85" s="24"/>
      <c r="O85" s="24"/>
    </row>
    <row r="86" spans="2:15" s="26" customFormat="1" x14ac:dyDescent="0.2">
      <c r="B86" s="45"/>
      <c r="C86" s="24"/>
      <c r="D86" s="24"/>
      <c r="E86" s="24"/>
      <c r="F86" s="24"/>
      <c r="G86" s="24"/>
      <c r="H86" s="24"/>
      <c r="I86" s="24"/>
      <c r="J86" s="25"/>
      <c r="K86" s="24"/>
      <c r="L86" s="24"/>
      <c r="M86" s="24"/>
      <c r="N86" s="24"/>
      <c r="O86" s="24"/>
    </row>
    <row r="87" spans="2:15" s="26" customFormat="1" x14ac:dyDescent="0.2">
      <c r="B87" s="45" t="s">
        <v>256</v>
      </c>
      <c r="C87" s="24"/>
      <c r="D87" s="24"/>
      <c r="E87" s="24"/>
      <c r="F87" s="24"/>
      <c r="G87" s="24"/>
      <c r="H87" s="24"/>
      <c r="I87" s="24"/>
      <c r="J87" s="25"/>
      <c r="K87" s="24"/>
      <c r="L87" s="24"/>
      <c r="M87" s="24"/>
      <c r="N87" s="24"/>
      <c r="O87" s="24"/>
    </row>
    <row r="88" spans="2:15" ht="18" customHeight="1" x14ac:dyDescent="0.2">
      <c r="D88" s="24"/>
      <c r="G88" s="24"/>
    </row>
    <row r="89" spans="2:15" ht="13.15" customHeight="1" x14ac:dyDescent="0.2">
      <c r="C89" s="16"/>
      <c r="F89" s="16" t="s">
        <v>103</v>
      </c>
      <c r="G89" s="124" t="s">
        <v>141</v>
      </c>
      <c r="H89" s="123">
        <f>H92/H93</f>
        <v>0.10477817040937738</v>
      </c>
    </row>
    <row r="90" spans="2:15" ht="13.15" customHeight="1" x14ac:dyDescent="0.2">
      <c r="F90" s="18"/>
    </row>
    <row r="91" spans="2:15" ht="18" customHeight="1" x14ac:dyDescent="0.2">
      <c r="B91" s="23" t="s">
        <v>18</v>
      </c>
      <c r="F91" s="18"/>
    </row>
    <row r="92" spans="2:15" x14ac:dyDescent="0.2">
      <c r="B92" s="20" t="s">
        <v>115</v>
      </c>
      <c r="F92" s="18"/>
      <c r="G92" s="124" t="s">
        <v>121</v>
      </c>
      <c r="H92" s="127">
        <f>SUM(C7:C25)</f>
        <v>91</v>
      </c>
    </row>
    <row r="93" spans="2:15" x14ac:dyDescent="0.2">
      <c r="B93" s="20" t="s">
        <v>116</v>
      </c>
      <c r="F93" s="18"/>
      <c r="G93" s="124" t="s">
        <v>140</v>
      </c>
      <c r="H93" s="129">
        <f>SUMPRODUCT(G7:G25,D7:D25)</f>
        <v>868.50151748646806</v>
      </c>
    </row>
    <row r="94" spans="2:15" ht="13.15" customHeight="1" x14ac:dyDescent="0.2">
      <c r="B94" s="21" t="s">
        <v>117</v>
      </c>
      <c r="F94" s="18"/>
    </row>
    <row r="95" spans="2:15" ht="13.15" customHeight="1" x14ac:dyDescent="0.2">
      <c r="B95" s="20" t="s">
        <v>244</v>
      </c>
      <c r="F95" s="18"/>
    </row>
    <row r="96" spans="2:15" ht="13.15" customHeight="1" x14ac:dyDescent="0.2">
      <c r="B96" s="21" t="s">
        <v>104</v>
      </c>
      <c r="F96" s="18"/>
    </row>
    <row r="97" spans="2:16" ht="13.15" customHeight="1" x14ac:dyDescent="0.2">
      <c r="B97" s="20" t="s">
        <v>245</v>
      </c>
      <c r="F97" s="18"/>
    </row>
    <row r="98" spans="2:16" ht="13.15" customHeight="1" x14ac:dyDescent="0.2">
      <c r="B98" s="21" t="s">
        <v>192</v>
      </c>
      <c r="F98" s="18"/>
    </row>
    <row r="99" spans="2:16" ht="13.15" customHeight="1" x14ac:dyDescent="0.2">
      <c r="B99" s="20" t="s">
        <v>246</v>
      </c>
      <c r="F99" s="18"/>
    </row>
    <row r="100" spans="2:16" ht="13.15" customHeight="1" x14ac:dyDescent="0.2">
      <c r="B100" s="98" t="s">
        <v>247</v>
      </c>
      <c r="F100" s="18"/>
    </row>
    <row r="101" spans="2:16" ht="13.15" customHeight="1" x14ac:dyDescent="0.2">
      <c r="B101" s="21" t="s">
        <v>193</v>
      </c>
      <c r="F101" s="18"/>
    </row>
    <row r="102" spans="2:16" s="26" customFormat="1" x14ac:dyDescent="0.2">
      <c r="B102" s="25"/>
      <c r="C102" s="24"/>
      <c r="D102" s="24"/>
      <c r="E102" s="24"/>
      <c r="F102" s="24"/>
      <c r="G102" s="24"/>
      <c r="H102" s="24"/>
      <c r="I102" s="24"/>
      <c r="J102" s="25"/>
      <c r="K102" s="24"/>
      <c r="L102" s="24"/>
      <c r="M102" s="24"/>
      <c r="N102" s="24"/>
      <c r="O102" s="24"/>
    </row>
    <row r="103" spans="2:16" ht="13.15" customHeight="1" x14ac:dyDescent="0.2">
      <c r="B103" s="11" t="s">
        <v>179</v>
      </c>
      <c r="J103" s="2"/>
      <c r="K103" s="10"/>
      <c r="P103" s="2"/>
    </row>
    <row r="104" spans="2:16" x14ac:dyDescent="0.2">
      <c r="B104" s="11" t="s">
        <v>128</v>
      </c>
      <c r="F104" s="18"/>
      <c r="J104" s="2"/>
      <c r="K104" s="10"/>
      <c r="P104" s="2"/>
    </row>
    <row r="105" spans="2:16" x14ac:dyDescent="0.2">
      <c r="F105" s="10"/>
      <c r="J105" s="2"/>
      <c r="K105" s="10"/>
      <c r="P105" s="2"/>
    </row>
    <row r="106" spans="2:16" ht="13.15" customHeight="1" x14ac:dyDescent="0.2">
      <c r="F106" s="16" t="s">
        <v>165</v>
      </c>
      <c r="G106" s="124" t="s">
        <v>143</v>
      </c>
      <c r="H106" s="123">
        <f>H118/H93</f>
        <v>7.4064115794269872E-2</v>
      </c>
      <c r="J106" s="2"/>
      <c r="K106" s="10"/>
      <c r="P106" s="2"/>
    </row>
    <row r="107" spans="2:16" x14ac:dyDescent="0.2">
      <c r="F107" s="10"/>
      <c r="H107" s="122"/>
      <c r="J107" s="2"/>
      <c r="K107" s="10"/>
      <c r="P107" s="2"/>
    </row>
    <row r="108" spans="2:16" ht="13.15" customHeight="1" x14ac:dyDescent="0.2">
      <c r="F108" s="10"/>
      <c r="H108" s="22"/>
      <c r="J108" s="2"/>
      <c r="K108" s="10"/>
      <c r="P108" s="2"/>
    </row>
    <row r="109" spans="2:16" ht="13.15" customHeight="1" x14ac:dyDescent="0.2">
      <c r="F109" s="16" t="s">
        <v>166</v>
      </c>
      <c r="G109" s="124" t="s">
        <v>142</v>
      </c>
      <c r="H109" s="123">
        <f>H121/H93</f>
        <v>0.14338405403444704</v>
      </c>
      <c r="J109" s="2"/>
      <c r="K109" s="10"/>
      <c r="P109" s="2"/>
    </row>
    <row r="110" spans="2:16" ht="13.15" customHeight="1" x14ac:dyDescent="0.2">
      <c r="B110" s="9"/>
      <c r="H110" s="122"/>
      <c r="J110" s="2"/>
      <c r="K110" s="10"/>
      <c r="P110" s="2"/>
    </row>
    <row r="111" spans="2:16" ht="13.15" customHeight="1" x14ac:dyDescent="0.2">
      <c r="B111" s="23" t="s">
        <v>18</v>
      </c>
      <c r="J111" s="2"/>
      <c r="K111" s="10"/>
      <c r="P111" s="2"/>
    </row>
    <row r="112" spans="2:16" ht="13.15" customHeight="1" x14ac:dyDescent="0.2">
      <c r="B112" s="20" t="s">
        <v>238</v>
      </c>
      <c r="E112" s="9"/>
      <c r="F112" s="9"/>
      <c r="G112" s="9"/>
      <c r="H112" s="9"/>
      <c r="J112" s="2"/>
      <c r="K112" s="10"/>
      <c r="P112" s="2"/>
    </row>
    <row r="113" spans="2:17" ht="13.15" customHeight="1" x14ac:dyDescent="0.2">
      <c r="B113" s="21" t="s">
        <v>175</v>
      </c>
      <c r="G113" s="9"/>
      <c r="H113" s="9"/>
      <c r="J113" s="2"/>
      <c r="K113" s="10"/>
      <c r="P113" s="2"/>
    </row>
    <row r="114" spans="2:17" ht="13.15" customHeight="1" x14ac:dyDescent="0.2">
      <c r="B114" s="21"/>
      <c r="G114" s="9"/>
      <c r="H114" s="9"/>
      <c r="J114" s="2"/>
      <c r="K114" s="10"/>
      <c r="P114" s="2"/>
    </row>
    <row r="115" spans="2:17" ht="14.25" x14ac:dyDescent="0.2">
      <c r="B115" s="11" t="s">
        <v>176</v>
      </c>
      <c r="G115" s="9"/>
      <c r="H115" s="9"/>
      <c r="J115" s="2"/>
      <c r="K115" s="10"/>
      <c r="P115" s="2"/>
    </row>
    <row r="116" spans="2:17" x14ac:dyDescent="0.2">
      <c r="B116" s="11" t="s">
        <v>177</v>
      </c>
      <c r="F116" s="18"/>
      <c r="J116" s="2"/>
      <c r="K116" s="10"/>
      <c r="P116" s="2"/>
    </row>
    <row r="117" spans="2:17" x14ac:dyDescent="0.2">
      <c r="F117" s="10"/>
      <c r="J117" s="2"/>
      <c r="K117" s="10"/>
      <c r="P117" s="2"/>
    </row>
    <row r="118" spans="2:17" ht="13.15" customHeight="1" x14ac:dyDescent="0.2">
      <c r="F118" s="16" t="s">
        <v>39</v>
      </c>
      <c r="G118" s="124" t="s">
        <v>130</v>
      </c>
      <c r="H118" s="123">
        <f>H92*(1-1/(9*H92)-H124/(3*SQRT(H92)))^3</f>
        <v>64.324796958616872</v>
      </c>
      <c r="J118" s="2"/>
      <c r="K118" s="10"/>
      <c r="P118" s="2"/>
    </row>
    <row r="119" spans="2:17" x14ac:dyDescent="0.2">
      <c r="F119" s="10"/>
      <c r="J119" s="2"/>
      <c r="K119" s="10"/>
      <c r="P119" s="2"/>
    </row>
    <row r="120" spans="2:17" ht="13.15" customHeight="1" x14ac:dyDescent="0.2">
      <c r="F120" s="10"/>
      <c r="H120" s="22"/>
      <c r="J120" s="2"/>
      <c r="K120" s="10"/>
      <c r="P120" s="2"/>
    </row>
    <row r="121" spans="2:17" ht="13.15" customHeight="1" x14ac:dyDescent="0.2">
      <c r="F121" s="16" t="s">
        <v>40</v>
      </c>
      <c r="G121" s="124" t="s">
        <v>132</v>
      </c>
      <c r="H121" s="123">
        <f>(H92+1)*(1-1/(9*(H92+1))+H124/(3*SQRT(H92+1)))^3</f>
        <v>124.52926851227897</v>
      </c>
      <c r="J121" s="2"/>
      <c r="K121" s="10"/>
      <c r="P121" s="2"/>
    </row>
    <row r="122" spans="2:17" ht="13.15" customHeight="1" x14ac:dyDescent="0.2">
      <c r="B122" s="9"/>
      <c r="H122" s="122"/>
      <c r="J122" s="2"/>
      <c r="K122" s="10"/>
      <c r="P122" s="2"/>
    </row>
    <row r="123" spans="2:17" ht="13.15" customHeight="1" x14ac:dyDescent="0.2">
      <c r="B123" s="23" t="s">
        <v>18</v>
      </c>
      <c r="J123" s="2"/>
      <c r="K123" s="10"/>
      <c r="P123" s="2"/>
    </row>
    <row r="124" spans="2:17" ht="13.15" customHeight="1" x14ac:dyDescent="0.2">
      <c r="B124" s="20" t="s">
        <v>139</v>
      </c>
      <c r="G124" s="124" t="s">
        <v>124</v>
      </c>
      <c r="H124" s="123">
        <f>NORMSINV(1-H36/2)</f>
        <v>3.0902323061678132</v>
      </c>
      <c r="J124" s="2"/>
      <c r="K124" s="10"/>
      <c r="P124" s="2"/>
    </row>
    <row r="125" spans="2:17" ht="13.15" customHeight="1" x14ac:dyDescent="0.2">
      <c r="B125" s="21" t="s">
        <v>236</v>
      </c>
      <c r="G125" s="124"/>
      <c r="H125" s="123"/>
      <c r="J125" s="2"/>
      <c r="L125" s="10"/>
      <c r="P125" s="2"/>
      <c r="Q125" s="2"/>
    </row>
    <row r="126" spans="2:17" ht="13.15" customHeight="1" x14ac:dyDescent="0.2">
      <c r="B126" s="21" t="s">
        <v>221</v>
      </c>
      <c r="G126" s="124"/>
      <c r="H126" s="123"/>
      <c r="J126" s="2"/>
      <c r="L126" s="10"/>
      <c r="P126" s="2"/>
      <c r="Q126" s="2"/>
    </row>
    <row r="127" spans="2:17" x14ac:dyDescent="0.2">
      <c r="J127" s="2"/>
      <c r="K127" s="10"/>
      <c r="P127" s="2"/>
    </row>
    <row r="128" spans="2:17" s="23" customFormat="1" x14ac:dyDescent="0.2">
      <c r="B128" s="23" t="s">
        <v>26</v>
      </c>
    </row>
    <row r="129" spans="2:16" s="23" customFormat="1" ht="13.15" customHeight="1" x14ac:dyDescent="0.2">
      <c r="B129" s="23" t="s">
        <v>25</v>
      </c>
    </row>
    <row r="130" spans="2:16" s="23" customFormat="1" ht="13.15" customHeight="1" x14ac:dyDescent="0.2">
      <c r="B130" s="23" t="s">
        <v>27</v>
      </c>
    </row>
    <row r="131" spans="2:16" s="23" customFormat="1" ht="13.15" customHeight="1" x14ac:dyDescent="0.2">
      <c r="B131" s="23" t="s">
        <v>91</v>
      </c>
    </row>
    <row r="132" spans="2:16" ht="13.15" customHeight="1" x14ac:dyDescent="0.2">
      <c r="J132" s="2"/>
      <c r="K132" s="10"/>
      <c r="P132" s="2"/>
    </row>
    <row r="133" spans="2:16" ht="15.75" x14ac:dyDescent="0.2">
      <c r="B133" s="11" t="s">
        <v>134</v>
      </c>
      <c r="F133" s="18"/>
      <c r="J133" s="2"/>
      <c r="K133" s="10"/>
      <c r="P133" s="2"/>
    </row>
    <row r="134" spans="2:16" ht="13.15" customHeight="1" x14ac:dyDescent="0.2">
      <c r="B134" s="17" t="s">
        <v>28</v>
      </c>
      <c r="F134" s="18"/>
      <c r="J134" s="2"/>
      <c r="K134" s="10"/>
      <c r="P134" s="2"/>
    </row>
    <row r="135" spans="2:16" ht="13.15" customHeight="1" x14ac:dyDescent="0.2">
      <c r="F135" s="10"/>
      <c r="J135" s="2"/>
      <c r="K135" s="10"/>
      <c r="P135" s="2"/>
    </row>
    <row r="136" spans="2:16" ht="13.15" customHeight="1" x14ac:dyDescent="0.2">
      <c r="D136" s="10"/>
      <c r="F136" s="16"/>
      <c r="G136" s="124" t="s">
        <v>130</v>
      </c>
      <c r="H136" s="123">
        <f>H141/2</f>
        <v>64.343294242181898</v>
      </c>
      <c r="J136" s="2"/>
      <c r="K136" s="10"/>
      <c r="P136" s="2"/>
    </row>
    <row r="137" spans="2:16" ht="13.15" customHeight="1" x14ac:dyDescent="0.2">
      <c r="D137" s="10"/>
      <c r="F137" s="10"/>
      <c r="G137" s="9"/>
      <c r="H137" s="9"/>
      <c r="J137" s="2"/>
      <c r="K137" s="10"/>
      <c r="P137" s="2"/>
    </row>
    <row r="138" spans="2:16" ht="13.15" customHeight="1" x14ac:dyDescent="0.2">
      <c r="D138" s="10"/>
      <c r="F138" s="10"/>
      <c r="G138" s="124"/>
      <c r="H138" s="123"/>
      <c r="J138" s="2"/>
      <c r="K138" s="10"/>
      <c r="P138" s="2"/>
    </row>
    <row r="139" spans="2:16" ht="13.15" customHeight="1" x14ac:dyDescent="0.2">
      <c r="D139" s="10"/>
      <c r="F139" s="16"/>
      <c r="G139" s="124" t="s">
        <v>132</v>
      </c>
      <c r="H139" s="123">
        <f>H143/2</f>
        <v>124.50901956736195</v>
      </c>
      <c r="J139" s="2"/>
      <c r="K139" s="10"/>
      <c r="P139" s="2"/>
    </row>
    <row r="140" spans="2:16" ht="18" customHeight="1" x14ac:dyDescent="0.2">
      <c r="B140" s="23" t="s">
        <v>18</v>
      </c>
      <c r="D140" s="10"/>
      <c r="F140" s="16"/>
      <c r="G140" s="124"/>
      <c r="H140" s="123"/>
      <c r="J140" s="2"/>
      <c r="K140" s="10"/>
      <c r="P140" s="2"/>
    </row>
    <row r="141" spans="2:16" ht="15.75" x14ac:dyDescent="0.2">
      <c r="B141" s="98" t="s">
        <v>206</v>
      </c>
      <c r="G141" s="126" t="s">
        <v>208</v>
      </c>
      <c r="H141" s="123">
        <f>CHIINV(1-H36/2,2*H92)</f>
        <v>128.6865884843638</v>
      </c>
      <c r="J141" s="2"/>
      <c r="K141" s="10"/>
      <c r="P141" s="2"/>
    </row>
    <row r="142" spans="2:16" x14ac:dyDescent="0.2">
      <c r="B142" s="21" t="s">
        <v>29</v>
      </c>
      <c r="H142" s="123"/>
      <c r="J142" s="2"/>
      <c r="K142" s="10"/>
      <c r="P142" s="2"/>
    </row>
    <row r="143" spans="2:16" ht="15.75" x14ac:dyDescent="0.2">
      <c r="B143" s="98" t="s">
        <v>207</v>
      </c>
      <c r="G143" s="126" t="s">
        <v>209</v>
      </c>
      <c r="H143" s="123">
        <f>CHIINV(H36/2,2*H92+2)</f>
        <v>249.01803913472389</v>
      </c>
      <c r="J143" s="2"/>
      <c r="K143" s="10"/>
      <c r="P143" s="2"/>
    </row>
    <row r="144" spans="2:16" x14ac:dyDescent="0.2">
      <c r="B144" s="21" t="s">
        <v>30</v>
      </c>
      <c r="J144" s="2"/>
      <c r="K144" s="10"/>
      <c r="P144" s="2"/>
    </row>
    <row r="145" spans="2:16" ht="14.25" x14ac:dyDescent="0.2">
      <c r="B145" s="21"/>
      <c r="G145" s="121" t="s">
        <v>151</v>
      </c>
      <c r="J145" s="2"/>
      <c r="K145" s="10"/>
      <c r="P145" s="2"/>
    </row>
    <row r="146" spans="2:16" s="23" customFormat="1" ht="13.15" customHeight="1" x14ac:dyDescent="0.2">
      <c r="B146" s="23" t="s">
        <v>216</v>
      </c>
      <c r="G146" s="121" t="s">
        <v>150</v>
      </c>
    </row>
    <row r="147" spans="2:16" s="23" customFormat="1" ht="13.15" customHeight="1" x14ac:dyDescent="0.2">
      <c r="B147" s="23" t="s">
        <v>217</v>
      </c>
      <c r="G147" s="121" t="s">
        <v>210</v>
      </c>
    </row>
    <row r="148" spans="2:16" s="23" customFormat="1" ht="13.15" customHeight="1" x14ac:dyDescent="0.2">
      <c r="B148" s="23" t="s">
        <v>218</v>
      </c>
      <c r="G148" s="121" t="s">
        <v>211</v>
      </c>
    </row>
    <row r="149" spans="2:16" s="23" customFormat="1" ht="13.15" customHeight="1" x14ac:dyDescent="0.2">
      <c r="B149" s="23" t="s">
        <v>219</v>
      </c>
      <c r="G149" s="121" t="s">
        <v>212</v>
      </c>
    </row>
    <row r="150" spans="2:16" s="23" customFormat="1" ht="13.15" customHeight="1" x14ac:dyDescent="0.2">
      <c r="B150" s="23" t="s">
        <v>220</v>
      </c>
      <c r="G150" s="134" t="s">
        <v>213</v>
      </c>
    </row>
    <row r="151" spans="2:16" s="26" customFormat="1" x14ac:dyDescent="0.2">
      <c r="B151" s="25"/>
      <c r="C151" s="24"/>
      <c r="D151" s="24"/>
      <c r="E151" s="24"/>
      <c r="F151" s="24"/>
      <c r="G151" s="24"/>
      <c r="H151" s="24"/>
      <c r="I151" s="24"/>
      <c r="J151" s="24"/>
      <c r="K151" s="25"/>
      <c r="L151" s="24"/>
      <c r="M151" s="24"/>
      <c r="N151" s="24"/>
      <c r="O151" s="24"/>
      <c r="P151" s="24"/>
    </row>
    <row r="152" spans="2:16" s="26" customFormat="1" x14ac:dyDescent="0.2">
      <c r="B152" s="42" t="s">
        <v>31</v>
      </c>
      <c r="C152" s="24"/>
      <c r="D152" s="24"/>
      <c r="E152" s="24"/>
      <c r="F152" s="24"/>
      <c r="G152" s="24"/>
      <c r="H152" s="24"/>
      <c r="I152" s="24"/>
      <c r="J152" s="24"/>
      <c r="K152" s="25"/>
      <c r="L152" s="24"/>
      <c r="M152" s="24"/>
      <c r="N152" s="24"/>
      <c r="O152" s="24"/>
      <c r="P152" s="24"/>
    </row>
    <row r="153" spans="2:16" s="41" customFormat="1" ht="13.15" customHeight="1" x14ac:dyDescent="0.2">
      <c r="B153" s="43" t="s">
        <v>267</v>
      </c>
      <c r="C153" s="40"/>
      <c r="D153" s="40"/>
      <c r="E153" s="40"/>
      <c r="F153" s="40"/>
      <c r="G153" s="40"/>
      <c r="H153" s="40"/>
      <c r="I153" s="40"/>
      <c r="J153" s="40"/>
      <c r="K153" s="39"/>
      <c r="L153" s="40"/>
      <c r="M153" s="40"/>
      <c r="N153" s="40"/>
      <c r="O153" s="40"/>
      <c r="P153" s="40"/>
    </row>
    <row r="154" spans="2:16" s="41" customFormat="1" ht="11.25" x14ac:dyDescent="0.2">
      <c r="B154" s="44" t="s">
        <v>268</v>
      </c>
      <c r="C154" s="40"/>
      <c r="D154" s="40"/>
      <c r="E154" s="40"/>
      <c r="F154" s="40"/>
      <c r="G154" s="40"/>
      <c r="H154" s="40"/>
      <c r="I154" s="40"/>
      <c r="J154" s="40"/>
      <c r="K154" s="39"/>
      <c r="L154" s="40"/>
      <c r="M154" s="40"/>
      <c r="N154" s="40"/>
      <c r="O154" s="40"/>
      <c r="P154" s="40"/>
    </row>
    <row r="155" spans="2:16" s="41" customFormat="1" ht="13.15" customHeight="1" x14ac:dyDescent="0.2">
      <c r="B155" s="43" t="s">
        <v>269</v>
      </c>
      <c r="C155" s="40"/>
      <c r="D155" s="40"/>
      <c r="E155" s="40"/>
      <c r="F155" s="40"/>
      <c r="G155" s="40"/>
      <c r="H155" s="40"/>
      <c r="I155" s="40"/>
      <c r="J155" s="40"/>
      <c r="K155" s="39"/>
      <c r="L155" s="40"/>
      <c r="M155" s="40"/>
      <c r="N155" s="40"/>
      <c r="O155" s="40"/>
      <c r="P155" s="40"/>
    </row>
    <row r="156" spans="2:16" s="26" customFormat="1" x14ac:dyDescent="0.2">
      <c r="B156" s="25"/>
      <c r="C156" s="24"/>
      <c r="D156" s="24"/>
      <c r="E156" s="24"/>
      <c r="F156" s="24"/>
      <c r="G156" s="24"/>
      <c r="H156" s="24"/>
      <c r="I156" s="24"/>
      <c r="J156" s="24"/>
      <c r="K156" s="25"/>
      <c r="L156" s="24"/>
      <c r="M156" s="24"/>
      <c r="N156" s="24"/>
      <c r="O156" s="24"/>
      <c r="P156" s="24"/>
    </row>
    <row r="157" spans="2:16" s="26" customFormat="1" x14ac:dyDescent="0.2">
      <c r="B157" s="25"/>
      <c r="C157" s="24"/>
      <c r="D157" s="24"/>
      <c r="E157" s="24"/>
      <c r="F157" s="24"/>
      <c r="G157" s="24"/>
      <c r="H157" s="24"/>
      <c r="I157" s="24"/>
      <c r="J157" s="24"/>
      <c r="K157" s="25"/>
      <c r="L157" s="24"/>
      <c r="M157" s="24"/>
      <c r="N157" s="24"/>
      <c r="O157" s="24"/>
      <c r="P157" s="24"/>
    </row>
    <row r="158" spans="2:16" s="26" customFormat="1" x14ac:dyDescent="0.2">
      <c r="B158" s="25"/>
      <c r="C158" s="24"/>
      <c r="D158" s="24"/>
      <c r="E158" s="24"/>
      <c r="F158" s="24"/>
      <c r="G158" s="24"/>
      <c r="H158" s="24"/>
      <c r="I158" s="24"/>
      <c r="J158" s="24"/>
      <c r="K158" s="25"/>
      <c r="L158" s="24"/>
      <c r="M158" s="24"/>
      <c r="N158" s="24"/>
      <c r="O158" s="24"/>
      <c r="P158" s="24"/>
    </row>
    <row r="159" spans="2:16" s="26" customFormat="1" x14ac:dyDescent="0.2">
      <c r="B159" s="25"/>
      <c r="C159" s="24"/>
      <c r="D159" s="24"/>
      <c r="E159" s="24"/>
      <c r="F159" s="24"/>
      <c r="G159" s="24"/>
      <c r="H159" s="24"/>
      <c r="I159" s="24"/>
      <c r="J159" s="24"/>
      <c r="K159" s="25"/>
      <c r="L159" s="24"/>
      <c r="M159" s="24"/>
      <c r="N159" s="24"/>
      <c r="O159" s="24"/>
      <c r="P159" s="24"/>
    </row>
    <row r="160" spans="2:16" s="26" customFormat="1" x14ac:dyDescent="0.2">
      <c r="B160" s="25"/>
      <c r="C160" s="24"/>
      <c r="D160" s="24"/>
      <c r="E160" s="24"/>
      <c r="F160" s="24"/>
      <c r="G160" s="24"/>
      <c r="H160" s="24"/>
      <c r="I160" s="24"/>
      <c r="J160" s="24"/>
      <c r="K160" s="25"/>
      <c r="L160" s="24"/>
      <c r="M160" s="24"/>
      <c r="N160" s="24"/>
      <c r="O160" s="24"/>
      <c r="P160" s="24"/>
    </row>
    <row r="161" spans="2:16" s="26" customFormat="1" x14ac:dyDescent="0.2">
      <c r="B161" s="25"/>
      <c r="C161" s="24"/>
      <c r="D161" s="24"/>
      <c r="E161" s="24"/>
      <c r="F161" s="24"/>
      <c r="G161" s="24"/>
      <c r="H161" s="24"/>
      <c r="I161" s="24"/>
      <c r="J161" s="24"/>
      <c r="K161" s="25"/>
      <c r="L161" s="24"/>
      <c r="M161" s="24"/>
      <c r="N161" s="24"/>
      <c r="O161" s="24"/>
      <c r="P161" s="24"/>
    </row>
    <row r="162" spans="2:16" s="26" customFormat="1" x14ac:dyDescent="0.2">
      <c r="B162" s="25"/>
      <c r="C162" s="24"/>
      <c r="D162" s="24"/>
      <c r="E162" s="24"/>
      <c r="F162" s="24"/>
      <c r="G162" s="24"/>
      <c r="H162" s="24"/>
      <c r="I162" s="24"/>
      <c r="J162" s="24"/>
      <c r="K162" s="25"/>
      <c r="L162" s="24"/>
      <c r="M162" s="24"/>
      <c r="N162" s="24"/>
      <c r="O162" s="24"/>
      <c r="P162" s="24"/>
    </row>
    <row r="163" spans="2:16" s="26" customFormat="1" x14ac:dyDescent="0.2">
      <c r="B163" s="25"/>
      <c r="C163" s="24"/>
      <c r="D163" s="24"/>
      <c r="E163" s="24"/>
      <c r="F163" s="24"/>
      <c r="G163" s="24"/>
      <c r="H163" s="24"/>
      <c r="I163" s="24"/>
      <c r="J163" s="24"/>
      <c r="K163" s="25"/>
      <c r="L163" s="24"/>
      <c r="M163" s="24"/>
      <c r="N163" s="24"/>
      <c r="O163" s="24"/>
      <c r="P163" s="24"/>
    </row>
    <row r="164" spans="2:16" s="26" customFormat="1" x14ac:dyDescent="0.2">
      <c r="B164" s="25"/>
      <c r="C164" s="24"/>
      <c r="D164" s="24"/>
      <c r="E164" s="24"/>
      <c r="F164" s="24"/>
      <c r="G164" s="24"/>
      <c r="H164" s="24"/>
      <c r="I164" s="24"/>
      <c r="J164" s="24"/>
      <c r="K164" s="25"/>
      <c r="L164" s="24"/>
      <c r="M164" s="24"/>
      <c r="N164" s="24"/>
      <c r="O164" s="24"/>
      <c r="P164" s="24"/>
    </row>
    <row r="165" spans="2:16" s="26" customFormat="1" x14ac:dyDescent="0.2">
      <c r="B165" s="25"/>
      <c r="C165" s="24"/>
      <c r="D165" s="24"/>
      <c r="E165" s="24"/>
      <c r="F165" s="24"/>
      <c r="G165" s="24"/>
      <c r="H165" s="24"/>
      <c r="I165" s="24"/>
      <c r="J165" s="24"/>
      <c r="K165" s="25"/>
      <c r="L165" s="24"/>
      <c r="M165" s="24"/>
      <c r="N165" s="24"/>
      <c r="O165" s="24"/>
      <c r="P165" s="24"/>
    </row>
    <row r="166" spans="2:16" s="26" customFormat="1" x14ac:dyDescent="0.2">
      <c r="B166" s="25"/>
      <c r="C166" s="24"/>
      <c r="D166" s="24"/>
      <c r="E166" s="24"/>
      <c r="F166" s="24"/>
      <c r="G166" s="24"/>
      <c r="H166" s="24"/>
      <c r="I166" s="24"/>
      <c r="J166" s="24"/>
      <c r="K166" s="25"/>
      <c r="L166" s="24"/>
      <c r="M166" s="24"/>
      <c r="N166" s="24"/>
      <c r="O166" s="24"/>
      <c r="P166" s="24"/>
    </row>
    <row r="167" spans="2:16" s="26" customFormat="1" x14ac:dyDescent="0.2">
      <c r="B167" s="25"/>
      <c r="C167" s="24"/>
      <c r="D167" s="24"/>
      <c r="E167" s="24"/>
      <c r="F167" s="24"/>
      <c r="G167" s="24"/>
      <c r="H167" s="24"/>
      <c r="I167" s="24"/>
      <c r="J167" s="24"/>
      <c r="K167" s="25"/>
      <c r="L167" s="24"/>
      <c r="M167" s="24"/>
      <c r="N167" s="24"/>
      <c r="O167" s="24"/>
      <c r="P167" s="24"/>
    </row>
  </sheetData>
  <mergeCells count="2">
    <mergeCell ref="E30:F30"/>
    <mergeCell ref="E39:F39"/>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40977" r:id="rId4">
          <objectPr defaultSize="0" autoPict="0" r:id="rId5">
            <anchor moveWithCells="1">
              <from>
                <xdr:col>2</xdr:col>
                <xdr:colOff>152400</xdr:colOff>
                <xdr:row>87</xdr:row>
                <xdr:rowOff>38100</xdr:rowOff>
              </from>
              <to>
                <xdr:col>3</xdr:col>
                <xdr:colOff>1057275</xdr:colOff>
                <xdr:row>90</xdr:row>
                <xdr:rowOff>66675</xdr:rowOff>
              </to>
            </anchor>
          </objectPr>
        </oleObject>
      </mc:Choice>
      <mc:Fallback>
        <oleObject progId="Equation.3" shapeId="40977" r:id="rId4"/>
      </mc:Fallback>
    </mc:AlternateContent>
    <mc:AlternateContent xmlns:mc="http://schemas.openxmlformats.org/markup-compatibility/2006">
      <mc:Choice Requires="x14">
        <oleObject progId="Equation.3" shapeId="40982" r:id="rId6">
          <objectPr defaultSize="0" autoPict="0" r:id="rId7">
            <anchor moveWithCells="1">
              <from>
                <xdr:col>2</xdr:col>
                <xdr:colOff>152400</xdr:colOff>
                <xdr:row>104</xdr:row>
                <xdr:rowOff>85725</xdr:rowOff>
              </from>
              <to>
                <xdr:col>2</xdr:col>
                <xdr:colOff>1095375</xdr:colOff>
                <xdr:row>106</xdr:row>
                <xdr:rowOff>95250</xdr:rowOff>
              </to>
            </anchor>
          </objectPr>
        </oleObject>
      </mc:Choice>
      <mc:Fallback>
        <oleObject progId="Equation.3" shapeId="40982" r:id="rId6"/>
      </mc:Fallback>
    </mc:AlternateContent>
    <mc:AlternateContent xmlns:mc="http://schemas.openxmlformats.org/markup-compatibility/2006">
      <mc:Choice Requires="x14">
        <oleObject progId="Equation.3" shapeId="40983" r:id="rId8">
          <objectPr defaultSize="0" autoPict="0" r:id="rId9">
            <anchor moveWithCells="1">
              <from>
                <xdr:col>2</xdr:col>
                <xdr:colOff>152400</xdr:colOff>
                <xdr:row>107</xdr:row>
                <xdr:rowOff>76200</xdr:rowOff>
              </from>
              <to>
                <xdr:col>2</xdr:col>
                <xdr:colOff>1104900</xdr:colOff>
                <xdr:row>109</xdr:row>
                <xdr:rowOff>95250</xdr:rowOff>
              </to>
            </anchor>
          </objectPr>
        </oleObject>
      </mc:Choice>
      <mc:Fallback>
        <oleObject progId="Equation.3" shapeId="40983" r:id="rId8"/>
      </mc:Fallback>
    </mc:AlternateContent>
    <mc:AlternateContent xmlns:mc="http://schemas.openxmlformats.org/markup-compatibility/2006">
      <mc:Choice Requires="x14">
        <oleObject progId="Equation.3" shapeId="40992" r:id="rId10">
          <objectPr defaultSize="0" autoPict="0" r:id="rId11">
            <anchor moveWithCells="1">
              <from>
                <xdr:col>2</xdr:col>
                <xdr:colOff>142875</xdr:colOff>
                <xdr:row>119</xdr:row>
                <xdr:rowOff>19050</xdr:rowOff>
              </from>
              <to>
                <xdr:col>4</xdr:col>
                <xdr:colOff>247650</xdr:colOff>
                <xdr:row>122</xdr:row>
                <xdr:rowOff>9525</xdr:rowOff>
              </to>
            </anchor>
          </objectPr>
        </oleObject>
      </mc:Choice>
      <mc:Fallback>
        <oleObject progId="Equation.3" shapeId="40992" r:id="rId10"/>
      </mc:Fallback>
    </mc:AlternateContent>
    <mc:AlternateContent xmlns:mc="http://schemas.openxmlformats.org/markup-compatibility/2006">
      <mc:Choice Requires="x14">
        <oleObject progId="Equation.3" shapeId="40993" r:id="rId12">
          <objectPr defaultSize="0" autoPict="0" r:id="rId13">
            <anchor moveWithCells="1">
              <from>
                <xdr:col>2</xdr:col>
                <xdr:colOff>142875</xdr:colOff>
                <xdr:row>116</xdr:row>
                <xdr:rowOff>38100</xdr:rowOff>
              </from>
              <to>
                <xdr:col>3</xdr:col>
                <xdr:colOff>695325</xdr:colOff>
                <xdr:row>118</xdr:row>
                <xdr:rowOff>142875</xdr:rowOff>
              </to>
            </anchor>
          </objectPr>
        </oleObject>
      </mc:Choice>
      <mc:Fallback>
        <oleObject progId="Equation.3" shapeId="40993" r:id="rId12"/>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Q145"/>
  <sheetViews>
    <sheetView zoomScaleNormal="75" workbookViewId="0">
      <selection activeCell="B7" sqref="B7:B25"/>
    </sheetView>
  </sheetViews>
  <sheetFormatPr defaultRowHeight="12.75" x14ac:dyDescent="0.2"/>
  <cols>
    <col min="1" max="1" width="3.6640625" style="9" customWidth="1"/>
    <col min="2" max="2" width="20" style="11" customWidth="1"/>
    <col min="3" max="6" width="20" style="2" customWidth="1"/>
    <col min="7" max="8" width="18.83203125" style="2" customWidth="1"/>
    <col min="9" max="9" width="29.6640625" style="2" customWidth="1"/>
    <col min="10" max="10" width="17.33203125" style="10" customWidth="1"/>
    <col min="11" max="15" width="9.33203125" style="2" customWidth="1"/>
    <col min="16" max="16384" width="9.33203125" style="9"/>
  </cols>
  <sheetData>
    <row r="1" spans="2:15" s="26" customFormat="1" x14ac:dyDescent="0.2">
      <c r="B1" s="25"/>
      <c r="C1" s="24"/>
      <c r="D1" s="24"/>
      <c r="E1" s="24"/>
      <c r="F1" s="24"/>
      <c r="G1" s="24"/>
      <c r="H1" s="24"/>
      <c r="I1" s="24"/>
      <c r="J1" s="25"/>
      <c r="K1" s="24"/>
      <c r="L1" s="24"/>
      <c r="M1" s="24"/>
      <c r="N1" s="24"/>
      <c r="O1" s="24"/>
    </row>
    <row r="2" spans="2:15" s="26" customFormat="1" ht="15.75" x14ac:dyDescent="0.25">
      <c r="B2" s="13" t="s">
        <v>328</v>
      </c>
      <c r="C2" s="24"/>
      <c r="D2" s="24"/>
      <c r="E2" s="24"/>
      <c r="F2" s="24"/>
      <c r="G2" s="24"/>
      <c r="H2" s="24"/>
      <c r="I2" s="24"/>
      <c r="J2" s="25"/>
      <c r="K2" s="24"/>
      <c r="L2" s="24"/>
      <c r="M2" s="24"/>
      <c r="N2" s="24"/>
      <c r="O2" s="24"/>
    </row>
    <row r="3" spans="2:15" s="26" customFormat="1" ht="13.15" customHeight="1" thickBot="1" x14ac:dyDescent="0.3">
      <c r="B3" s="13"/>
      <c r="C3" s="24"/>
      <c r="D3" s="24"/>
      <c r="E3" s="24"/>
      <c r="F3" s="24"/>
      <c r="G3" s="24"/>
      <c r="H3" s="24"/>
      <c r="I3" s="25"/>
      <c r="J3" s="24"/>
      <c r="K3" s="24"/>
      <c r="L3" s="24"/>
      <c r="M3" s="24"/>
      <c r="N3" s="24"/>
    </row>
    <row r="4" spans="2:15" s="26" customFormat="1" ht="13.15" customHeight="1" x14ac:dyDescent="0.2">
      <c r="B4" s="28" t="s">
        <v>87</v>
      </c>
      <c r="C4" s="33" t="s">
        <v>90</v>
      </c>
      <c r="D4" s="33" t="s">
        <v>94</v>
      </c>
      <c r="E4" s="33" t="s">
        <v>24</v>
      </c>
      <c r="F4" s="33"/>
      <c r="G4" s="157" t="s">
        <v>113</v>
      </c>
      <c r="H4" s="24"/>
      <c r="I4" s="25"/>
      <c r="J4" s="24"/>
      <c r="K4" s="24"/>
      <c r="L4" s="24"/>
      <c r="M4" s="24"/>
      <c r="N4" s="24"/>
    </row>
    <row r="5" spans="2:15" s="26" customFormat="1" ht="13.15" customHeight="1" x14ac:dyDescent="0.25">
      <c r="B5" s="83" t="s">
        <v>98</v>
      </c>
      <c r="C5" s="69" t="s">
        <v>89</v>
      </c>
      <c r="D5" s="69" t="s">
        <v>87</v>
      </c>
      <c r="E5" s="69" t="s">
        <v>87</v>
      </c>
      <c r="F5" s="35" t="s">
        <v>112</v>
      </c>
      <c r="G5" s="158"/>
      <c r="H5" s="24"/>
      <c r="I5" s="25"/>
      <c r="J5" s="24"/>
      <c r="K5" s="24"/>
      <c r="L5" s="24"/>
      <c r="M5" s="24"/>
      <c r="N5" s="24"/>
    </row>
    <row r="6" spans="2:15" s="26" customFormat="1" ht="13.15" customHeight="1" x14ac:dyDescent="0.25">
      <c r="B6" s="34" t="s">
        <v>99</v>
      </c>
      <c r="C6" s="35" t="s">
        <v>84</v>
      </c>
      <c r="D6" s="35" t="s">
        <v>83</v>
      </c>
      <c r="E6" s="35" t="s">
        <v>164</v>
      </c>
      <c r="F6" s="35" t="s">
        <v>83</v>
      </c>
      <c r="G6" s="36" t="s">
        <v>227</v>
      </c>
      <c r="H6" s="24"/>
      <c r="I6" s="25"/>
      <c r="J6" s="24"/>
      <c r="K6" s="24"/>
      <c r="L6" s="24"/>
      <c r="M6" s="24"/>
      <c r="N6" s="24"/>
    </row>
    <row r="7" spans="2:15" s="26" customFormat="1" ht="13.15" customHeight="1" x14ac:dyDescent="0.2">
      <c r="B7" s="64" t="s">
        <v>62</v>
      </c>
      <c r="C7" s="70">
        <v>12</v>
      </c>
      <c r="D7" s="78">
        <v>636</v>
      </c>
      <c r="E7" s="85">
        <v>5000</v>
      </c>
      <c r="F7" s="116">
        <f>E7/D7*C7</f>
        <v>94.339622641509436</v>
      </c>
      <c r="G7" s="135">
        <f>(E7/D7)^2*C7</f>
        <v>741.66370001186658</v>
      </c>
      <c r="H7" s="24"/>
      <c r="I7" s="25"/>
      <c r="J7" s="24"/>
      <c r="K7" s="24"/>
      <c r="L7" s="24"/>
      <c r="M7" s="24"/>
      <c r="N7" s="24"/>
    </row>
    <row r="8" spans="2:15" s="26" customFormat="1" ht="13.15" customHeight="1" x14ac:dyDescent="0.2">
      <c r="B8" s="65" t="s">
        <v>63</v>
      </c>
      <c r="C8" s="71">
        <v>4</v>
      </c>
      <c r="D8" s="79">
        <v>558</v>
      </c>
      <c r="E8" s="86">
        <v>5500</v>
      </c>
      <c r="F8" s="116">
        <f t="shared" ref="F8:F25" si="0">E8/D8*C8</f>
        <v>39.426523297491038</v>
      </c>
      <c r="G8" s="135">
        <f t="shared" ref="G8:G25" si="1">(E8/D8)^2*C8</f>
        <v>388.61268483190088</v>
      </c>
      <c r="H8" s="24"/>
      <c r="I8" s="25"/>
      <c r="J8" s="24"/>
      <c r="K8" s="24"/>
      <c r="L8" s="24"/>
      <c r="M8" s="24"/>
      <c r="N8" s="24"/>
    </row>
    <row r="9" spans="2:15" s="26" customFormat="1" ht="13.15" customHeight="1" x14ac:dyDescent="0.2">
      <c r="B9" s="65" t="s">
        <v>64</v>
      </c>
      <c r="C9" s="71">
        <v>3</v>
      </c>
      <c r="D9" s="79">
        <v>609</v>
      </c>
      <c r="E9" s="86">
        <v>5500</v>
      </c>
      <c r="F9" s="116">
        <f t="shared" si="0"/>
        <v>27.093596059113302</v>
      </c>
      <c r="G9" s="135">
        <f t="shared" si="1"/>
        <v>244.68764913813328</v>
      </c>
      <c r="H9" s="24"/>
      <c r="I9" s="25"/>
      <c r="J9" s="24"/>
      <c r="K9" s="24"/>
      <c r="L9" s="24"/>
      <c r="M9" s="24"/>
      <c r="N9" s="24"/>
    </row>
    <row r="10" spans="2:15" s="26" customFormat="1" ht="13.15" customHeight="1" x14ac:dyDescent="0.2">
      <c r="B10" s="66" t="s">
        <v>65</v>
      </c>
      <c r="C10" s="72">
        <v>2</v>
      </c>
      <c r="D10" s="80">
        <v>543</v>
      </c>
      <c r="E10" s="87">
        <v>5500</v>
      </c>
      <c r="F10" s="116">
        <f t="shared" si="0"/>
        <v>20.257826887661142</v>
      </c>
      <c r="G10" s="135">
        <f t="shared" si="1"/>
        <v>205.18977510522336</v>
      </c>
      <c r="H10" s="24"/>
      <c r="I10" s="25"/>
      <c r="J10" s="24"/>
      <c r="K10" s="24"/>
      <c r="L10" s="24"/>
      <c r="M10" s="24"/>
      <c r="N10" s="24"/>
    </row>
    <row r="11" spans="2:15" s="26" customFormat="1" ht="13.15" customHeight="1" x14ac:dyDescent="0.2">
      <c r="B11" s="66" t="s">
        <v>71</v>
      </c>
      <c r="C11" s="72">
        <v>3</v>
      </c>
      <c r="D11" s="80">
        <v>384</v>
      </c>
      <c r="E11" s="87">
        <v>6000</v>
      </c>
      <c r="F11" s="116">
        <f t="shared" si="0"/>
        <v>46.875</v>
      </c>
      <c r="G11" s="135">
        <f t="shared" si="1"/>
        <v>732.421875</v>
      </c>
      <c r="H11" s="24"/>
      <c r="I11" s="25"/>
      <c r="J11" s="24"/>
      <c r="K11" s="24"/>
      <c r="L11" s="24"/>
      <c r="M11" s="24"/>
      <c r="N11" s="24"/>
    </row>
    <row r="12" spans="2:15" s="26" customFormat="1" ht="13.15" customHeight="1" x14ac:dyDescent="0.2">
      <c r="B12" s="66" t="s">
        <v>72</v>
      </c>
      <c r="C12" s="72">
        <v>4</v>
      </c>
      <c r="D12" s="80">
        <v>594</v>
      </c>
      <c r="E12" s="87">
        <v>6000</v>
      </c>
      <c r="F12" s="116">
        <f t="shared" si="0"/>
        <v>40.404040404040401</v>
      </c>
      <c r="G12" s="135">
        <f t="shared" si="1"/>
        <v>408.12162024283231</v>
      </c>
      <c r="H12" s="24"/>
      <c r="I12" s="25"/>
      <c r="J12" s="24"/>
      <c r="K12" s="24"/>
      <c r="L12" s="24"/>
      <c r="M12" s="24"/>
      <c r="N12" s="24"/>
    </row>
    <row r="13" spans="2:15" s="26" customFormat="1" ht="13.15" customHeight="1" x14ac:dyDescent="0.2">
      <c r="B13" s="66" t="s">
        <v>73</v>
      </c>
      <c r="C13" s="72">
        <v>8</v>
      </c>
      <c r="D13" s="80">
        <v>669</v>
      </c>
      <c r="E13" s="87">
        <v>6500</v>
      </c>
      <c r="F13" s="116">
        <f t="shared" si="0"/>
        <v>77.727952167414045</v>
      </c>
      <c r="G13" s="135">
        <f t="shared" si="1"/>
        <v>755.20431851747571</v>
      </c>
      <c r="H13" s="24"/>
      <c r="I13" s="25"/>
      <c r="J13" s="24"/>
      <c r="K13" s="24"/>
      <c r="L13" s="24"/>
      <c r="M13" s="24"/>
      <c r="N13" s="24"/>
    </row>
    <row r="14" spans="2:15" s="26" customFormat="1" ht="13.15" customHeight="1" x14ac:dyDescent="0.2">
      <c r="B14" s="66" t="s">
        <v>74</v>
      </c>
      <c r="C14" s="72">
        <v>2</v>
      </c>
      <c r="D14" s="80">
        <v>843</v>
      </c>
      <c r="E14" s="87">
        <v>7000</v>
      </c>
      <c r="F14" s="116">
        <f t="shared" si="0"/>
        <v>16.607354685646502</v>
      </c>
      <c r="G14" s="135">
        <f t="shared" si="1"/>
        <v>137.90211482743243</v>
      </c>
      <c r="H14" s="24"/>
      <c r="I14" s="25"/>
      <c r="J14" s="24"/>
      <c r="K14" s="24"/>
      <c r="L14" s="24"/>
      <c r="M14" s="24"/>
      <c r="N14" s="24"/>
    </row>
    <row r="15" spans="2:15" s="26" customFormat="1" ht="13.15" customHeight="1" x14ac:dyDescent="0.2">
      <c r="B15" s="66" t="s">
        <v>75</v>
      </c>
      <c r="C15" s="72">
        <v>2</v>
      </c>
      <c r="D15" s="80">
        <v>660</v>
      </c>
      <c r="E15" s="87">
        <v>7000</v>
      </c>
      <c r="F15" s="116">
        <f t="shared" si="0"/>
        <v>21.212121212121211</v>
      </c>
      <c r="G15" s="135">
        <f t="shared" si="1"/>
        <v>224.97704315886131</v>
      </c>
      <c r="H15" s="24"/>
      <c r="I15" s="25"/>
      <c r="J15" s="24"/>
      <c r="K15" s="24"/>
      <c r="L15" s="24"/>
      <c r="M15" s="24"/>
      <c r="N15" s="24"/>
    </row>
    <row r="16" spans="2:15" s="26" customFormat="1" ht="13.15" customHeight="1" x14ac:dyDescent="0.2">
      <c r="B16" s="66" t="s">
        <v>76</v>
      </c>
      <c r="C16" s="72">
        <v>3</v>
      </c>
      <c r="D16" s="80">
        <v>576</v>
      </c>
      <c r="E16" s="87">
        <v>7000</v>
      </c>
      <c r="F16" s="116">
        <f t="shared" si="0"/>
        <v>36.458333333333336</v>
      </c>
      <c r="G16" s="135">
        <f t="shared" si="1"/>
        <v>443.07002314814815</v>
      </c>
      <c r="H16" s="24"/>
      <c r="I16" s="25"/>
      <c r="J16" s="24"/>
      <c r="K16" s="24"/>
      <c r="L16" s="24"/>
      <c r="M16" s="24"/>
      <c r="N16" s="24"/>
    </row>
    <row r="17" spans="2:15" s="26" customFormat="1" ht="13.15" customHeight="1" x14ac:dyDescent="0.2">
      <c r="B17" s="66" t="s">
        <v>70</v>
      </c>
      <c r="C17" s="72">
        <v>4</v>
      </c>
      <c r="D17" s="80">
        <v>606</v>
      </c>
      <c r="E17" s="87">
        <v>7000</v>
      </c>
      <c r="F17" s="116">
        <f t="shared" si="0"/>
        <v>46.204620462046208</v>
      </c>
      <c r="G17" s="135">
        <f t="shared" si="1"/>
        <v>533.71673801043482</v>
      </c>
      <c r="H17" s="24"/>
      <c r="I17" s="25"/>
      <c r="J17" s="24"/>
      <c r="K17" s="24"/>
      <c r="L17" s="24"/>
      <c r="M17" s="24"/>
      <c r="N17" s="24"/>
    </row>
    <row r="18" spans="2:15" s="26" customFormat="1" ht="13.15" customHeight="1" x14ac:dyDescent="0.2">
      <c r="B18" s="66" t="s">
        <v>69</v>
      </c>
      <c r="C18" s="72">
        <v>5</v>
      </c>
      <c r="D18" s="80">
        <v>522</v>
      </c>
      <c r="E18" s="87">
        <v>6500</v>
      </c>
      <c r="F18" s="116">
        <f t="shared" si="0"/>
        <v>62.26053639846743</v>
      </c>
      <c r="G18" s="135">
        <f t="shared" si="1"/>
        <v>775.27487852497757</v>
      </c>
      <c r="H18" s="24"/>
      <c r="I18" s="25"/>
      <c r="J18" s="24"/>
      <c r="K18" s="24"/>
      <c r="L18" s="24"/>
      <c r="M18" s="24"/>
      <c r="N18" s="24"/>
    </row>
    <row r="19" spans="2:15" s="26" customFormat="1" ht="13.15" customHeight="1" x14ac:dyDescent="0.2">
      <c r="B19" s="66" t="s">
        <v>68</v>
      </c>
      <c r="C19" s="72">
        <v>6</v>
      </c>
      <c r="D19" s="80">
        <v>426</v>
      </c>
      <c r="E19" s="87">
        <v>6000</v>
      </c>
      <c r="F19" s="116">
        <f t="shared" si="0"/>
        <v>84.507042253521135</v>
      </c>
      <c r="G19" s="135">
        <f t="shared" si="1"/>
        <v>1190.2400317397341</v>
      </c>
      <c r="H19" s="24"/>
      <c r="I19" s="25"/>
      <c r="J19" s="24"/>
      <c r="K19" s="24"/>
      <c r="L19" s="24"/>
      <c r="M19" s="24"/>
      <c r="N19" s="24"/>
    </row>
    <row r="20" spans="2:15" s="26" customFormat="1" ht="13.15" customHeight="1" x14ac:dyDescent="0.2">
      <c r="B20" s="66" t="s">
        <v>67</v>
      </c>
      <c r="C20" s="72">
        <v>8</v>
      </c>
      <c r="D20" s="80">
        <v>273</v>
      </c>
      <c r="E20" s="87">
        <v>5500</v>
      </c>
      <c r="F20" s="116">
        <f t="shared" si="0"/>
        <v>161.17216117216117</v>
      </c>
      <c r="G20" s="135">
        <f t="shared" si="1"/>
        <v>3247.058192113137</v>
      </c>
      <c r="H20" s="24"/>
      <c r="I20" s="25"/>
      <c r="J20" s="24"/>
      <c r="K20" s="24"/>
      <c r="L20" s="24"/>
      <c r="M20" s="24"/>
      <c r="N20" s="24"/>
    </row>
    <row r="21" spans="2:15" s="26" customFormat="1" ht="13.15" customHeight="1" x14ac:dyDescent="0.2">
      <c r="B21" s="66" t="s">
        <v>66</v>
      </c>
      <c r="C21" s="72">
        <v>5</v>
      </c>
      <c r="D21" s="80">
        <v>300</v>
      </c>
      <c r="E21" s="87">
        <v>5000</v>
      </c>
      <c r="F21" s="116">
        <f t="shared" si="0"/>
        <v>83.333333333333343</v>
      </c>
      <c r="G21" s="135">
        <f t="shared" si="1"/>
        <v>1388.8888888888891</v>
      </c>
      <c r="H21" s="24"/>
      <c r="I21" s="25"/>
      <c r="J21" s="24"/>
      <c r="K21" s="24"/>
      <c r="L21" s="24"/>
      <c r="M21" s="24"/>
      <c r="N21" s="24"/>
    </row>
    <row r="22" spans="2:15" s="26" customFormat="1" ht="13.15" customHeight="1" x14ac:dyDescent="0.2">
      <c r="B22" s="68" t="s">
        <v>81</v>
      </c>
      <c r="C22" s="73">
        <v>6</v>
      </c>
      <c r="D22" s="81">
        <v>288</v>
      </c>
      <c r="E22" s="88">
        <v>4000</v>
      </c>
      <c r="F22" s="116">
        <f t="shared" si="0"/>
        <v>83.333333333333343</v>
      </c>
      <c r="G22" s="135">
        <f t="shared" si="1"/>
        <v>1157.4074074074074</v>
      </c>
      <c r="H22" s="24"/>
      <c r="I22" s="25"/>
      <c r="J22" s="24"/>
      <c r="K22" s="24"/>
      <c r="L22" s="24"/>
      <c r="M22" s="24"/>
      <c r="N22" s="24"/>
    </row>
    <row r="23" spans="2:15" s="26" customFormat="1" ht="13.15" customHeight="1" x14ac:dyDescent="0.2">
      <c r="B23" s="68" t="s">
        <v>82</v>
      </c>
      <c r="C23" s="73">
        <v>5</v>
      </c>
      <c r="D23" s="81">
        <v>153</v>
      </c>
      <c r="E23" s="88">
        <v>2500</v>
      </c>
      <c r="F23" s="116">
        <f t="shared" si="0"/>
        <v>81.699346405228752</v>
      </c>
      <c r="G23" s="135">
        <f t="shared" si="1"/>
        <v>1334.9566406083127</v>
      </c>
      <c r="H23" s="24"/>
      <c r="I23" s="25"/>
      <c r="J23" s="24"/>
      <c r="K23" s="24"/>
      <c r="L23" s="24"/>
      <c r="M23" s="24"/>
      <c r="N23" s="24"/>
    </row>
    <row r="24" spans="2:15" s="26" customFormat="1" ht="13.15" customHeight="1" x14ac:dyDescent="0.2">
      <c r="B24" s="68" t="s">
        <v>297</v>
      </c>
      <c r="C24" s="73">
        <v>5</v>
      </c>
      <c r="D24" s="81">
        <v>123</v>
      </c>
      <c r="E24" s="88">
        <v>1500</v>
      </c>
      <c r="F24" s="116">
        <f t="shared" si="0"/>
        <v>60.975609756097562</v>
      </c>
      <c r="G24" s="135">
        <f t="shared" si="1"/>
        <v>743.60499702558002</v>
      </c>
      <c r="H24" s="24"/>
      <c r="I24" s="25"/>
      <c r="J24" s="24"/>
      <c r="K24" s="24"/>
      <c r="L24" s="24"/>
      <c r="M24" s="24"/>
      <c r="N24" s="24"/>
    </row>
    <row r="25" spans="2:15" s="26" customFormat="1" ht="13.15" customHeight="1" thickBot="1" x14ac:dyDescent="0.25">
      <c r="B25" s="67" t="s">
        <v>296</v>
      </c>
      <c r="C25" s="117">
        <v>4</v>
      </c>
      <c r="D25" s="118">
        <v>207</v>
      </c>
      <c r="E25" s="119">
        <v>1000</v>
      </c>
      <c r="F25" s="120">
        <f t="shared" si="0"/>
        <v>19.323671497584542</v>
      </c>
      <c r="G25" s="136">
        <f t="shared" si="1"/>
        <v>93.351070036640294</v>
      </c>
      <c r="H25" s="24"/>
      <c r="I25" s="25"/>
      <c r="J25" s="24"/>
      <c r="K25" s="24"/>
      <c r="L25" s="24"/>
      <c r="M25" s="24"/>
      <c r="N25" s="24"/>
    </row>
    <row r="26" spans="2:15" s="26" customFormat="1" ht="13.15" customHeight="1" thickBot="1" x14ac:dyDescent="0.25">
      <c r="B26" s="107" t="s">
        <v>77</v>
      </c>
      <c r="C26" s="108">
        <f>SUM(C7:C25)</f>
        <v>91</v>
      </c>
      <c r="D26" s="109">
        <f>SUM(D7:D25)</f>
        <v>8970</v>
      </c>
      <c r="E26" s="111">
        <f>SUM(E7:E25)</f>
        <v>100000</v>
      </c>
      <c r="F26" s="108">
        <f>SUM(F7:F25)</f>
        <v>1103.212025300104</v>
      </c>
      <c r="G26" s="137">
        <f>SUM(G7:G25)</f>
        <v>14746.349648336987</v>
      </c>
      <c r="H26" s="24"/>
      <c r="I26" s="25"/>
      <c r="J26" s="24"/>
      <c r="K26" s="24"/>
      <c r="L26" s="24"/>
      <c r="M26" s="24"/>
      <c r="N26" s="24"/>
    </row>
    <row r="27" spans="2:15" s="26" customFormat="1" ht="13.15" customHeight="1" x14ac:dyDescent="0.25">
      <c r="B27" s="13"/>
      <c r="C27" s="24"/>
      <c r="D27" s="24"/>
      <c r="F27" s="24"/>
      <c r="G27" s="24"/>
      <c r="H27" s="24"/>
      <c r="I27" s="25"/>
      <c r="J27" s="24"/>
      <c r="K27" s="24"/>
      <c r="L27" s="24"/>
      <c r="M27" s="24"/>
      <c r="N27" s="24"/>
    </row>
    <row r="28" spans="2:15" s="26" customFormat="1" ht="13.15" customHeight="1" x14ac:dyDescent="0.2">
      <c r="B28" s="42" t="s">
        <v>114</v>
      </c>
      <c r="C28" s="24"/>
      <c r="D28" s="24"/>
      <c r="E28" s="24"/>
      <c r="F28" s="24"/>
      <c r="G28" s="24"/>
      <c r="H28" s="24"/>
      <c r="I28" s="24"/>
      <c r="J28" s="25"/>
      <c r="K28" s="24"/>
      <c r="L28" s="24"/>
      <c r="M28" s="24"/>
      <c r="N28" s="24"/>
      <c r="O28" s="24"/>
    </row>
    <row r="29" spans="2:15" s="26" customFormat="1" ht="13.15" customHeight="1" thickBot="1" x14ac:dyDescent="0.25">
      <c r="B29" s="27"/>
      <c r="C29" s="24"/>
      <c r="D29" s="24"/>
      <c r="E29" s="24"/>
      <c r="F29" s="24"/>
      <c r="G29" s="24"/>
      <c r="H29" s="24"/>
      <c r="I29" s="24"/>
      <c r="J29" s="25"/>
      <c r="K29" s="24"/>
      <c r="L29" s="24"/>
      <c r="M29" s="24"/>
      <c r="N29" s="24"/>
      <c r="O29" s="24"/>
    </row>
    <row r="30" spans="2:15" s="26" customFormat="1" ht="13.15" customHeight="1" x14ac:dyDescent="0.2">
      <c r="B30" s="28" t="s">
        <v>23</v>
      </c>
      <c r="C30" s="154" t="str">
        <f>TEXT($E$32,"General")&amp;"% Confidence Interval"</f>
        <v>95% Confidence Interval</v>
      </c>
      <c r="D30" s="156"/>
      <c r="E30" s="28" t="s">
        <v>6</v>
      </c>
      <c r="F30" s="29" t="s">
        <v>7</v>
      </c>
      <c r="G30" s="24"/>
      <c r="H30" s="24"/>
      <c r="I30" s="24"/>
      <c r="J30" s="25"/>
      <c r="K30" s="24"/>
      <c r="L30" s="24"/>
      <c r="M30" s="24"/>
      <c r="N30" s="24"/>
      <c r="O30" s="24"/>
    </row>
    <row r="31" spans="2:15" s="26" customFormat="1" ht="13.15" customHeight="1" x14ac:dyDescent="0.25">
      <c r="B31" s="34" t="str">
        <f>"(DSR per "&amp;TEXT($F$32,"#,###,##0")&amp;")"</f>
        <v>(DSR per 100,000)</v>
      </c>
      <c r="C31" s="35" t="s">
        <v>173</v>
      </c>
      <c r="D31" s="36" t="s">
        <v>174</v>
      </c>
      <c r="E31" s="30" t="s">
        <v>137</v>
      </c>
      <c r="F31" s="31"/>
      <c r="G31" s="24"/>
      <c r="H31" s="24"/>
      <c r="I31" s="24"/>
      <c r="J31" s="25"/>
      <c r="K31" s="24"/>
      <c r="L31" s="24"/>
      <c r="M31" s="24"/>
      <c r="N31" s="24"/>
      <c r="O31" s="24"/>
    </row>
    <row r="32" spans="2:15" s="26" customFormat="1" ht="13.15" customHeight="1" thickBot="1" x14ac:dyDescent="0.25">
      <c r="B32" s="147">
        <f>F26/E26*F32</f>
        <v>1103.212025300104</v>
      </c>
      <c r="C32" s="148">
        <f>(B32/$F$32+SQRT(G26/E26^2/C26)*(IF(C26=0,0,C26*(1-1/(9*C26)-NORMSINV(0.5+$E$32/200)/3/SQRT(C26))^3)-C26))*$F$32</f>
        <v>877.45576753670912</v>
      </c>
      <c r="D32" s="149">
        <f>(B32/$F$32+SQRT(G26/E26^2/C26)*((C26+1)*(1-1/(9*(C26+1))+NORMSINV(0.5+$E$32/200)/3/SQRT(C26+1))^3-C26))*$F$32</f>
        <v>1367.0882227251795</v>
      </c>
      <c r="E32" s="32">
        <v>95</v>
      </c>
      <c r="F32" s="92">
        <v>100000</v>
      </c>
      <c r="G32" s="126" t="s">
        <v>135</v>
      </c>
      <c r="H32" s="127">
        <f>1-E32/100</f>
        <v>5.0000000000000044E-2</v>
      </c>
      <c r="I32" s="24"/>
      <c r="J32" s="25"/>
      <c r="K32" s="24"/>
      <c r="L32" s="24"/>
      <c r="M32" s="24"/>
      <c r="N32" s="24"/>
      <c r="O32" s="24"/>
    </row>
    <row r="33" spans="2:16" s="25" customFormat="1" ht="13.15" customHeight="1" x14ac:dyDescent="0.2">
      <c r="B33" s="27"/>
      <c r="C33" s="24"/>
      <c r="D33" s="46"/>
      <c r="E33" s="47"/>
      <c r="F33" s="47"/>
    </row>
    <row r="34" spans="2:16" s="26" customFormat="1" x14ac:dyDescent="0.2">
      <c r="B34" s="42" t="s">
        <v>32</v>
      </c>
      <c r="C34" s="24"/>
      <c r="D34" s="24"/>
      <c r="H34" s="24"/>
      <c r="I34" s="24"/>
      <c r="J34" s="25"/>
      <c r="K34" s="24"/>
      <c r="L34" s="24"/>
      <c r="M34" s="24"/>
      <c r="N34" s="24"/>
      <c r="O34" s="24"/>
    </row>
    <row r="35" spans="2:16" s="26" customFormat="1" ht="18" customHeight="1" x14ac:dyDescent="0.2">
      <c r="B35" s="45" t="s">
        <v>100</v>
      </c>
      <c r="C35" s="24"/>
      <c r="D35" s="24"/>
      <c r="E35" s="24"/>
      <c r="F35" s="25"/>
      <c r="G35" s="24"/>
      <c r="I35" s="24"/>
      <c r="J35" s="24"/>
      <c r="K35" s="25"/>
      <c r="L35" s="24"/>
      <c r="M35" s="24"/>
      <c r="N35" s="24"/>
      <c r="O35" s="24"/>
      <c r="P35" s="24"/>
    </row>
    <row r="36" spans="2:16" s="26" customFormat="1" ht="18" customHeight="1" x14ac:dyDescent="0.2">
      <c r="B36" s="50" t="s">
        <v>299</v>
      </c>
      <c r="C36" s="24"/>
      <c r="D36" s="24"/>
      <c r="H36" s="24"/>
      <c r="I36" s="24"/>
      <c r="J36" s="25"/>
      <c r="K36" s="24"/>
      <c r="L36" s="24"/>
      <c r="M36" s="24"/>
      <c r="N36" s="24"/>
      <c r="O36" s="24"/>
    </row>
    <row r="37" spans="2:16" s="26" customFormat="1" x14ac:dyDescent="0.2">
      <c r="B37" s="45" t="s">
        <v>248</v>
      </c>
      <c r="C37" s="24"/>
      <c r="D37" s="24"/>
      <c r="H37" s="24"/>
      <c r="I37" s="24"/>
      <c r="J37" s="25"/>
      <c r="K37" s="24"/>
      <c r="L37" s="24"/>
      <c r="M37" s="24"/>
      <c r="N37" s="24"/>
      <c r="O37" s="24"/>
    </row>
    <row r="38" spans="2:16" s="26" customFormat="1" x14ac:dyDescent="0.2">
      <c r="B38" s="45" t="s">
        <v>249</v>
      </c>
      <c r="C38" s="24"/>
      <c r="D38" s="24"/>
      <c r="H38" s="24"/>
      <c r="I38" s="24"/>
      <c r="J38" s="25"/>
      <c r="K38" s="24"/>
      <c r="L38" s="24"/>
      <c r="M38" s="24"/>
      <c r="N38" s="24"/>
      <c r="O38" s="24"/>
    </row>
    <row r="39" spans="2:16" s="26" customFormat="1" ht="18" customHeight="1" x14ac:dyDescent="0.3">
      <c r="B39" s="50" t="s">
        <v>300</v>
      </c>
      <c r="C39" s="24"/>
      <c r="D39" s="24"/>
      <c r="H39" s="24"/>
      <c r="I39" s="24"/>
      <c r="J39" s="25"/>
      <c r="K39" s="24"/>
      <c r="L39" s="24"/>
      <c r="M39" s="24"/>
      <c r="N39" s="24"/>
      <c r="O39" s="24"/>
    </row>
    <row r="40" spans="2:16" s="26" customFormat="1" x14ac:dyDescent="0.2">
      <c r="B40" s="45" t="s">
        <v>260</v>
      </c>
      <c r="C40" s="24"/>
      <c r="D40" s="24"/>
      <c r="H40" s="24"/>
      <c r="I40" s="24"/>
      <c r="J40" s="25"/>
      <c r="K40" s="24"/>
      <c r="L40" s="24"/>
      <c r="M40" s="24"/>
      <c r="N40" s="24"/>
      <c r="O40" s="24"/>
    </row>
    <row r="41" spans="2:16" s="26" customFormat="1" ht="18" customHeight="1" x14ac:dyDescent="0.3">
      <c r="B41" s="50" t="s">
        <v>301</v>
      </c>
      <c r="C41" s="24"/>
      <c r="D41" s="24"/>
      <c r="E41" s="24"/>
      <c r="F41" s="24"/>
      <c r="G41" s="24"/>
      <c r="H41" s="24"/>
      <c r="I41" s="24"/>
      <c r="J41" s="25"/>
      <c r="K41" s="24"/>
      <c r="L41" s="24"/>
      <c r="M41" s="24"/>
      <c r="N41" s="24"/>
      <c r="O41" s="24"/>
    </row>
    <row r="42" spans="2:16" s="26" customFormat="1" ht="18" customHeight="1" x14ac:dyDescent="0.2">
      <c r="B42" s="50" t="s">
        <v>312</v>
      </c>
      <c r="C42" s="24"/>
      <c r="D42" s="24"/>
      <c r="E42" s="24"/>
      <c r="F42" s="24"/>
      <c r="G42" s="24"/>
      <c r="H42" s="24"/>
      <c r="I42" s="24"/>
      <c r="J42" s="25"/>
      <c r="K42" s="24"/>
      <c r="L42" s="24"/>
      <c r="M42" s="24"/>
      <c r="N42" s="24"/>
      <c r="O42" s="24"/>
    </row>
    <row r="43" spans="2:16" s="26" customFormat="1" x14ac:dyDescent="0.2">
      <c r="B43" s="45" t="s">
        <v>322</v>
      </c>
      <c r="C43" s="24"/>
      <c r="D43" s="24"/>
      <c r="E43" s="24"/>
      <c r="F43" s="24"/>
      <c r="G43" s="24"/>
      <c r="H43" s="24"/>
      <c r="I43" s="24"/>
      <c r="J43" s="25"/>
      <c r="K43" s="24"/>
      <c r="L43" s="24"/>
      <c r="M43" s="24"/>
      <c r="N43" s="24"/>
      <c r="O43" s="24"/>
    </row>
    <row r="44" spans="2:16" s="26" customFormat="1" x14ac:dyDescent="0.2">
      <c r="B44" s="45" t="s">
        <v>321</v>
      </c>
      <c r="C44" s="24"/>
      <c r="D44" s="24"/>
      <c r="E44" s="24"/>
      <c r="F44" s="24"/>
      <c r="G44" s="24"/>
      <c r="H44" s="24"/>
      <c r="I44" s="24"/>
      <c r="J44" s="25"/>
      <c r="K44" s="24"/>
      <c r="L44" s="24"/>
      <c r="M44" s="24"/>
      <c r="N44" s="24"/>
      <c r="O44" s="24"/>
    </row>
    <row r="45" spans="2:16" s="26" customFormat="1" ht="18" customHeight="1" x14ac:dyDescent="0.2">
      <c r="B45" s="50" t="s">
        <v>313</v>
      </c>
      <c r="C45" s="24"/>
      <c r="D45" s="24"/>
      <c r="E45" s="24"/>
      <c r="F45" s="24"/>
      <c r="G45" s="24"/>
      <c r="H45" s="24"/>
      <c r="I45" s="24"/>
      <c r="J45" s="25"/>
      <c r="K45" s="24"/>
      <c r="L45" s="24"/>
      <c r="M45" s="24"/>
      <c r="N45" s="24"/>
      <c r="O45" s="24"/>
    </row>
    <row r="46" spans="2:16" s="26" customFormat="1" x14ac:dyDescent="0.2">
      <c r="B46" s="45" t="s">
        <v>0</v>
      </c>
      <c r="C46" s="24"/>
      <c r="D46" s="24"/>
      <c r="E46" s="24"/>
      <c r="F46" s="24"/>
      <c r="G46" s="24"/>
      <c r="H46" s="24"/>
      <c r="I46" s="24"/>
      <c r="J46" s="25"/>
      <c r="K46" s="24"/>
      <c r="L46" s="24"/>
      <c r="M46" s="24"/>
      <c r="N46" s="24"/>
      <c r="O46" s="24"/>
    </row>
    <row r="47" spans="2:16" s="26" customFormat="1" ht="18" customHeight="1" x14ac:dyDescent="0.2">
      <c r="B47" s="50" t="s">
        <v>314</v>
      </c>
      <c r="C47" s="24"/>
      <c r="D47" s="24"/>
      <c r="E47" s="24"/>
      <c r="F47" s="24"/>
      <c r="G47" s="24"/>
      <c r="H47" s="24"/>
      <c r="I47" s="24"/>
      <c r="J47" s="24"/>
      <c r="K47" s="25"/>
      <c r="L47" s="24"/>
      <c r="M47" s="24"/>
      <c r="N47" s="24"/>
      <c r="O47" s="24"/>
      <c r="P47" s="24"/>
    </row>
    <row r="48" spans="2:16" s="26" customFormat="1" x14ac:dyDescent="0.2">
      <c r="B48" s="45" t="s">
        <v>1</v>
      </c>
      <c r="C48" s="24"/>
      <c r="D48" s="24"/>
      <c r="E48" s="24"/>
      <c r="F48" s="24"/>
      <c r="G48" s="24"/>
      <c r="H48" s="24"/>
      <c r="I48" s="24"/>
      <c r="J48" s="24"/>
      <c r="K48" s="25"/>
      <c r="L48" s="24"/>
      <c r="M48" s="24"/>
      <c r="N48" s="24"/>
      <c r="O48" s="24"/>
      <c r="P48" s="24"/>
    </row>
    <row r="49" spans="2:15" s="26" customFormat="1" x14ac:dyDescent="0.2">
      <c r="B49" s="45"/>
      <c r="C49" s="24"/>
      <c r="D49" s="24"/>
      <c r="E49" s="24"/>
      <c r="F49" s="24"/>
      <c r="G49" s="24"/>
      <c r="H49" s="24"/>
      <c r="I49" s="24"/>
      <c r="J49" s="25"/>
      <c r="K49" s="24"/>
      <c r="L49" s="24"/>
      <c r="M49" s="24"/>
      <c r="N49" s="24"/>
      <c r="O49" s="24"/>
    </row>
    <row r="50" spans="2:15" s="26" customFormat="1" x14ac:dyDescent="0.2">
      <c r="B50" s="42" t="s">
        <v>33</v>
      </c>
      <c r="C50" s="24"/>
      <c r="D50" s="24"/>
      <c r="E50" s="24"/>
      <c r="F50" s="24"/>
      <c r="G50" s="24"/>
      <c r="H50" s="24"/>
      <c r="I50" s="24"/>
      <c r="J50" s="25"/>
      <c r="K50" s="24"/>
      <c r="L50" s="24"/>
      <c r="M50" s="24"/>
      <c r="N50" s="24"/>
      <c r="O50" s="24"/>
    </row>
    <row r="51" spans="2:15" s="26" customFormat="1" ht="18" customHeight="1" x14ac:dyDescent="0.2">
      <c r="B51" s="45" t="s">
        <v>34</v>
      </c>
      <c r="C51" s="24"/>
      <c r="D51" s="24"/>
      <c r="E51" s="24"/>
      <c r="F51" s="24"/>
      <c r="G51" s="24"/>
      <c r="H51" s="24"/>
      <c r="I51" s="24"/>
      <c r="J51" s="25"/>
      <c r="K51" s="24"/>
      <c r="L51" s="24"/>
      <c r="M51" s="24"/>
      <c r="N51" s="24"/>
      <c r="O51" s="24"/>
    </row>
    <row r="52" spans="2:15" s="26" customFormat="1" x14ac:dyDescent="0.2">
      <c r="B52" s="45" t="s">
        <v>35</v>
      </c>
      <c r="C52" s="24"/>
      <c r="D52" s="24"/>
      <c r="E52" s="24"/>
      <c r="F52" s="24"/>
      <c r="G52" s="24"/>
      <c r="H52" s="24"/>
      <c r="I52" s="24"/>
      <c r="J52" s="25"/>
      <c r="K52" s="24"/>
      <c r="L52" s="24"/>
      <c r="M52" s="24"/>
      <c r="N52" s="24"/>
      <c r="O52" s="24"/>
    </row>
    <row r="53" spans="2:15" s="26" customFormat="1" x14ac:dyDescent="0.2">
      <c r="B53" s="45" t="s">
        <v>109</v>
      </c>
      <c r="C53" s="24"/>
      <c r="D53" s="24"/>
      <c r="E53" s="24"/>
      <c r="F53" s="24"/>
      <c r="G53" s="24"/>
      <c r="H53" s="24"/>
      <c r="I53" s="24"/>
      <c r="J53" s="25"/>
      <c r="K53" s="24"/>
      <c r="L53" s="24"/>
      <c r="M53" s="24"/>
      <c r="N53" s="24"/>
      <c r="O53" s="24"/>
    </row>
    <row r="54" spans="2:15" s="26" customFormat="1" x14ac:dyDescent="0.2">
      <c r="B54" s="45"/>
      <c r="C54" s="24"/>
      <c r="D54" s="24"/>
      <c r="E54" s="24"/>
      <c r="F54" s="24"/>
      <c r="G54" s="24"/>
      <c r="H54" s="24"/>
      <c r="I54" s="24"/>
      <c r="J54" s="25"/>
      <c r="K54" s="24"/>
      <c r="L54" s="24"/>
      <c r="M54" s="24"/>
      <c r="N54" s="24"/>
      <c r="O54" s="24"/>
    </row>
    <row r="55" spans="2:15" s="26" customFormat="1" x14ac:dyDescent="0.2">
      <c r="B55" s="45" t="s">
        <v>180</v>
      </c>
      <c r="C55" s="24"/>
      <c r="D55" s="24"/>
      <c r="E55" s="24"/>
      <c r="F55" s="24"/>
      <c r="G55" s="24"/>
      <c r="H55" s="24"/>
      <c r="I55" s="24"/>
      <c r="J55" s="25"/>
      <c r="K55" s="24"/>
      <c r="L55" s="24"/>
      <c r="M55" s="24"/>
      <c r="N55" s="24"/>
      <c r="O55" s="24"/>
    </row>
    <row r="56" spans="2:15" s="26" customFormat="1" x14ac:dyDescent="0.2">
      <c r="B56" s="45" t="s">
        <v>181</v>
      </c>
      <c r="C56" s="24"/>
      <c r="D56" s="24"/>
      <c r="E56" s="24"/>
      <c r="F56" s="24"/>
      <c r="G56" s="24"/>
      <c r="H56" s="24"/>
      <c r="I56" s="24"/>
      <c r="J56" s="25"/>
      <c r="K56" s="24"/>
      <c r="L56" s="24"/>
      <c r="M56" s="24"/>
      <c r="N56" s="24"/>
      <c r="O56" s="24"/>
    </row>
    <row r="57" spans="2:15" s="26" customFormat="1" x14ac:dyDescent="0.2">
      <c r="B57" s="45" t="s">
        <v>182</v>
      </c>
      <c r="C57" s="24"/>
      <c r="D57" s="24"/>
      <c r="E57" s="24"/>
      <c r="F57" s="24"/>
      <c r="G57" s="24"/>
      <c r="H57" s="24"/>
      <c r="I57" s="24"/>
      <c r="J57" s="25"/>
      <c r="K57" s="24"/>
      <c r="L57" s="24"/>
      <c r="M57" s="24"/>
      <c r="N57" s="24"/>
      <c r="O57" s="24"/>
    </row>
    <row r="58" spans="2:15" s="26" customFormat="1" x14ac:dyDescent="0.2">
      <c r="B58" s="45"/>
      <c r="C58" s="24"/>
      <c r="D58" s="24"/>
      <c r="E58" s="24"/>
      <c r="F58" s="24"/>
      <c r="G58" s="24"/>
      <c r="H58" s="24"/>
      <c r="I58" s="24"/>
      <c r="J58" s="25"/>
      <c r="K58" s="24"/>
      <c r="L58" s="24"/>
      <c r="M58" s="24"/>
      <c r="N58" s="24"/>
      <c r="O58" s="24"/>
    </row>
    <row r="59" spans="2:15" s="26" customFormat="1" x14ac:dyDescent="0.2">
      <c r="B59" s="45" t="s">
        <v>261</v>
      </c>
      <c r="C59" s="24"/>
      <c r="D59" s="24"/>
      <c r="E59" s="24"/>
      <c r="F59" s="24"/>
      <c r="G59" s="24"/>
      <c r="H59" s="24"/>
      <c r="I59" s="24"/>
      <c r="J59" s="25"/>
      <c r="K59" s="24"/>
      <c r="L59" s="24"/>
      <c r="M59" s="24"/>
      <c r="N59" s="24"/>
      <c r="O59" s="24"/>
    </row>
    <row r="60" spans="2:15" ht="18" customHeight="1" x14ac:dyDescent="0.2">
      <c r="D60" s="24"/>
      <c r="G60" s="24"/>
    </row>
    <row r="61" spans="2:15" ht="13.15" customHeight="1" x14ac:dyDescent="0.2">
      <c r="C61" s="16"/>
      <c r="F61" s="16" t="s">
        <v>152</v>
      </c>
      <c r="G61" s="124" t="s">
        <v>163</v>
      </c>
      <c r="H61" s="123">
        <f>SUM(F7:F25)/SUM(E7:E25)</f>
        <v>1.103212025300104E-2</v>
      </c>
    </row>
    <row r="62" spans="2:15" ht="13.15" customHeight="1" x14ac:dyDescent="0.2">
      <c r="F62" s="18"/>
    </row>
    <row r="63" spans="2:15" ht="18" customHeight="1" x14ac:dyDescent="0.2">
      <c r="B63" s="23" t="s">
        <v>18</v>
      </c>
      <c r="F63" s="18"/>
    </row>
    <row r="64" spans="2:15" ht="13.15" customHeight="1" x14ac:dyDescent="0.2">
      <c r="B64" s="20" t="s">
        <v>257</v>
      </c>
      <c r="F64" s="18"/>
    </row>
    <row r="65" spans="2:16" ht="13.15" customHeight="1" x14ac:dyDescent="0.2">
      <c r="B65" s="21" t="s">
        <v>104</v>
      </c>
      <c r="F65" s="18"/>
    </row>
    <row r="66" spans="2:16" ht="13.15" customHeight="1" x14ac:dyDescent="0.2">
      <c r="B66" s="20" t="s">
        <v>194</v>
      </c>
      <c r="F66" s="18"/>
    </row>
    <row r="67" spans="2:16" x14ac:dyDescent="0.2">
      <c r="B67" s="21" t="s">
        <v>258</v>
      </c>
      <c r="F67" s="18"/>
    </row>
    <row r="68" spans="2:16" ht="13.15" customHeight="1" x14ac:dyDescent="0.2">
      <c r="B68" s="20" t="s">
        <v>195</v>
      </c>
      <c r="F68" s="18"/>
    </row>
    <row r="69" spans="2:16" ht="13.15" customHeight="1" x14ac:dyDescent="0.2">
      <c r="B69" s="21" t="s">
        <v>259</v>
      </c>
      <c r="F69" s="18"/>
    </row>
    <row r="70" spans="2:16" s="26" customFormat="1" x14ac:dyDescent="0.2">
      <c r="B70" s="25"/>
      <c r="C70" s="24"/>
      <c r="D70" s="24"/>
      <c r="E70" s="24"/>
      <c r="F70" s="24"/>
      <c r="G70" s="24"/>
      <c r="H70" s="24"/>
      <c r="I70" s="24"/>
      <c r="J70" s="25"/>
      <c r="K70" s="24"/>
      <c r="L70" s="24"/>
      <c r="M70" s="24"/>
      <c r="N70" s="24"/>
      <c r="O70" s="24"/>
    </row>
    <row r="71" spans="2:16" x14ac:dyDescent="0.2">
      <c r="B71" s="11" t="s">
        <v>153</v>
      </c>
      <c r="F71" s="18"/>
      <c r="J71" s="2"/>
      <c r="K71" s="10"/>
      <c r="P71" s="2"/>
    </row>
    <row r="72" spans="2:16" ht="13.15" customHeight="1" x14ac:dyDescent="0.2">
      <c r="B72" s="11" t="s">
        <v>128</v>
      </c>
      <c r="F72" s="18"/>
      <c r="J72" s="2"/>
      <c r="K72" s="10"/>
      <c r="P72" s="2"/>
    </row>
    <row r="73" spans="2:16" ht="13.15" customHeight="1" x14ac:dyDescent="0.2">
      <c r="F73" s="10"/>
      <c r="J73" s="2"/>
      <c r="K73" s="10"/>
      <c r="P73" s="2"/>
    </row>
    <row r="74" spans="2:16" ht="13.15" customHeight="1" x14ac:dyDescent="0.2">
      <c r="F74" s="16" t="s">
        <v>154</v>
      </c>
      <c r="G74" s="124" t="s">
        <v>171</v>
      </c>
      <c r="H74" s="123">
        <f>H61+SQRT(H102/H100)*(H88-H79)</f>
        <v>8.7745576753670909E-3</v>
      </c>
      <c r="J74" s="2"/>
      <c r="K74" s="10"/>
      <c r="P74" s="2"/>
    </row>
    <row r="75" spans="2:16" ht="9.6" customHeight="1" x14ac:dyDescent="0.2">
      <c r="F75" s="10"/>
      <c r="J75" s="2"/>
      <c r="K75" s="10"/>
      <c r="P75" s="2"/>
    </row>
    <row r="76" spans="2:16" ht="13.15" customHeight="1" x14ac:dyDescent="0.2">
      <c r="F76" s="10"/>
      <c r="H76" s="22"/>
      <c r="J76" s="2"/>
      <c r="K76" s="10"/>
      <c r="P76" s="2"/>
    </row>
    <row r="77" spans="2:16" ht="13.15" customHeight="1" x14ac:dyDescent="0.2">
      <c r="F77" s="16" t="s">
        <v>155</v>
      </c>
      <c r="G77" s="124" t="s">
        <v>172</v>
      </c>
      <c r="H77" s="123">
        <f>H61+SQRT(H102/H100)*(H91-H79)</f>
        <v>1.3670882227251796E-2</v>
      </c>
      <c r="J77" s="2"/>
      <c r="K77" s="10"/>
      <c r="P77" s="2"/>
    </row>
    <row r="78" spans="2:16" ht="18" customHeight="1" x14ac:dyDescent="0.2">
      <c r="B78" s="23" t="s">
        <v>18</v>
      </c>
      <c r="J78" s="2"/>
      <c r="K78" s="10"/>
      <c r="P78" s="2"/>
    </row>
    <row r="79" spans="2:16" x14ac:dyDescent="0.2">
      <c r="B79" s="20" t="s">
        <v>156</v>
      </c>
      <c r="F79" s="18"/>
      <c r="G79" s="124" t="s">
        <v>121</v>
      </c>
      <c r="H79" s="128">
        <f>SUM(C7:C25)</f>
        <v>91</v>
      </c>
    </row>
    <row r="80" spans="2:16" ht="13.15" customHeight="1" x14ac:dyDescent="0.2">
      <c r="B80" s="20" t="s">
        <v>238</v>
      </c>
      <c r="E80" s="9"/>
      <c r="F80" s="9"/>
      <c r="J80" s="2"/>
      <c r="K80" s="10"/>
      <c r="P80" s="2"/>
    </row>
    <row r="81" spans="2:17" ht="13.15" customHeight="1" x14ac:dyDescent="0.2">
      <c r="B81" s="21" t="s">
        <v>158</v>
      </c>
      <c r="J81" s="2"/>
      <c r="K81" s="10"/>
      <c r="P81" s="2"/>
    </row>
    <row r="82" spans="2:17" ht="13.15" customHeight="1" x14ac:dyDescent="0.2">
      <c r="B82" s="20" t="s">
        <v>157</v>
      </c>
      <c r="J82" s="2"/>
      <c r="K82" s="10"/>
      <c r="P82" s="2"/>
    </row>
    <row r="83" spans="2:17" x14ac:dyDescent="0.2">
      <c r="B83" s="20" t="s">
        <v>262</v>
      </c>
      <c r="J83" s="2"/>
      <c r="K83" s="10"/>
      <c r="P83" s="2"/>
    </row>
    <row r="84" spans="2:17" x14ac:dyDescent="0.2">
      <c r="F84" s="10"/>
      <c r="J84" s="2"/>
      <c r="K84" s="10"/>
      <c r="P84" s="2"/>
    </row>
    <row r="85" spans="2:17" ht="14.25" x14ac:dyDescent="0.2">
      <c r="B85" s="11" t="s">
        <v>176</v>
      </c>
      <c r="G85" s="9"/>
      <c r="H85" s="9"/>
      <c r="J85" s="2"/>
      <c r="K85" s="10"/>
      <c r="P85" s="2"/>
    </row>
    <row r="86" spans="2:17" x14ac:dyDescent="0.2">
      <c r="B86" s="11" t="s">
        <v>177</v>
      </c>
      <c r="F86" s="18"/>
      <c r="J86" s="2"/>
      <c r="K86" s="10"/>
      <c r="P86" s="2"/>
    </row>
    <row r="87" spans="2:17" x14ac:dyDescent="0.2">
      <c r="F87" s="10"/>
      <c r="J87" s="2"/>
      <c r="K87" s="10"/>
      <c r="P87" s="2"/>
    </row>
    <row r="88" spans="2:17" ht="13.15" customHeight="1" x14ac:dyDescent="0.2">
      <c r="F88" s="16" t="s">
        <v>39</v>
      </c>
      <c r="G88" s="124" t="s">
        <v>130</v>
      </c>
      <c r="H88" s="129">
        <f>H79*(1-1/(9*H79)-H94/(3*SQRT(H79)))^3</f>
        <v>73.265529346512182</v>
      </c>
      <c r="J88" s="2"/>
      <c r="K88" s="10"/>
      <c r="P88" s="2"/>
    </row>
    <row r="89" spans="2:17" x14ac:dyDescent="0.2">
      <c r="F89" s="10"/>
      <c r="J89" s="2"/>
      <c r="K89" s="10"/>
      <c r="P89" s="2"/>
    </row>
    <row r="90" spans="2:17" ht="13.15" customHeight="1" x14ac:dyDescent="0.2">
      <c r="F90" s="10"/>
      <c r="H90" s="22"/>
      <c r="J90" s="2"/>
      <c r="K90" s="10"/>
      <c r="P90" s="2"/>
    </row>
    <row r="91" spans="2:17" ht="13.15" customHeight="1" x14ac:dyDescent="0.2">
      <c r="F91" s="16" t="s">
        <v>40</v>
      </c>
      <c r="G91" s="124" t="s">
        <v>132</v>
      </c>
      <c r="H91" s="129">
        <f>(H79+1)*(1-1/(9*(H79+1))+H94/(3*SQRT(H79+1)))^3</f>
        <v>111.72901422867113</v>
      </c>
      <c r="J91" s="2"/>
      <c r="K91" s="10"/>
      <c r="P91" s="2"/>
    </row>
    <row r="92" spans="2:17" ht="13.15" customHeight="1" x14ac:dyDescent="0.2">
      <c r="B92" s="9"/>
      <c r="H92" s="122"/>
      <c r="J92" s="2"/>
      <c r="K92" s="10"/>
      <c r="P92" s="2"/>
    </row>
    <row r="93" spans="2:17" ht="13.15" customHeight="1" x14ac:dyDescent="0.2">
      <c r="B93" s="23" t="s">
        <v>18</v>
      </c>
      <c r="J93" s="2"/>
      <c r="K93" s="10"/>
      <c r="P93" s="2"/>
    </row>
    <row r="94" spans="2:17" ht="13.15" customHeight="1" x14ac:dyDescent="0.2">
      <c r="B94" s="20" t="s">
        <v>139</v>
      </c>
      <c r="G94" s="124" t="s">
        <v>124</v>
      </c>
      <c r="H94" s="123">
        <f>NORMSINV(1-H32/2)</f>
        <v>1.9599639845400536</v>
      </c>
      <c r="J94" s="2"/>
      <c r="K94" s="10"/>
      <c r="P94" s="2"/>
    </row>
    <row r="95" spans="2:17" ht="13.15" customHeight="1" x14ac:dyDescent="0.2">
      <c r="B95" s="21" t="s">
        <v>236</v>
      </c>
      <c r="G95" s="124"/>
      <c r="H95" s="123"/>
      <c r="J95" s="2"/>
      <c r="L95" s="10"/>
      <c r="P95" s="2"/>
      <c r="Q95" s="2"/>
    </row>
    <row r="96" spans="2:17" ht="13.15" customHeight="1" x14ac:dyDescent="0.2">
      <c r="B96" s="21" t="s">
        <v>221</v>
      </c>
      <c r="G96" s="124"/>
      <c r="H96" s="123"/>
      <c r="J96" s="2"/>
      <c r="L96" s="10"/>
      <c r="P96" s="2"/>
      <c r="Q96" s="2"/>
    </row>
    <row r="97" spans="2:16" x14ac:dyDescent="0.2">
      <c r="J97" s="2"/>
      <c r="K97" s="10"/>
      <c r="P97" s="2"/>
    </row>
    <row r="98" spans="2:16" s="26" customFormat="1" x14ac:dyDescent="0.2">
      <c r="B98" s="23" t="s">
        <v>162</v>
      </c>
      <c r="C98" s="24"/>
      <c r="D98" s="24"/>
      <c r="E98" s="24"/>
      <c r="F98" s="24"/>
      <c r="G98" s="24"/>
      <c r="H98" s="24"/>
      <c r="I98" s="24"/>
      <c r="J98" s="25"/>
      <c r="K98" s="24"/>
      <c r="L98" s="24"/>
      <c r="M98" s="24"/>
      <c r="N98" s="24"/>
      <c r="O98" s="24"/>
    </row>
    <row r="99" spans="2:16" s="26" customFormat="1" x14ac:dyDescent="0.2">
      <c r="B99" s="25"/>
      <c r="C99" s="24"/>
      <c r="D99" s="24"/>
      <c r="E99" s="24"/>
      <c r="F99" s="24"/>
      <c r="G99" s="24"/>
      <c r="H99" s="24"/>
      <c r="I99" s="24"/>
      <c r="J99" s="25"/>
      <c r="K99" s="24"/>
      <c r="L99" s="24"/>
      <c r="M99" s="24"/>
      <c r="N99" s="24"/>
      <c r="O99" s="24"/>
    </row>
    <row r="100" spans="2:16" s="26" customFormat="1" x14ac:dyDescent="0.2">
      <c r="B100" s="25"/>
      <c r="C100" s="24"/>
      <c r="D100" s="24"/>
      <c r="E100" s="24"/>
      <c r="F100" s="16"/>
      <c r="G100" s="124" t="s">
        <v>161</v>
      </c>
      <c r="H100" s="128">
        <f>SUM(C7:C25)</f>
        <v>91</v>
      </c>
      <c r="I100" s="24"/>
      <c r="J100" s="25"/>
      <c r="K100" s="24"/>
      <c r="L100" s="24"/>
      <c r="M100" s="24"/>
      <c r="N100" s="24"/>
      <c r="O100" s="24"/>
    </row>
    <row r="101" spans="2:16" s="26" customFormat="1" x14ac:dyDescent="0.2">
      <c r="B101" s="20"/>
      <c r="C101" s="24"/>
      <c r="D101" s="24"/>
      <c r="E101" s="24"/>
      <c r="F101" s="16" t="s">
        <v>159</v>
      </c>
      <c r="G101" s="24"/>
      <c r="H101" s="24"/>
      <c r="I101" s="24"/>
      <c r="J101" s="25"/>
      <c r="K101" s="24"/>
      <c r="L101" s="24"/>
      <c r="M101" s="24"/>
      <c r="N101" s="24"/>
      <c r="O101" s="24"/>
    </row>
    <row r="102" spans="2:16" x14ac:dyDescent="0.2">
      <c r="F102" s="16"/>
      <c r="G102" s="124" t="s">
        <v>160</v>
      </c>
      <c r="H102" s="130">
        <f>SUM(G7:G25)/SUM(E7:E25)^2</f>
        <v>1.4746349648336988E-6</v>
      </c>
    </row>
    <row r="106" spans="2:16" s="23" customFormat="1" x14ac:dyDescent="0.2">
      <c r="B106" s="23" t="s">
        <v>26</v>
      </c>
    </row>
    <row r="107" spans="2:16" s="23" customFormat="1" ht="13.15" customHeight="1" x14ac:dyDescent="0.2">
      <c r="B107" s="23" t="s">
        <v>25</v>
      </c>
    </row>
    <row r="108" spans="2:16" s="23" customFormat="1" ht="13.15" customHeight="1" x14ac:dyDescent="0.2">
      <c r="B108" s="23" t="s">
        <v>27</v>
      </c>
    </row>
    <row r="109" spans="2:16" s="23" customFormat="1" ht="13.15" customHeight="1" x14ac:dyDescent="0.2">
      <c r="B109" s="23" t="s">
        <v>91</v>
      </c>
    </row>
    <row r="110" spans="2:16" ht="13.15" customHeight="1" x14ac:dyDescent="0.2">
      <c r="J110" s="2"/>
      <c r="K110" s="10"/>
      <c r="P110" s="2"/>
    </row>
    <row r="111" spans="2:16" ht="15.75" x14ac:dyDescent="0.2">
      <c r="B111" s="11" t="s">
        <v>134</v>
      </c>
      <c r="F111" s="18"/>
      <c r="J111" s="2"/>
      <c r="K111" s="10"/>
      <c r="P111" s="2"/>
    </row>
    <row r="112" spans="2:16" ht="13.15" customHeight="1" x14ac:dyDescent="0.2">
      <c r="B112" s="17" t="s">
        <v>28</v>
      </c>
      <c r="F112" s="18"/>
      <c r="J112" s="2"/>
      <c r="K112" s="10"/>
      <c r="P112" s="2"/>
    </row>
    <row r="113" spans="2:16" ht="13.15" customHeight="1" x14ac:dyDescent="0.2">
      <c r="F113" s="10"/>
      <c r="J113" s="2"/>
      <c r="K113" s="10"/>
      <c r="P113" s="2"/>
    </row>
    <row r="114" spans="2:16" ht="13.15" customHeight="1" x14ac:dyDescent="0.2">
      <c r="D114" s="10"/>
      <c r="F114" s="16"/>
      <c r="G114" s="124" t="s">
        <v>130</v>
      </c>
      <c r="H114" s="123">
        <f>H119/2</f>
        <v>73.26752349683106</v>
      </c>
      <c r="J114" s="2"/>
      <c r="K114" s="10"/>
      <c r="P114" s="2"/>
    </row>
    <row r="115" spans="2:16" ht="13.15" customHeight="1" x14ac:dyDescent="0.2">
      <c r="D115" s="10"/>
      <c r="F115" s="10"/>
      <c r="G115" s="9"/>
      <c r="H115" s="9"/>
      <c r="J115" s="2"/>
      <c r="K115" s="10"/>
      <c r="P115" s="2"/>
    </row>
    <row r="116" spans="2:16" ht="13.15" customHeight="1" x14ac:dyDescent="0.2">
      <c r="D116" s="10"/>
      <c r="F116" s="10"/>
      <c r="G116" s="124"/>
      <c r="H116" s="123"/>
      <c r="J116" s="2"/>
      <c r="K116" s="10"/>
      <c r="P116" s="2"/>
    </row>
    <row r="117" spans="2:16" ht="13.15" customHeight="1" x14ac:dyDescent="0.2">
      <c r="D117" s="10"/>
      <c r="F117" s="16"/>
      <c r="G117" s="124" t="s">
        <v>132</v>
      </c>
      <c r="H117" s="123">
        <f>H121/2</f>
        <v>111.72783491654769</v>
      </c>
      <c r="J117" s="2"/>
      <c r="K117" s="10"/>
      <c r="P117" s="2"/>
    </row>
    <row r="118" spans="2:16" ht="18" customHeight="1" x14ac:dyDescent="0.2">
      <c r="B118" s="23" t="s">
        <v>18</v>
      </c>
      <c r="D118" s="10"/>
      <c r="F118" s="16"/>
      <c r="G118" s="124"/>
      <c r="H118" s="123"/>
      <c r="J118" s="2"/>
      <c r="K118" s="10"/>
      <c r="P118" s="2"/>
    </row>
    <row r="119" spans="2:16" ht="15.75" x14ac:dyDescent="0.2">
      <c r="B119" s="98" t="s">
        <v>206</v>
      </c>
      <c r="G119" s="126" t="s">
        <v>208</v>
      </c>
      <c r="H119" s="123">
        <f>CHIINV(1-H32/2,2*H79)</f>
        <v>146.53504699366212</v>
      </c>
      <c r="J119" s="2"/>
      <c r="K119" s="10"/>
      <c r="P119" s="2"/>
    </row>
    <row r="120" spans="2:16" x14ac:dyDescent="0.2">
      <c r="B120" s="21" t="s">
        <v>29</v>
      </c>
      <c r="H120" s="123"/>
      <c r="J120" s="2"/>
      <c r="K120" s="10"/>
      <c r="P120" s="2"/>
    </row>
    <row r="121" spans="2:16" ht="15.75" x14ac:dyDescent="0.2">
      <c r="B121" s="98" t="s">
        <v>207</v>
      </c>
      <c r="G121" s="126" t="s">
        <v>209</v>
      </c>
      <c r="H121" s="123">
        <f>CHIINV(H32/2,2*H79+2)</f>
        <v>223.45566983309539</v>
      </c>
      <c r="J121" s="2"/>
      <c r="K121" s="10"/>
      <c r="P121" s="2"/>
    </row>
    <row r="122" spans="2:16" x14ac:dyDescent="0.2">
      <c r="B122" s="21" t="s">
        <v>30</v>
      </c>
      <c r="J122" s="2"/>
      <c r="K122" s="10"/>
      <c r="P122" s="2"/>
    </row>
    <row r="123" spans="2:16" ht="14.25" x14ac:dyDescent="0.2">
      <c r="B123" s="21"/>
      <c r="G123" s="121" t="s">
        <v>151</v>
      </c>
      <c r="J123" s="2"/>
      <c r="K123" s="10"/>
      <c r="P123" s="2"/>
    </row>
    <row r="124" spans="2:16" s="23" customFormat="1" ht="13.15" customHeight="1" x14ac:dyDescent="0.2">
      <c r="B124" s="23" t="s">
        <v>216</v>
      </c>
      <c r="G124" s="121" t="s">
        <v>150</v>
      </c>
    </row>
    <row r="125" spans="2:16" s="23" customFormat="1" ht="13.15" customHeight="1" x14ac:dyDescent="0.2">
      <c r="B125" s="23" t="s">
        <v>217</v>
      </c>
      <c r="G125" s="121" t="s">
        <v>210</v>
      </c>
    </row>
    <row r="126" spans="2:16" s="23" customFormat="1" ht="13.15" customHeight="1" x14ac:dyDescent="0.2">
      <c r="B126" s="23" t="s">
        <v>218</v>
      </c>
      <c r="G126" s="121" t="s">
        <v>211</v>
      </c>
    </row>
    <row r="127" spans="2:16" s="23" customFormat="1" ht="13.15" customHeight="1" x14ac:dyDescent="0.2">
      <c r="B127" s="23" t="s">
        <v>219</v>
      </c>
      <c r="G127" s="121" t="s">
        <v>212</v>
      </c>
    </row>
    <row r="128" spans="2:16" s="23" customFormat="1" ht="13.15" customHeight="1" x14ac:dyDescent="0.2">
      <c r="B128" s="23" t="s">
        <v>220</v>
      </c>
      <c r="G128" s="134" t="s">
        <v>213</v>
      </c>
    </row>
    <row r="129" spans="2:16" s="26" customFormat="1" x14ac:dyDescent="0.2">
      <c r="B129" s="25"/>
      <c r="C129" s="24"/>
      <c r="D129" s="24"/>
      <c r="E129" s="24"/>
      <c r="F129" s="24"/>
      <c r="G129" s="24"/>
      <c r="H129" s="24"/>
      <c r="I129" s="24"/>
      <c r="J129" s="24"/>
      <c r="K129" s="25"/>
      <c r="L129" s="24"/>
      <c r="M129" s="24"/>
      <c r="N129" s="24"/>
      <c r="O129" s="24"/>
      <c r="P129" s="24"/>
    </row>
    <row r="130" spans="2:16" s="26" customFormat="1" x14ac:dyDescent="0.2">
      <c r="B130" s="42" t="s">
        <v>31</v>
      </c>
      <c r="C130" s="24"/>
      <c r="D130" s="24"/>
      <c r="E130" s="24"/>
      <c r="F130" s="24"/>
      <c r="G130" s="24"/>
      <c r="H130" s="24"/>
      <c r="I130" s="24"/>
      <c r="J130" s="24"/>
      <c r="K130" s="25"/>
      <c r="L130" s="24"/>
      <c r="M130" s="24"/>
      <c r="N130" s="24"/>
      <c r="O130" s="24"/>
      <c r="P130" s="24"/>
    </row>
    <row r="131" spans="2:16" s="41" customFormat="1" ht="13.15" customHeight="1" x14ac:dyDescent="0.2">
      <c r="B131" s="43" t="s">
        <v>267</v>
      </c>
      <c r="C131" s="40"/>
      <c r="D131" s="40"/>
      <c r="E131" s="40"/>
      <c r="F131" s="40"/>
      <c r="G131" s="40"/>
      <c r="H131" s="40"/>
      <c r="I131" s="40"/>
      <c r="J131" s="40"/>
      <c r="K131" s="39"/>
      <c r="L131" s="40"/>
      <c r="M131" s="40"/>
      <c r="N131" s="40"/>
      <c r="O131" s="40"/>
      <c r="P131" s="40"/>
    </row>
    <row r="132" spans="2:16" s="41" customFormat="1" ht="11.25" x14ac:dyDescent="0.2">
      <c r="B132" s="44" t="s">
        <v>268</v>
      </c>
      <c r="C132" s="40"/>
      <c r="D132" s="40"/>
      <c r="E132" s="40"/>
      <c r="F132" s="40"/>
      <c r="G132" s="40"/>
      <c r="H132" s="40"/>
      <c r="I132" s="40"/>
      <c r="J132" s="40"/>
      <c r="K132" s="39"/>
      <c r="L132" s="40"/>
      <c r="M132" s="40"/>
      <c r="N132" s="40"/>
      <c r="O132" s="40"/>
      <c r="P132" s="40"/>
    </row>
    <row r="133" spans="2:16" s="41" customFormat="1" ht="13.15" customHeight="1" x14ac:dyDescent="0.2">
      <c r="B133" s="43" t="s">
        <v>269</v>
      </c>
      <c r="C133" s="40"/>
      <c r="D133" s="40"/>
      <c r="E133" s="40"/>
      <c r="F133" s="40"/>
      <c r="G133" s="40"/>
      <c r="H133" s="40"/>
      <c r="I133" s="40"/>
      <c r="J133" s="40"/>
      <c r="K133" s="39"/>
      <c r="L133" s="40"/>
      <c r="M133" s="40"/>
      <c r="N133" s="40"/>
      <c r="O133" s="40"/>
      <c r="P133" s="40"/>
    </row>
    <row r="134" spans="2:16" s="26" customFormat="1" x14ac:dyDescent="0.2">
      <c r="B134" s="25"/>
      <c r="C134" s="24"/>
      <c r="D134" s="24"/>
      <c r="E134" s="24"/>
      <c r="F134" s="24"/>
      <c r="G134" s="24"/>
      <c r="H134" s="24"/>
      <c r="I134" s="24"/>
      <c r="J134" s="24"/>
      <c r="K134" s="25"/>
      <c r="L134" s="24"/>
      <c r="M134" s="24"/>
      <c r="N134" s="24"/>
      <c r="O134" s="24"/>
      <c r="P134" s="24"/>
    </row>
    <row r="135" spans="2:16" s="26" customFormat="1" x14ac:dyDescent="0.2">
      <c r="B135" s="25"/>
      <c r="C135" s="24"/>
      <c r="D135" s="24"/>
      <c r="E135" s="24"/>
      <c r="F135" s="24"/>
      <c r="G135" s="24"/>
      <c r="H135" s="24"/>
      <c r="I135" s="24"/>
      <c r="J135" s="24"/>
      <c r="K135" s="25"/>
      <c r="L135" s="24"/>
      <c r="M135" s="24"/>
      <c r="N135" s="24"/>
      <c r="O135" s="24"/>
      <c r="P135" s="24"/>
    </row>
    <row r="136" spans="2:16" s="26" customFormat="1" x14ac:dyDescent="0.2">
      <c r="B136" s="25"/>
      <c r="C136" s="24"/>
      <c r="D136" s="24"/>
      <c r="E136" s="24"/>
      <c r="F136" s="24"/>
      <c r="G136" s="24"/>
      <c r="H136" s="24"/>
      <c r="I136" s="24"/>
      <c r="J136" s="24"/>
      <c r="K136" s="25"/>
      <c r="L136" s="24"/>
      <c r="M136" s="24"/>
      <c r="N136" s="24"/>
      <c r="O136" s="24"/>
      <c r="P136" s="24"/>
    </row>
    <row r="137" spans="2:16" s="26" customFormat="1" x14ac:dyDescent="0.2">
      <c r="B137" s="25"/>
      <c r="C137" s="24"/>
      <c r="D137" s="24"/>
      <c r="E137" s="24"/>
      <c r="F137" s="24"/>
      <c r="G137" s="24"/>
      <c r="H137" s="24"/>
      <c r="I137" s="24"/>
      <c r="J137" s="24"/>
      <c r="K137" s="25"/>
      <c r="L137" s="24"/>
      <c r="M137" s="24"/>
      <c r="N137" s="24"/>
      <c r="O137" s="24"/>
      <c r="P137" s="24"/>
    </row>
    <row r="138" spans="2:16" s="26" customFormat="1" x14ac:dyDescent="0.2">
      <c r="B138" s="25"/>
      <c r="C138" s="24"/>
      <c r="D138" s="24"/>
      <c r="E138" s="24"/>
      <c r="F138" s="24"/>
      <c r="G138" s="24"/>
      <c r="H138" s="24"/>
      <c r="I138" s="24"/>
      <c r="J138" s="24"/>
      <c r="K138" s="25"/>
      <c r="L138" s="24"/>
      <c r="M138" s="24"/>
      <c r="N138" s="24"/>
      <c r="O138" s="24"/>
      <c r="P138" s="24"/>
    </row>
    <row r="139" spans="2:16" s="26" customFormat="1" x14ac:dyDescent="0.2">
      <c r="B139" s="25"/>
      <c r="C139" s="24"/>
      <c r="D139" s="24"/>
      <c r="E139" s="24"/>
      <c r="F139" s="24"/>
      <c r="G139" s="24"/>
      <c r="H139" s="24"/>
      <c r="I139" s="24"/>
      <c r="J139" s="24"/>
      <c r="K139" s="25"/>
      <c r="L139" s="24"/>
      <c r="M139" s="24"/>
      <c r="N139" s="24"/>
      <c r="O139" s="24"/>
      <c r="P139" s="24"/>
    </row>
    <row r="140" spans="2:16" s="26" customFormat="1" x14ac:dyDescent="0.2">
      <c r="B140" s="25"/>
      <c r="C140" s="24"/>
      <c r="D140" s="24"/>
      <c r="E140" s="24"/>
      <c r="F140" s="24"/>
      <c r="G140" s="24"/>
      <c r="H140" s="24"/>
      <c r="I140" s="24"/>
      <c r="J140" s="24"/>
      <c r="K140" s="25"/>
      <c r="L140" s="24"/>
      <c r="M140" s="24"/>
      <c r="N140" s="24"/>
      <c r="O140" s="24"/>
      <c r="P140" s="24"/>
    </row>
    <row r="141" spans="2:16" s="26" customFormat="1" x14ac:dyDescent="0.2">
      <c r="B141" s="25"/>
      <c r="C141" s="24"/>
      <c r="D141" s="24"/>
      <c r="E141" s="24"/>
      <c r="F141" s="24"/>
      <c r="G141" s="24"/>
      <c r="H141" s="24"/>
      <c r="I141" s="24"/>
      <c r="J141" s="24"/>
      <c r="K141" s="25"/>
      <c r="L141" s="24"/>
      <c r="M141" s="24"/>
      <c r="N141" s="24"/>
      <c r="O141" s="24"/>
      <c r="P141" s="24"/>
    </row>
    <row r="142" spans="2:16" s="26" customFormat="1" x14ac:dyDescent="0.2">
      <c r="B142" s="25"/>
      <c r="C142" s="24"/>
      <c r="D142" s="24"/>
      <c r="E142" s="24"/>
      <c r="F142" s="24"/>
      <c r="G142" s="24"/>
      <c r="H142" s="24"/>
      <c r="I142" s="24"/>
      <c r="J142" s="24"/>
      <c r="K142" s="25"/>
      <c r="L142" s="24"/>
      <c r="M142" s="24"/>
      <c r="N142" s="24"/>
      <c r="O142" s="24"/>
      <c r="P142" s="24"/>
    </row>
    <row r="143" spans="2:16" s="26" customFormat="1" x14ac:dyDescent="0.2">
      <c r="B143" s="25"/>
      <c r="C143" s="24"/>
      <c r="D143" s="24"/>
      <c r="E143" s="24"/>
      <c r="F143" s="24"/>
      <c r="G143" s="24"/>
      <c r="H143" s="24"/>
      <c r="I143" s="24"/>
      <c r="J143" s="24"/>
      <c r="K143" s="25"/>
      <c r="L143" s="24"/>
      <c r="M143" s="24"/>
      <c r="N143" s="24"/>
      <c r="O143" s="24"/>
      <c r="P143" s="24"/>
    </row>
    <row r="144" spans="2:16" s="26" customFormat="1" x14ac:dyDescent="0.2">
      <c r="B144" s="25"/>
      <c r="C144" s="24"/>
      <c r="D144" s="24"/>
      <c r="E144" s="24"/>
      <c r="F144" s="24"/>
      <c r="G144" s="24"/>
      <c r="H144" s="24"/>
      <c r="I144" s="24"/>
      <c r="J144" s="24"/>
      <c r="K144" s="25"/>
      <c r="L144" s="24"/>
      <c r="M144" s="24"/>
      <c r="N144" s="24"/>
      <c r="O144" s="24"/>
      <c r="P144" s="24"/>
    </row>
    <row r="145" spans="2:16" s="26" customFormat="1" x14ac:dyDescent="0.2">
      <c r="B145" s="25"/>
      <c r="C145" s="24"/>
      <c r="D145" s="24"/>
      <c r="E145" s="24"/>
      <c r="F145" s="24"/>
      <c r="G145" s="24"/>
      <c r="H145" s="24"/>
      <c r="I145" s="24"/>
      <c r="J145" s="24"/>
      <c r="K145" s="25"/>
      <c r="L145" s="24"/>
      <c r="M145" s="24"/>
      <c r="N145" s="24"/>
      <c r="O145" s="24"/>
      <c r="P145" s="24"/>
    </row>
  </sheetData>
  <mergeCells count="2">
    <mergeCell ref="C30:D30"/>
    <mergeCell ref="G4:G5"/>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41992" r:id="rId4">
          <objectPr defaultSize="0" autoPict="0" r:id="rId5">
            <anchor moveWithCells="1">
              <from>
                <xdr:col>2</xdr:col>
                <xdr:colOff>142875</xdr:colOff>
                <xdr:row>75</xdr:row>
                <xdr:rowOff>57150</xdr:rowOff>
              </from>
              <to>
                <xdr:col>4</xdr:col>
                <xdr:colOff>180975</xdr:colOff>
                <xdr:row>77</xdr:row>
                <xdr:rowOff>133350</xdr:rowOff>
              </to>
            </anchor>
          </objectPr>
        </oleObject>
      </mc:Choice>
      <mc:Fallback>
        <oleObject progId="Equation.3" shapeId="41992" r:id="rId4"/>
      </mc:Fallback>
    </mc:AlternateContent>
    <mc:AlternateContent xmlns:mc="http://schemas.openxmlformats.org/markup-compatibility/2006">
      <mc:Choice Requires="x14">
        <oleObject progId="Equation.3" shapeId="41991" r:id="rId6">
          <objectPr defaultSize="0" autoPict="0" r:id="rId7">
            <anchor moveWithCells="1">
              <from>
                <xdr:col>2</xdr:col>
                <xdr:colOff>142875</xdr:colOff>
                <xdr:row>72</xdr:row>
                <xdr:rowOff>57150</xdr:rowOff>
              </from>
              <to>
                <xdr:col>4</xdr:col>
                <xdr:colOff>161925</xdr:colOff>
                <xdr:row>75</xdr:row>
                <xdr:rowOff>9525</xdr:rowOff>
              </to>
            </anchor>
          </objectPr>
        </oleObject>
      </mc:Choice>
      <mc:Fallback>
        <oleObject progId="Equation.3" shapeId="41991" r:id="rId6"/>
      </mc:Fallback>
    </mc:AlternateContent>
    <mc:AlternateContent xmlns:mc="http://schemas.openxmlformats.org/markup-compatibility/2006">
      <mc:Choice Requires="x14">
        <oleObject progId="Equation.3" shapeId="41990" r:id="rId8">
          <objectPr defaultSize="0" autoPict="0" r:id="rId9">
            <anchor moveWithCells="1">
              <from>
                <xdr:col>2</xdr:col>
                <xdr:colOff>142875</xdr:colOff>
                <xdr:row>59</xdr:row>
                <xdr:rowOff>152400</xdr:rowOff>
              </from>
              <to>
                <xdr:col>3</xdr:col>
                <xdr:colOff>266700</xdr:colOff>
                <xdr:row>62</xdr:row>
                <xdr:rowOff>66675</xdr:rowOff>
              </to>
            </anchor>
          </objectPr>
        </oleObject>
      </mc:Choice>
      <mc:Fallback>
        <oleObject progId="Equation.3" shapeId="41990" r:id="rId8"/>
      </mc:Fallback>
    </mc:AlternateContent>
    <mc:AlternateContent xmlns:mc="http://schemas.openxmlformats.org/markup-compatibility/2006">
      <mc:Choice Requires="x14">
        <oleObject progId="Equation.3" shapeId="41994" r:id="rId10">
          <objectPr defaultSize="0" autoPict="0" r:id="rId11">
            <anchor moveWithCells="1">
              <from>
                <xdr:col>2</xdr:col>
                <xdr:colOff>142875</xdr:colOff>
                <xdr:row>98</xdr:row>
                <xdr:rowOff>142875</xdr:rowOff>
              </from>
              <to>
                <xdr:col>2</xdr:col>
                <xdr:colOff>942975</xdr:colOff>
                <xdr:row>100</xdr:row>
                <xdr:rowOff>123825</xdr:rowOff>
              </to>
            </anchor>
          </objectPr>
        </oleObject>
      </mc:Choice>
      <mc:Fallback>
        <oleObject progId="Equation.3" shapeId="41994" r:id="rId10"/>
      </mc:Fallback>
    </mc:AlternateContent>
    <mc:AlternateContent xmlns:mc="http://schemas.openxmlformats.org/markup-compatibility/2006">
      <mc:Choice Requires="x14">
        <oleObject progId="Equation.3" shapeId="41995" r:id="rId12">
          <objectPr defaultSize="0" autoPict="0" r:id="rId13">
            <anchor moveWithCells="1">
              <from>
                <xdr:col>2</xdr:col>
                <xdr:colOff>142875</xdr:colOff>
                <xdr:row>100</xdr:row>
                <xdr:rowOff>76200</xdr:rowOff>
              </from>
              <to>
                <xdr:col>3</xdr:col>
                <xdr:colOff>714375</xdr:colOff>
                <xdr:row>104</xdr:row>
                <xdr:rowOff>19050</xdr:rowOff>
              </to>
            </anchor>
          </objectPr>
        </oleObject>
      </mc:Choice>
      <mc:Fallback>
        <oleObject progId="Equation.3" shapeId="41995" r:id="rId12"/>
      </mc:Fallback>
    </mc:AlternateContent>
    <mc:AlternateContent xmlns:mc="http://schemas.openxmlformats.org/markup-compatibility/2006">
      <mc:Choice Requires="x14">
        <oleObject progId="Equation.3" shapeId="42001" r:id="rId14">
          <objectPr defaultSize="0" autoPict="0" r:id="rId15">
            <anchor moveWithCells="1">
              <from>
                <xdr:col>2</xdr:col>
                <xdr:colOff>142875</xdr:colOff>
                <xdr:row>89</xdr:row>
                <xdr:rowOff>19050</xdr:rowOff>
              </from>
              <to>
                <xdr:col>4</xdr:col>
                <xdr:colOff>247650</xdr:colOff>
                <xdr:row>92</xdr:row>
                <xdr:rowOff>9525</xdr:rowOff>
              </to>
            </anchor>
          </objectPr>
        </oleObject>
      </mc:Choice>
      <mc:Fallback>
        <oleObject progId="Equation.3" shapeId="42001" r:id="rId14"/>
      </mc:Fallback>
    </mc:AlternateContent>
    <mc:AlternateContent xmlns:mc="http://schemas.openxmlformats.org/markup-compatibility/2006">
      <mc:Choice Requires="x14">
        <oleObject progId="Equation.3" shapeId="42002" r:id="rId16">
          <objectPr defaultSize="0" autoPict="0" r:id="rId17">
            <anchor moveWithCells="1">
              <from>
                <xdr:col>2</xdr:col>
                <xdr:colOff>142875</xdr:colOff>
                <xdr:row>86</xdr:row>
                <xdr:rowOff>38100</xdr:rowOff>
              </from>
              <to>
                <xdr:col>3</xdr:col>
                <xdr:colOff>695325</xdr:colOff>
                <xdr:row>88</xdr:row>
                <xdr:rowOff>142875</xdr:rowOff>
              </to>
            </anchor>
          </objectPr>
        </oleObject>
      </mc:Choice>
      <mc:Fallback>
        <oleObject progId="Equation.3" shapeId="42002" r:id="rId1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Proportions</vt:lpstr>
      <vt:lpstr>Rates</vt:lpstr>
      <vt:lpstr>Means</vt:lpstr>
      <vt:lpstr>Indirect Standardisation</vt:lpstr>
      <vt:lpstr>Direct Standardisation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APHO</dc:creator>
  <cp:lastModifiedBy>Georgina Anderson</cp:lastModifiedBy>
  <cp:lastPrinted>2007-09-07T08:50:58Z</cp:lastPrinted>
  <dcterms:created xsi:type="dcterms:W3CDTF">2006-12-22T09:35:42Z</dcterms:created>
  <dcterms:modified xsi:type="dcterms:W3CDTF">2017-12-14T14:24:14Z</dcterms:modified>
</cp:coreProperties>
</file>