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ú" sheetId="1" r:id="rId4"/>
    <sheet state="visible" name="Ingresos" sheetId="2" r:id="rId5"/>
    <sheet state="visible" name="Egresos" sheetId="3" r:id="rId6"/>
    <sheet state="visible" name="Costos" sheetId="4" r:id="rId7"/>
    <sheet state="visible" name="Propuesta" sheetId="5" r:id="rId8"/>
    <sheet state="visible" name="Hoja 8" sheetId="6" r:id="rId9"/>
  </sheets>
  <definedNames/>
  <calcPr/>
</workbook>
</file>

<file path=xl/sharedStrings.xml><?xml version="1.0" encoding="utf-8"?>
<sst xmlns="http://schemas.openxmlformats.org/spreadsheetml/2006/main" count="206" uniqueCount="194">
  <si>
    <t>Producto</t>
  </si>
  <si>
    <t xml:space="preserve">Costo </t>
  </si>
  <si>
    <t xml:space="preserve">Precio </t>
  </si>
  <si>
    <t>Ganancia</t>
  </si>
  <si>
    <t>Porcentaje de ganacia</t>
  </si>
  <si>
    <t>Porcentaje de costo</t>
  </si>
  <si>
    <t>Reducción permitida</t>
  </si>
  <si>
    <t>Espresso DOBLE</t>
  </si>
  <si>
    <t>Capuchino</t>
  </si>
  <si>
    <t>Flat White</t>
  </si>
  <si>
    <t>FRUTILLA 750GR</t>
  </si>
  <si>
    <t>Latte</t>
  </si>
  <si>
    <t xml:space="preserve">15ml </t>
  </si>
  <si>
    <t>Mocaccino</t>
  </si>
  <si>
    <t>Americano</t>
  </si>
  <si>
    <t>Tinto Campesino</t>
  </si>
  <si>
    <t xml:space="preserve">cacao </t>
  </si>
  <si>
    <t>Espresso Honey</t>
  </si>
  <si>
    <t>Catuai rojo</t>
  </si>
  <si>
    <t>Honey</t>
  </si>
  <si>
    <t>Té</t>
  </si>
  <si>
    <t>Sultana</t>
  </si>
  <si>
    <t>Mates etc</t>
  </si>
  <si>
    <t>limón cuarto</t>
  </si>
  <si>
    <t>uso en venta d</t>
  </si>
  <si>
    <t>uso en cafe</t>
  </si>
  <si>
    <t>te</t>
  </si>
  <si>
    <t xml:space="preserve">Te chai </t>
  </si>
  <si>
    <t>te especial</t>
  </si>
  <si>
    <t>miel</t>
  </si>
  <si>
    <t>Te chai con leche</t>
  </si>
  <si>
    <t>te especial leche</t>
  </si>
  <si>
    <t>queque</t>
  </si>
  <si>
    <t>Affogato</t>
  </si>
  <si>
    <t>Ice latte</t>
  </si>
  <si>
    <t>lECHE POR VASO</t>
  </si>
  <si>
    <t>Americano Frio</t>
  </si>
  <si>
    <t>agua</t>
  </si>
  <si>
    <t>Brazo gitano</t>
  </si>
  <si>
    <t>Te de especialidad frio</t>
  </si>
  <si>
    <t>cheescake</t>
  </si>
  <si>
    <t>Jugo agua frutilla</t>
  </si>
  <si>
    <t>27 gr x750</t>
  </si>
  <si>
    <t>Jugo frutilla leche</t>
  </si>
  <si>
    <t>PULPA</t>
  </si>
  <si>
    <t>cono</t>
  </si>
  <si>
    <t>jugos exoticos agua</t>
  </si>
  <si>
    <t>Pulpas acai y copoazu</t>
  </si>
  <si>
    <t>miel 2</t>
  </si>
  <si>
    <t>jugos exoticos leche</t>
  </si>
  <si>
    <t>Pulpas acai y copoazu leche</t>
  </si>
  <si>
    <t>queque de chocolate</t>
  </si>
  <si>
    <t>Queque de limón</t>
  </si>
  <si>
    <t>Queque de arándanos</t>
  </si>
  <si>
    <t>torta</t>
  </si>
  <si>
    <t>Brazon gitano</t>
  </si>
  <si>
    <t>SOLO FRUTILLA</t>
  </si>
  <si>
    <t>Cheesecake de maracuya</t>
  </si>
  <si>
    <t xml:space="preserve">Conos con cremas </t>
  </si>
  <si>
    <t xml:space="preserve">sultana </t>
  </si>
  <si>
    <t>1kg 20bs</t>
  </si>
  <si>
    <t>250 sale 45 te especial</t>
  </si>
  <si>
    <t xml:space="preserve">Cuñapes </t>
  </si>
  <si>
    <t>Media luna de jamón y queso</t>
  </si>
  <si>
    <t>mouse de frutas</t>
  </si>
  <si>
    <t>Bolsa de hielo 5pesos tiene 2500</t>
  </si>
  <si>
    <t xml:space="preserve">chai </t>
  </si>
  <si>
    <t>mousse de frutos rojos</t>
  </si>
  <si>
    <t>Magdalenas caseras</t>
  </si>
  <si>
    <t>2 empanadas de pollo</t>
  </si>
  <si>
    <t>jamon</t>
  </si>
  <si>
    <t xml:space="preserve">Desayuno 1 </t>
  </si>
  <si>
    <t>Desayuno 2</t>
  </si>
  <si>
    <t xml:space="preserve">requeson </t>
  </si>
  <si>
    <t>queso</t>
  </si>
  <si>
    <t>Desayuno 3</t>
  </si>
  <si>
    <t>Sandwiches jamón y queso especial</t>
  </si>
  <si>
    <t>pan molde</t>
  </si>
  <si>
    <t>Sandwiches jamón y queso especial doble</t>
  </si>
  <si>
    <t>Sandwich de queso</t>
  </si>
  <si>
    <t>Sandwich de requesón y miel</t>
  </si>
  <si>
    <t>Sandwich de requesón</t>
  </si>
  <si>
    <t xml:space="preserve">jamon ahumado </t>
  </si>
  <si>
    <t xml:space="preserve">jamon </t>
  </si>
  <si>
    <t>Sandwich de miel</t>
  </si>
  <si>
    <t>miel en bote</t>
  </si>
  <si>
    <t xml:space="preserve">pan </t>
  </si>
  <si>
    <t>cafe en bolsa</t>
  </si>
  <si>
    <t>Torta</t>
  </si>
  <si>
    <t>mayonesa</t>
  </si>
  <si>
    <t>Sandwich senderos Ahumadito</t>
  </si>
  <si>
    <t>Requeson</t>
  </si>
  <si>
    <t>Mermelada de lco</t>
  </si>
  <si>
    <t>Queque</t>
  </si>
  <si>
    <t>Mes</t>
  </si>
  <si>
    <t>Ingresos por cafés</t>
  </si>
  <si>
    <t>Ingresos por masas</t>
  </si>
  <si>
    <t>Ingresos cafetería</t>
  </si>
  <si>
    <t>Ingresos por miel</t>
  </si>
  <si>
    <t>Ingresos totales</t>
  </si>
  <si>
    <t>Gasto</t>
  </si>
  <si>
    <t>Unidades</t>
  </si>
  <si>
    <t>precio U.</t>
  </si>
  <si>
    <t>costo por taza</t>
  </si>
  <si>
    <t>Costo por empaque</t>
  </si>
  <si>
    <t>Precio Xtotal</t>
  </si>
  <si>
    <t>Pago fijo</t>
  </si>
  <si>
    <t>Pago Variable</t>
  </si>
  <si>
    <t>Posible reducción</t>
  </si>
  <si>
    <t>Posible incremento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</si>
  <si>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</si>
  <si>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</si>
  <si>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</si>
  <si>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</si>
  <si>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</si>
  <si>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</si>
  <si>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</si>
  <si>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</si>
  <si>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</si>
  <si>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</si>
  <si>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</si>
  <si>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</si>
  <si>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Alquiler</t>
  </si>
  <si>
    <t>Luz</t>
  </si>
  <si>
    <t>lumenes</t>
  </si>
  <si>
    <t xml:space="preserve">Agua </t>
  </si>
  <si>
    <t>metro cubico</t>
  </si>
  <si>
    <t>Sueldo Hiro</t>
  </si>
  <si>
    <t>Café Catuai Rojo</t>
  </si>
  <si>
    <t>1 quintal</t>
  </si>
  <si>
    <t>Café Honey</t>
  </si>
  <si>
    <t>té</t>
  </si>
  <si>
    <t>500gr</t>
  </si>
  <si>
    <t>azucar blanca</t>
  </si>
  <si>
    <t>25kg</t>
  </si>
  <si>
    <t>Botellones agua</t>
  </si>
  <si>
    <t>20l</t>
  </si>
  <si>
    <t>leche</t>
  </si>
  <si>
    <t>970 ml</t>
  </si>
  <si>
    <t>conos</t>
  </si>
  <si>
    <t>pan</t>
  </si>
  <si>
    <t>jamón</t>
  </si>
  <si>
    <t>requeson</t>
  </si>
  <si>
    <t>Bolsas de café grano</t>
  </si>
  <si>
    <t>estevia</t>
  </si>
  <si>
    <t>azucar morena</t>
  </si>
  <si>
    <t xml:space="preserve">conos </t>
  </si>
  <si>
    <t>queque chocolate</t>
  </si>
  <si>
    <t>queque frutos rojos</t>
  </si>
  <si>
    <t>queque limón</t>
  </si>
  <si>
    <t>pulpa copazu</t>
  </si>
  <si>
    <t>pulpa acai</t>
  </si>
  <si>
    <t>pulpa Acerola</t>
  </si>
  <si>
    <t>pulpa Tumbo</t>
  </si>
  <si>
    <t>pulpa Guayaba</t>
  </si>
  <si>
    <t>Frutillas</t>
  </si>
  <si>
    <t>Cheesecake</t>
  </si>
  <si>
    <t>Cuñapes</t>
  </si>
  <si>
    <t>medias lunas</t>
  </si>
  <si>
    <t>Mousse de frutas</t>
  </si>
  <si>
    <t>Mousse de frutos Rojos</t>
  </si>
  <si>
    <t>Magdalenas</t>
  </si>
  <si>
    <t xml:space="preserve">empanadas de pollo </t>
  </si>
  <si>
    <t>Frascos de miel</t>
  </si>
  <si>
    <t>Etiquetas miel</t>
  </si>
  <si>
    <t>Etiquetas café</t>
  </si>
  <si>
    <t xml:space="preserve">Tés especiales </t>
  </si>
  <si>
    <t>mates</t>
  </si>
  <si>
    <t>hielos</t>
  </si>
  <si>
    <t xml:space="preserve">helado </t>
  </si>
  <si>
    <t>Envases</t>
  </si>
  <si>
    <t>Extras</t>
  </si>
  <si>
    <t>Empaques</t>
  </si>
  <si>
    <t>Inversión</t>
  </si>
  <si>
    <t>Sueldo Chelo</t>
  </si>
  <si>
    <t>Sueldo papá</t>
  </si>
  <si>
    <t>Publicidad</t>
  </si>
  <si>
    <t>cacaos</t>
  </si>
  <si>
    <t>0.92</t>
  </si>
  <si>
    <t>Costos mensuales cafeteria</t>
  </si>
  <si>
    <t>Costo mensuales insumos</t>
  </si>
  <si>
    <t>Costos mensuales otros</t>
  </si>
  <si>
    <t>Tipo</t>
  </si>
  <si>
    <t>Costos</t>
  </si>
  <si>
    <t>Egresos</t>
  </si>
  <si>
    <t>Ingresos</t>
  </si>
  <si>
    <t>Ganancias</t>
  </si>
  <si>
    <t>Combos</t>
  </si>
  <si>
    <t>Por unidad producto</t>
  </si>
  <si>
    <t>Por unidad de servicio</t>
  </si>
  <si>
    <t>Por unidad de feria</t>
  </si>
  <si>
    <t>Por total de producto nuevo</t>
  </si>
  <si>
    <t>Por RRSS</t>
  </si>
  <si>
    <t>Por total de promociones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</si>
</sst>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yyyy/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165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2" max="2" width="6.88"/>
    <col customWidth="1" min="3" max="3" width="7.75"/>
    <col customWidth="1" min="4" max="4" width="9.88"/>
    <col customWidth="1" min="5" max="6" width="17.5"/>
    <col customWidth="1" min="7" max="7" width="17.75"/>
    <col customWidth="1" min="8" max="8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8.0</v>
      </c>
      <c r="C2" s="1">
        <v>13.0</v>
      </c>
      <c r="D2" s="2">
        <f t="shared" ref="D2:D53" si="1">C2-B2</f>
        <v>5</v>
      </c>
      <c r="E2" s="2">
        <f t="shared" ref="E2:E53" si="2">(B2*100)/C2</f>
        <v>61.53846154</v>
      </c>
      <c r="F2" s="2">
        <f t="shared" ref="F2:F53" si="3">(D2*100)/C2</f>
        <v>38.46153846</v>
      </c>
    </row>
    <row r="3">
      <c r="A3" s="1" t="s">
        <v>8</v>
      </c>
      <c r="B3" s="1">
        <f t="shared" ref="B3:B4" si="4">8+1.88</f>
        <v>9.88</v>
      </c>
      <c r="C3" s="1">
        <v>16.0</v>
      </c>
      <c r="D3" s="2">
        <f t="shared" si="1"/>
        <v>6.12</v>
      </c>
      <c r="E3" s="2">
        <f t="shared" si="2"/>
        <v>61.75</v>
      </c>
      <c r="F3" s="2">
        <f t="shared" si="3"/>
        <v>38.25</v>
      </c>
    </row>
    <row r="4">
      <c r="A4" s="1" t="s">
        <v>9</v>
      </c>
      <c r="B4" s="1">
        <f t="shared" si="4"/>
        <v>9.88</v>
      </c>
      <c r="C4" s="1">
        <v>18.0</v>
      </c>
      <c r="D4" s="2">
        <f t="shared" si="1"/>
        <v>8.12</v>
      </c>
      <c r="E4" s="2">
        <f t="shared" si="2"/>
        <v>54.88888889</v>
      </c>
      <c r="F4" s="2">
        <f t="shared" si="3"/>
        <v>45.11111111</v>
      </c>
      <c r="J4" s="1" t="s">
        <v>10</v>
      </c>
      <c r="Q4" s="2">
        <f>0.88+0.66+0.43</f>
        <v>1.97</v>
      </c>
    </row>
    <row r="5">
      <c r="A5" s="1" t="s">
        <v>11</v>
      </c>
      <c r="B5" s="1">
        <f>8+1.98</f>
        <v>9.98</v>
      </c>
      <c r="C5" s="1">
        <v>18.0</v>
      </c>
      <c r="D5" s="2">
        <f t="shared" si="1"/>
        <v>8.02</v>
      </c>
      <c r="E5" s="2">
        <f t="shared" si="2"/>
        <v>55.44444444</v>
      </c>
      <c r="F5" s="2">
        <f t="shared" si="3"/>
        <v>44.55555556</v>
      </c>
      <c r="J5" s="2">
        <f>750/8</f>
        <v>93.75</v>
      </c>
      <c r="M5" s="1" t="s">
        <v>12</v>
      </c>
    </row>
    <row r="6">
      <c r="A6" s="1" t="s">
        <v>13</v>
      </c>
      <c r="B6" s="1">
        <f>8+0.92+1.88</f>
        <v>10.8</v>
      </c>
      <c r="C6" s="1">
        <v>20.0</v>
      </c>
      <c r="D6" s="2">
        <f t="shared" si="1"/>
        <v>9.2</v>
      </c>
      <c r="E6" s="2">
        <f t="shared" si="2"/>
        <v>54</v>
      </c>
      <c r="F6" s="2">
        <f t="shared" si="3"/>
        <v>46</v>
      </c>
      <c r="J6" s="2">
        <f>15/8</f>
        <v>1.875</v>
      </c>
      <c r="M6" s="1">
        <v>34.87</v>
      </c>
    </row>
    <row r="7">
      <c r="A7" s="1" t="s">
        <v>14</v>
      </c>
      <c r="B7" s="1">
        <f>8+0.4</f>
        <v>8.4</v>
      </c>
      <c r="C7" s="1">
        <v>15.0</v>
      </c>
      <c r="D7" s="2">
        <f t="shared" si="1"/>
        <v>6.6</v>
      </c>
      <c r="E7" s="2">
        <f t="shared" si="2"/>
        <v>56</v>
      </c>
      <c r="F7" s="2">
        <f t="shared" si="3"/>
        <v>44</v>
      </c>
      <c r="M7" s="2">
        <f>15/34.87</f>
        <v>0.4301691999</v>
      </c>
    </row>
    <row r="8">
      <c r="A8" s="1" t="s">
        <v>15</v>
      </c>
      <c r="B8" s="1">
        <f>8+0.4+0.43+0.3</f>
        <v>9.13</v>
      </c>
      <c r="C8" s="1">
        <v>17.0</v>
      </c>
      <c r="D8" s="2">
        <f t="shared" si="1"/>
        <v>7.87</v>
      </c>
      <c r="E8" s="2">
        <f t="shared" si="2"/>
        <v>53.70588235</v>
      </c>
      <c r="F8" s="2">
        <f t="shared" si="3"/>
        <v>46.29411765</v>
      </c>
      <c r="I8" s="1" t="s">
        <v>16</v>
      </c>
    </row>
    <row r="9">
      <c r="A9" s="1" t="s">
        <v>17</v>
      </c>
      <c r="B9" s="2">
        <f>8+0.43+0.1</f>
        <v>8.53</v>
      </c>
      <c r="C9" s="1">
        <v>19.0</v>
      </c>
      <c r="D9" s="2">
        <f t="shared" si="1"/>
        <v>10.47</v>
      </c>
      <c r="E9" s="2">
        <f t="shared" si="2"/>
        <v>44.89473684</v>
      </c>
      <c r="F9" s="2">
        <f t="shared" si="3"/>
        <v>55.10526316</v>
      </c>
      <c r="I9" s="2">
        <f>500/10</f>
        <v>50</v>
      </c>
      <c r="J9" s="2">
        <f>46/50</f>
        <v>0.92</v>
      </c>
    </row>
    <row r="10">
      <c r="A10" s="3" t="s">
        <v>18</v>
      </c>
      <c r="B10" s="3">
        <f>8+0.61</f>
        <v>8.61</v>
      </c>
      <c r="C10" s="3">
        <v>24.0</v>
      </c>
      <c r="D10" s="4">
        <f t="shared" si="1"/>
        <v>15.39</v>
      </c>
      <c r="E10" s="4">
        <f t="shared" si="2"/>
        <v>35.875</v>
      </c>
      <c r="F10" s="4">
        <f t="shared" si="3"/>
        <v>64.125</v>
      </c>
      <c r="N10" s="2">
        <f>1000/150</f>
        <v>6.666666667</v>
      </c>
      <c r="O10" s="2">
        <f>35/6.67</f>
        <v>5.247376312</v>
      </c>
    </row>
    <row r="11">
      <c r="A11" s="1" t="s">
        <v>19</v>
      </c>
      <c r="B11" s="1">
        <f>9+0.61</f>
        <v>9.61</v>
      </c>
      <c r="C11" s="1">
        <v>26.0</v>
      </c>
      <c r="D11" s="2">
        <f t="shared" si="1"/>
        <v>16.39</v>
      </c>
      <c r="E11" s="2">
        <f t="shared" si="2"/>
        <v>36.96153846</v>
      </c>
      <c r="F11" s="2">
        <f t="shared" si="3"/>
        <v>63.03846154</v>
      </c>
    </row>
    <row r="12">
      <c r="A12" s="1" t="s">
        <v>20</v>
      </c>
      <c r="B12" s="1">
        <f>0.4+0.26</f>
        <v>0.66</v>
      </c>
      <c r="C12" s="1">
        <v>10.0</v>
      </c>
      <c r="D12" s="2">
        <f t="shared" si="1"/>
        <v>9.34</v>
      </c>
      <c r="E12" s="2">
        <f t="shared" si="2"/>
        <v>6.6</v>
      </c>
      <c r="F12" s="2">
        <f t="shared" si="3"/>
        <v>93.4</v>
      </c>
    </row>
    <row r="13">
      <c r="A13" s="1" t="s">
        <v>21</v>
      </c>
      <c r="B13" s="1">
        <f>0.16+0.43+0.3+0.4+1</f>
        <v>2.29</v>
      </c>
      <c r="C13" s="1">
        <v>12.0</v>
      </c>
      <c r="D13" s="2">
        <f t="shared" si="1"/>
        <v>9.71</v>
      </c>
      <c r="E13" s="2">
        <f t="shared" si="2"/>
        <v>19.08333333</v>
      </c>
      <c r="F13" s="2">
        <f t="shared" si="3"/>
        <v>80.91666667</v>
      </c>
      <c r="I13" s="1"/>
      <c r="K13" s="1"/>
      <c r="L13" s="1"/>
    </row>
    <row r="14">
      <c r="A14" s="1" t="s">
        <v>22</v>
      </c>
      <c r="B14" s="2">
        <f>0.1+0.4</f>
        <v>0.5</v>
      </c>
      <c r="C14" s="1">
        <v>10.0</v>
      </c>
      <c r="D14" s="2">
        <f t="shared" si="1"/>
        <v>9.5</v>
      </c>
      <c r="E14" s="2">
        <f t="shared" si="2"/>
        <v>5</v>
      </c>
      <c r="F14" s="2">
        <f t="shared" si="3"/>
        <v>95</v>
      </c>
      <c r="I14" s="1" t="s">
        <v>23</v>
      </c>
      <c r="J14" s="2">
        <f>6/20</f>
        <v>0.3</v>
      </c>
      <c r="K14" s="1" t="s">
        <v>24</v>
      </c>
      <c r="L14" s="1" t="s">
        <v>25</v>
      </c>
      <c r="O14" s="1" t="s">
        <v>26</v>
      </c>
      <c r="P14" s="1">
        <f>25/100</f>
        <v>0.25</v>
      </c>
    </row>
    <row r="15">
      <c r="A15" s="1" t="s">
        <v>27</v>
      </c>
      <c r="B15" s="1">
        <f>0.8+0.4</f>
        <v>1.2</v>
      </c>
      <c r="C15" s="1">
        <v>22.0</v>
      </c>
      <c r="D15" s="2">
        <f t="shared" si="1"/>
        <v>20.8</v>
      </c>
      <c r="E15" s="2">
        <f t="shared" si="2"/>
        <v>5.454545455</v>
      </c>
      <c r="F15" s="2">
        <f t="shared" si="3"/>
        <v>94.54545455</v>
      </c>
      <c r="I15" s="1"/>
      <c r="K15" s="1"/>
      <c r="L15" s="1"/>
    </row>
    <row r="16">
      <c r="A16" s="1" t="s">
        <v>28</v>
      </c>
      <c r="B16" s="1">
        <f>0.72+0.5</f>
        <v>1.22</v>
      </c>
      <c r="C16" s="1">
        <v>18.0</v>
      </c>
      <c r="D16" s="2">
        <f t="shared" si="1"/>
        <v>16.78</v>
      </c>
      <c r="E16" s="2">
        <f t="shared" si="2"/>
        <v>6.777777778</v>
      </c>
      <c r="F16" s="2">
        <f t="shared" si="3"/>
        <v>93.22222222</v>
      </c>
      <c r="I16" s="1" t="s">
        <v>29</v>
      </c>
      <c r="J16" s="2">
        <f>1700/25</f>
        <v>68</v>
      </c>
      <c r="K16" s="1">
        <v>25.84</v>
      </c>
      <c r="L16" s="1">
        <v>0.43</v>
      </c>
      <c r="M16" s="2">
        <f>25000/380</f>
        <v>65.78947368</v>
      </c>
    </row>
    <row r="17">
      <c r="A17" s="1" t="s">
        <v>30</v>
      </c>
      <c r="B17" s="1">
        <f>0.8+0.4</f>
        <v>1.2</v>
      </c>
      <c r="C17" s="1">
        <v>22.0</v>
      </c>
      <c r="D17" s="2">
        <f t="shared" si="1"/>
        <v>20.8</v>
      </c>
      <c r="E17" s="2">
        <f t="shared" si="2"/>
        <v>5.454545455</v>
      </c>
      <c r="F17" s="2">
        <f t="shared" si="3"/>
        <v>94.54545455</v>
      </c>
      <c r="I17" s="1"/>
      <c r="M17" s="2">
        <f>1700/65.79</f>
        <v>25.83979328</v>
      </c>
    </row>
    <row r="18">
      <c r="A18" s="1" t="s">
        <v>31</v>
      </c>
      <c r="B18" s="1">
        <f>0.72+0.4</f>
        <v>1.12</v>
      </c>
      <c r="C18" s="1">
        <v>20.0</v>
      </c>
      <c r="D18" s="2">
        <f t="shared" si="1"/>
        <v>18.88</v>
      </c>
      <c r="E18" s="2">
        <f t="shared" si="2"/>
        <v>5.6</v>
      </c>
      <c r="F18" s="2">
        <f t="shared" si="3"/>
        <v>94.4</v>
      </c>
      <c r="O18" s="1" t="s">
        <v>32</v>
      </c>
      <c r="P18" s="2">
        <f>8*4</f>
        <v>32</v>
      </c>
    </row>
    <row r="19">
      <c r="A19" s="3" t="s">
        <v>33</v>
      </c>
      <c r="B19" s="3">
        <f>5.24+8</f>
        <v>13.24</v>
      </c>
      <c r="C19" s="3">
        <v>25.0</v>
      </c>
      <c r="D19" s="4">
        <f t="shared" si="1"/>
        <v>11.76</v>
      </c>
      <c r="E19" s="4">
        <f t="shared" si="2"/>
        <v>52.96</v>
      </c>
      <c r="F19" s="4">
        <f t="shared" si="3"/>
        <v>47.04</v>
      </c>
      <c r="J19" s="2">
        <f>135.9/18</f>
        <v>7.55</v>
      </c>
      <c r="P19" s="2">
        <f>32/8</f>
        <v>4</v>
      </c>
    </row>
    <row r="20">
      <c r="A20" s="1" t="s">
        <v>34</v>
      </c>
      <c r="B20" s="1">
        <f>0.62+0.21+0.4</f>
        <v>1.23</v>
      </c>
      <c r="C20" s="1">
        <v>22.0</v>
      </c>
      <c r="D20" s="2">
        <f t="shared" si="1"/>
        <v>20.77</v>
      </c>
      <c r="E20" s="2">
        <f t="shared" si="2"/>
        <v>5.590909091</v>
      </c>
      <c r="F20" s="2">
        <f t="shared" si="3"/>
        <v>94.40909091</v>
      </c>
      <c r="I20" s="1" t="s">
        <v>35</v>
      </c>
      <c r="J20" s="2">
        <f>7.55/4</f>
        <v>1.8875</v>
      </c>
      <c r="P20" s="2">
        <f>36/8</f>
        <v>4.5</v>
      </c>
    </row>
    <row r="21">
      <c r="A21" s="1" t="s">
        <v>36</v>
      </c>
      <c r="B21" s="1">
        <f>0.4+8+0.63</f>
        <v>9.03</v>
      </c>
      <c r="C21" s="1">
        <v>20.0</v>
      </c>
      <c r="D21" s="2">
        <f t="shared" si="1"/>
        <v>10.97</v>
      </c>
      <c r="E21" s="2">
        <f t="shared" si="2"/>
        <v>45.15</v>
      </c>
      <c r="F21" s="2">
        <f t="shared" si="3"/>
        <v>54.85</v>
      </c>
      <c r="I21" s="1" t="s">
        <v>37</v>
      </c>
      <c r="J21" s="1">
        <v>0.4</v>
      </c>
      <c r="M21" s="2">
        <f>(380*0.4)/250</f>
        <v>0.608</v>
      </c>
      <c r="O21" s="1" t="s">
        <v>38</v>
      </c>
      <c r="P21" s="2">
        <f>32/8</f>
        <v>4</v>
      </c>
    </row>
    <row r="22">
      <c r="A22" s="1" t="s">
        <v>39</v>
      </c>
      <c r="B22" s="1">
        <f>0.72+0.63+0.4</f>
        <v>1.75</v>
      </c>
      <c r="C22" s="1">
        <v>22.0</v>
      </c>
      <c r="D22" s="2">
        <f t="shared" si="1"/>
        <v>20.25</v>
      </c>
      <c r="E22" s="2">
        <f t="shared" si="2"/>
        <v>7.954545455</v>
      </c>
      <c r="F22" s="2">
        <f t="shared" si="3"/>
        <v>92.04545455</v>
      </c>
      <c r="O22" s="1" t="s">
        <v>40</v>
      </c>
      <c r="P22" s="1">
        <v>80.0</v>
      </c>
    </row>
    <row r="23">
      <c r="A23" s="1" t="s">
        <v>41</v>
      </c>
      <c r="B23" s="1">
        <v>2.9</v>
      </c>
      <c r="C23" s="1">
        <v>16.0</v>
      </c>
      <c r="D23" s="2">
        <f t="shared" si="1"/>
        <v>13.1</v>
      </c>
      <c r="E23" s="2">
        <f t="shared" si="2"/>
        <v>18.125</v>
      </c>
      <c r="F23" s="2">
        <f t="shared" si="3"/>
        <v>81.875</v>
      </c>
      <c r="I23" s="2">
        <f>500/70</f>
        <v>7.142857143</v>
      </c>
      <c r="M23" s="1" t="s">
        <v>26</v>
      </c>
      <c r="N23" s="1" t="s">
        <v>42</v>
      </c>
      <c r="P23" s="2">
        <f>80/8</f>
        <v>10</v>
      </c>
    </row>
    <row r="24">
      <c r="A24" s="1" t="s">
        <v>43</v>
      </c>
      <c r="B24" s="2">
        <f>1.9+1.89</f>
        <v>3.79</v>
      </c>
      <c r="C24" s="1">
        <v>18.0</v>
      </c>
      <c r="D24" s="2">
        <f t="shared" si="1"/>
        <v>14.21</v>
      </c>
      <c r="E24" s="2">
        <f t="shared" si="2"/>
        <v>21.05555556</v>
      </c>
      <c r="F24" s="2">
        <f t="shared" si="3"/>
        <v>78.94444444</v>
      </c>
      <c r="I24" s="2">
        <f>20/7.14</f>
        <v>2.801120448</v>
      </c>
      <c r="J24" s="1" t="s">
        <v>44</v>
      </c>
      <c r="K24" s="5"/>
      <c r="M24" s="2">
        <f>750/6</f>
        <v>125</v>
      </c>
      <c r="N24" s="2">
        <f>27/127</f>
        <v>0.2125984252</v>
      </c>
      <c r="O24" s="1" t="s">
        <v>45</v>
      </c>
    </row>
    <row r="25">
      <c r="A25" s="1" t="s">
        <v>46</v>
      </c>
      <c r="B25" s="1">
        <f>3.5+0.4</f>
        <v>3.9</v>
      </c>
      <c r="C25" s="1">
        <v>20.0</v>
      </c>
      <c r="D25" s="2">
        <f t="shared" si="1"/>
        <v>16.1</v>
      </c>
      <c r="E25" s="2">
        <f t="shared" si="2"/>
        <v>19.5</v>
      </c>
      <c r="F25" s="2">
        <f t="shared" si="3"/>
        <v>80.5</v>
      </c>
      <c r="L25" s="2">
        <f>21/6</f>
        <v>3.5</v>
      </c>
    </row>
    <row r="26">
      <c r="A26" s="1" t="s">
        <v>47</v>
      </c>
      <c r="B26" s="1">
        <f>3.8+1.89</f>
        <v>5.69</v>
      </c>
      <c r="C26" s="1">
        <v>20.0</v>
      </c>
      <c r="D26" s="2">
        <f t="shared" si="1"/>
        <v>14.31</v>
      </c>
      <c r="E26" s="2">
        <f t="shared" si="2"/>
        <v>28.45</v>
      </c>
      <c r="F26" s="2">
        <f t="shared" si="3"/>
        <v>71.55</v>
      </c>
      <c r="I26" s="1" t="s">
        <v>48</v>
      </c>
      <c r="J26" s="1">
        <v>25.0</v>
      </c>
      <c r="L26" s="2">
        <f>21/5.5</f>
        <v>3.818181818</v>
      </c>
    </row>
    <row r="27">
      <c r="A27" s="1" t="s">
        <v>49</v>
      </c>
      <c r="B27" s="1">
        <f>3.8+0.4</f>
        <v>4.2</v>
      </c>
      <c r="C27" s="1">
        <v>22.0</v>
      </c>
      <c r="D27" s="2">
        <f t="shared" si="1"/>
        <v>17.8</v>
      </c>
      <c r="E27" s="2">
        <f t="shared" si="2"/>
        <v>19.09090909</v>
      </c>
      <c r="F27" s="2">
        <f t="shared" si="3"/>
        <v>80.90909091</v>
      </c>
      <c r="I27" s="2">
        <f>25/40</f>
        <v>0.625</v>
      </c>
    </row>
    <row r="28">
      <c r="A28" s="1" t="s">
        <v>50</v>
      </c>
      <c r="B28" s="1">
        <f>3.8+1.89</f>
        <v>5.69</v>
      </c>
      <c r="C28" s="1">
        <v>22.0</v>
      </c>
      <c r="D28" s="2">
        <f t="shared" si="1"/>
        <v>16.31</v>
      </c>
      <c r="E28" s="2">
        <f t="shared" si="2"/>
        <v>25.86363636</v>
      </c>
      <c r="F28" s="2">
        <f t="shared" si="3"/>
        <v>74.13636364</v>
      </c>
      <c r="N28" s="2">
        <f>10/500</f>
        <v>0.02</v>
      </c>
    </row>
    <row r="29">
      <c r="A29" s="6" t="s">
        <v>51</v>
      </c>
      <c r="B29" s="6">
        <v>3.2</v>
      </c>
      <c r="C29" s="6">
        <v>8.0</v>
      </c>
      <c r="D29" s="7">
        <f t="shared" si="1"/>
        <v>4.8</v>
      </c>
      <c r="E29" s="7">
        <f t="shared" si="2"/>
        <v>40</v>
      </c>
      <c r="F29" s="7">
        <f t="shared" si="3"/>
        <v>60</v>
      </c>
    </row>
    <row r="30">
      <c r="A30" s="6" t="s">
        <v>52</v>
      </c>
      <c r="B30" s="6">
        <f>4</f>
        <v>4</v>
      </c>
      <c r="C30" s="6">
        <v>8.0</v>
      </c>
      <c r="D30" s="7">
        <f t="shared" si="1"/>
        <v>4</v>
      </c>
      <c r="E30" s="7">
        <f t="shared" si="2"/>
        <v>50</v>
      </c>
      <c r="F30" s="7">
        <f t="shared" si="3"/>
        <v>50</v>
      </c>
    </row>
    <row r="31">
      <c r="A31" s="6" t="s">
        <v>53</v>
      </c>
      <c r="B31" s="6">
        <v>4.5</v>
      </c>
      <c r="C31" s="6">
        <v>10.0</v>
      </c>
      <c r="D31" s="7">
        <f t="shared" si="1"/>
        <v>5.5</v>
      </c>
      <c r="E31" s="7">
        <f t="shared" si="2"/>
        <v>45</v>
      </c>
      <c r="F31" s="7">
        <f t="shared" si="3"/>
        <v>55</v>
      </c>
      <c r="O31" s="1" t="s">
        <v>54</v>
      </c>
      <c r="P31" s="1">
        <v>8.0</v>
      </c>
      <c r="Q31" s="1">
        <v>70.0</v>
      </c>
    </row>
    <row r="32">
      <c r="A32" s="6" t="s">
        <v>55</v>
      </c>
      <c r="B32" s="6">
        <v>4.0</v>
      </c>
      <c r="C32" s="6">
        <v>10.0</v>
      </c>
      <c r="D32" s="7">
        <f t="shared" si="1"/>
        <v>6</v>
      </c>
      <c r="E32" s="7">
        <f t="shared" si="2"/>
        <v>40</v>
      </c>
      <c r="F32" s="7">
        <f t="shared" si="3"/>
        <v>60</v>
      </c>
      <c r="I32" s="1" t="s">
        <v>56</v>
      </c>
      <c r="J32" s="1">
        <v>1.9</v>
      </c>
      <c r="P32" s="2">
        <f>Q31/P31</f>
        <v>8.75</v>
      </c>
    </row>
    <row r="33">
      <c r="A33" s="1" t="s">
        <v>57</v>
      </c>
      <c r="B33" s="1">
        <v>10.0</v>
      </c>
      <c r="C33" s="1">
        <v>20.0</v>
      </c>
      <c r="D33" s="2">
        <f t="shared" si="1"/>
        <v>10</v>
      </c>
      <c r="E33" s="2">
        <f t="shared" si="2"/>
        <v>50</v>
      </c>
      <c r="F33" s="2">
        <f t="shared" si="3"/>
        <v>50</v>
      </c>
    </row>
    <row r="34">
      <c r="A34" s="6" t="s">
        <v>58</v>
      </c>
      <c r="B34" s="6">
        <v>3.0</v>
      </c>
      <c r="C34" s="6">
        <v>6.0</v>
      </c>
      <c r="D34" s="7">
        <f t="shared" si="1"/>
        <v>3</v>
      </c>
      <c r="E34" s="7">
        <f t="shared" si="2"/>
        <v>50</v>
      </c>
      <c r="F34" s="7">
        <f t="shared" si="3"/>
        <v>50</v>
      </c>
      <c r="I34" s="1" t="s">
        <v>59</v>
      </c>
      <c r="J34" s="1" t="s">
        <v>60</v>
      </c>
      <c r="K34" s="2">
        <f>1000/8</f>
        <v>125</v>
      </c>
      <c r="M34" s="1" t="s">
        <v>61</v>
      </c>
    </row>
    <row r="35">
      <c r="A35" s="6" t="s">
        <v>62</v>
      </c>
      <c r="B35" s="6">
        <v>4.0</v>
      </c>
      <c r="C35" s="6">
        <v>7.0</v>
      </c>
      <c r="D35" s="7">
        <f t="shared" si="1"/>
        <v>3</v>
      </c>
      <c r="E35" s="7">
        <f t="shared" si="2"/>
        <v>57.14285714</v>
      </c>
      <c r="F35" s="7">
        <f t="shared" si="3"/>
        <v>42.85714286</v>
      </c>
      <c r="K35" s="2">
        <f>20/125</f>
        <v>0.16</v>
      </c>
      <c r="M35" s="2">
        <f>250/4</f>
        <v>62.5</v>
      </c>
    </row>
    <row r="36">
      <c r="A36" s="6" t="s">
        <v>63</v>
      </c>
      <c r="B36" s="6">
        <v>3.0</v>
      </c>
      <c r="C36" s="6">
        <v>6.0</v>
      </c>
      <c r="D36" s="7">
        <f t="shared" si="1"/>
        <v>3</v>
      </c>
      <c r="E36" s="7">
        <f t="shared" si="2"/>
        <v>50</v>
      </c>
      <c r="F36" s="7">
        <f t="shared" si="3"/>
        <v>50</v>
      </c>
      <c r="M36" s="2">
        <f>45/62.5</f>
        <v>0.72</v>
      </c>
    </row>
    <row r="37">
      <c r="A37" s="6" t="s">
        <v>64</v>
      </c>
      <c r="B37" s="6">
        <v>5.0</v>
      </c>
      <c r="C37" s="6">
        <v>10.0</v>
      </c>
      <c r="D37" s="7">
        <f t="shared" si="1"/>
        <v>5</v>
      </c>
      <c r="E37" s="7">
        <f t="shared" si="2"/>
        <v>50</v>
      </c>
      <c r="F37" s="7">
        <f t="shared" si="3"/>
        <v>50</v>
      </c>
      <c r="I37" s="1" t="s">
        <v>65</v>
      </c>
      <c r="M37" s="1" t="s">
        <v>66</v>
      </c>
      <c r="N37" s="2">
        <f>50/62.5</f>
        <v>0.8</v>
      </c>
    </row>
    <row r="38">
      <c r="A38" s="6" t="s">
        <v>67</v>
      </c>
      <c r="B38" s="6">
        <v>5.0</v>
      </c>
      <c r="C38" s="6">
        <v>12.0</v>
      </c>
      <c r="D38" s="7">
        <f t="shared" si="1"/>
        <v>7</v>
      </c>
      <c r="E38" s="7">
        <f t="shared" si="2"/>
        <v>41.66666667</v>
      </c>
      <c r="F38" s="7">
        <f t="shared" si="3"/>
        <v>58.33333333</v>
      </c>
      <c r="I38" s="8"/>
      <c r="J38" s="2">
        <f>5/8</f>
        <v>0.625</v>
      </c>
    </row>
    <row r="39">
      <c r="A39" s="6" t="s">
        <v>68</v>
      </c>
      <c r="B39" s="6">
        <v>3.0</v>
      </c>
      <c r="C39" s="6">
        <v>8.0</v>
      </c>
      <c r="D39" s="7">
        <f t="shared" si="1"/>
        <v>5</v>
      </c>
      <c r="E39" s="7">
        <f t="shared" si="2"/>
        <v>37.5</v>
      </c>
      <c r="F39" s="7">
        <f t="shared" si="3"/>
        <v>62.5</v>
      </c>
    </row>
    <row r="40">
      <c r="A40" s="9" t="s">
        <v>69</v>
      </c>
      <c r="B40" s="9">
        <v>10.0</v>
      </c>
      <c r="C40" s="9">
        <v>18.0</v>
      </c>
      <c r="D40" s="10">
        <f t="shared" si="1"/>
        <v>8</v>
      </c>
      <c r="E40" s="10">
        <f t="shared" si="2"/>
        <v>55.55555556</v>
      </c>
      <c r="F40" s="10">
        <f t="shared" si="3"/>
        <v>44.44444444</v>
      </c>
      <c r="L40" s="1" t="s">
        <v>70</v>
      </c>
      <c r="M40" s="1">
        <v>28.0</v>
      </c>
    </row>
    <row r="41">
      <c r="A41" s="11" t="s">
        <v>71</v>
      </c>
      <c r="B41" s="11">
        <f>8+4+4.2+0.5+2+0.63</f>
        <v>19.33</v>
      </c>
      <c r="C41" s="11">
        <v>35.0</v>
      </c>
      <c r="D41" s="2">
        <f t="shared" si="1"/>
        <v>15.67</v>
      </c>
      <c r="E41" s="2">
        <f t="shared" si="2"/>
        <v>55.22857143</v>
      </c>
      <c r="F41" s="2">
        <f t="shared" si="3"/>
        <v>44.77142857</v>
      </c>
      <c r="M41" s="2">
        <f>25/28</f>
        <v>0.8928571429</v>
      </c>
    </row>
    <row r="42">
      <c r="A42" s="11" t="s">
        <v>72</v>
      </c>
      <c r="B42" s="11">
        <f>9.8+4</f>
        <v>13.8</v>
      </c>
      <c r="C42" s="11">
        <v>22.0</v>
      </c>
      <c r="D42" s="2">
        <f t="shared" si="1"/>
        <v>8.2</v>
      </c>
      <c r="E42" s="2">
        <f t="shared" si="2"/>
        <v>62.72727273</v>
      </c>
      <c r="F42" s="2">
        <f t="shared" si="3"/>
        <v>37.27272727</v>
      </c>
      <c r="I42" s="1" t="s">
        <v>73</v>
      </c>
      <c r="J42" s="2">
        <f>10/5</f>
        <v>2</v>
      </c>
      <c r="L42" s="1" t="s">
        <v>74</v>
      </c>
      <c r="M42" s="2">
        <f>24</f>
        <v>24</v>
      </c>
    </row>
    <row r="43">
      <c r="A43" s="11" t="s">
        <v>75</v>
      </c>
      <c r="B43" s="11">
        <f>5.69+3</f>
        <v>8.69</v>
      </c>
      <c r="C43" s="11">
        <v>18.0</v>
      </c>
      <c r="D43" s="2">
        <f t="shared" si="1"/>
        <v>9.31</v>
      </c>
      <c r="E43" s="2">
        <f t="shared" si="2"/>
        <v>48.27777778</v>
      </c>
      <c r="F43" s="2">
        <f t="shared" si="3"/>
        <v>51.72222222</v>
      </c>
      <c r="M43" s="2">
        <f>24/25</f>
        <v>0.96</v>
      </c>
    </row>
    <row r="44">
      <c r="A44" s="1" t="s">
        <v>76</v>
      </c>
      <c r="B44" s="1">
        <f>1.05+1.94+1.5+0.5</f>
        <v>4.99</v>
      </c>
      <c r="C44" s="1">
        <v>15.0</v>
      </c>
      <c r="D44" s="2">
        <f t="shared" si="1"/>
        <v>10.01</v>
      </c>
      <c r="E44" s="2">
        <f t="shared" si="2"/>
        <v>33.26666667</v>
      </c>
      <c r="F44" s="2">
        <f t="shared" si="3"/>
        <v>66.73333333</v>
      </c>
      <c r="L44" s="1" t="s">
        <v>77</v>
      </c>
      <c r="M44" s="1">
        <v>15.0</v>
      </c>
    </row>
    <row r="45">
      <c r="A45" s="1" t="s">
        <v>78</v>
      </c>
      <c r="B45" s="1">
        <f>1.05+1.94+1.5+0.5+1.05+1.94</f>
        <v>7.98</v>
      </c>
      <c r="C45" s="1">
        <v>20.0</v>
      </c>
      <c r="D45" s="2">
        <f t="shared" si="1"/>
        <v>12.02</v>
      </c>
      <c r="E45" s="2">
        <f t="shared" si="2"/>
        <v>39.9</v>
      </c>
      <c r="F45" s="2">
        <f t="shared" si="3"/>
        <v>60.1</v>
      </c>
      <c r="L45" s="1"/>
      <c r="M45" s="1"/>
    </row>
    <row r="46">
      <c r="A46" s="1" t="s">
        <v>79</v>
      </c>
      <c r="B46" s="1">
        <f>5.6+0.96</f>
        <v>6.56</v>
      </c>
      <c r="C46" s="1">
        <v>12.0</v>
      </c>
      <c r="D46" s="2">
        <f t="shared" si="1"/>
        <v>5.44</v>
      </c>
      <c r="E46" s="2">
        <f t="shared" si="2"/>
        <v>54.66666667</v>
      </c>
      <c r="F46" s="2">
        <f t="shared" si="3"/>
        <v>45.33333333</v>
      </c>
      <c r="M46" s="2">
        <f>14/25</f>
        <v>0.56</v>
      </c>
    </row>
    <row r="47">
      <c r="A47" s="1" t="s">
        <v>80</v>
      </c>
      <c r="B47" s="1">
        <f>0.5+2+0.62</f>
        <v>3.12</v>
      </c>
      <c r="C47" s="1">
        <v>10.0</v>
      </c>
      <c r="D47" s="2">
        <f t="shared" si="1"/>
        <v>6.88</v>
      </c>
      <c r="E47" s="2">
        <f t="shared" si="2"/>
        <v>31.2</v>
      </c>
      <c r="F47" s="2">
        <f t="shared" si="3"/>
        <v>68.8</v>
      </c>
    </row>
    <row r="48">
      <c r="A48" s="12" t="s">
        <v>81</v>
      </c>
      <c r="B48" s="12">
        <f>0.5+2</f>
        <v>2.5</v>
      </c>
      <c r="C48" s="12">
        <v>8.0</v>
      </c>
      <c r="D48" s="2">
        <f t="shared" si="1"/>
        <v>5.5</v>
      </c>
      <c r="E48" s="2">
        <f t="shared" si="2"/>
        <v>31.25</v>
      </c>
      <c r="F48" s="2">
        <f t="shared" si="3"/>
        <v>68.75</v>
      </c>
      <c r="I48" s="1" t="s">
        <v>82</v>
      </c>
      <c r="J48" s="1">
        <v>20.0</v>
      </c>
      <c r="K48" s="1">
        <v>23.0</v>
      </c>
      <c r="M48" s="1" t="s">
        <v>83</v>
      </c>
      <c r="N48" s="1">
        <v>21.0</v>
      </c>
      <c r="O48" s="1">
        <v>20.0</v>
      </c>
    </row>
    <row r="49">
      <c r="A49" s="12" t="s">
        <v>84</v>
      </c>
      <c r="B49" s="12">
        <f>0.5+0.62</f>
        <v>1.12</v>
      </c>
      <c r="C49" s="12">
        <v>8.0</v>
      </c>
      <c r="D49" s="2">
        <f t="shared" si="1"/>
        <v>6.88</v>
      </c>
      <c r="E49" s="2">
        <f t="shared" si="2"/>
        <v>14</v>
      </c>
      <c r="F49" s="2">
        <f t="shared" si="3"/>
        <v>86</v>
      </c>
      <c r="J49" s="2">
        <f>(K48/J48)*2</f>
        <v>2.3</v>
      </c>
      <c r="K49" s="2">
        <f>J49/2</f>
        <v>1.15</v>
      </c>
      <c r="N49" s="2">
        <f>N48/O48</f>
        <v>1.05</v>
      </c>
    </row>
    <row r="50">
      <c r="A50" s="13" t="s">
        <v>85</v>
      </c>
      <c r="B50" s="14">
        <f>25.87+7+2</f>
        <v>34.87</v>
      </c>
      <c r="C50" s="13">
        <v>80.0</v>
      </c>
      <c r="D50" s="14">
        <f t="shared" si="1"/>
        <v>45.13</v>
      </c>
      <c r="E50" s="14">
        <f t="shared" si="2"/>
        <v>43.5875</v>
      </c>
      <c r="F50" s="14">
        <f t="shared" si="3"/>
        <v>56.4125</v>
      </c>
      <c r="I50" s="1" t="s">
        <v>86</v>
      </c>
      <c r="J50" s="1">
        <v>5.0</v>
      </c>
      <c r="K50" s="1">
        <v>12.0</v>
      </c>
      <c r="M50" s="1" t="s">
        <v>74</v>
      </c>
      <c r="N50" s="1">
        <v>38.7</v>
      </c>
      <c r="O50" s="1">
        <v>20.0</v>
      </c>
    </row>
    <row r="51">
      <c r="A51" s="13" t="s">
        <v>87</v>
      </c>
      <c r="B51" s="14">
        <f>29</f>
        <v>29</v>
      </c>
      <c r="C51" s="13">
        <v>80.0</v>
      </c>
      <c r="D51" s="14">
        <f t="shared" si="1"/>
        <v>51</v>
      </c>
      <c r="E51" s="14">
        <f t="shared" si="2"/>
        <v>36.25</v>
      </c>
      <c r="F51" s="14">
        <f t="shared" si="3"/>
        <v>63.75</v>
      </c>
      <c r="J51" s="2">
        <f>K50/J50</f>
        <v>2.4</v>
      </c>
      <c r="N51" s="2">
        <f>N50/O50</f>
        <v>1.935</v>
      </c>
    </row>
    <row r="52">
      <c r="A52" s="1" t="s">
        <v>88</v>
      </c>
      <c r="B52" s="1">
        <v>8.8</v>
      </c>
      <c r="C52" s="1">
        <v>20.0</v>
      </c>
      <c r="D52" s="2">
        <f t="shared" si="1"/>
        <v>11.2</v>
      </c>
      <c r="E52" s="2">
        <f t="shared" si="2"/>
        <v>44</v>
      </c>
      <c r="F52" s="2">
        <f t="shared" si="3"/>
        <v>56</v>
      </c>
      <c r="I52" s="1" t="s">
        <v>89</v>
      </c>
      <c r="J52" s="1">
        <v>10.5</v>
      </c>
      <c r="K52" s="1">
        <v>7.0</v>
      </c>
      <c r="M52" s="1" t="s">
        <v>89</v>
      </c>
      <c r="N52" s="1">
        <v>10.5</v>
      </c>
      <c r="O52" s="1">
        <v>7.0</v>
      </c>
    </row>
    <row r="53">
      <c r="A53" s="1" t="s">
        <v>90</v>
      </c>
      <c r="B53" s="2">
        <f>2.5+1.6+1.5+2.4+2.3</f>
        <v>10.3</v>
      </c>
      <c r="C53" s="1">
        <v>25.0</v>
      </c>
      <c r="D53" s="2">
        <f t="shared" si="1"/>
        <v>14.7</v>
      </c>
      <c r="E53" s="2">
        <f t="shared" si="2"/>
        <v>41.2</v>
      </c>
      <c r="F53" s="2">
        <f t="shared" si="3"/>
        <v>58.8</v>
      </c>
      <c r="J53" s="2">
        <f>J52/K52</f>
        <v>1.5</v>
      </c>
      <c r="N53" s="2">
        <f>N52/O52</f>
        <v>1.5</v>
      </c>
    </row>
    <row r="54">
      <c r="I54" s="1" t="s">
        <v>91</v>
      </c>
      <c r="J54" s="1">
        <v>10.0</v>
      </c>
      <c r="K54" s="1">
        <v>6.0</v>
      </c>
      <c r="M54" s="1" t="s">
        <v>89</v>
      </c>
      <c r="N54" s="1">
        <v>10.5</v>
      </c>
      <c r="O54" s="1">
        <v>7.0</v>
      </c>
    </row>
    <row r="55">
      <c r="J55" s="2">
        <f>J54/K54</f>
        <v>1.666666667</v>
      </c>
      <c r="N55" s="2">
        <f>N54/O54</f>
        <v>1.5</v>
      </c>
    </row>
    <row r="56">
      <c r="I56" s="1" t="s">
        <v>92</v>
      </c>
      <c r="J56" s="1">
        <v>30.0</v>
      </c>
      <c r="K56" s="1">
        <v>12.0</v>
      </c>
      <c r="M56" s="1" t="s">
        <v>86</v>
      </c>
      <c r="N56" s="1">
        <v>0.5</v>
      </c>
    </row>
    <row r="57">
      <c r="J57" s="2">
        <f>J56/K56</f>
        <v>2.5</v>
      </c>
    </row>
    <row r="61">
      <c r="I61" s="1" t="s">
        <v>93</v>
      </c>
      <c r="J61" s="1">
        <v>25.0</v>
      </c>
      <c r="K61" s="1">
        <v>8.0</v>
      </c>
      <c r="L61" s="2">
        <f>K61+K61+K61+K61</f>
        <v>32</v>
      </c>
    </row>
    <row r="62">
      <c r="J62" s="2">
        <f>J61/K61</f>
        <v>3.125</v>
      </c>
    </row>
    <row r="67">
      <c r="J67" s="1">
        <v>4000.0</v>
      </c>
    </row>
    <row r="68">
      <c r="J68" s="1">
        <v>5600.0</v>
      </c>
    </row>
    <row r="69">
      <c r="J69" s="1">
        <v>400.0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7.0"/>
    <col customWidth="1" min="3" max="3" width="15.75"/>
    <col customWidth="1" min="4" max="4" width="15.0"/>
    <col customWidth="1" min="5" max="5" width="14.5"/>
  </cols>
  <sheetData>
    <row r="1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</row>
    <row r="2">
      <c r="A2" s="1">
        <v>1.0</v>
      </c>
    </row>
    <row r="3">
      <c r="A3" s="1">
        <v>2.0</v>
      </c>
    </row>
    <row r="4">
      <c r="A4" s="1">
        <v>3.0</v>
      </c>
    </row>
    <row r="5">
      <c r="A5" s="1">
        <v>4.0</v>
      </c>
    </row>
    <row r="6">
      <c r="A6" s="1">
        <v>5.0</v>
      </c>
    </row>
    <row r="7">
      <c r="A7" s="1">
        <v>6.0</v>
      </c>
    </row>
    <row r="8">
      <c r="A8" s="1">
        <v>7.0</v>
      </c>
    </row>
    <row r="9">
      <c r="A9" s="1">
        <v>8.0</v>
      </c>
    </row>
    <row r="10">
      <c r="A10" s="1">
        <v>9.0</v>
      </c>
    </row>
    <row r="11">
      <c r="A11" s="1">
        <v>10.0</v>
      </c>
    </row>
    <row r="12">
      <c r="A12" s="1">
        <v>11.0</v>
      </c>
    </row>
    <row r="13">
      <c r="A13" s="1">
        <v>12.0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3" width="9.5"/>
    <col customWidth="1" min="4" max="6" width="10.5"/>
    <col customWidth="1" min="7" max="7" width="9.5"/>
    <col customWidth="1" min="9" max="9" width="16.5"/>
    <col customWidth="1" min="10" max="10" width="16.75"/>
    <col customWidth="1" min="11" max="11" width="6.38"/>
    <col customWidth="1" min="12" max="12" width="6.0"/>
    <col customWidth="1" min="13" max="15" width="6.25"/>
    <col customWidth="1" min="16" max="17" width="6.38"/>
    <col customWidth="1" min="18" max="19" width="6.13"/>
    <col customWidth="1" min="20" max="20" width="7.25"/>
    <col customWidth="1" min="21" max="21" width="7.5"/>
    <col customWidth="1" min="22" max="22" width="7.25"/>
  </cols>
  <sheetData>
    <row r="1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  <c r="T1" s="1" t="s">
        <v>119</v>
      </c>
      <c r="U1" s="1" t="s">
        <v>120</v>
      </c>
      <c r="V1" s="1" t="s">
        <v>121</v>
      </c>
    </row>
    <row r="2">
      <c r="A2" s="1" t="s">
        <v>122</v>
      </c>
      <c r="B2" s="1">
        <v>1.0</v>
      </c>
      <c r="C2" s="1">
        <v>4500.0</v>
      </c>
    </row>
    <row r="3">
      <c r="A3" s="1" t="s">
        <v>123</v>
      </c>
      <c r="B3" s="1" t="s">
        <v>124</v>
      </c>
    </row>
    <row r="4">
      <c r="A4" s="1" t="s">
        <v>125</v>
      </c>
      <c r="B4" s="1" t="s">
        <v>126</v>
      </c>
    </row>
    <row r="5">
      <c r="A5" s="1" t="s">
        <v>127</v>
      </c>
      <c r="B5" s="1">
        <v>1.0</v>
      </c>
      <c r="C5" s="1">
        <v>3500.0</v>
      </c>
    </row>
    <row r="6">
      <c r="A6" s="1" t="s">
        <v>128</v>
      </c>
      <c r="B6" s="1" t="s">
        <v>129</v>
      </c>
      <c r="C6" s="1">
        <v>3500.0</v>
      </c>
    </row>
    <row r="7">
      <c r="A7" s="1" t="s">
        <v>130</v>
      </c>
      <c r="B7" s="1" t="s">
        <v>129</v>
      </c>
      <c r="C7" s="1">
        <v>3500.0</v>
      </c>
    </row>
    <row r="8">
      <c r="A8" s="1" t="s">
        <v>131</v>
      </c>
      <c r="B8" s="1" t="s">
        <v>132</v>
      </c>
      <c r="C8" s="1">
        <v>0.61</v>
      </c>
      <c r="D8" s="1">
        <v>0.61</v>
      </c>
    </row>
    <row r="9">
      <c r="A9" s="1" t="s">
        <v>133</v>
      </c>
      <c r="B9" s="1" t="s">
        <v>134</v>
      </c>
    </row>
    <row r="10">
      <c r="A10" s="1" t="s">
        <v>135</v>
      </c>
      <c r="B10" s="1" t="s">
        <v>136</v>
      </c>
      <c r="C10" s="1">
        <v>23.0</v>
      </c>
    </row>
    <row r="11">
      <c r="A11" s="1" t="s">
        <v>137</v>
      </c>
      <c r="B11" s="1" t="s">
        <v>138</v>
      </c>
      <c r="C11" s="1">
        <v>7.55</v>
      </c>
    </row>
    <row r="12">
      <c r="A12" s="1" t="s">
        <v>139</v>
      </c>
    </row>
    <row r="13">
      <c r="A13" s="1" t="s">
        <v>140</v>
      </c>
    </row>
    <row r="14">
      <c r="A14" s="1" t="s">
        <v>141</v>
      </c>
    </row>
    <row r="15">
      <c r="A15" s="1" t="s">
        <v>74</v>
      </c>
    </row>
    <row r="16">
      <c r="A16" s="1" t="s">
        <v>54</v>
      </c>
    </row>
    <row r="17">
      <c r="A17" s="1" t="s">
        <v>29</v>
      </c>
    </row>
    <row r="18">
      <c r="A18" s="1" t="s">
        <v>142</v>
      </c>
    </row>
    <row r="19">
      <c r="A19" s="1" t="s">
        <v>143</v>
      </c>
    </row>
    <row r="20">
      <c r="A20" s="1" t="s">
        <v>144</v>
      </c>
    </row>
    <row r="21">
      <c r="A21" s="1" t="s">
        <v>145</v>
      </c>
    </row>
    <row r="22">
      <c r="A22" s="1" t="s">
        <v>146</v>
      </c>
    </row>
    <row r="23">
      <c r="A23" s="1" t="s">
        <v>147</v>
      </c>
    </row>
    <row r="24">
      <c r="A24" s="1" t="s">
        <v>148</v>
      </c>
    </row>
    <row r="25">
      <c r="A25" s="1" t="s">
        <v>149</v>
      </c>
    </row>
    <row r="26">
      <c r="A26" s="1" t="s">
        <v>150</v>
      </c>
      <c r="B26" s="1">
        <v>2.0</v>
      </c>
      <c r="C26" s="1">
        <v>21.0</v>
      </c>
    </row>
    <row r="27">
      <c r="A27" s="1" t="s">
        <v>151</v>
      </c>
      <c r="B27" s="1">
        <v>2.0</v>
      </c>
      <c r="C27" s="1">
        <v>21.0</v>
      </c>
    </row>
    <row r="28">
      <c r="A28" s="1" t="s">
        <v>152</v>
      </c>
      <c r="B28" s="1">
        <v>1.0</v>
      </c>
      <c r="C28" s="1">
        <v>20.0</v>
      </c>
    </row>
    <row r="29">
      <c r="A29" s="1" t="s">
        <v>153</v>
      </c>
      <c r="B29" s="1">
        <v>1.0</v>
      </c>
      <c r="C29" s="1">
        <v>20.0</v>
      </c>
    </row>
    <row r="30">
      <c r="A30" s="1" t="s">
        <v>154</v>
      </c>
      <c r="B30" s="1">
        <v>1.0</v>
      </c>
      <c r="C30" s="1">
        <v>20.0</v>
      </c>
    </row>
    <row r="31">
      <c r="A31" s="1" t="s">
        <v>155</v>
      </c>
    </row>
    <row r="32">
      <c r="A32" s="1" t="s">
        <v>38</v>
      </c>
    </row>
    <row r="33">
      <c r="A33" s="1" t="s">
        <v>156</v>
      </c>
    </row>
    <row r="34">
      <c r="A34" s="1" t="s">
        <v>157</v>
      </c>
    </row>
    <row r="35">
      <c r="A35" s="1" t="s">
        <v>158</v>
      </c>
    </row>
    <row r="36">
      <c r="A36" s="1" t="s">
        <v>159</v>
      </c>
    </row>
    <row r="37">
      <c r="A37" s="1" t="s">
        <v>160</v>
      </c>
    </row>
    <row r="38">
      <c r="A38" s="1" t="s">
        <v>161</v>
      </c>
    </row>
    <row r="39">
      <c r="A39" s="1" t="s">
        <v>162</v>
      </c>
    </row>
    <row r="40">
      <c r="A40" s="1" t="s">
        <v>163</v>
      </c>
      <c r="B40" s="1">
        <v>36.0</v>
      </c>
      <c r="C40" s="1">
        <v>8.0</v>
      </c>
    </row>
    <row r="41">
      <c r="A41" s="1" t="s">
        <v>164</v>
      </c>
    </row>
    <row r="42">
      <c r="A42" s="1" t="s">
        <v>165</v>
      </c>
    </row>
    <row r="43">
      <c r="A43" s="1" t="s">
        <v>166</v>
      </c>
      <c r="B43" s="1">
        <v>5.0</v>
      </c>
      <c r="C43" s="1">
        <v>90.0</v>
      </c>
    </row>
    <row r="44">
      <c r="A44" s="1" t="s">
        <v>167</v>
      </c>
    </row>
    <row r="45">
      <c r="A45" s="1" t="s">
        <v>168</v>
      </c>
    </row>
    <row r="46">
      <c r="A46" s="1" t="s">
        <v>169</v>
      </c>
    </row>
    <row r="47">
      <c r="A47" s="1" t="s">
        <v>170</v>
      </c>
    </row>
    <row r="48">
      <c r="A48" s="1" t="s">
        <v>171</v>
      </c>
    </row>
    <row r="49">
      <c r="A49" s="1" t="s">
        <v>172</v>
      </c>
    </row>
    <row r="50">
      <c r="A50" s="1" t="s">
        <v>173</v>
      </c>
    </row>
    <row r="51">
      <c r="A51" s="1" t="s">
        <v>174</v>
      </c>
    </row>
    <row r="52">
      <c r="A52" s="1" t="s">
        <v>175</v>
      </c>
    </row>
    <row r="53">
      <c r="A53" s="1" t="s">
        <v>176</v>
      </c>
    </row>
    <row r="54">
      <c r="A54" s="1" t="s">
        <v>177</v>
      </c>
      <c r="B54" s="1" t="s">
        <v>132</v>
      </c>
      <c r="C54" s="1">
        <v>50.0</v>
      </c>
      <c r="D54" s="1" t="s">
        <v>178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22.13"/>
    <col customWidth="1" min="3" max="3" width="21.5"/>
  </cols>
  <sheetData>
    <row r="1">
      <c r="A1" s="1" t="s">
        <v>179</v>
      </c>
      <c r="B1" s="1" t="s">
        <v>180</v>
      </c>
      <c r="C1" s="1" t="s">
        <v>181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7.88"/>
  </cols>
  <sheetData>
    <row r="1">
      <c r="A1" s="1" t="s">
        <v>182</v>
      </c>
      <c r="B1" s="1" t="s">
        <v>0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</row>
    <row r="2">
      <c r="A2" s="1" t="s">
        <v>188</v>
      </c>
      <c r="B2" s="1"/>
    </row>
    <row r="3">
      <c r="A3" s="1" t="s">
        <v>189</v>
      </c>
      <c r="B3" s="1"/>
    </row>
    <row r="4">
      <c r="A4" s="1" t="s">
        <v>190</v>
      </c>
      <c r="B4" s="1"/>
    </row>
    <row r="5">
      <c r="A5" s="1" t="s">
        <v>191</v>
      </c>
      <c r="B5" s="1"/>
    </row>
    <row r="6">
      <c r="A6" s="1" t="s">
        <v>192</v>
      </c>
      <c r="B6" s="1"/>
    </row>
    <row r="7">
      <c r="A7" s="1" t="s">
        <v>193</v>
      </c>
      <c r="B7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